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60" yWindow="-15" windowWidth="15135" windowHeight="11250" tabRatio="821"/>
  </bookViews>
  <sheets>
    <sheet name="Interim Report" sheetId="1" r:id="rId1"/>
    <sheet name="EAF &amp; EFOR Contributors" sheetId="2" r:id="rId2"/>
    <sheet name="Event List By Unit" sheetId="6" r:id="rId3"/>
    <sheet name="Event List By Impact" sheetId="12" r:id="rId4"/>
    <sheet name="e-mail table" sheetId="8" r:id="rId5"/>
    <sheet name="EFOR Contribution By Station" sheetId="3" r:id="rId6"/>
    <sheet name="Notes" sheetId="14" r:id="rId7"/>
    <sheet name="Sheet1" sheetId="16" r:id="rId8"/>
  </sheets>
  <definedNames>
    <definedName name="_xlnm.Print_Area" localSheetId="1">'EAF &amp; EFOR Contributors'!$A$1:$S$25</definedName>
    <definedName name="_xlnm.Print_Area" localSheetId="5">'EFOR Contribution By Station'!$A$1:$O$26</definedName>
    <definedName name="_xlnm.Print_Area" localSheetId="3">'Event List By Impact'!#REF!</definedName>
    <definedName name="_xlnm.Print_Area" localSheetId="2">'Event List By Unit'!$A$1:$O$326</definedName>
    <definedName name="_xlnm.Print_Area" localSheetId="0">'Interim Report'!$A$1:$AD$96</definedName>
    <definedName name="_xlnm.Print_Titles" localSheetId="2">'Event List By Unit'!$1:$3</definedName>
    <definedName name="_xlnm.Print_Titles" localSheetId="0">'Interim Report'!$1:$8</definedName>
  </definedNames>
  <calcPr calcId="145621"/>
</workbook>
</file>

<file path=xl/calcChain.xml><?xml version="1.0" encoding="utf-8"?>
<calcChain xmlns="http://schemas.openxmlformats.org/spreadsheetml/2006/main">
  <c r="I151" i="6" l="1"/>
  <c r="H151" i="6"/>
  <c r="G151" i="6"/>
  <c r="B10" i="2"/>
  <c r="D10" i="2"/>
  <c r="F10" i="2"/>
  <c r="G10" i="2"/>
  <c r="H10" i="2"/>
  <c r="J10" i="2"/>
  <c r="B11" i="2"/>
  <c r="D11" i="2"/>
  <c r="F11" i="2"/>
  <c r="G11" i="2"/>
  <c r="H11" i="2"/>
  <c r="J11" i="2"/>
  <c r="B12" i="2"/>
  <c r="D12" i="2"/>
  <c r="F12" i="2"/>
  <c r="G12" i="2"/>
  <c r="H12" i="2"/>
  <c r="J12" i="2"/>
  <c r="B13" i="2"/>
  <c r="D13" i="2"/>
  <c r="F13" i="2"/>
  <c r="G13" i="2"/>
  <c r="H13" i="2"/>
  <c r="J13" i="2"/>
  <c r="B14" i="2"/>
  <c r="D14" i="2"/>
  <c r="F14" i="2"/>
  <c r="G14" i="2"/>
  <c r="H14" i="2"/>
  <c r="B15" i="2"/>
  <c r="D15" i="2"/>
  <c r="F15" i="2"/>
  <c r="G15" i="2"/>
  <c r="H15" i="2"/>
  <c r="B16" i="2"/>
  <c r="D16" i="2"/>
  <c r="F16" i="2"/>
  <c r="G16" i="2"/>
  <c r="H16" i="2"/>
  <c r="B17" i="2"/>
  <c r="D17" i="2"/>
  <c r="F17" i="2"/>
  <c r="G17" i="2"/>
  <c r="H17" i="2"/>
  <c r="B18" i="2"/>
  <c r="D18" i="2"/>
  <c r="F18" i="2"/>
  <c r="G18" i="2"/>
  <c r="H18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J9" i="2"/>
  <c r="H9" i="2"/>
  <c r="G9" i="2"/>
  <c r="F9" i="2"/>
  <c r="D9" i="2"/>
  <c r="S9" i="2"/>
  <c r="R9" i="2"/>
  <c r="B9" i="2"/>
  <c r="G132" i="12"/>
  <c r="H132" i="12" s="1"/>
  <c r="I132" i="12" s="1"/>
  <c r="G135" i="12"/>
  <c r="G143" i="12"/>
  <c r="H143" i="12" s="1"/>
  <c r="I143" i="12" s="1"/>
  <c r="G144" i="12"/>
  <c r="G137" i="12"/>
  <c r="H137" i="12" s="1"/>
  <c r="I137" i="12" s="1"/>
  <c r="G141" i="12"/>
  <c r="H141" i="12" s="1"/>
  <c r="I141" i="12" s="1"/>
  <c r="G131" i="12"/>
  <c r="H131" i="12" s="1"/>
  <c r="G142" i="12"/>
  <c r="H142" i="12" s="1"/>
  <c r="I142" i="12" s="1"/>
  <c r="G133" i="12"/>
  <c r="G129" i="12"/>
  <c r="H129" i="12" s="1"/>
  <c r="G139" i="12"/>
  <c r="H139" i="12" s="1"/>
  <c r="I139" i="12" s="1"/>
  <c r="G138" i="12"/>
  <c r="G140" i="12"/>
  <c r="H140" i="12" s="1"/>
  <c r="I140" i="12" s="1"/>
  <c r="G134" i="12"/>
  <c r="G136" i="12"/>
  <c r="H136" i="12" s="1"/>
  <c r="J5" i="12"/>
  <c r="G5" i="12"/>
  <c r="J100" i="12"/>
  <c r="G100" i="12"/>
  <c r="J53" i="12"/>
  <c r="G53" i="12"/>
  <c r="J111" i="12"/>
  <c r="G111" i="12"/>
  <c r="J89" i="12"/>
  <c r="G89" i="12"/>
  <c r="J64" i="12"/>
  <c r="G64" i="12"/>
  <c r="J99" i="12"/>
  <c r="G99" i="12"/>
  <c r="J115" i="12"/>
  <c r="G115" i="12"/>
  <c r="G118" i="12"/>
  <c r="G98" i="12"/>
  <c r="H98" i="12" s="1"/>
  <c r="I98" i="12" s="1"/>
  <c r="G97" i="12"/>
  <c r="H97" i="12" s="1"/>
  <c r="I97" i="12" s="1"/>
  <c r="G25" i="12"/>
  <c r="H25" i="12" s="1"/>
  <c r="I25" i="12" s="1"/>
  <c r="G39" i="12"/>
  <c r="H39" i="12" s="1"/>
  <c r="I39" i="12" s="1"/>
  <c r="G34" i="12"/>
  <c r="G85" i="12"/>
  <c r="H85" i="12" s="1"/>
  <c r="I85" i="12" s="1"/>
  <c r="G75" i="12"/>
  <c r="H75" i="12" s="1"/>
  <c r="I75" i="12" s="1"/>
  <c r="G95" i="12"/>
  <c r="H95" i="12" s="1"/>
  <c r="I95" i="12" s="1"/>
  <c r="G35" i="12"/>
  <c r="G22" i="12"/>
  <c r="H22" i="12" s="1"/>
  <c r="I22" i="12" s="1"/>
  <c r="G30" i="12"/>
  <c r="H30" i="12" s="1"/>
  <c r="I30" i="12" s="1"/>
  <c r="G68" i="12"/>
  <c r="H68" i="12" s="1"/>
  <c r="I68" i="12" s="1"/>
  <c r="G20" i="12"/>
  <c r="H20" i="12" s="1"/>
  <c r="G8" i="12"/>
  <c r="H8" i="12" s="1"/>
  <c r="I8" i="12" s="1"/>
  <c r="G27" i="12"/>
  <c r="H27" i="12" s="1"/>
  <c r="I27" i="12" s="1"/>
  <c r="G117" i="12"/>
  <c r="G109" i="12"/>
  <c r="G120" i="12"/>
  <c r="G119" i="12"/>
  <c r="G112" i="12"/>
  <c r="G114" i="12"/>
  <c r="G60" i="12"/>
  <c r="H60" i="12" s="1"/>
  <c r="I60" i="12" s="1"/>
  <c r="G40" i="12"/>
  <c r="H40" i="12" s="1"/>
  <c r="I40" i="12" s="1"/>
  <c r="G110" i="12"/>
  <c r="G83" i="12"/>
  <c r="H83" i="12" s="1"/>
  <c r="I83" i="12" s="1"/>
  <c r="G88" i="12"/>
  <c r="H88" i="12" s="1"/>
  <c r="I88" i="12" s="1"/>
  <c r="G59" i="12"/>
  <c r="H59" i="12" s="1"/>
  <c r="I59" i="12" s="1"/>
  <c r="G77" i="12"/>
  <c r="H77" i="12" s="1"/>
  <c r="I77" i="12" s="1"/>
  <c r="G33" i="12"/>
  <c r="H33" i="12" s="1"/>
  <c r="I33" i="12" s="1"/>
  <c r="G36" i="12"/>
  <c r="H36" i="12" s="1"/>
  <c r="I36" i="12" s="1"/>
  <c r="G72" i="12"/>
  <c r="H72" i="12" s="1"/>
  <c r="I72" i="12" s="1"/>
  <c r="G73" i="12"/>
  <c r="H73" i="12" s="1"/>
  <c r="I73" i="12" s="1"/>
  <c r="G26" i="12"/>
  <c r="H26" i="12" s="1"/>
  <c r="G31" i="12"/>
  <c r="H31" i="12" s="1"/>
  <c r="I31" i="12" s="1"/>
  <c r="G108" i="12"/>
  <c r="G16" i="12"/>
  <c r="H16" i="12" s="1"/>
  <c r="J18" i="2" s="1"/>
  <c r="G57" i="12"/>
  <c r="H57" i="12" s="1"/>
  <c r="I57" i="12" s="1"/>
  <c r="G71" i="12"/>
  <c r="H71" i="12" s="1"/>
  <c r="I71" i="12" s="1"/>
  <c r="G52" i="12"/>
  <c r="H52" i="12" s="1"/>
  <c r="I52" i="12" s="1"/>
  <c r="G65" i="12"/>
  <c r="H65" i="12" s="1"/>
  <c r="I65" i="12" s="1"/>
  <c r="G56" i="12"/>
  <c r="H56" i="12" s="1"/>
  <c r="I56" i="12" s="1"/>
  <c r="G37" i="12"/>
  <c r="H37" i="12" s="1"/>
  <c r="I37" i="12" s="1"/>
  <c r="G107" i="12"/>
  <c r="G76" i="12"/>
  <c r="H76" i="12" s="1"/>
  <c r="I76" i="12" s="1"/>
  <c r="G58" i="12"/>
  <c r="H58" i="12" s="1"/>
  <c r="I58" i="12" s="1"/>
  <c r="G69" i="12"/>
  <c r="H69" i="12" s="1"/>
  <c r="I69" i="12" s="1"/>
  <c r="G106" i="12"/>
  <c r="G122" i="12"/>
  <c r="G62" i="12"/>
  <c r="H62" i="12" s="1"/>
  <c r="I62" i="12" s="1"/>
  <c r="G92" i="12"/>
  <c r="H92" i="12" s="1"/>
  <c r="I92" i="12" s="1"/>
  <c r="G86" i="12"/>
  <c r="H86" i="12" s="1"/>
  <c r="I86" i="12" s="1"/>
  <c r="G113" i="12"/>
  <c r="G32" i="12"/>
  <c r="H32" i="12" s="1"/>
  <c r="I32" i="12" s="1"/>
  <c r="G91" i="12"/>
  <c r="H91" i="12" s="1"/>
  <c r="I91" i="12" s="1"/>
  <c r="G51" i="12"/>
  <c r="H51" i="12" s="1"/>
  <c r="I51" i="12" s="1"/>
  <c r="G66" i="12"/>
  <c r="H66" i="12" s="1"/>
  <c r="I66" i="12" s="1"/>
  <c r="G116" i="12"/>
  <c r="G15" i="12"/>
  <c r="H15" i="12" s="1"/>
  <c r="J17" i="2" s="1"/>
  <c r="G96" i="12"/>
  <c r="H96" i="12" s="1"/>
  <c r="I96" i="12" s="1"/>
  <c r="G14" i="12"/>
  <c r="H14" i="12" s="1"/>
  <c r="I14" i="12" s="1"/>
  <c r="G42" i="12"/>
  <c r="H42" i="12" s="1"/>
  <c r="I42" i="12" s="1"/>
  <c r="G94" i="12"/>
  <c r="H94" i="12" s="1"/>
  <c r="I94" i="12" s="1"/>
  <c r="G55" i="12"/>
  <c r="H55" i="12" s="1"/>
  <c r="I55" i="12" s="1"/>
  <c r="G103" i="12"/>
  <c r="H103" i="12" s="1"/>
  <c r="I103" i="12" s="1"/>
  <c r="G102" i="12"/>
  <c r="H102" i="12" s="1"/>
  <c r="I102" i="12" s="1"/>
  <c r="G104" i="12"/>
  <c r="H104" i="12" s="1"/>
  <c r="I104" i="12" s="1"/>
  <c r="G93" i="12"/>
  <c r="H93" i="12" s="1"/>
  <c r="I93" i="12" s="1"/>
  <c r="G81" i="12"/>
  <c r="H81" i="12" s="1"/>
  <c r="I81" i="12" s="1"/>
  <c r="G105" i="12"/>
  <c r="H105" i="12" s="1"/>
  <c r="I105" i="12" s="1"/>
  <c r="G101" i="12"/>
  <c r="H101" i="12" s="1"/>
  <c r="I101" i="12" s="1"/>
  <c r="G24" i="12"/>
  <c r="H24" i="12" s="1"/>
  <c r="I24" i="12" s="1"/>
  <c r="G47" i="12"/>
  <c r="H47" i="12" s="1"/>
  <c r="I47" i="12" s="1"/>
  <c r="G67" i="12"/>
  <c r="G12" i="12"/>
  <c r="G21" i="12"/>
  <c r="H21" i="12" s="1"/>
  <c r="I21" i="12" s="1"/>
  <c r="G48" i="12"/>
  <c r="H48" i="12" s="1"/>
  <c r="I48" i="12" s="1"/>
  <c r="G19" i="12"/>
  <c r="H19" i="12" s="1"/>
  <c r="I19" i="12" s="1"/>
  <c r="G63" i="12"/>
  <c r="H63" i="12" s="1"/>
  <c r="I63" i="12" s="1"/>
  <c r="G78" i="12"/>
  <c r="H78" i="12" s="1"/>
  <c r="I78" i="12" s="1"/>
  <c r="G11" i="12"/>
  <c r="H11" i="12" s="1"/>
  <c r="G44" i="12"/>
  <c r="H44" i="12" s="1"/>
  <c r="I44" i="12" s="1"/>
  <c r="G79" i="12"/>
  <c r="H79" i="12" s="1"/>
  <c r="I79" i="12" s="1"/>
  <c r="G61" i="12"/>
  <c r="H61" i="12" s="1"/>
  <c r="I61" i="12" s="1"/>
  <c r="G70" i="12"/>
  <c r="H70" i="12" s="1"/>
  <c r="G74" i="12"/>
  <c r="G87" i="12"/>
  <c r="H87" i="12" s="1"/>
  <c r="I87" i="12" s="1"/>
  <c r="G38" i="12"/>
  <c r="H38" i="12" s="1"/>
  <c r="G18" i="12"/>
  <c r="H18" i="12" s="1"/>
  <c r="I18" i="12" s="1"/>
  <c r="G80" i="12"/>
  <c r="H80" i="12" s="1"/>
  <c r="I80" i="12" s="1"/>
  <c r="G7" i="12"/>
  <c r="H7" i="12" s="1"/>
  <c r="G41" i="12"/>
  <c r="H41" i="12" s="1"/>
  <c r="I41" i="12" s="1"/>
  <c r="G54" i="12"/>
  <c r="H54" i="12" s="1"/>
  <c r="I54" i="12" s="1"/>
  <c r="G90" i="12"/>
  <c r="H90" i="12" s="1"/>
  <c r="I90" i="12" s="1"/>
  <c r="G28" i="12"/>
  <c r="H28" i="12" s="1"/>
  <c r="I28" i="12" s="1"/>
  <c r="G84" i="12"/>
  <c r="H84" i="12" s="1"/>
  <c r="I84" i="12" s="1"/>
  <c r="G82" i="12"/>
  <c r="H82" i="12" s="1"/>
  <c r="I82" i="12" s="1"/>
  <c r="G121" i="12"/>
  <c r="G13" i="12"/>
  <c r="H13" i="12" s="1"/>
  <c r="I13" i="12" s="1"/>
  <c r="G10" i="12"/>
  <c r="H10" i="12" s="1"/>
  <c r="I10" i="12" s="1"/>
  <c r="G43" i="12"/>
  <c r="H43" i="12" s="1"/>
  <c r="I43" i="12" s="1"/>
  <c r="G50" i="12"/>
  <c r="H50" i="12" s="1"/>
  <c r="I50" i="12" s="1"/>
  <c r="G45" i="12"/>
  <c r="H45" i="12" s="1"/>
  <c r="G17" i="12"/>
  <c r="H17" i="12" s="1"/>
  <c r="I17" i="12" s="1"/>
  <c r="G23" i="12"/>
  <c r="H23" i="12" s="1"/>
  <c r="I23" i="12" s="1"/>
  <c r="G29" i="12"/>
  <c r="H29" i="12" s="1"/>
  <c r="I29" i="12" s="1"/>
  <c r="G9" i="12"/>
  <c r="H9" i="12" s="1"/>
  <c r="I9" i="12" s="1"/>
  <c r="G49" i="12"/>
  <c r="H49" i="12" s="1"/>
  <c r="I49" i="12" s="1"/>
  <c r="G46" i="12"/>
  <c r="H46" i="12" s="1"/>
  <c r="I46" i="12" s="1"/>
  <c r="G315" i="6"/>
  <c r="H315" i="6" s="1"/>
  <c r="I315" i="6" s="1"/>
  <c r="G314" i="6"/>
  <c r="H314" i="6" s="1"/>
  <c r="I314" i="6" s="1"/>
  <c r="H305" i="6"/>
  <c r="I305" i="6" s="1"/>
  <c r="G305" i="6"/>
  <c r="G304" i="6"/>
  <c r="H304" i="6" s="1"/>
  <c r="I304" i="6" s="1"/>
  <c r="G299" i="6"/>
  <c r="H299" i="6" s="1"/>
  <c r="I299" i="6" s="1"/>
  <c r="G298" i="6"/>
  <c r="H298" i="6" s="1"/>
  <c r="I298" i="6" s="1"/>
  <c r="G297" i="6"/>
  <c r="H297" i="6" s="1"/>
  <c r="I297" i="6" s="1"/>
  <c r="G292" i="6"/>
  <c r="H292" i="6" s="1"/>
  <c r="I292" i="6" s="1"/>
  <c r="G291" i="6"/>
  <c r="H291" i="6" s="1"/>
  <c r="I291" i="6" s="1"/>
  <c r="J222" i="6"/>
  <c r="J221" i="6"/>
  <c r="J223" i="6"/>
  <c r="J220" i="6"/>
  <c r="J212" i="6"/>
  <c r="J213" i="6"/>
  <c r="J211" i="6"/>
  <c r="J210" i="6"/>
  <c r="G223" i="6"/>
  <c r="G222" i="6"/>
  <c r="G221" i="6"/>
  <c r="G220" i="6"/>
  <c r="G213" i="6"/>
  <c r="G212" i="6"/>
  <c r="G211" i="6"/>
  <c r="H211" i="6" s="1"/>
  <c r="I211" i="6" s="1"/>
  <c r="G210" i="6"/>
  <c r="G286" i="6"/>
  <c r="H286" i="6" s="1"/>
  <c r="I286" i="6" s="1"/>
  <c r="G203" i="6"/>
  <c r="G202" i="6"/>
  <c r="H202" i="6" s="1"/>
  <c r="I202" i="6" s="1"/>
  <c r="G201" i="6"/>
  <c r="H201" i="6" s="1"/>
  <c r="I201" i="6" s="1"/>
  <c r="G200" i="6"/>
  <c r="H200" i="6" s="1"/>
  <c r="I200" i="6" s="1"/>
  <c r="G199" i="6"/>
  <c r="H199" i="6" s="1"/>
  <c r="I199" i="6" s="1"/>
  <c r="G198" i="6"/>
  <c r="H198" i="6" s="1"/>
  <c r="I198" i="6" s="1"/>
  <c r="I206" i="6" s="1"/>
  <c r="G191" i="6"/>
  <c r="H191" i="6" s="1"/>
  <c r="I191" i="6" s="1"/>
  <c r="G190" i="6"/>
  <c r="H190" i="6" s="1"/>
  <c r="I190" i="6" s="1"/>
  <c r="G189" i="6"/>
  <c r="H189" i="6" s="1"/>
  <c r="I189" i="6" s="1"/>
  <c r="G188" i="6"/>
  <c r="H188" i="6" s="1"/>
  <c r="I188" i="6" s="1"/>
  <c r="I194" i="6" s="1"/>
  <c r="G187" i="6"/>
  <c r="H187" i="6" s="1"/>
  <c r="I187" i="6" s="1"/>
  <c r="G186" i="6"/>
  <c r="H186" i="6" s="1"/>
  <c r="I186" i="6" s="1"/>
  <c r="G185" i="6"/>
  <c r="H185" i="6" s="1"/>
  <c r="I185" i="6" s="1"/>
  <c r="G184" i="6"/>
  <c r="H184" i="6" s="1"/>
  <c r="I184" i="6" s="1"/>
  <c r="G177" i="6"/>
  <c r="H177" i="6" s="1"/>
  <c r="I177" i="6" s="1"/>
  <c r="G176" i="6"/>
  <c r="H176" i="6" s="1"/>
  <c r="I176" i="6" s="1"/>
  <c r="G175" i="6"/>
  <c r="G174" i="6"/>
  <c r="G173" i="6"/>
  <c r="G172" i="6"/>
  <c r="G171" i="6"/>
  <c r="G170" i="6"/>
  <c r="G169" i="6"/>
  <c r="H169" i="6" s="1"/>
  <c r="I169" i="6" s="1"/>
  <c r="G168" i="6"/>
  <c r="H168" i="6" s="1"/>
  <c r="I168" i="6" s="1"/>
  <c r="G167" i="6"/>
  <c r="G166" i="6"/>
  <c r="H166" i="6" s="1"/>
  <c r="I166" i="6" s="1"/>
  <c r="G165" i="6"/>
  <c r="H165" i="6" s="1"/>
  <c r="I165" i="6" s="1"/>
  <c r="G164" i="6"/>
  <c r="H164" i="6" s="1"/>
  <c r="I164" i="6" s="1"/>
  <c r="G163" i="6"/>
  <c r="H163" i="6" s="1"/>
  <c r="I163" i="6" s="1"/>
  <c r="G162" i="6"/>
  <c r="H162" i="6" s="1"/>
  <c r="I162" i="6" s="1"/>
  <c r="G161" i="6"/>
  <c r="H161" i="6" s="1"/>
  <c r="I161" i="6" s="1"/>
  <c r="G160" i="6"/>
  <c r="H160" i="6" s="1"/>
  <c r="I160" i="6" s="1"/>
  <c r="G159" i="6"/>
  <c r="H159" i="6" s="1"/>
  <c r="I159" i="6" s="1"/>
  <c r="G158" i="6"/>
  <c r="H158" i="6" s="1"/>
  <c r="I158" i="6" s="1"/>
  <c r="G157" i="6"/>
  <c r="H157" i="6" s="1"/>
  <c r="I157" i="6" s="1"/>
  <c r="G156" i="6"/>
  <c r="G155" i="6"/>
  <c r="H155" i="6" s="1"/>
  <c r="I155" i="6" s="1"/>
  <c r="G148" i="6"/>
  <c r="H148" i="6" s="1"/>
  <c r="I148" i="6" s="1"/>
  <c r="G147" i="6"/>
  <c r="H147" i="6" s="1"/>
  <c r="I147" i="6" s="1"/>
  <c r="G146" i="6"/>
  <c r="H146" i="6" s="1"/>
  <c r="I146" i="6" s="1"/>
  <c r="G145" i="6"/>
  <c r="H145" i="6" s="1"/>
  <c r="I145" i="6" s="1"/>
  <c r="G144" i="6"/>
  <c r="H144" i="6" s="1"/>
  <c r="I144" i="6" s="1"/>
  <c r="G143" i="6"/>
  <c r="H143" i="6" s="1"/>
  <c r="I143" i="6" s="1"/>
  <c r="G142" i="6"/>
  <c r="G141" i="6"/>
  <c r="H141" i="6" s="1"/>
  <c r="I141" i="6" s="1"/>
  <c r="G140" i="6"/>
  <c r="H140" i="6" s="1"/>
  <c r="I140" i="6" s="1"/>
  <c r="G139" i="6"/>
  <c r="H139" i="6" s="1"/>
  <c r="I139" i="6" s="1"/>
  <c r="G138" i="6"/>
  <c r="G137" i="6"/>
  <c r="G136" i="6"/>
  <c r="H136" i="6" s="1"/>
  <c r="I136" i="6" s="1"/>
  <c r="G135" i="6"/>
  <c r="H135" i="6" s="1"/>
  <c r="I135" i="6" s="1"/>
  <c r="G134" i="6"/>
  <c r="H134" i="6" s="1"/>
  <c r="I134" i="6" s="1"/>
  <c r="G133" i="6"/>
  <c r="G132" i="6"/>
  <c r="H132" i="6" s="1"/>
  <c r="I132" i="6" s="1"/>
  <c r="G131" i="6"/>
  <c r="H131" i="6" s="1"/>
  <c r="I131" i="6" s="1"/>
  <c r="G130" i="6"/>
  <c r="H130" i="6" s="1"/>
  <c r="I130" i="6" s="1"/>
  <c r="G129" i="6"/>
  <c r="H129" i="6" s="1"/>
  <c r="I129" i="6" s="1"/>
  <c r="G128" i="6"/>
  <c r="G127" i="6"/>
  <c r="H127" i="6" s="1"/>
  <c r="I127" i="6" s="1"/>
  <c r="G273" i="6"/>
  <c r="H273" i="6" s="1"/>
  <c r="I273" i="6" s="1"/>
  <c r="G268" i="6"/>
  <c r="H268" i="6" s="1"/>
  <c r="I268" i="6" s="1"/>
  <c r="G120" i="6"/>
  <c r="H120" i="6" s="1"/>
  <c r="I120" i="6" s="1"/>
  <c r="G119" i="6"/>
  <c r="H119" i="6" s="1"/>
  <c r="I119" i="6" s="1"/>
  <c r="G118" i="6"/>
  <c r="H118" i="6" s="1"/>
  <c r="I118" i="6" s="1"/>
  <c r="G117" i="6"/>
  <c r="H117" i="6" s="1"/>
  <c r="I117" i="6" s="1"/>
  <c r="G116" i="6"/>
  <c r="H116" i="6" s="1"/>
  <c r="I116" i="6" s="1"/>
  <c r="G109" i="6"/>
  <c r="H109" i="6" s="1"/>
  <c r="I109" i="6" s="1"/>
  <c r="G108" i="6"/>
  <c r="H108" i="6" s="1"/>
  <c r="I108" i="6" s="1"/>
  <c r="G107" i="6"/>
  <c r="H107" i="6" s="1"/>
  <c r="I107" i="6" s="1"/>
  <c r="G106" i="6"/>
  <c r="H106" i="6" s="1"/>
  <c r="I106" i="6" s="1"/>
  <c r="G105" i="6"/>
  <c r="H105" i="6" s="1"/>
  <c r="I105" i="6" s="1"/>
  <c r="G104" i="6"/>
  <c r="H104" i="6" s="1"/>
  <c r="I104" i="6" s="1"/>
  <c r="G103" i="6"/>
  <c r="H103" i="6" s="1"/>
  <c r="I103" i="6" s="1"/>
  <c r="G96" i="6"/>
  <c r="H96" i="6" s="1"/>
  <c r="I96" i="6" s="1"/>
  <c r="G95" i="6"/>
  <c r="H95" i="6" s="1"/>
  <c r="I95" i="6" s="1"/>
  <c r="G94" i="6"/>
  <c r="H94" i="6" s="1"/>
  <c r="I94" i="6" s="1"/>
  <c r="G87" i="6"/>
  <c r="H87" i="6" s="1"/>
  <c r="I87" i="6" s="1"/>
  <c r="I91" i="6" s="1"/>
  <c r="G86" i="6"/>
  <c r="H86" i="6" s="1"/>
  <c r="I86" i="6" s="1"/>
  <c r="G85" i="6"/>
  <c r="H85" i="6" s="1"/>
  <c r="I85" i="6" s="1"/>
  <c r="G84" i="6"/>
  <c r="H84" i="6" s="1"/>
  <c r="I84" i="6" s="1"/>
  <c r="G83" i="6"/>
  <c r="H83" i="6" s="1"/>
  <c r="I83" i="6" s="1"/>
  <c r="G82" i="6"/>
  <c r="H82" i="6" s="1"/>
  <c r="I82" i="6" s="1"/>
  <c r="G81" i="6"/>
  <c r="H81" i="6" s="1"/>
  <c r="I81" i="6" s="1"/>
  <c r="G74" i="6"/>
  <c r="H74" i="6" s="1"/>
  <c r="I74" i="6" s="1"/>
  <c r="G73" i="6"/>
  <c r="H73" i="6" s="1"/>
  <c r="I73" i="6" s="1"/>
  <c r="G72" i="6"/>
  <c r="H72" i="6" s="1"/>
  <c r="I72" i="6" s="1"/>
  <c r="G71" i="6"/>
  <c r="H71" i="6" s="1"/>
  <c r="I71" i="6" s="1"/>
  <c r="G70" i="6"/>
  <c r="H70" i="6" s="1"/>
  <c r="I70" i="6" s="1"/>
  <c r="G63" i="6"/>
  <c r="H63" i="6" s="1"/>
  <c r="I63" i="6" s="1"/>
  <c r="G62" i="6"/>
  <c r="H62" i="6" s="1"/>
  <c r="I62" i="6" s="1"/>
  <c r="I67" i="6" s="1"/>
  <c r="G61" i="6"/>
  <c r="H61" i="6" s="1"/>
  <c r="I61" i="6" s="1"/>
  <c r="G60" i="6"/>
  <c r="H60" i="6" s="1"/>
  <c r="I60" i="6" s="1"/>
  <c r="G59" i="6"/>
  <c r="H59" i="6" s="1"/>
  <c r="I59" i="6" s="1"/>
  <c r="G52" i="6"/>
  <c r="H52" i="6" s="1"/>
  <c r="I52" i="6" s="1"/>
  <c r="G51" i="6"/>
  <c r="H51" i="6" s="1"/>
  <c r="I51" i="6" s="1"/>
  <c r="G50" i="6"/>
  <c r="H50" i="6" s="1"/>
  <c r="I50" i="6" s="1"/>
  <c r="G49" i="6"/>
  <c r="H49" i="6" s="1"/>
  <c r="I49" i="6" s="1"/>
  <c r="G48" i="6"/>
  <c r="H48" i="6" s="1"/>
  <c r="I48" i="6" s="1"/>
  <c r="G47" i="6"/>
  <c r="H47" i="6" s="1"/>
  <c r="I47" i="6" s="1"/>
  <c r="G40" i="6"/>
  <c r="G39" i="6"/>
  <c r="H39" i="6" s="1"/>
  <c r="I39" i="6" s="1"/>
  <c r="G38" i="6"/>
  <c r="H38" i="6" s="1"/>
  <c r="I38" i="6" s="1"/>
  <c r="G37" i="6"/>
  <c r="H37" i="6" s="1"/>
  <c r="I37" i="6" s="1"/>
  <c r="G36" i="6"/>
  <c r="H36" i="6" s="1"/>
  <c r="I36" i="6" s="1"/>
  <c r="G35" i="6"/>
  <c r="H35" i="6" s="1"/>
  <c r="I35" i="6" s="1"/>
  <c r="G28" i="6"/>
  <c r="H28" i="6" s="1"/>
  <c r="I28" i="6" s="1"/>
  <c r="G27" i="6"/>
  <c r="H27" i="6" s="1"/>
  <c r="I27" i="6" s="1"/>
  <c r="G263" i="6"/>
  <c r="H263" i="6" s="1"/>
  <c r="I263" i="6" s="1"/>
  <c r="G242" i="6"/>
  <c r="H242" i="6" s="1"/>
  <c r="I242" i="6" s="1"/>
  <c r="G237" i="6"/>
  <c r="H237" i="6" s="1"/>
  <c r="I237" i="6" s="1"/>
  <c r="J15" i="2" l="1"/>
  <c r="J16" i="2"/>
  <c r="H89" i="12"/>
  <c r="I89" i="12" s="1"/>
  <c r="H64" i="12"/>
  <c r="I64" i="12" s="1"/>
  <c r="H100" i="12"/>
  <c r="I100" i="12" s="1"/>
  <c r="H12" i="12"/>
  <c r="H35" i="12"/>
  <c r="H99" i="12"/>
  <c r="I99" i="12" s="1"/>
  <c r="I26" i="12"/>
  <c r="H34" i="12"/>
  <c r="I34" i="12" s="1"/>
  <c r="H138" i="12"/>
  <c r="I138" i="12" s="1"/>
  <c r="H67" i="12"/>
  <c r="I67" i="12" s="1"/>
  <c r="H53" i="12"/>
  <c r="I53" i="12" s="1"/>
  <c r="H5" i="12"/>
  <c r="I5" i="12" s="1"/>
  <c r="I38" i="12"/>
  <c r="I131" i="12"/>
  <c r="I45" i="12"/>
  <c r="I7" i="12"/>
  <c r="H74" i="12"/>
  <c r="I70" i="12"/>
  <c r="I15" i="12"/>
  <c r="I16" i="12"/>
  <c r="I20" i="12"/>
  <c r="I136" i="12"/>
  <c r="H134" i="12"/>
  <c r="I129" i="12"/>
  <c r="H133" i="12"/>
  <c r="H135" i="12"/>
  <c r="I11" i="12"/>
  <c r="H144" i="12"/>
  <c r="H223" i="6"/>
  <c r="I223" i="6" s="1"/>
  <c r="H213" i="6"/>
  <c r="I213" i="6" s="1"/>
  <c r="H222" i="6"/>
  <c r="I222" i="6" s="1"/>
  <c r="H221" i="6"/>
  <c r="I221" i="6" s="1"/>
  <c r="H220" i="6"/>
  <c r="I220" i="6" s="1"/>
  <c r="H212" i="6"/>
  <c r="I212" i="6" s="1"/>
  <c r="I180" i="6"/>
  <c r="H206" i="6"/>
  <c r="G206" i="6"/>
  <c r="G194" i="6"/>
  <c r="H194" i="6"/>
  <c r="G180" i="6"/>
  <c r="H180" i="6"/>
  <c r="I78" i="6"/>
  <c r="H67" i="6"/>
  <c r="G91" i="6"/>
  <c r="G78" i="6"/>
  <c r="H91" i="6"/>
  <c r="G67" i="6"/>
  <c r="H78" i="6"/>
  <c r="I43" i="6"/>
  <c r="G43" i="6"/>
  <c r="H43" i="6"/>
  <c r="G20" i="6"/>
  <c r="G19" i="6"/>
  <c r="H19" i="6" s="1"/>
  <c r="I19" i="6" s="1"/>
  <c r="G12" i="6"/>
  <c r="H12" i="6" s="1"/>
  <c r="I12" i="6" s="1"/>
  <c r="G11" i="6"/>
  <c r="H11" i="6" s="1"/>
  <c r="I11" i="6" s="1"/>
  <c r="I12" i="12" l="1"/>
  <c r="J14" i="2"/>
  <c r="I35" i="12"/>
  <c r="I144" i="12"/>
  <c r="I135" i="12"/>
  <c r="I134" i="12"/>
  <c r="I133" i="12"/>
  <c r="I74" i="12"/>
  <c r="H20" i="6"/>
  <c r="G24" i="6"/>
  <c r="I20" i="6" l="1"/>
  <c r="I24" i="6" s="1"/>
  <c r="H24" i="6"/>
  <c r="M49" i="1"/>
  <c r="I4" i="8" l="1"/>
  <c r="I7" i="8"/>
  <c r="I6" i="8"/>
  <c r="I9" i="8"/>
  <c r="I8" i="8"/>
  <c r="I5" i="8"/>
  <c r="I10" i="8"/>
  <c r="M11" i="1" l="1"/>
  <c r="F50" i="1" l="1"/>
  <c r="F51" i="1"/>
  <c r="F19" i="1" l="1"/>
  <c r="G19" i="1"/>
  <c r="P12" i="2" l="1"/>
  <c r="P17" i="2"/>
  <c r="P10" i="2"/>
  <c r="P11" i="2"/>
  <c r="P15" i="2"/>
  <c r="P14" i="2"/>
  <c r="P16" i="2"/>
  <c r="P9" i="2"/>
  <c r="P18" i="2" l="1"/>
  <c r="P13" i="2"/>
  <c r="G22" i="6" l="1"/>
  <c r="H22" i="6" l="1"/>
  <c r="I22" i="6"/>
  <c r="M24" i="1" l="1"/>
  <c r="G30" i="6" l="1"/>
  <c r="G14" i="6" l="1"/>
  <c r="H14" i="6"/>
  <c r="G65" i="6"/>
  <c r="H65" i="6"/>
  <c r="I65" i="6"/>
  <c r="G111" i="6"/>
  <c r="H111" i="6"/>
  <c r="I111" i="6"/>
  <c r="I14" i="6" l="1"/>
  <c r="G6" i="6"/>
  <c r="G54" i="6"/>
  <c r="G76" i="6"/>
  <c r="G122" i="6"/>
  <c r="G89" i="6"/>
  <c r="G98" i="6"/>
  <c r="G225" i="6"/>
  <c r="I225" i="6" l="1"/>
  <c r="H98" i="6"/>
  <c r="I98" i="6"/>
  <c r="H122" i="6"/>
  <c r="I122" i="6"/>
  <c r="H6" i="6"/>
  <c r="I6" i="6"/>
  <c r="I89" i="6"/>
  <c r="G42" i="6"/>
  <c r="H76" i="6"/>
  <c r="H54" i="6"/>
  <c r="H89" i="6"/>
  <c r="I76" i="6"/>
  <c r="G150" i="6"/>
  <c r="G179" i="6"/>
  <c r="G193" i="6"/>
  <c r="G205" i="6"/>
  <c r="G215" i="6"/>
  <c r="H225" i="6"/>
  <c r="H30" i="6" l="1"/>
  <c r="I30" i="6"/>
  <c r="I54" i="6"/>
  <c r="H42" i="6"/>
  <c r="H150" i="6"/>
  <c r="H179" i="6"/>
  <c r="I179" i="6"/>
  <c r="I150" i="6"/>
  <c r="I205" i="6"/>
  <c r="H193" i="6"/>
  <c r="H205" i="6"/>
  <c r="H215" i="6"/>
  <c r="I215" i="6"/>
  <c r="G307" i="6"/>
  <c r="H275" i="6"/>
  <c r="G270" i="6"/>
  <c r="G248" i="6"/>
  <c r="G234" i="6"/>
  <c r="H234" i="6"/>
  <c r="I234" i="6"/>
  <c r="G239" i="6"/>
  <c r="H239" i="6"/>
  <c r="I239" i="6"/>
  <c r="G244" i="6"/>
  <c r="H244" i="6"/>
  <c r="I244" i="6"/>
  <c r="G265" i="6"/>
  <c r="H265" i="6"/>
  <c r="I265" i="6"/>
  <c r="G279" i="6"/>
  <c r="H279" i="6"/>
  <c r="I279" i="6"/>
  <c r="G283" i="6"/>
  <c r="H283" i="6"/>
  <c r="I283" i="6"/>
  <c r="G288" i="6"/>
  <c r="H288" i="6"/>
  <c r="I288" i="6"/>
  <c r="G294" i="6"/>
  <c r="H294" i="6"/>
  <c r="I294" i="6"/>
  <c r="G311" i="6"/>
  <c r="H311" i="6"/>
  <c r="I311" i="6"/>
  <c r="G321" i="6"/>
  <c r="H321" i="6"/>
  <c r="I321" i="6"/>
  <c r="G325" i="6"/>
  <c r="H325" i="6"/>
  <c r="I325" i="6"/>
  <c r="I42" i="6" l="1"/>
  <c r="I193" i="6"/>
  <c r="G317" i="6"/>
  <c r="G275" i="6"/>
  <c r="G256" i="6"/>
  <c r="I256" i="6"/>
  <c r="H256" i="6"/>
  <c r="G252" i="6"/>
  <c r="G260" i="6"/>
  <c r="G301" i="6"/>
  <c r="I301" i="6"/>
  <c r="H301" i="6"/>
  <c r="I260" i="6"/>
  <c r="H260" i="6"/>
  <c r="I275" i="6"/>
  <c r="H252" i="6"/>
  <c r="I252" i="6"/>
  <c r="H317" i="6" l="1"/>
  <c r="I317" i="6"/>
  <c r="I307" i="6"/>
  <c r="H307" i="6"/>
  <c r="I270" i="6"/>
  <c r="H270" i="6"/>
  <c r="I248" i="6"/>
  <c r="H248" i="6"/>
  <c r="M23" i="1"/>
  <c r="F38" i="1"/>
  <c r="G38" i="1"/>
  <c r="H38" i="1"/>
  <c r="I38" i="1"/>
  <c r="T13" i="1" l="1"/>
  <c r="M31" i="1" l="1"/>
  <c r="M9" i="1" l="1"/>
  <c r="D76" i="1" l="1"/>
  <c r="K33" i="1" l="1"/>
  <c r="L33" i="1"/>
  <c r="M12" i="1" l="1"/>
  <c r="N4" i="2" l="1"/>
  <c r="F75" i="1" l="1"/>
  <c r="F33" i="1" l="1"/>
  <c r="Y48" i="1" l="1"/>
  <c r="T48" i="1"/>
  <c r="Y47" i="1"/>
  <c r="T47" i="1"/>
  <c r="Y10" i="1"/>
  <c r="Y11" i="1"/>
  <c r="T29" i="1"/>
  <c r="Y29" i="1"/>
  <c r="G50" i="1" l="1"/>
  <c r="H50" i="1"/>
  <c r="I50" i="1"/>
  <c r="L71" i="1" l="1"/>
  <c r="D25" i="1" l="1"/>
  <c r="D24" i="1"/>
  <c r="D23" i="1"/>
  <c r="D22" i="1"/>
  <c r="D46" i="1"/>
  <c r="T11" i="1"/>
  <c r="T22" i="1" l="1"/>
  <c r="Y22" i="1"/>
  <c r="Y46" i="1"/>
  <c r="T46" i="1"/>
  <c r="T9" i="1"/>
  <c r="Y9" i="1"/>
  <c r="F67" i="1"/>
  <c r="G67" i="1"/>
  <c r="H67" i="1"/>
  <c r="I67" i="1"/>
  <c r="U9" i="1" l="1"/>
  <c r="W9" i="1" s="1"/>
  <c r="M10" i="1"/>
  <c r="U11" i="1"/>
  <c r="W11" i="1" s="1"/>
  <c r="M13" i="1"/>
  <c r="U13" i="1" s="1"/>
  <c r="W13" i="1" s="1"/>
  <c r="M14" i="1"/>
  <c r="M15" i="1"/>
  <c r="M16" i="1"/>
  <c r="M17" i="1"/>
  <c r="M18" i="1"/>
  <c r="M29" i="1"/>
  <c r="U29" i="1" s="1"/>
  <c r="W29" i="1" s="1"/>
  <c r="M30" i="1"/>
  <c r="M32" i="1"/>
  <c r="M36" i="1"/>
  <c r="M37" i="1"/>
  <c r="M46" i="1"/>
  <c r="U46" i="1" s="1"/>
  <c r="W46" i="1" s="1"/>
  <c r="M47" i="1"/>
  <c r="U47" i="1" s="1"/>
  <c r="W47" i="1" s="1"/>
  <c r="M48" i="1"/>
  <c r="U48" i="1" s="1"/>
  <c r="W48" i="1" s="1"/>
  <c r="M61" i="1"/>
  <c r="M62" i="1"/>
  <c r="M63" i="1"/>
  <c r="M64" i="1"/>
  <c r="M65" i="1"/>
  <c r="M66" i="1"/>
  <c r="T61" i="1" l="1"/>
  <c r="Y61" i="1"/>
  <c r="T62" i="1"/>
  <c r="Y62" i="1"/>
  <c r="T63" i="1"/>
  <c r="Y63" i="1"/>
  <c r="T32" i="1"/>
  <c r="T24" i="1"/>
  <c r="Y12" i="1"/>
  <c r="Y13" i="1"/>
  <c r="Y14" i="1"/>
  <c r="Y15" i="1"/>
  <c r="Y16" i="1"/>
  <c r="T59" i="1" l="1"/>
  <c r="Y59" i="1"/>
  <c r="T60" i="1"/>
  <c r="Y60" i="1"/>
  <c r="T10" i="1"/>
  <c r="T12" i="1"/>
  <c r="T14" i="1"/>
  <c r="T15" i="1"/>
  <c r="T16" i="1"/>
  <c r="T17" i="1"/>
  <c r="Y17" i="1"/>
  <c r="M59" i="1" l="1"/>
  <c r="U59" i="1" s="1"/>
  <c r="W59" i="1" s="1"/>
  <c r="M60" i="1"/>
  <c r="U60" i="1" s="1"/>
  <c r="W60" i="1" s="1"/>
  <c r="U61" i="1"/>
  <c r="W61" i="1" s="1"/>
  <c r="U62" i="1"/>
  <c r="W62" i="1" s="1"/>
  <c r="U63" i="1"/>
  <c r="W63" i="1" s="1"/>
  <c r="L68" i="1"/>
  <c r="K68" i="1"/>
  <c r="L67" i="1"/>
  <c r="K67" i="1"/>
  <c r="I68" i="1"/>
  <c r="H68" i="1"/>
  <c r="G68" i="1"/>
  <c r="F68" i="1"/>
  <c r="D68" i="1"/>
  <c r="O60" i="1"/>
  <c r="Y18" i="1"/>
  <c r="T18" i="1"/>
  <c r="O18" i="1"/>
  <c r="U18" i="1"/>
  <c r="O17" i="1"/>
  <c r="O16" i="1"/>
  <c r="U16" i="1"/>
  <c r="W16" i="1" s="1"/>
  <c r="O15" i="1"/>
  <c r="O14" i="1"/>
  <c r="U14" i="1"/>
  <c r="W14" i="1" s="1"/>
  <c r="O13" i="1"/>
  <c r="O12" i="1"/>
  <c r="U12" i="1"/>
  <c r="W12" i="1" s="1"/>
  <c r="O11" i="1"/>
  <c r="O10" i="1"/>
  <c r="U10" i="1"/>
  <c r="W10" i="1" s="1"/>
  <c r="O9" i="1"/>
  <c r="P9" i="1"/>
  <c r="R9" i="1" l="1"/>
  <c r="P17" i="1"/>
  <c r="R17" i="1" s="1"/>
  <c r="U17" i="1"/>
  <c r="W17" i="1" s="1"/>
  <c r="P15" i="1"/>
  <c r="R15" i="1" s="1"/>
  <c r="U15" i="1"/>
  <c r="W15" i="1" s="1"/>
  <c r="P13" i="1"/>
  <c r="R13" i="1" s="1"/>
  <c r="P11" i="1"/>
  <c r="R11" i="1" s="1"/>
  <c r="M68" i="1"/>
  <c r="M67" i="1"/>
  <c r="D67" i="1"/>
  <c r="P60" i="1"/>
  <c r="R60" i="1" s="1"/>
  <c r="P10" i="1"/>
  <c r="R10" i="1" s="1"/>
  <c r="P12" i="1"/>
  <c r="R12" i="1" s="1"/>
  <c r="P14" i="1"/>
  <c r="R14" i="1" s="1"/>
  <c r="P16" i="1"/>
  <c r="R16" i="1" s="1"/>
  <c r="P18" i="1"/>
  <c r="R18" i="1" s="1"/>
  <c r="W18" i="1"/>
  <c r="M55" i="1" l="1"/>
  <c r="Y24" i="1"/>
  <c r="K75" i="1" l="1"/>
  <c r="Y65" i="1" l="1"/>
  <c r="Y66" i="1"/>
  <c r="Y54" i="1"/>
  <c r="Y55" i="1"/>
  <c r="Y49" i="1"/>
  <c r="T23" i="1"/>
  <c r="Y23" i="1"/>
  <c r="T67" i="1" l="1"/>
  <c r="Y67" i="1" l="1"/>
  <c r="Y70" i="1" l="1"/>
  <c r="T70" i="1"/>
  <c r="O70" i="1"/>
  <c r="U70" i="1"/>
  <c r="P70" i="1" l="1"/>
  <c r="T49" i="1"/>
  <c r="Y41" i="1" l="1"/>
  <c r="T31" i="1"/>
  <c r="H4" i="2" l="1"/>
  <c r="P62" i="1" l="1"/>
  <c r="O62" i="1"/>
  <c r="P63" i="1"/>
  <c r="O63" i="1"/>
  <c r="P64" i="1"/>
  <c r="O64" i="1"/>
  <c r="T64" i="1"/>
  <c r="P65" i="1"/>
  <c r="O65" i="1"/>
  <c r="T65" i="1"/>
  <c r="P66" i="1"/>
  <c r="O66" i="1"/>
  <c r="T66" i="1"/>
  <c r="O46" i="1"/>
  <c r="P46" i="1"/>
  <c r="O47" i="1"/>
  <c r="P47" i="1"/>
  <c r="U24" i="1"/>
  <c r="W24" i="1" s="1"/>
  <c r="O24" i="1"/>
  <c r="P30" i="1"/>
  <c r="P36" i="1"/>
  <c r="P37" i="1"/>
  <c r="M22" i="1"/>
  <c r="U22" i="1" s="1"/>
  <c r="W22" i="1" s="1"/>
  <c r="U49" i="1"/>
  <c r="W49" i="1" s="1"/>
  <c r="Z6" i="1"/>
  <c r="O48" i="1"/>
  <c r="T37" i="1"/>
  <c r="O37" i="1"/>
  <c r="T30" i="1"/>
  <c r="T36" i="1"/>
  <c r="T71" i="1"/>
  <c r="U30" i="1"/>
  <c r="U36" i="1"/>
  <c r="U71" i="1"/>
  <c r="T53" i="1"/>
  <c r="M53" i="1"/>
  <c r="U53" i="1" s="1"/>
  <c r="M74" i="1"/>
  <c r="U74" i="1" s="1"/>
  <c r="T74" i="1"/>
  <c r="T76" i="1" s="1"/>
  <c r="U55" i="1"/>
  <c r="T55" i="1"/>
  <c r="M54" i="1"/>
  <c r="U54" i="1" s="1"/>
  <c r="T54" i="1"/>
  <c r="M42" i="1"/>
  <c r="U42" i="1" s="1"/>
  <c r="T42" i="1"/>
  <c r="M41" i="1"/>
  <c r="U41" i="1" s="1"/>
  <c r="T41" i="1"/>
  <c r="M25" i="1"/>
  <c r="U25" i="1" s="1"/>
  <c r="T25" i="1"/>
  <c r="H20" i="1"/>
  <c r="H34" i="1"/>
  <c r="H39" i="1"/>
  <c r="H44" i="1"/>
  <c r="H72" i="1"/>
  <c r="H27" i="1"/>
  <c r="H51" i="1"/>
  <c r="H57" i="1"/>
  <c r="H76" i="1"/>
  <c r="H19" i="1"/>
  <c r="H33" i="1"/>
  <c r="H71" i="1"/>
  <c r="H26" i="1"/>
  <c r="H75" i="1"/>
  <c r="O29" i="1"/>
  <c r="O30" i="1"/>
  <c r="O31" i="1"/>
  <c r="O32" i="1"/>
  <c r="O36" i="1"/>
  <c r="O71" i="1"/>
  <c r="O25" i="1"/>
  <c r="O55" i="1"/>
  <c r="P55" i="1"/>
  <c r="F71" i="1"/>
  <c r="Y30" i="1"/>
  <c r="Y31" i="1"/>
  <c r="Y32" i="1"/>
  <c r="Y36" i="1"/>
  <c r="Y37" i="1"/>
  <c r="Y71" i="1"/>
  <c r="O22" i="1"/>
  <c r="O23" i="1"/>
  <c r="O49" i="1"/>
  <c r="O59" i="1"/>
  <c r="O74" i="1"/>
  <c r="O53" i="1"/>
  <c r="O42" i="1"/>
  <c r="O41" i="1"/>
  <c r="T72" i="1"/>
  <c r="U72" i="1"/>
  <c r="I20" i="1"/>
  <c r="I34" i="1"/>
  <c r="I39" i="1"/>
  <c r="I44" i="1"/>
  <c r="I72" i="1"/>
  <c r="I27" i="1"/>
  <c r="I51" i="1"/>
  <c r="I57" i="1"/>
  <c r="I76" i="1"/>
  <c r="I19" i="1"/>
  <c r="I33" i="1"/>
  <c r="I71" i="1"/>
  <c r="I26" i="1"/>
  <c r="I75" i="1"/>
  <c r="G33" i="1"/>
  <c r="O54" i="1"/>
  <c r="L75" i="1"/>
  <c r="G75" i="1"/>
  <c r="Y25" i="1"/>
  <c r="Y64" i="1"/>
  <c r="Y53" i="1"/>
  <c r="Y74" i="1"/>
  <c r="Y76" i="1" s="1"/>
  <c r="P61" i="1"/>
  <c r="O61" i="1"/>
  <c r="M51" i="1"/>
  <c r="M50" i="1"/>
  <c r="L27" i="1"/>
  <c r="L51" i="1"/>
  <c r="L57" i="1"/>
  <c r="L76" i="1"/>
  <c r="L26" i="1"/>
  <c r="L50" i="1"/>
  <c r="K27" i="1"/>
  <c r="K51" i="1"/>
  <c r="K57" i="1"/>
  <c r="K76" i="1"/>
  <c r="K26" i="1"/>
  <c r="K50" i="1"/>
  <c r="G27" i="1"/>
  <c r="G51" i="1"/>
  <c r="G57" i="1"/>
  <c r="G76" i="1"/>
  <c r="G26" i="1"/>
  <c r="F27" i="1"/>
  <c r="F57" i="1"/>
  <c r="F76" i="1"/>
  <c r="F26" i="1"/>
  <c r="D57" i="1"/>
  <c r="D51" i="1"/>
  <c r="D50" i="1"/>
  <c r="K87" i="1"/>
  <c r="K94" i="1" s="1"/>
  <c r="K25" i="3"/>
  <c r="I25" i="3"/>
  <c r="M4" i="3"/>
  <c r="H4" i="3"/>
  <c r="D26" i="1"/>
  <c r="D19" i="1"/>
  <c r="M19" i="1"/>
  <c r="L19" i="1"/>
  <c r="K19" i="1"/>
  <c r="Y42" i="1"/>
  <c r="Y72" i="1"/>
  <c r="O72" i="1"/>
  <c r="M20" i="1"/>
  <c r="M72" i="1"/>
  <c r="M39" i="1"/>
  <c r="M34" i="1"/>
  <c r="M71" i="1"/>
  <c r="M38" i="1"/>
  <c r="M33" i="1"/>
  <c r="L20" i="1"/>
  <c r="L44" i="1"/>
  <c r="L72" i="1"/>
  <c r="L39" i="1"/>
  <c r="L34" i="1"/>
  <c r="L38" i="1"/>
  <c r="K20" i="1"/>
  <c r="K44" i="1"/>
  <c r="K72" i="1"/>
  <c r="K39" i="1"/>
  <c r="K34" i="1"/>
  <c r="K71" i="1"/>
  <c r="K38" i="1"/>
  <c r="G20" i="1"/>
  <c r="G44" i="1"/>
  <c r="G72" i="1"/>
  <c r="G39" i="1"/>
  <c r="G34" i="1"/>
  <c r="G71" i="1"/>
  <c r="F20" i="1"/>
  <c r="F44" i="1"/>
  <c r="F72" i="1"/>
  <c r="F39" i="1"/>
  <c r="F34" i="1"/>
  <c r="D27" i="1"/>
  <c r="D34" i="1"/>
  <c r="D39" i="1"/>
  <c r="D44" i="1"/>
  <c r="D72" i="1"/>
  <c r="D20" i="1"/>
  <c r="D33" i="1"/>
  <c r="D38" i="1"/>
  <c r="D71" i="1"/>
  <c r="R62" i="1" l="1"/>
  <c r="R55" i="1"/>
  <c r="Z22" i="1"/>
  <c r="W55" i="1"/>
  <c r="O57" i="1"/>
  <c r="R36" i="1"/>
  <c r="R30" i="1"/>
  <c r="Z42" i="1"/>
  <c r="AD42" i="1" s="1"/>
  <c r="P54" i="1"/>
  <c r="R54" i="1" s="1"/>
  <c r="R64" i="1"/>
  <c r="D85" i="1"/>
  <c r="R37" i="1"/>
  <c r="O76" i="1"/>
  <c r="R47" i="1"/>
  <c r="M76" i="1"/>
  <c r="P74" i="1"/>
  <c r="P76" i="1" s="1"/>
  <c r="R61" i="1"/>
  <c r="R63" i="1"/>
  <c r="P24" i="1"/>
  <c r="R24" i="1" s="1"/>
  <c r="M44" i="1"/>
  <c r="M80" i="1" s="1"/>
  <c r="Z25" i="1"/>
  <c r="AB25" i="1" s="1"/>
  <c r="O34" i="1"/>
  <c r="Z46" i="1"/>
  <c r="Z10" i="1"/>
  <c r="Z48" i="1"/>
  <c r="Z47" i="1"/>
  <c r="Z29" i="1"/>
  <c r="Z11" i="1"/>
  <c r="O44" i="1"/>
  <c r="R46" i="1"/>
  <c r="L79" i="1"/>
  <c r="Z53" i="1"/>
  <c r="AB53" i="1" s="1"/>
  <c r="Z9" i="1"/>
  <c r="W30" i="1"/>
  <c r="Y34" i="1"/>
  <c r="T68" i="1"/>
  <c r="O51" i="1"/>
  <c r="P42" i="1"/>
  <c r="R42" i="1" s="1"/>
  <c r="Z74" i="1"/>
  <c r="AD74" i="1" s="1"/>
  <c r="Z64" i="1"/>
  <c r="AB64" i="1" s="1"/>
  <c r="P41" i="1"/>
  <c r="R41" i="1" s="1"/>
  <c r="T39" i="1"/>
  <c r="M57" i="1"/>
  <c r="P53" i="1"/>
  <c r="Z59" i="1"/>
  <c r="AB59" i="1" s="1"/>
  <c r="Z63" i="1"/>
  <c r="Z12" i="1"/>
  <c r="Z13" i="1"/>
  <c r="Z14" i="1"/>
  <c r="AD14" i="1" s="1"/>
  <c r="Z15" i="1"/>
  <c r="Z16" i="1"/>
  <c r="Z60" i="1"/>
  <c r="Z62" i="1"/>
  <c r="Z61" i="1"/>
  <c r="W54" i="1"/>
  <c r="P32" i="1"/>
  <c r="R32" i="1" s="1"/>
  <c r="U32" i="1"/>
  <c r="W32" i="1" s="1"/>
  <c r="M26" i="1"/>
  <c r="M84" i="1" s="1"/>
  <c r="M27" i="1"/>
  <c r="Y39" i="1"/>
  <c r="T44" i="1"/>
  <c r="O39" i="1"/>
  <c r="Z17" i="1"/>
  <c r="P29" i="1"/>
  <c r="R29" i="1" s="1"/>
  <c r="O27" i="1"/>
  <c r="T57" i="1"/>
  <c r="Y68" i="1"/>
  <c r="O68" i="1"/>
  <c r="O67" i="1"/>
  <c r="Z18" i="1"/>
  <c r="O38" i="1"/>
  <c r="O20" i="1"/>
  <c r="Z24" i="1"/>
  <c r="AD24" i="1" s="1"/>
  <c r="Z23" i="1"/>
  <c r="AD23" i="1" s="1"/>
  <c r="Z65" i="1"/>
  <c r="AB65" i="1" s="1"/>
  <c r="Z66" i="1"/>
  <c r="AB66" i="1" s="1"/>
  <c r="Z54" i="1"/>
  <c r="AB54" i="1" s="1"/>
  <c r="Z55" i="1"/>
  <c r="AB55" i="1" s="1"/>
  <c r="Z49" i="1"/>
  <c r="P23" i="1"/>
  <c r="R23" i="1" s="1"/>
  <c r="U23" i="1"/>
  <c r="W23" i="1" s="1"/>
  <c r="P59" i="1"/>
  <c r="R59" i="1" s="1"/>
  <c r="U67" i="1"/>
  <c r="Z70" i="1"/>
  <c r="T20" i="1"/>
  <c r="W25" i="1"/>
  <c r="P22" i="1"/>
  <c r="R22" i="1" s="1"/>
  <c r="D79" i="1"/>
  <c r="G80" i="1"/>
  <c r="P49" i="1"/>
  <c r="R49" i="1" s="1"/>
  <c r="P48" i="1"/>
  <c r="R48" i="1" s="1"/>
  <c r="L84" i="1"/>
  <c r="P31" i="1"/>
  <c r="R31" i="1" s="1"/>
  <c r="U31" i="1"/>
  <c r="W31" i="1" s="1"/>
  <c r="Z41" i="1"/>
  <c r="AD41" i="1" s="1"/>
  <c r="W41" i="1"/>
  <c r="U37" i="1"/>
  <c r="U39" i="1" s="1"/>
  <c r="T38" i="1"/>
  <c r="Y51" i="1"/>
  <c r="Z36" i="1"/>
  <c r="AB36" i="1" s="1"/>
  <c r="G79" i="1"/>
  <c r="T34" i="1"/>
  <c r="F79" i="1"/>
  <c r="T51" i="1"/>
  <c r="O50" i="1"/>
  <c r="Z32" i="1"/>
  <c r="AD32" i="1" s="1"/>
  <c r="O19" i="1"/>
  <c r="D84" i="1"/>
  <c r="T27" i="1"/>
  <c r="Y27" i="1"/>
  <c r="Z30" i="1"/>
  <c r="AB30" i="1" s="1"/>
  <c r="D80" i="1"/>
  <c r="G84" i="1"/>
  <c r="Z37" i="1"/>
  <c r="AD37" i="1" s="1"/>
  <c r="Z31" i="1"/>
  <c r="AD31" i="1" s="1"/>
  <c r="W36" i="1"/>
  <c r="Y38" i="1"/>
  <c r="K80" i="1"/>
  <c r="Y33" i="1"/>
  <c r="Y20" i="1"/>
  <c r="T19" i="1"/>
  <c r="U64" i="1"/>
  <c r="W64" i="1" s="1"/>
  <c r="R66" i="1"/>
  <c r="Y57" i="1"/>
  <c r="L85" i="1"/>
  <c r="K84" i="1"/>
  <c r="G85" i="1"/>
  <c r="K85" i="1"/>
  <c r="P25" i="1"/>
  <c r="Y26" i="1"/>
  <c r="O26" i="1"/>
  <c r="F85" i="1"/>
  <c r="H84" i="1"/>
  <c r="I85" i="1"/>
  <c r="I79" i="1"/>
  <c r="P71" i="1"/>
  <c r="P72" i="1"/>
  <c r="U66" i="1"/>
  <c r="W66" i="1" s="1"/>
  <c r="H85" i="1"/>
  <c r="T50" i="1"/>
  <c r="Y50" i="1"/>
  <c r="Y44" i="1"/>
  <c r="M79" i="1"/>
  <c r="K79" i="1"/>
  <c r="H80" i="1"/>
  <c r="I80" i="1"/>
  <c r="O33" i="1"/>
  <c r="T33" i="1"/>
  <c r="L80" i="1"/>
  <c r="F84" i="1"/>
  <c r="I84" i="1"/>
  <c r="T26" i="1"/>
  <c r="Y19" i="1"/>
  <c r="P19" i="1"/>
  <c r="H79" i="1"/>
  <c r="W42" i="1"/>
  <c r="U44" i="1"/>
  <c r="F80" i="1"/>
  <c r="R65" i="1"/>
  <c r="W74" i="1"/>
  <c r="U76" i="1"/>
  <c r="W76" i="1" s="1"/>
  <c r="W53" i="1"/>
  <c r="U57" i="1"/>
  <c r="P38" i="1"/>
  <c r="P39" i="1"/>
  <c r="U65" i="1"/>
  <c r="W65" i="1" s="1"/>
  <c r="AD22" i="1" l="1"/>
  <c r="AB22" i="1"/>
  <c r="AB42" i="1"/>
  <c r="R76" i="1"/>
  <c r="AD25" i="1"/>
  <c r="P57" i="1"/>
  <c r="R57" i="1" s="1"/>
  <c r="R39" i="1"/>
  <c r="D90" i="1"/>
  <c r="R74" i="1"/>
  <c r="R53" i="1"/>
  <c r="AD65" i="1"/>
  <c r="L89" i="1"/>
  <c r="P34" i="1"/>
  <c r="R34" i="1" s="1"/>
  <c r="P33" i="1"/>
  <c r="P79" i="1" s="1"/>
  <c r="O80" i="1"/>
  <c r="AD55" i="1"/>
  <c r="AD64" i="1"/>
  <c r="AD53" i="1"/>
  <c r="Z20" i="1"/>
  <c r="AD20" i="1" s="1"/>
  <c r="AD66" i="1"/>
  <c r="AB47" i="1"/>
  <c r="AD47" i="1"/>
  <c r="AB48" i="1"/>
  <c r="AD48" i="1"/>
  <c r="Z19" i="1"/>
  <c r="AD19" i="1" s="1"/>
  <c r="AB11" i="1"/>
  <c r="AD11" i="1"/>
  <c r="AB10" i="1"/>
  <c r="AD10" i="1"/>
  <c r="AD29" i="1"/>
  <c r="AB29" i="1"/>
  <c r="AD46" i="1"/>
  <c r="AB46" i="1"/>
  <c r="U26" i="1"/>
  <c r="W26" i="1" s="1"/>
  <c r="C15" i="8" s="1"/>
  <c r="P27" i="1"/>
  <c r="R27" i="1" s="1"/>
  <c r="M85" i="1"/>
  <c r="M90" i="1" s="1"/>
  <c r="AB9" i="1"/>
  <c r="AD9" i="1"/>
  <c r="O84" i="1"/>
  <c r="W39" i="1"/>
  <c r="P26" i="1"/>
  <c r="R26" i="1" s="1"/>
  <c r="C5" i="8" s="1"/>
  <c r="E5" i="8" s="1"/>
  <c r="F5" i="8" s="1"/>
  <c r="Z67" i="1"/>
  <c r="O85" i="1"/>
  <c r="R38" i="1"/>
  <c r="C7" i="8" s="1"/>
  <c r="E7" i="8" s="1"/>
  <c r="F7" i="8" s="1"/>
  <c r="P44" i="1"/>
  <c r="R44" i="1" s="1"/>
  <c r="D89" i="1"/>
  <c r="W57" i="1"/>
  <c r="Z76" i="1"/>
  <c r="AB74" i="1"/>
  <c r="AD59" i="1"/>
  <c r="AB32" i="1"/>
  <c r="U33" i="1"/>
  <c r="W33" i="1" s="1"/>
  <c r="C16" i="8" s="1"/>
  <c r="Z57" i="1"/>
  <c r="AD57" i="1" s="1"/>
  <c r="W44" i="1"/>
  <c r="P50" i="1"/>
  <c r="R50" i="1" s="1"/>
  <c r="C8" i="8" s="1"/>
  <c r="E8" i="8" s="1"/>
  <c r="F8" i="8" s="1"/>
  <c r="AB62" i="1"/>
  <c r="AD62" i="1"/>
  <c r="AB16" i="1"/>
  <c r="AD16" i="1"/>
  <c r="AB14" i="1"/>
  <c r="AB12" i="1"/>
  <c r="AD12" i="1"/>
  <c r="AD63" i="1"/>
  <c r="AB63" i="1"/>
  <c r="AD54" i="1"/>
  <c r="AD61" i="1"/>
  <c r="AB61" i="1"/>
  <c r="AB60" i="1"/>
  <c r="AD60" i="1"/>
  <c r="AB15" i="1"/>
  <c r="AD15" i="1"/>
  <c r="AB13" i="1"/>
  <c r="AD13" i="1"/>
  <c r="U27" i="1"/>
  <c r="W27" i="1" s="1"/>
  <c r="AB17" i="1"/>
  <c r="AD17" i="1"/>
  <c r="R19" i="1"/>
  <c r="C4" i="8" s="1"/>
  <c r="P68" i="1"/>
  <c r="R68" i="1" s="1"/>
  <c r="P67" i="1"/>
  <c r="R67" i="1" s="1"/>
  <c r="C9" i="8" s="1"/>
  <c r="P51" i="1"/>
  <c r="R51" i="1" s="1"/>
  <c r="Z68" i="1"/>
  <c r="AD68" i="1" s="1"/>
  <c r="H89" i="1"/>
  <c r="U68" i="1"/>
  <c r="W68" i="1" s="1"/>
  <c r="T85" i="1"/>
  <c r="AD18" i="1"/>
  <c r="AB18" i="1"/>
  <c r="T80" i="1"/>
  <c r="W37" i="1"/>
  <c r="AD36" i="1"/>
  <c r="AB24" i="1"/>
  <c r="AB23" i="1"/>
  <c r="AB49" i="1"/>
  <c r="AD49" i="1"/>
  <c r="F89" i="1"/>
  <c r="P20" i="1"/>
  <c r="R20" i="1" s="1"/>
  <c r="W67" i="1"/>
  <c r="C19" i="8" s="1"/>
  <c r="O79" i="1"/>
  <c r="G90" i="1"/>
  <c r="U19" i="1"/>
  <c r="W19" i="1" s="1"/>
  <c r="C14" i="8" s="1"/>
  <c r="M89" i="1"/>
  <c r="AB31" i="1"/>
  <c r="AD30" i="1"/>
  <c r="Y80" i="1"/>
  <c r="T79" i="1"/>
  <c r="U34" i="1"/>
  <c r="W34" i="1" s="1"/>
  <c r="AB41" i="1"/>
  <c r="Z44" i="1"/>
  <c r="AD44" i="1" s="1"/>
  <c r="H90" i="1"/>
  <c r="U38" i="1"/>
  <c r="W38" i="1" s="1"/>
  <c r="C17" i="8" s="1"/>
  <c r="G89" i="1"/>
  <c r="I89" i="1"/>
  <c r="Y79" i="1"/>
  <c r="R25" i="1"/>
  <c r="K89" i="1"/>
  <c r="Z71" i="1"/>
  <c r="Z72" i="1"/>
  <c r="I90" i="1"/>
  <c r="Z50" i="1"/>
  <c r="AB50" i="1" s="1"/>
  <c r="Y84" i="1"/>
  <c r="Y85" i="1"/>
  <c r="L90" i="1"/>
  <c r="T84" i="1"/>
  <c r="U50" i="1"/>
  <c r="U51" i="1"/>
  <c r="W51" i="1" s="1"/>
  <c r="Z33" i="1"/>
  <c r="AB33" i="1" s="1"/>
  <c r="Z34" i="1"/>
  <c r="Z38" i="1"/>
  <c r="AD38" i="1" s="1"/>
  <c r="AB37" i="1"/>
  <c r="Z39" i="1"/>
  <c r="P21" i="2"/>
  <c r="J21" i="2"/>
  <c r="Z27" i="1"/>
  <c r="AD27" i="1" s="1"/>
  <c r="Z26" i="1"/>
  <c r="AD26" i="1" s="1"/>
  <c r="Z51" i="1"/>
  <c r="K90" i="1"/>
  <c r="F90" i="1"/>
  <c r="U20" i="1"/>
  <c r="C28" i="8" l="1"/>
  <c r="E28" i="8" s="1"/>
  <c r="F28" i="8" s="1"/>
  <c r="C26" i="8"/>
  <c r="E26" i="8" s="1"/>
  <c r="F26" i="8" s="1"/>
  <c r="AB19" i="1"/>
  <c r="E17" i="8"/>
  <c r="F17" i="8" s="1"/>
  <c r="H7" i="8"/>
  <c r="J7" i="8" s="1"/>
  <c r="K7" i="8" s="1"/>
  <c r="E16" i="8"/>
  <c r="F16" i="8" s="1"/>
  <c r="H6" i="8"/>
  <c r="J6" i="8" s="1"/>
  <c r="K6" i="8" s="1"/>
  <c r="E14" i="8"/>
  <c r="F14" i="8" s="1"/>
  <c r="H4" i="8"/>
  <c r="J4" i="8" s="1"/>
  <c r="K4" i="8" s="1"/>
  <c r="E15" i="8"/>
  <c r="F15" i="8" s="1"/>
  <c r="H5" i="8"/>
  <c r="J5" i="8" s="1"/>
  <c r="K5" i="8" s="1"/>
  <c r="E19" i="8"/>
  <c r="F19" i="8" s="1"/>
  <c r="H9" i="8"/>
  <c r="J9" i="8" s="1"/>
  <c r="K9" i="8" s="1"/>
  <c r="R33" i="1"/>
  <c r="C6" i="8" s="1"/>
  <c r="E6" i="8" s="1"/>
  <c r="F6" i="8" s="1"/>
  <c r="U84" i="1"/>
  <c r="W84" i="1" s="1"/>
  <c r="O90" i="1"/>
  <c r="AB20" i="1"/>
  <c r="AB68" i="1"/>
  <c r="P80" i="1"/>
  <c r="R80" i="1" s="1"/>
  <c r="Z80" i="1"/>
  <c r="AD80" i="1" s="1"/>
  <c r="P84" i="1"/>
  <c r="R84" i="1" s="1"/>
  <c r="AD76" i="1"/>
  <c r="AB76" i="1"/>
  <c r="P85" i="1"/>
  <c r="R85" i="1" s="1"/>
  <c r="AB57" i="1"/>
  <c r="O89" i="1"/>
  <c r="R79" i="1"/>
  <c r="T90" i="1"/>
  <c r="Y89" i="1"/>
  <c r="T89" i="1"/>
  <c r="AD50" i="1"/>
  <c r="Y90" i="1"/>
  <c r="U79" i="1"/>
  <c r="W79" i="1" s="1"/>
  <c r="AB38" i="1"/>
  <c r="AB44" i="1"/>
  <c r="E9" i="8"/>
  <c r="F9" i="8" s="1"/>
  <c r="AB26" i="1"/>
  <c r="Z79" i="1"/>
  <c r="AB79" i="1" s="1"/>
  <c r="W50" i="1"/>
  <c r="C18" i="8" s="1"/>
  <c r="AD33" i="1"/>
  <c r="AB67" i="1"/>
  <c r="AD67" i="1"/>
  <c r="AB51" i="1"/>
  <c r="AD51" i="1"/>
  <c r="AB39" i="1"/>
  <c r="AD39" i="1"/>
  <c r="AB34" i="1"/>
  <c r="AD34" i="1"/>
  <c r="Z84" i="1"/>
  <c r="AB84" i="1" s="1"/>
  <c r="AB27" i="1"/>
  <c r="Z85" i="1"/>
  <c r="U85" i="1"/>
  <c r="W85" i="1" s="1"/>
  <c r="U80" i="1"/>
  <c r="W80" i="1" s="1"/>
  <c r="W20" i="1"/>
  <c r="C29" i="8" l="1"/>
  <c r="E29" i="8" s="1"/>
  <c r="F29" i="8" s="1"/>
  <c r="C25" i="8"/>
  <c r="E25" i="8" s="1"/>
  <c r="F25" i="8" s="1"/>
  <c r="C27" i="8"/>
  <c r="E27" i="8" s="1"/>
  <c r="F27" i="8" s="1"/>
  <c r="C24" i="8"/>
  <c r="E24" i="8" s="1"/>
  <c r="F24" i="8" s="1"/>
  <c r="E18" i="8"/>
  <c r="F18" i="8" s="1"/>
  <c r="H8" i="8"/>
  <c r="J8" i="8" s="1"/>
  <c r="K8" i="8" s="1"/>
  <c r="AB80" i="1"/>
  <c r="AD84" i="1"/>
  <c r="AD79" i="1"/>
  <c r="U89" i="1"/>
  <c r="W89" i="1" s="1"/>
  <c r="P89" i="1"/>
  <c r="P90" i="1"/>
  <c r="R90" i="1" s="1"/>
  <c r="E4" i="8"/>
  <c r="F4" i="8" s="1"/>
  <c r="AB85" i="1"/>
  <c r="AD85" i="1"/>
  <c r="Z90" i="1"/>
  <c r="Z89" i="1"/>
  <c r="U90" i="1"/>
  <c r="W90" i="1" s="1"/>
  <c r="L12" i="2" l="1"/>
  <c r="L16" i="2"/>
  <c r="L17" i="2"/>
  <c r="L11" i="2"/>
  <c r="L15" i="2"/>
  <c r="L18" i="2"/>
  <c r="AB89" i="1"/>
  <c r="C20" i="8"/>
  <c r="R89" i="1"/>
  <c r="L25" i="2" s="1"/>
  <c r="M13" i="3" s="1"/>
  <c r="AD89" i="1"/>
  <c r="AB90" i="1"/>
  <c r="AD90" i="1"/>
  <c r="C30" i="8" l="1"/>
  <c r="E30" i="8" s="1"/>
  <c r="F30" i="8" s="1"/>
  <c r="E20" i="8"/>
  <c r="F20" i="8" s="1"/>
  <c r="H10" i="8"/>
  <c r="J10" i="8" s="1"/>
  <c r="K10" i="8" s="1"/>
  <c r="M11" i="3"/>
  <c r="M25" i="3" s="1"/>
  <c r="C10" i="8"/>
  <c r="E10" i="8" s="1"/>
  <c r="F10" i="8" s="1"/>
  <c r="L21" i="2"/>
  <c r="L23" i="2" s="1"/>
  <c r="N21" i="2"/>
  <c r="N25" i="2"/>
  <c r="N23" i="2" l="1"/>
</calcChain>
</file>

<file path=xl/sharedStrings.xml><?xml version="1.0" encoding="utf-8"?>
<sst xmlns="http://schemas.openxmlformats.org/spreadsheetml/2006/main" count="1428" uniqueCount="300">
  <si>
    <t>Station</t>
  </si>
  <si>
    <t>Unit</t>
  </si>
  <si>
    <t>FOH</t>
  </si>
  <si>
    <t>NDC</t>
  </si>
  <si>
    <t>EFDH</t>
  </si>
  <si>
    <t>SH</t>
  </si>
  <si>
    <t>AH</t>
  </si>
  <si>
    <t>RH</t>
  </si>
  <si>
    <t>EAF</t>
  </si>
  <si>
    <t>EFOR</t>
  </si>
  <si>
    <t>Efor Num.</t>
  </si>
  <si>
    <t>Efor Den.</t>
  </si>
  <si>
    <t>Eaf Num.</t>
  </si>
  <si>
    <t>Eaf Den.</t>
  </si>
  <si>
    <t>Mill Creek</t>
  </si>
  <si>
    <t>Trimble Co.</t>
  </si>
  <si>
    <t>Cane Run</t>
  </si>
  <si>
    <t>Ghent</t>
  </si>
  <si>
    <t>Green River</t>
  </si>
  <si>
    <t>Brown</t>
  </si>
  <si>
    <t>Tyrone</t>
  </si>
  <si>
    <t>(steam)</t>
  </si>
  <si>
    <t>(fossil)</t>
  </si>
  <si>
    <t>Haefling</t>
  </si>
  <si>
    <t>Paddys Run</t>
  </si>
  <si>
    <t>Zorn</t>
  </si>
  <si>
    <t>KU</t>
  </si>
  <si>
    <t>LG&amp;E</t>
  </si>
  <si>
    <t>CAPACITY WEIGHTED INTERIM EAF and EFOR REPORT</t>
  </si>
  <si>
    <t>Reg'd. Gen.</t>
  </si>
  <si>
    <t>-</t>
  </si>
  <si>
    <t>Start Date</t>
  </si>
  <si>
    <t>Equiv. Hrs.</t>
  </si>
  <si>
    <t>Event Descrption</t>
  </si>
  <si>
    <t>versus</t>
  </si>
  <si>
    <t>THROUGH</t>
  </si>
  <si>
    <t>th</t>
  </si>
  <si>
    <t>End Date</t>
  </si>
  <si>
    <t>% Of Total EFOR</t>
  </si>
  <si>
    <t>EFOR CONTRIBUTION BY UNIT</t>
  </si>
  <si>
    <r>
      <t xml:space="preserve">REGULATED </t>
    </r>
    <r>
      <rPr>
        <sz val="10"/>
        <rFont val="Century"/>
        <family val="1"/>
      </rPr>
      <t>(LG&amp;E and KU)</t>
    </r>
    <r>
      <rPr>
        <b/>
        <sz val="10"/>
        <rFont val="Century"/>
        <family val="1"/>
      </rPr>
      <t xml:space="preserve"> POWER GENERATION</t>
    </r>
  </si>
  <si>
    <r>
      <t>1</t>
    </r>
    <r>
      <rPr>
        <b/>
        <vertAlign val="superscript"/>
        <sz val="10"/>
        <rFont val="Century"/>
        <family val="1"/>
      </rPr>
      <t xml:space="preserve"> st</t>
    </r>
  </si>
  <si>
    <r>
      <t xml:space="preserve">EFOR </t>
    </r>
    <r>
      <rPr>
        <b/>
        <u/>
        <sz val="8"/>
        <rFont val="Century"/>
        <family val="1"/>
      </rPr>
      <t>(Contribution)</t>
    </r>
  </si>
  <si>
    <t>Cause</t>
  </si>
  <si>
    <t>GAC</t>
  </si>
  <si>
    <t>GMC</t>
  </si>
  <si>
    <t>Name</t>
  </si>
  <si>
    <t>Event</t>
  </si>
  <si>
    <t>Type</t>
  </si>
  <si>
    <t>No</t>
  </si>
  <si>
    <t>Code</t>
  </si>
  <si>
    <t>Start</t>
  </si>
  <si>
    <t>End</t>
  </si>
  <si>
    <t>Lost</t>
  </si>
  <si>
    <t>Description</t>
  </si>
  <si>
    <t>Hrs</t>
  </si>
  <si>
    <t>NMC</t>
  </si>
  <si>
    <t>Actual</t>
  </si>
  <si>
    <t>Target</t>
  </si>
  <si>
    <t>Var. %</t>
  </si>
  <si>
    <t>Equiv.</t>
  </si>
  <si>
    <t>MWH</t>
  </si>
  <si>
    <t>Dur Hrs</t>
  </si>
  <si>
    <t>Impact</t>
  </si>
  <si>
    <t>Order</t>
  </si>
  <si>
    <t>Var. #</t>
  </si>
  <si>
    <t>UU Num.</t>
  </si>
  <si>
    <t>UU Den.</t>
  </si>
  <si>
    <t>EMOH</t>
  </si>
  <si>
    <t>Hrs.</t>
  </si>
  <si>
    <t>(Lost)</t>
  </si>
  <si>
    <t>(Impact)</t>
  </si>
  <si>
    <t>of  the</t>
  </si>
  <si>
    <t>EUOR</t>
  </si>
  <si>
    <t>UU</t>
  </si>
  <si>
    <t>THRU</t>
  </si>
  <si>
    <t>MC3</t>
  </si>
  <si>
    <t>MC4</t>
  </si>
  <si>
    <t>MC2</t>
  </si>
  <si>
    <t>MC1</t>
  </si>
  <si>
    <t>Evt.</t>
  </si>
  <si>
    <t>GR4</t>
  </si>
  <si>
    <t>BR3</t>
  </si>
  <si>
    <t>CR4</t>
  </si>
  <si>
    <t>BR1</t>
  </si>
  <si>
    <t>TC2</t>
  </si>
  <si>
    <t>EPOH</t>
  </si>
  <si>
    <t>CR5</t>
  </si>
  <si>
    <t>GR3</t>
  </si>
  <si>
    <t>CR6</t>
  </si>
  <si>
    <t>IR</t>
  </si>
  <si>
    <t>D1</t>
  </si>
  <si>
    <t>D4</t>
  </si>
  <si>
    <t>U1</t>
  </si>
  <si>
    <t>PD</t>
  </si>
  <si>
    <t>MO</t>
  </si>
  <si>
    <t>NC</t>
  </si>
  <si>
    <t>SF</t>
  </si>
  <si>
    <t>PR12</t>
  </si>
  <si>
    <t>BR2</t>
  </si>
  <si>
    <t>GH4</t>
  </si>
  <si>
    <t>EventStart</t>
  </si>
  <si>
    <t>EventEnd</t>
  </si>
  <si>
    <t>U3</t>
  </si>
  <si>
    <t>ME</t>
  </si>
  <si>
    <t>D3</t>
  </si>
  <si>
    <t>Data come from query: CFC - Monthly Interim Rept - All Lg Units (adj dates) in MiCroGADS_Gold_Database</t>
  </si>
  <si>
    <t>PO</t>
  </si>
  <si>
    <t>TC1</t>
  </si>
  <si>
    <t>CR11</t>
  </si>
  <si>
    <t>GH1</t>
  </si>
  <si>
    <t>BR6</t>
  </si>
  <si>
    <t>Color Coding</t>
  </si>
  <si>
    <r>
      <t>EFOR</t>
    </r>
    <r>
      <rPr>
        <b/>
        <vertAlign val="subscript"/>
        <sz val="11"/>
        <rFont val="Arial"/>
        <family val="2"/>
      </rPr>
      <t>(steam)</t>
    </r>
  </si>
  <si>
    <r>
      <t>EUOR</t>
    </r>
    <r>
      <rPr>
        <b/>
        <vertAlign val="subscript"/>
        <sz val="11"/>
        <rFont val="Arial"/>
        <family val="2"/>
      </rPr>
      <t>(steam)</t>
    </r>
  </si>
  <si>
    <r>
      <t>EAF</t>
    </r>
    <r>
      <rPr>
        <b/>
        <vertAlign val="subscript"/>
        <sz val="11"/>
        <rFont val="Arial"/>
        <family val="2"/>
      </rPr>
      <t>(steam)</t>
    </r>
  </si>
  <si>
    <t>Trimble Co</t>
  </si>
  <si>
    <t>PR11</t>
  </si>
  <si>
    <t>GH2</t>
  </si>
  <si>
    <t>GH3</t>
  </si>
  <si>
    <t>BR8</t>
  </si>
  <si>
    <t>PR13</t>
  </si>
  <si>
    <t>TC5</t>
  </si>
  <si>
    <t>TC6</t>
  </si>
  <si>
    <t>BR9</t>
  </si>
  <si>
    <t>BR5</t>
  </si>
  <si>
    <t>TC7</t>
  </si>
  <si>
    <t>TC10</t>
  </si>
  <si>
    <t>TC9</t>
  </si>
  <si>
    <r>
      <t>TOTAL</t>
    </r>
    <r>
      <rPr>
        <b/>
        <vertAlign val="subscript"/>
        <sz val="11"/>
        <rFont val="Arial"/>
        <family val="2"/>
      </rPr>
      <t>(stm)</t>
    </r>
  </si>
  <si>
    <t>BR7</t>
  </si>
  <si>
    <t>BR10</t>
  </si>
  <si>
    <t>BR11</t>
  </si>
  <si>
    <t>HF1</t>
  </si>
  <si>
    <t>HF2</t>
  </si>
  <si>
    <t>TC8</t>
  </si>
  <si>
    <t>ZN1</t>
  </si>
  <si>
    <t>st</t>
  </si>
  <si>
    <t>No.</t>
  </si>
  <si>
    <r>
      <t xml:space="preserve">REGULATED </t>
    </r>
    <r>
      <rPr>
        <sz val="10"/>
        <rFont val="Arial"/>
        <family val="2"/>
      </rPr>
      <t>(LG&amp;E and KU)</t>
    </r>
    <r>
      <rPr>
        <b/>
        <sz val="10"/>
        <rFont val="Arial"/>
        <family val="2"/>
      </rPr>
      <t xml:space="preserve"> POWER GENERATION</t>
    </r>
  </si>
  <si>
    <r>
      <t>1</t>
    </r>
    <r>
      <rPr>
        <b/>
        <vertAlign val="superscript"/>
        <sz val="10"/>
        <rFont val="Arial"/>
        <family val="2"/>
      </rPr>
      <t xml:space="preserve"> st</t>
    </r>
  </si>
  <si>
    <r>
      <t>total EFOR</t>
    </r>
    <r>
      <rPr>
        <i/>
        <vertAlign val="subscript"/>
        <sz val="9"/>
        <rFont val="Arial"/>
        <family val="2"/>
      </rPr>
      <t>(steam)</t>
    </r>
    <r>
      <rPr>
        <i/>
        <sz val="9"/>
        <rFont val="Arial"/>
        <family val="2"/>
      </rPr>
      <t xml:space="preserve"> impact     </t>
    </r>
  </si>
  <si>
    <r>
      <t>total lost EAF</t>
    </r>
    <r>
      <rPr>
        <i/>
        <vertAlign val="subscript"/>
        <sz val="9"/>
        <rFont val="Arial"/>
        <family val="2"/>
      </rPr>
      <t>(steam)</t>
    </r>
  </si>
  <si>
    <r>
      <t xml:space="preserve">REGULATED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LG&amp;E and KU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POWER GENERATION</t>
    </r>
  </si>
  <si>
    <r>
      <t xml:space="preserve">1 </t>
    </r>
    <r>
      <rPr>
        <sz val="6"/>
        <rFont val="Arial"/>
        <family val="2"/>
      </rPr>
      <t>(@ 75%)</t>
    </r>
  </si>
  <si>
    <r>
      <t xml:space="preserve">2 </t>
    </r>
    <r>
      <rPr>
        <sz val="6"/>
        <rFont val="Arial"/>
        <family val="2"/>
      </rPr>
      <t>(@75%)</t>
    </r>
  </si>
  <si>
    <t>2014 Steam Targets</t>
  </si>
  <si>
    <t>Pulverizer Feeders</t>
  </si>
  <si>
    <t>Burners</t>
  </si>
  <si>
    <t>Boiler Water Condition (not Feedwater Water Quality)</t>
  </si>
  <si>
    <t>Pulverizer Mills</t>
  </si>
  <si>
    <t>Turbine Control Valves</t>
  </si>
  <si>
    <t>Opacity - Fossil Steam Units</t>
  </si>
  <si>
    <t>Gas Turbine -  Starting System (including Motor)</t>
  </si>
  <si>
    <t>Gas Fuel System with controls and instruments</t>
  </si>
  <si>
    <t>U2</t>
  </si>
  <si>
    <t>Other Tube Slagging or Fouling</t>
  </si>
  <si>
    <t>Gas Turbine - Fuel Piping And Valves</t>
  </si>
  <si>
    <t>Other Gas Turbine Combustor Problems</t>
  </si>
  <si>
    <t>Other Stack Or Exhaust Emissions -fossil Stm Unit</t>
  </si>
  <si>
    <t>HA1</t>
  </si>
  <si>
    <t>Gas Turbine - Cooling And Seal Air System</t>
  </si>
  <si>
    <t>Induced Draft Fans</t>
  </si>
  <si>
    <t>Second Superheater Leaks</t>
  </si>
  <si>
    <t>Electrostatic Precipitator Field Out Of Service</t>
  </si>
  <si>
    <t>High Silica</t>
  </si>
  <si>
    <t>Pulverizer Inspection</t>
  </si>
  <si>
    <t>Wet Scrubber Testing</t>
  </si>
  <si>
    <t>Other Pulverizer Problems</t>
  </si>
  <si>
    <t>First Reheater Slagging or Fouling</t>
  </si>
  <si>
    <t>Feedwater Controls</t>
  </si>
  <si>
    <t>1A Coal Mill - Inspection</t>
  </si>
  <si>
    <t>Boiler Deslag - First Reheater</t>
  </si>
  <si>
    <t>3C Mill - 3C3 Coal Burner High Temperature</t>
  </si>
  <si>
    <t>Other Feedwater Pump Problems</t>
  </si>
  <si>
    <t>GR4 load reduced due to opacity issues as a result of two half cabinets grounded o</t>
  </si>
  <si>
    <t>Winter</t>
  </si>
  <si>
    <t>2/17/2014</t>
  </si>
  <si>
    <t>FEBRUARY Steam Targets</t>
  </si>
  <si>
    <t>FEBRUARY</t>
  </si>
  <si>
    <t>Pulverizer System Puff</t>
  </si>
  <si>
    <t xml:space="preserve">3-5 Mill puff causing D corner burner damage and associated boiler tube leak. </t>
  </si>
  <si>
    <t>Pulverizer Mill Classifiers</t>
  </si>
  <si>
    <t>First Reheater Leaks</t>
  </si>
  <si>
    <t>Primary Air Fan Drives</t>
  </si>
  <si>
    <t>Condenser Loss of Vacuum</t>
  </si>
  <si>
    <t>Service Air Compressors</t>
  </si>
  <si>
    <t>Combustion/Steam Condition Controls</t>
  </si>
  <si>
    <t>Feedwater Pump Drive - Steam Turbine</t>
  </si>
  <si>
    <t>Collecting 3-2 BFP vibration data</t>
  </si>
  <si>
    <t>Pulverizer Control Systems (Temp and Pressure)</t>
  </si>
  <si>
    <t>Total Unit Performance Testing</t>
  </si>
  <si>
    <t>Switchyard Circuit Breakers</t>
  </si>
  <si>
    <t>HA2</t>
  </si>
  <si>
    <t>Electrostatic Precipitator Problems</t>
  </si>
  <si>
    <t>Other Gas Turbine Fuel System Problems</t>
  </si>
  <si>
    <t>Air Heater (Regenerative)</t>
  </si>
  <si>
    <t>Lp Turbine Bearings</t>
  </si>
  <si>
    <t>2-4 mill west door broken spring bolt</t>
  </si>
  <si>
    <t>Generator Synchronization Equipment</t>
  </si>
  <si>
    <t>Plant Modific. Strictly For Compliance W/ Reg. Req</t>
  </si>
  <si>
    <t>Wet Scrubber/absorber Tower Or Module</t>
  </si>
  <si>
    <t>Broken shaft  2-2 mill</t>
  </si>
  <si>
    <t>Loss of communication between DCS &amp; precipitator.</t>
  </si>
  <si>
    <t>Flue gas desulfurization module cleaning.</t>
  </si>
  <si>
    <t>5A mill inspection.</t>
  </si>
  <si>
    <t xml:space="preserve">Reheat boiler tube leak - cracked.  Total of 6 leaks - 1 dutchman &amp; 4 padwelds.  </t>
  </si>
  <si>
    <t>Full load winter capability test.</t>
  </si>
  <si>
    <t>D1 feeder plugged due to torn belt.</t>
  </si>
  <si>
    <t>D2 feeder plugged due to wet coal.</t>
  </si>
  <si>
    <t>Support fuel unavailable due to loss of communication between precipitator &amp; DCS.</t>
  </si>
  <si>
    <t>#4 Turbine bearing temperature running high.</t>
  </si>
  <si>
    <t>6B feeder belt torn.  Repaired &amp; put back in service.</t>
  </si>
  <si>
    <t>Unit 1 had been running with a tube leak, located around IK #6, for s</t>
  </si>
  <si>
    <t>Metal hung in 1-4 mill feeder.</t>
  </si>
  <si>
    <t>1-4 Feeder belt bound up.</t>
  </si>
  <si>
    <t>1-4 Mill off to replace feeder discharge pipe pluggage detector.</t>
  </si>
  <si>
    <t>U1 H2SO4 was high.  Dropped load to keep it in compliance.</t>
  </si>
  <si>
    <t>2-1 Mill not grinding, took off for inspection.</t>
  </si>
  <si>
    <t>2-2 Mill was removed from service to inspect due to high differen</t>
  </si>
  <si>
    <t>2-5 Mill off to replace pyrite scraper.</t>
  </si>
  <si>
    <t>2-6 Mill off to inspect grinding section and classifiers.</t>
  </si>
  <si>
    <t>2-1 Feeder control issue.</t>
  </si>
  <si>
    <t>Unit 3 has been running with 3-2 ID Fan OB Fan bearing having periodi</t>
  </si>
  <si>
    <t xml:space="preserve">3-2B SO3 injection blower pressure sensing line came off causing </t>
  </si>
  <si>
    <t>Reduced load to keep H2SO4 within limit.</t>
  </si>
  <si>
    <t xml:space="preserve">Reduced load to keep H2SO4 within limit.  </t>
  </si>
  <si>
    <t>KBR electrical tie-in for Bag House and ID fan.</t>
  </si>
  <si>
    <t xml:space="preserve">Planned derate to inspect 4-2 BFP leak.  Derate was planned with </t>
  </si>
  <si>
    <t>4-6 Mill Feeder coal inlet plugged causing controls to see this feeder as</t>
  </si>
  <si>
    <t xml:space="preserve">Load reduced on GR3 due to high opacity.  </t>
  </si>
  <si>
    <t>GR3 derate reduction from event #4.  Derate due to igh opacity.</t>
  </si>
  <si>
    <t>Continuation of previous event.  GR3 derate increased to blow soot and clean boile</t>
  </si>
  <si>
    <t>Continuation of previous event.  GR3/B4 soot blowing completed, raised load as muc</t>
  </si>
  <si>
    <t>GR3 load reduced due to high opacity.</t>
  </si>
  <si>
    <t>GR3 derate decreased from Event #8 due to high opacity.</t>
  </si>
  <si>
    <t>GR3 Derate reduction from Event #9 due to high opacity.</t>
  </si>
  <si>
    <t xml:space="preserve">5-2 PA Fan Control Jack Minimum Stop failed to disengage.  I&amp;E found and repaired </t>
  </si>
  <si>
    <t>5-3 PA Fan control jack would not react to input from PA Controller.</t>
  </si>
  <si>
    <t>Ops discovered leak in B5 Sec SH Section at 0344, unit was removed from service in</t>
  </si>
  <si>
    <t>GR4 derated due to opacity, blowing soot to clean up the boiler.</t>
  </si>
  <si>
    <t>Loss of power to 138KV sub.</t>
  </si>
  <si>
    <t>Loss power to 138KV bus in substation</t>
  </si>
  <si>
    <t>Boiler Deslag - First Reheater.  Full load available if needed.</t>
  </si>
  <si>
    <t>1C Coal Feeder - Wet Coal</t>
  </si>
  <si>
    <t>1C Coal Feeder - Repair Discharge Flapper</t>
  </si>
  <si>
    <t>Boiler Slag - First Reheater</t>
  </si>
  <si>
    <t>Boiler Deslag - First ReheaterFull Load Available as Needed</t>
  </si>
  <si>
    <t>Air Heater - High Differential</t>
  </si>
  <si>
    <t>1A Air Heater - High Differential</t>
  </si>
  <si>
    <t>Particulate Matter Testing</t>
  </si>
  <si>
    <t>1A Air heater - High Differential</t>
  </si>
  <si>
    <t>1C Coal Feeder - Replace Clean Out Conveyor Gearbox</t>
  </si>
  <si>
    <t>1C Coal Feeder - Replace Clean Out Conveyor GearboxGas Guns in Service</t>
  </si>
  <si>
    <t>Condenser Vacuum Trip</t>
  </si>
  <si>
    <t>High Silica @ Hot Start Up</t>
  </si>
  <si>
    <t>2A Coal Mill - Inspection</t>
  </si>
  <si>
    <t>Feedwater Flow Issue</t>
  </si>
  <si>
    <t>2D Coal Mill - Adjust Rollers &amp; Inspection</t>
  </si>
  <si>
    <t>2B Coal Mill - Inspection</t>
  </si>
  <si>
    <t>2A Coal Feeder - Wet Coal</t>
  </si>
  <si>
    <t>2B Coal Feeder - Wet Coal</t>
  </si>
  <si>
    <t>Particulate Matter Testing - Full Load</t>
  </si>
  <si>
    <t>Boiler Tube Leak - Second Superheater</t>
  </si>
  <si>
    <t>3C Coal Feeder - Replace Speed Sensor</t>
  </si>
  <si>
    <t>3C Mill - 3C10 Coal Burner High Temperature</t>
  </si>
  <si>
    <t>3C Primary Air Fan Housing InspectionRepair Suction Box &amp; Hot Air Damper Linkage</t>
  </si>
  <si>
    <t>3C Coal Feeder - Calibration</t>
  </si>
  <si>
    <t>3D Mill - 3D4 Coal Burner High Temperature</t>
  </si>
  <si>
    <t>3C Mill - 3C1 &amp; 3C3 Coal Burners High Temperature</t>
  </si>
  <si>
    <t>3A Mill - 3A4 Coal Burner High Temperature</t>
  </si>
  <si>
    <t>4C Coal Mill - Inspection</t>
  </si>
  <si>
    <t>4B Mill - 4B3 Coal Burner High Temperature4C Coal Mill - Inspection</t>
  </si>
  <si>
    <t>Max Steam Flow Issues</t>
  </si>
  <si>
    <t>4B Coal Mill - Swing Valve &amp; Ignitor Gas Valve Issues</t>
  </si>
  <si>
    <t>4C Coal Feeder - Microprocessor Issue</t>
  </si>
  <si>
    <t>Generator synchronization equipment modifications.  Replacing all generator protec</t>
  </si>
  <si>
    <t>Unit running and good for full load, this non-curtailing event was for the complet</t>
  </si>
  <si>
    <t>Derate on TC1 to 500 MW's due to D coal mill fire.  Additional issue with the E co</t>
  </si>
  <si>
    <t>Derate required due to fire on the 1D coal mill.</t>
  </si>
  <si>
    <t>Derate required due to high temperature on the 1B coal mill.</t>
  </si>
  <si>
    <t>Non-curtailing derate at 550 MW to conduct boiler OEM recommended deslag.  Unit av</t>
  </si>
  <si>
    <t>The 2D mill was performing poorly and was taken off-line to investigate.  Some mil</t>
  </si>
  <si>
    <t xml:space="preserve">Derate required on the unit due to ID fan stall alarms.  Required derate to avoid </t>
  </si>
  <si>
    <t>TC2 began the planned outage for the replacement of all 30 burners.  This effort i</t>
  </si>
  <si>
    <t>Change cable for fuel gas flow meter RTD.</t>
  </si>
  <si>
    <t>Issue with pressure regulators in reducing station.</t>
  </si>
  <si>
    <t>Clutch air compressor pumping up slowly - probably due to the weather.</t>
  </si>
  <si>
    <t>Unit tripped due to flameout.</t>
  </si>
  <si>
    <t>Startup failure due to issue with LCI.</t>
  </si>
  <si>
    <t>Maintenance outage to change controller on Fuel Gas Worker Valve.</t>
  </si>
  <si>
    <t>Unit rolled back to FSNL due to issue with pressure switch on Exhaust Frame Blower</t>
  </si>
  <si>
    <t>Derate to 80 MWs due to issue with worker fuel gas valve.</t>
  </si>
  <si>
    <t>Forced outage to address pressure swings due to worker fuel gas valve.</t>
  </si>
  <si>
    <t>Turbine #2 Control Valve - Stuck Closed</t>
  </si>
  <si>
    <t>Pulverizer Puff Boiler Damage</t>
  </si>
  <si>
    <t>Induced Draft Fan Bearings</t>
  </si>
  <si>
    <t>Plant Modifications For Baghouse</t>
  </si>
  <si>
    <t>Turbine Control Valve Stuck</t>
  </si>
  <si>
    <t>Wet Scrubber Absorber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</si>
</sst>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m/d/yy"/>
    <numFmt numFmtId="168" formatCode="_(* #,##0.0_);_(* \(#,##0.0\);_(* &quot;-&quot;??_);_(@_)"/>
    <numFmt numFmtId="169" formatCode="_(* #,##0_);_(* \(#,##0\);_(* &quot;-&quot;??_);_(@_)"/>
    <numFmt numFmtId="170" formatCode="m/d/yy\ h:mm;@"/>
    <numFmt numFmtId="171" formatCode="mm/dd/yy;@"/>
    <numFmt numFmtId="172" formatCode="#,##0.0_);[Red]\(#,##0.0\)"/>
    <numFmt numFmtId="173" formatCode="#,##0.000"/>
  </numFmts>
  <fonts count="83" x14ac:knownFonts="1">
    <font>
      <sz val="10"/>
      <name val="Arial Narrow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8"/>
      <name val="Century"/>
      <family val="1"/>
    </font>
    <font>
      <sz val="8"/>
      <name val="Century"/>
      <family val="1"/>
    </font>
    <font>
      <b/>
      <vertAlign val="superscript"/>
      <sz val="10"/>
      <name val="Century"/>
      <family val="1"/>
    </font>
    <font>
      <b/>
      <sz val="10"/>
      <color indexed="10"/>
      <name val="Century"/>
      <family val="1"/>
    </font>
    <font>
      <sz val="8"/>
      <color indexed="10"/>
      <name val="Century"/>
      <family val="1"/>
    </font>
    <font>
      <b/>
      <u/>
      <sz val="10"/>
      <name val="Century"/>
      <family val="1"/>
    </font>
    <font>
      <sz val="10"/>
      <color indexed="10"/>
      <name val="Century"/>
      <family val="1"/>
    </font>
    <font>
      <b/>
      <u/>
      <sz val="8"/>
      <name val="Century"/>
      <family val="1"/>
    </font>
    <font>
      <sz val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Cambria"/>
      <family val="1"/>
      <scheme val="major"/>
    </font>
    <font>
      <b/>
      <strike/>
      <u/>
      <sz val="10"/>
      <name val="Cambria"/>
      <family val="1"/>
      <scheme val="major"/>
    </font>
    <font>
      <b/>
      <strike/>
      <sz val="10"/>
      <name val="Cambria"/>
      <family val="1"/>
      <scheme val="major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u/>
      <sz val="11"/>
      <name val="Arial"/>
      <family val="2"/>
    </font>
    <font>
      <sz val="11"/>
      <color rgb="FF009900"/>
      <name val="Arial"/>
      <family val="2"/>
    </font>
    <font>
      <sz val="11"/>
      <color indexed="17"/>
      <name val="Arial"/>
      <family val="2"/>
    </font>
    <font>
      <u/>
      <sz val="11"/>
      <name val="Arial"/>
      <family val="2"/>
    </font>
    <font>
      <u/>
      <sz val="11"/>
      <color rgb="FF009900"/>
      <name val="Arial"/>
      <family val="2"/>
    </font>
    <font>
      <sz val="11"/>
      <color rgb="FFFF0000"/>
      <name val="Arial"/>
      <family val="2"/>
    </font>
    <font>
      <sz val="11"/>
      <color rgb="FF008000"/>
      <name val="Arial"/>
      <family val="2"/>
    </font>
    <font>
      <sz val="10"/>
      <name val="Arial Narrow"/>
      <family val="2"/>
    </font>
    <font>
      <b/>
      <sz val="10"/>
      <name val="Arial Rounded MT Bold"/>
      <family val="2"/>
    </font>
    <font>
      <b/>
      <sz val="11"/>
      <color indexed="17"/>
      <name val="Arial"/>
      <family val="2"/>
    </font>
    <font>
      <sz val="11"/>
      <color rgb="FF006600"/>
      <name val="Arial"/>
      <family val="2"/>
    </font>
    <font>
      <u/>
      <sz val="11"/>
      <color rgb="FF006600"/>
      <name val="Arial"/>
      <family val="2"/>
    </font>
    <font>
      <b/>
      <sz val="11"/>
      <color rgb="FF006600"/>
      <name val="Arial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u/>
      <sz val="8"/>
      <name val="Arial Narrow"/>
      <family val="2"/>
    </font>
    <font>
      <b/>
      <sz val="11"/>
      <color rgb="FF008000"/>
      <name val="Arial"/>
      <family val="2"/>
    </font>
    <font>
      <sz val="10"/>
      <name val="Arial Narrow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i/>
      <sz val="10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5"/>
      <color rgb="FF008000"/>
      <name val="Arial"/>
      <family val="2"/>
    </font>
    <font>
      <b/>
      <sz val="5"/>
      <color rgb="FF3333FF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color rgb="FF008000"/>
      <name val="Arial"/>
      <family val="2"/>
    </font>
    <font>
      <b/>
      <sz val="10"/>
      <color rgb="FF3333FF"/>
      <name val="Arial"/>
      <family val="2"/>
    </font>
    <font>
      <b/>
      <sz val="10"/>
      <color indexed="10"/>
      <name val="Arial"/>
      <family val="2"/>
    </font>
    <font>
      <sz val="10"/>
      <color rgb="FF008000"/>
      <name val="Arial"/>
      <family val="2"/>
    </font>
    <font>
      <sz val="10"/>
      <color rgb="FF3333FF"/>
      <name val="Arial"/>
      <family val="2"/>
    </font>
    <font>
      <sz val="10"/>
      <color indexed="10"/>
      <name val="Arial"/>
      <family val="2"/>
    </font>
    <font>
      <sz val="5"/>
      <color rgb="FF008000"/>
      <name val="Arial"/>
      <family val="2"/>
    </font>
    <font>
      <sz val="5"/>
      <color rgb="FF3333FF"/>
      <name val="Arial"/>
      <family val="2"/>
    </font>
    <font>
      <b/>
      <sz val="5"/>
      <color indexed="10"/>
      <name val="Arial"/>
      <family val="2"/>
    </font>
    <font>
      <u/>
      <sz val="10"/>
      <color rgb="FF008000"/>
      <name val="Arial"/>
      <family val="2"/>
    </font>
    <font>
      <u/>
      <sz val="10"/>
      <color rgb="FF3333FF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u/>
      <sz val="10"/>
      <color indexed="10"/>
      <name val="Arial"/>
      <family val="2"/>
    </font>
    <font>
      <sz val="10"/>
      <color rgb="FFC0000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indexed="16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indexed="17"/>
      <name val="Arial"/>
      <family val="2"/>
    </font>
    <font>
      <u/>
      <sz val="10"/>
      <color rgb="FF0000FF"/>
      <name val="Arial"/>
      <family val="2"/>
    </font>
    <font>
      <u/>
      <sz val="10"/>
      <color rgb="FF006600"/>
      <name val="Arial"/>
      <family val="2"/>
    </font>
    <font>
      <sz val="10"/>
      <color rgb="FF006600"/>
      <name val="Arial"/>
      <family val="2"/>
    </font>
    <font>
      <i/>
      <u/>
      <sz val="8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b/>
      <sz val="10"/>
      <color rgb="FFC00000"/>
      <name val="Arial"/>
      <family val="2"/>
    </font>
    <font>
      <b/>
      <strike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66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" fillId="0" borderId="0"/>
    <xf numFmtId="0" fontId="3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41" fillId="0" borderId="0" applyFont="0" applyFill="0" applyBorder="0" applyAlignment="0" applyProtection="0"/>
  </cellStyleXfs>
  <cellXfs count="4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right"/>
    </xf>
    <xf numFmtId="166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6" fontId="7" fillId="0" borderId="0" xfId="0" quotePrefix="1" applyNumberFormat="1" applyFont="1" applyFill="1" applyAlignment="1">
      <alignment horizontal="left"/>
    </xf>
    <xf numFmtId="16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164" fontId="10" fillId="0" borderId="0" xfId="0" quotePrefix="1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Alignment="1"/>
    <xf numFmtId="4" fontId="4" fillId="0" borderId="0" xfId="0" applyNumberFormat="1" applyFont="1"/>
    <xf numFmtId="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10" fontId="4" fillId="0" borderId="0" xfId="3" applyNumberFormat="1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169" fontId="4" fillId="0" borderId="0" xfId="1" applyNumberFormat="1" applyFont="1"/>
    <xf numFmtId="43" fontId="4" fillId="0" borderId="0" xfId="1" applyFont="1"/>
    <xf numFmtId="0" fontId="11" fillId="0" borderId="0" xfId="0" applyFont="1"/>
    <xf numFmtId="167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3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quotePrefix="1" applyNumberFormat="1" applyFont="1" applyAlignment="1">
      <alignment horizontal="left"/>
    </xf>
    <xf numFmtId="4" fontId="4" fillId="0" borderId="0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7" fillId="0" borderId="0" xfId="0" applyFont="1" applyFill="1"/>
    <xf numFmtId="0" fontId="18" fillId="6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0" fontId="20" fillId="10" borderId="0" xfId="0" applyNumberFormat="1" applyFont="1" applyFill="1" applyAlignment="1">
      <alignment horizontal="center"/>
    </xf>
    <xf numFmtId="0" fontId="2" fillId="0" borderId="0" xfId="0" applyFont="1"/>
    <xf numFmtId="0" fontId="18" fillId="1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8" fillId="9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170" fontId="19" fillId="5" borderId="0" xfId="0" applyNumberFormat="1" applyFont="1" applyFill="1" applyAlignment="1">
      <alignment horizontal="center"/>
    </xf>
    <xf numFmtId="170" fontId="19" fillId="13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3" fontId="15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0" fontId="16" fillId="0" borderId="0" xfId="0" applyNumberFormat="1" applyFont="1" applyFill="1" applyAlignment="1">
      <alignment horizontal="center"/>
    </xf>
    <xf numFmtId="3" fontId="16" fillId="0" borderId="0" xfId="1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3" fontId="13" fillId="0" borderId="0" xfId="1" applyNumberFormat="1" applyFont="1" applyFill="1" applyBorder="1"/>
    <xf numFmtId="0" fontId="13" fillId="0" borderId="0" xfId="0" applyFont="1" applyFill="1" applyBorder="1" applyAlignment="1"/>
    <xf numFmtId="170" fontId="13" fillId="0" borderId="0" xfId="0" applyNumberFormat="1" applyFont="1" applyFill="1" applyAlignment="1">
      <alignment horizontal="center"/>
    </xf>
    <xf numFmtId="3" fontId="13" fillId="0" borderId="0" xfId="1" applyNumberFormat="1" applyFont="1" applyFill="1"/>
    <xf numFmtId="0" fontId="13" fillId="0" borderId="0" xfId="0" applyFont="1" applyFill="1" applyAlignment="1"/>
    <xf numFmtId="4" fontId="15" fillId="0" borderId="0" xfId="1" applyNumberFormat="1" applyFont="1" applyFill="1" applyAlignment="1">
      <alignment horizontal="center"/>
    </xf>
    <xf numFmtId="4" fontId="16" fillId="0" borderId="0" xfId="1" applyNumberFormat="1" applyFont="1" applyFill="1" applyAlignment="1">
      <alignment horizontal="center"/>
    </xf>
    <xf numFmtId="4" fontId="13" fillId="0" borderId="0" xfId="1" applyNumberFormat="1" applyFont="1" applyFill="1" applyBorder="1"/>
    <xf numFmtId="4" fontId="13" fillId="0" borderId="0" xfId="1" applyNumberFormat="1" applyFont="1" applyFill="1"/>
    <xf numFmtId="0" fontId="21" fillId="0" borderId="0" xfId="0" applyFont="1"/>
    <xf numFmtId="0" fontId="24" fillId="0" borderId="0" xfId="0" applyFont="1" applyAlignment="1">
      <alignment horizontal="center"/>
    </xf>
    <xf numFmtId="0" fontId="27" fillId="0" borderId="0" xfId="0" applyFont="1"/>
    <xf numFmtId="165" fontId="21" fillId="0" borderId="0" xfId="3" applyNumberFormat="1" applyFont="1" applyAlignment="1">
      <alignment horizontal="center"/>
    </xf>
    <xf numFmtId="165" fontId="27" fillId="0" borderId="0" xfId="3" applyNumberFormat="1" applyFont="1" applyAlignment="1">
      <alignment horizontal="center"/>
    </xf>
    <xf numFmtId="0" fontId="13" fillId="15" borderId="0" xfId="0" applyFont="1" applyFill="1" applyAlignment="1">
      <alignment horizontal="center"/>
    </xf>
    <xf numFmtId="3" fontId="13" fillId="0" borderId="0" xfId="1" applyNumberFormat="1" applyFont="1" applyFill="1" applyBorder="1" applyAlignment="1"/>
    <xf numFmtId="3" fontId="13" fillId="0" borderId="0" xfId="1" applyNumberFormat="1" applyFont="1" applyFill="1" applyAlignment="1"/>
    <xf numFmtId="0" fontId="17" fillId="0" borderId="0" xfId="0" applyFont="1" applyFill="1" applyAlignment="1"/>
    <xf numFmtId="0" fontId="13" fillId="0" borderId="20" xfId="0" applyFont="1" applyFill="1" applyBorder="1" applyAlignment="1">
      <alignment horizontal="center"/>
    </xf>
    <xf numFmtId="170" fontId="13" fillId="0" borderId="20" xfId="0" applyNumberFormat="1" applyFont="1" applyFill="1" applyBorder="1" applyAlignment="1">
      <alignment horizontal="center"/>
    </xf>
    <xf numFmtId="4" fontId="13" fillId="0" borderId="20" xfId="1" applyNumberFormat="1" applyFont="1" applyFill="1" applyBorder="1"/>
    <xf numFmtId="3" fontId="13" fillId="0" borderId="20" xfId="1" applyNumberFormat="1" applyFont="1" applyFill="1" applyBorder="1"/>
    <xf numFmtId="3" fontId="13" fillId="0" borderId="20" xfId="1" applyNumberFormat="1" applyFont="1" applyFill="1" applyBorder="1" applyAlignment="1"/>
    <xf numFmtId="4" fontId="32" fillId="0" borderId="0" xfId="1" applyNumberFormat="1" applyFont="1" applyFill="1"/>
    <xf numFmtId="3" fontId="32" fillId="0" borderId="0" xfId="1" applyNumberFormat="1" applyFont="1" applyFill="1"/>
    <xf numFmtId="0" fontId="32" fillId="0" borderId="0" xfId="0" applyFont="1" applyFill="1" applyAlignment="1">
      <alignment horizontal="center"/>
    </xf>
    <xf numFmtId="170" fontId="32" fillId="0" borderId="0" xfId="0" applyNumberFormat="1" applyFont="1" applyFill="1" applyAlignment="1">
      <alignment horizontal="center"/>
    </xf>
    <xf numFmtId="3" fontId="32" fillId="0" borderId="0" xfId="1" applyNumberFormat="1" applyFont="1" applyFill="1" applyAlignment="1"/>
    <xf numFmtId="0" fontId="32" fillId="0" borderId="0" xfId="0" applyFont="1" applyFill="1" applyAlignment="1"/>
    <xf numFmtId="0" fontId="32" fillId="0" borderId="0" xfId="0" applyFont="1" applyFill="1"/>
    <xf numFmtId="10" fontId="22" fillId="0" borderId="0" xfId="3" applyNumberFormat="1" applyFont="1" applyAlignment="1">
      <alignment horizontal="center"/>
    </xf>
    <xf numFmtId="10" fontId="33" fillId="0" borderId="0" xfId="3" applyNumberFormat="1" applyFont="1" applyAlignment="1">
      <alignment horizontal="center"/>
    </xf>
    <xf numFmtId="165" fontId="22" fillId="0" borderId="0" xfId="3" applyNumberFormat="1" applyFont="1" applyAlignment="1">
      <alignment horizontal="center"/>
    </xf>
    <xf numFmtId="0" fontId="22" fillId="0" borderId="0" xfId="0" applyFont="1"/>
    <xf numFmtId="0" fontId="13" fillId="10" borderId="0" xfId="0" applyFont="1" applyFill="1" applyAlignment="1">
      <alignment horizontal="center"/>
    </xf>
    <xf numFmtId="170" fontId="13" fillId="10" borderId="0" xfId="0" applyNumberFormat="1" applyFont="1" applyFill="1" applyAlignment="1">
      <alignment horizontal="center"/>
    </xf>
    <xf numFmtId="4" fontId="13" fillId="10" borderId="0" xfId="1" applyNumberFormat="1" applyFont="1" applyFill="1"/>
    <xf numFmtId="3" fontId="13" fillId="10" borderId="0" xfId="1" applyNumberFormat="1" applyFont="1" applyFill="1"/>
    <xf numFmtId="3" fontId="13" fillId="10" borderId="0" xfId="1" applyNumberFormat="1" applyFont="1" applyFill="1" applyAlignment="1"/>
    <xf numFmtId="0" fontId="17" fillId="10" borderId="0" xfId="0" applyFont="1" applyFill="1" applyAlignment="1">
      <alignment horizontal="center"/>
    </xf>
    <xf numFmtId="170" fontId="17" fillId="10" borderId="0" xfId="0" applyNumberFormat="1" applyFont="1" applyFill="1" applyAlignment="1">
      <alignment horizontal="center"/>
    </xf>
    <xf numFmtId="4" fontId="17" fillId="10" borderId="0" xfId="1" applyNumberFormat="1" applyFont="1" applyFill="1"/>
    <xf numFmtId="3" fontId="17" fillId="10" borderId="0" xfId="1" applyNumberFormat="1" applyFont="1" applyFill="1"/>
    <xf numFmtId="3" fontId="17" fillId="10" borderId="0" xfId="1" applyNumberFormat="1" applyFont="1" applyFill="1" applyAlignment="1"/>
    <xf numFmtId="10" fontId="29" fillId="0" borderId="0" xfId="3" applyNumberFormat="1" applyFont="1" applyFill="1" applyAlignment="1">
      <alignment horizontal="center"/>
    </xf>
    <xf numFmtId="10" fontId="21" fillId="0" borderId="0" xfId="3" applyNumberFormat="1" applyFont="1" applyAlignment="1">
      <alignment horizontal="center"/>
    </xf>
    <xf numFmtId="10" fontId="27" fillId="0" borderId="0" xfId="3" applyNumberFormat="1" applyFont="1" applyAlignment="1">
      <alignment horizontal="center"/>
    </xf>
    <xf numFmtId="4" fontId="13" fillId="15" borderId="0" xfId="1" applyNumberFormat="1" applyFont="1" applyFill="1"/>
    <xf numFmtId="3" fontId="13" fillId="15" borderId="0" xfId="1" applyNumberFormat="1" applyFont="1" applyFill="1"/>
    <xf numFmtId="0" fontId="13" fillId="16" borderId="0" xfId="0" applyFont="1" applyFill="1" applyAlignment="1">
      <alignment horizontal="center"/>
    </xf>
    <xf numFmtId="4" fontId="13" fillId="16" borderId="0" xfId="1" applyNumberFormat="1" applyFont="1" applyFill="1"/>
    <xf numFmtId="3" fontId="13" fillId="16" borderId="0" xfId="1" applyNumberFormat="1" applyFont="1" applyFill="1"/>
    <xf numFmtId="10" fontId="26" fillId="0" borderId="0" xfId="3" applyNumberFormat="1" applyFont="1" applyAlignment="1">
      <alignment horizontal="center"/>
    </xf>
    <xf numFmtId="10" fontId="28" fillId="0" borderId="0" xfId="3" applyNumberFormat="1" applyFont="1" applyAlignment="1">
      <alignment horizontal="center"/>
    </xf>
    <xf numFmtId="10" fontId="30" fillId="0" borderId="0" xfId="3" applyNumberFormat="1" applyFont="1" applyAlignment="1">
      <alignment horizontal="center"/>
    </xf>
    <xf numFmtId="10" fontId="34" fillId="0" borderId="0" xfId="3" applyNumberFormat="1" applyFont="1" applyAlignment="1">
      <alignment horizontal="center"/>
    </xf>
    <xf numFmtId="10" fontId="25" fillId="0" borderId="0" xfId="3" applyNumberFormat="1" applyFont="1" applyAlignment="1">
      <alignment horizontal="center"/>
    </xf>
    <xf numFmtId="10" fontId="35" fillId="0" borderId="0" xfId="3" applyNumberFormat="1" applyFont="1" applyAlignment="1">
      <alignment horizontal="center"/>
    </xf>
    <xf numFmtId="10" fontId="36" fillId="0" borderId="0" xfId="3" applyNumberFormat="1" applyFont="1" applyAlignment="1">
      <alignment horizont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43" fontId="14" fillId="10" borderId="0" xfId="1" applyFont="1" applyFill="1" applyAlignment="1">
      <alignment horizontal="left"/>
    </xf>
    <xf numFmtId="43" fontId="39" fillId="10" borderId="0" xfId="1" applyFont="1" applyFill="1" applyAlignment="1">
      <alignment horizontal="left"/>
    </xf>
    <xf numFmtId="43" fontId="37" fillId="0" borderId="0" xfId="1" applyFont="1" applyFill="1" applyAlignment="1">
      <alignment horizontal="left"/>
    </xf>
    <xf numFmtId="43" fontId="14" fillId="0" borderId="0" xfId="1" applyFont="1" applyFill="1" applyAlignment="1">
      <alignment horizontal="left"/>
    </xf>
    <xf numFmtId="43" fontId="14" fillId="0" borderId="20" xfId="1" applyFont="1" applyFill="1" applyBorder="1" applyAlignment="1">
      <alignment horizontal="left"/>
    </xf>
    <xf numFmtId="0" fontId="13" fillId="0" borderId="0" xfId="0" applyFont="1" applyFill="1" applyBorder="1"/>
    <xf numFmtId="0" fontId="13" fillId="10" borderId="0" xfId="0" applyFont="1" applyFill="1" applyBorder="1" applyAlignment="1">
      <alignment horizontal="center"/>
    </xf>
    <xf numFmtId="170" fontId="13" fillId="10" borderId="0" xfId="0" applyNumberFormat="1" applyFont="1" applyFill="1" applyBorder="1" applyAlignment="1">
      <alignment horizontal="center"/>
    </xf>
    <xf numFmtId="4" fontId="13" fillId="10" borderId="0" xfId="1" applyNumberFormat="1" applyFont="1" applyFill="1" applyBorder="1"/>
    <xf numFmtId="3" fontId="13" fillId="10" borderId="0" xfId="1" applyNumberFormat="1" applyFont="1" applyFill="1" applyBorder="1"/>
    <xf numFmtId="3" fontId="13" fillId="10" borderId="0" xfId="1" applyNumberFormat="1" applyFont="1" applyFill="1" applyBorder="1" applyAlignment="1"/>
    <xf numFmtId="43" fontId="14" fillId="10" borderId="0" xfId="1" applyFont="1" applyFill="1" applyBorder="1" applyAlignment="1">
      <alignment horizontal="left"/>
    </xf>
    <xf numFmtId="0" fontId="17" fillId="10" borderId="0" xfId="0" applyFont="1" applyFill="1" applyBorder="1" applyAlignment="1">
      <alignment horizontal="center"/>
    </xf>
    <xf numFmtId="170" fontId="17" fillId="10" borderId="0" xfId="0" applyNumberFormat="1" applyFont="1" applyFill="1" applyBorder="1" applyAlignment="1">
      <alignment horizontal="center"/>
    </xf>
    <xf numFmtId="4" fontId="17" fillId="10" borderId="0" xfId="1" applyNumberFormat="1" applyFont="1" applyFill="1" applyBorder="1"/>
    <xf numFmtId="3" fontId="17" fillId="10" borderId="0" xfId="1" applyNumberFormat="1" applyFont="1" applyFill="1" applyBorder="1"/>
    <xf numFmtId="3" fontId="17" fillId="10" borderId="0" xfId="1" applyNumberFormat="1" applyFont="1" applyFill="1" applyBorder="1" applyAlignment="1"/>
    <xf numFmtId="43" fontId="39" fillId="10" borderId="0" xfId="1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/>
    <xf numFmtId="0" fontId="15" fillId="0" borderId="0" xfId="0" applyFont="1" applyFill="1"/>
    <xf numFmtId="10" fontId="24" fillId="0" borderId="0" xfId="3" applyNumberFormat="1" applyFont="1" applyAlignment="1">
      <alignment horizontal="center"/>
    </xf>
    <xf numFmtId="10" fontId="21" fillId="0" borderId="0" xfId="3" applyNumberFormat="1" applyFont="1"/>
    <xf numFmtId="10" fontId="27" fillId="0" borderId="0" xfId="3" applyNumberFormat="1" applyFont="1"/>
    <xf numFmtId="44" fontId="17" fillId="10" borderId="0" xfId="12" applyFont="1" applyFill="1" applyAlignment="1"/>
    <xf numFmtId="10" fontId="40" fillId="0" borderId="0" xfId="3" applyNumberFormat="1" applyFont="1" applyAlignment="1">
      <alignment horizontal="center"/>
    </xf>
    <xf numFmtId="10" fontId="34" fillId="0" borderId="0" xfId="3" applyNumberFormat="1" applyFont="1" applyFill="1" applyAlignment="1">
      <alignment horizontal="center"/>
    </xf>
    <xf numFmtId="0" fontId="15" fillId="0" borderId="0" xfId="0" applyFont="1" applyBorder="1"/>
    <xf numFmtId="0" fontId="22" fillId="0" borderId="0" xfId="0" applyFont="1" applyBorder="1"/>
    <xf numFmtId="166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5" fillId="0" borderId="0" xfId="0" quotePrefix="1" applyNumberFormat="1" applyFont="1" applyFill="1" applyBorder="1" applyAlignment="1">
      <alignment horizontal="right"/>
    </xf>
    <xf numFmtId="166" fontId="15" fillId="0" borderId="0" xfId="0" quotePrefix="1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6" fontId="42" fillId="0" borderId="0" xfId="0" quotePrefix="1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15" fillId="0" borderId="0" xfId="0" quotePrefix="1" applyFont="1" applyBorder="1" applyAlignment="1">
      <alignment horizontal="left"/>
    </xf>
    <xf numFmtId="166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5" fillId="0" borderId="0" xfId="0" applyFont="1" applyBorder="1" applyAlignment="1">
      <alignment horizontal="center"/>
    </xf>
    <xf numFmtId="164" fontId="15" fillId="0" borderId="0" xfId="0" quotePrefix="1" applyNumberFormat="1" applyFont="1" applyBorder="1" applyAlignment="1">
      <alignment horizontal="center"/>
    </xf>
    <xf numFmtId="3" fontId="15" fillId="0" borderId="0" xfId="0" quotePrefix="1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170" fontId="16" fillId="0" borderId="0" xfId="0" quotePrefix="1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4" fontId="16" fillId="0" borderId="0" xfId="0" quotePrefix="1" applyNumberFormat="1" applyFont="1" applyBorder="1" applyAlignment="1">
      <alignment horizontal="center"/>
    </xf>
    <xf numFmtId="3" fontId="16" fillId="0" borderId="0" xfId="0" quotePrefix="1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7" fontId="13" fillId="0" borderId="0" xfId="1" applyNumberFormat="1" applyFont="1" applyFill="1" applyAlignment="1">
      <alignment horizontal="center"/>
    </xf>
    <xf numFmtId="170" fontId="13" fillId="0" borderId="0" xfId="2" quotePrefix="1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69" fontId="13" fillId="0" borderId="0" xfId="1" applyNumberFormat="1" applyFont="1" applyFill="1" applyBorder="1" applyAlignment="1">
      <alignment horizontal="center"/>
    </xf>
    <xf numFmtId="0" fontId="13" fillId="0" borderId="0" xfId="8" applyFont="1" applyFill="1" applyAlignment="1">
      <alignment horizontal="center"/>
    </xf>
    <xf numFmtId="3" fontId="13" fillId="0" borderId="0" xfId="0" applyNumberFormat="1" applyFont="1" applyBorder="1"/>
    <xf numFmtId="0" fontId="13" fillId="0" borderId="0" xfId="0" applyFont="1"/>
    <xf numFmtId="1" fontId="13" fillId="0" borderId="0" xfId="0" applyNumberFormat="1" applyFont="1"/>
    <xf numFmtId="170" fontId="13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3" fontId="21" fillId="0" borderId="0" xfId="0" applyNumberFormat="1" applyFont="1" applyFill="1"/>
    <xf numFmtId="4" fontId="15" fillId="0" borderId="3" xfId="0" applyNumberFormat="1" applyFont="1" applyBorder="1"/>
    <xf numFmtId="0" fontId="13" fillId="0" borderId="3" xfId="0" applyFont="1" applyBorder="1"/>
    <xf numFmtId="3" fontId="15" fillId="0" borderId="3" xfId="0" applyNumberFormat="1" applyFont="1" applyBorder="1"/>
    <xf numFmtId="0" fontId="13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/>
    <xf numFmtId="0" fontId="13" fillId="0" borderId="2" xfId="0" applyFont="1" applyBorder="1"/>
    <xf numFmtId="3" fontId="15" fillId="0" borderId="2" xfId="0" applyNumberFormat="1" applyFont="1" applyBorder="1"/>
    <xf numFmtId="4" fontId="13" fillId="0" borderId="0" xfId="0" applyNumberFormat="1" applyFont="1"/>
    <xf numFmtId="10" fontId="44" fillId="0" borderId="0" xfId="3" applyNumberFormat="1" applyFont="1" applyAlignment="1">
      <alignment horizontal="center"/>
    </xf>
    <xf numFmtId="3" fontId="13" fillId="0" borderId="0" xfId="0" applyNumberFormat="1" applyFont="1"/>
    <xf numFmtId="0" fontId="44" fillId="0" borderId="0" xfId="0" quotePrefix="1" applyFont="1" applyAlignment="1">
      <alignment horizontal="center"/>
    </xf>
    <xf numFmtId="0" fontId="44" fillId="0" borderId="0" xfId="0" applyFont="1" applyAlignment="1">
      <alignment horizontal="right"/>
    </xf>
    <xf numFmtId="10" fontId="15" fillId="3" borderId="7" xfId="0" applyNumberFormat="1" applyFont="1" applyFill="1" applyBorder="1" applyAlignment="1">
      <alignment horizontal="center"/>
    </xf>
    <xf numFmtId="0" fontId="44" fillId="0" borderId="0" xfId="0" quotePrefix="1" applyFont="1" applyAlignment="1"/>
    <xf numFmtId="0" fontId="46" fillId="0" borderId="0" xfId="0" applyFont="1"/>
    <xf numFmtId="0" fontId="15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166" fontId="47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40" fontId="47" fillId="0" borderId="0" xfId="1" applyNumberFormat="1" applyFont="1" applyFill="1" applyAlignment="1"/>
    <xf numFmtId="40" fontId="49" fillId="0" borderId="0" xfId="1" applyNumberFormat="1" applyFont="1" applyFill="1" applyAlignment="1"/>
    <xf numFmtId="40" fontId="50" fillId="0" borderId="0" xfId="1" applyNumberFormat="1" applyFont="1" applyFill="1" applyAlignment="1"/>
    <xf numFmtId="166" fontId="47" fillId="0" borderId="0" xfId="0" applyNumberFormat="1" applyFont="1" applyFill="1" applyAlignment="1">
      <alignment horizontal="center"/>
    </xf>
    <xf numFmtId="168" fontId="47" fillId="0" borderId="0" xfId="1" applyNumberFormat="1" applyFont="1" applyFill="1" applyAlignment="1">
      <alignment horizontal="center"/>
    </xf>
    <xf numFmtId="10" fontId="47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40" fontId="15" fillId="0" borderId="0" xfId="1" applyNumberFormat="1" applyFont="1" applyFill="1" applyAlignment="1"/>
    <xf numFmtId="40" fontId="53" fillId="0" borderId="0" xfId="1" applyNumberFormat="1" applyFont="1" applyFill="1" applyAlignment="1"/>
    <xf numFmtId="40" fontId="54" fillId="0" borderId="0" xfId="1" applyNumberFormat="1" applyFont="1" applyFill="1" applyAlignment="1"/>
    <xf numFmtId="164" fontId="15" fillId="0" borderId="0" xfId="0" applyNumberFormat="1" applyFont="1" applyFill="1" applyAlignment="1">
      <alignment horizontal="right"/>
    </xf>
    <xf numFmtId="40" fontId="15" fillId="0" borderId="0" xfId="1" quotePrefix="1" applyNumberFormat="1" applyFont="1" applyFill="1" applyAlignment="1">
      <alignment horizontal="center"/>
    </xf>
    <xf numFmtId="1" fontId="55" fillId="0" borderId="0" xfId="0" applyNumberFormat="1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6" fontId="42" fillId="0" borderId="0" xfId="0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center"/>
    </xf>
    <xf numFmtId="10" fontId="15" fillId="0" borderId="0" xfId="0" applyNumberFormat="1" applyFont="1" applyFill="1" applyAlignment="1">
      <alignment horizontal="center"/>
    </xf>
    <xf numFmtId="0" fontId="15" fillId="0" borderId="0" xfId="0" quotePrefix="1" applyFont="1" applyAlignment="1">
      <alignment horizontal="left"/>
    </xf>
    <xf numFmtId="166" fontId="13" fillId="0" borderId="0" xfId="0" applyNumberFormat="1" applyFont="1" applyAlignment="1">
      <alignment horizontal="center"/>
    </xf>
    <xf numFmtId="40" fontId="13" fillId="0" borderId="0" xfId="1" applyNumberFormat="1" applyFont="1" applyFill="1" applyAlignment="1"/>
    <xf numFmtId="40" fontId="56" fillId="0" borderId="0" xfId="1" applyNumberFormat="1" applyFont="1" applyFill="1" applyAlignment="1"/>
    <xf numFmtId="40" fontId="57" fillId="0" borderId="0" xfId="1" applyNumberFormat="1" applyFont="1" applyFill="1" applyAlignment="1"/>
    <xf numFmtId="10" fontId="15" fillId="0" borderId="0" xfId="0" applyNumberFormat="1" applyFont="1" applyFill="1" applyAlignment="1">
      <alignment horizontal="right"/>
    </xf>
    <xf numFmtId="0" fontId="51" fillId="0" borderId="0" xfId="0" applyFont="1"/>
    <xf numFmtId="0" fontId="51" fillId="0" borderId="0" xfId="0" applyFont="1" applyAlignment="1">
      <alignment horizontal="center"/>
    </xf>
    <xf numFmtId="166" fontId="51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40" fontId="51" fillId="0" borderId="0" xfId="1" applyNumberFormat="1" applyFont="1" applyFill="1" applyAlignment="1"/>
    <xf numFmtId="40" fontId="59" fillId="0" borderId="0" xfId="1" applyNumberFormat="1" applyFont="1" applyFill="1" applyAlignment="1"/>
    <xf numFmtId="40" fontId="60" fillId="0" borderId="0" xfId="1" applyNumberFormat="1" applyFont="1" applyFill="1" applyAlignment="1"/>
    <xf numFmtId="168" fontId="51" fillId="0" borderId="0" xfId="1" applyNumberFormat="1" applyFont="1" applyFill="1" applyAlignment="1">
      <alignment horizontal="center"/>
    </xf>
    <xf numFmtId="166" fontId="61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40" fontId="17" fillId="0" borderId="0" xfId="1" applyNumberFormat="1" applyFont="1" applyFill="1" applyAlignment="1">
      <alignment horizontal="center"/>
    </xf>
    <xf numFmtId="168" fontId="17" fillId="0" borderId="0" xfId="1" applyNumberFormat="1" applyFont="1" applyFill="1" applyAlignment="1">
      <alignment horizontal="center"/>
    </xf>
    <xf numFmtId="10" fontId="16" fillId="0" borderId="0" xfId="0" applyNumberFormat="1" applyFont="1" applyFill="1" applyAlignment="1">
      <alignment horizontal="center"/>
    </xf>
    <xf numFmtId="166" fontId="13" fillId="0" borderId="0" xfId="0" quotePrefix="1" applyNumberFormat="1" applyFont="1" applyFill="1" applyAlignment="1">
      <alignment horizontal="center"/>
    </xf>
    <xf numFmtId="3" fontId="52" fillId="0" borderId="0" xfId="0" applyNumberFormat="1" applyFont="1" applyFill="1" applyAlignment="1">
      <alignment horizontal="center"/>
    </xf>
    <xf numFmtId="40" fontId="58" fillId="0" borderId="0" xfId="1" applyNumberFormat="1" applyFont="1" applyFill="1" applyAlignment="1"/>
    <xf numFmtId="166" fontId="64" fillId="0" borderId="0" xfId="0" applyNumberFormat="1" applyFont="1" applyFill="1" applyAlignment="1">
      <alignment horizontal="right"/>
    </xf>
    <xf numFmtId="168" fontId="13" fillId="0" borderId="0" xfId="1" applyNumberFormat="1" applyFont="1" applyFill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>
      <alignment horizontal="center"/>
    </xf>
    <xf numFmtId="40" fontId="66" fillId="0" borderId="0" xfId="1" applyNumberFormat="1" applyFont="1" applyFill="1" applyAlignment="1"/>
    <xf numFmtId="10" fontId="17" fillId="0" borderId="0" xfId="0" applyNumberFormat="1" applyFont="1" applyFill="1" applyAlignment="1">
      <alignment horizontal="center"/>
    </xf>
    <xf numFmtId="166" fontId="58" fillId="0" borderId="0" xfId="0" applyNumberFormat="1" applyFont="1" applyFill="1" applyAlignment="1">
      <alignment horizontal="center"/>
    </xf>
    <xf numFmtId="166" fontId="67" fillId="0" borderId="0" xfId="0" applyNumberFormat="1" applyFont="1" applyFill="1" applyAlignment="1">
      <alignment horizontal="right"/>
    </xf>
    <xf numFmtId="166" fontId="66" fillId="0" borderId="0" xfId="0" applyNumberFormat="1" applyFont="1" applyFill="1" applyAlignment="1">
      <alignment horizontal="center"/>
    </xf>
    <xf numFmtId="40" fontId="15" fillId="0" borderId="0" xfId="1" quotePrefix="1" applyNumberFormat="1" applyFont="1" applyFill="1" applyAlignment="1"/>
    <xf numFmtId="168" fontId="15" fillId="0" borderId="0" xfId="1" quotePrefix="1" applyNumberFormat="1" applyFont="1" applyFill="1" applyAlignment="1">
      <alignment horizontal="center"/>
    </xf>
    <xf numFmtId="10" fontId="15" fillId="0" borderId="0" xfId="0" quotePrefix="1" applyNumberFormat="1" applyFont="1" applyFill="1" applyAlignment="1">
      <alignment horizontal="center"/>
    </xf>
    <xf numFmtId="40" fontId="13" fillId="0" borderId="0" xfId="0" applyNumberFormat="1" applyFont="1" applyFill="1"/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0" fontId="17" fillId="0" borderId="0" xfId="0" quotePrefix="1" applyFont="1" applyFill="1" applyAlignment="1">
      <alignment horizontal="left"/>
    </xf>
    <xf numFmtId="166" fontId="47" fillId="0" borderId="0" xfId="0" applyNumberFormat="1" applyFont="1" applyFill="1" applyAlignment="1">
      <alignment horizontal="right"/>
    </xf>
    <xf numFmtId="40" fontId="66" fillId="14" borderId="0" xfId="1" applyNumberFormat="1" applyFont="1" applyFill="1" applyAlignment="1"/>
    <xf numFmtId="40" fontId="62" fillId="14" borderId="0" xfId="1" applyNumberFormat="1" applyFont="1" applyFill="1" applyAlignment="1"/>
    <xf numFmtId="40" fontId="63" fillId="14" borderId="0" xfId="1" applyNumberFormat="1" applyFont="1" applyFill="1" applyAlignment="1"/>
    <xf numFmtId="168" fontId="17" fillId="14" borderId="0" xfId="1" applyNumberFormat="1" applyFont="1" applyFill="1" applyAlignment="1">
      <alignment horizontal="center"/>
    </xf>
    <xf numFmtId="172" fontId="17" fillId="0" borderId="0" xfId="0" applyNumberFormat="1" applyFont="1" applyFill="1"/>
    <xf numFmtId="172" fontId="13" fillId="0" borderId="0" xfId="0" applyNumberFormat="1" applyFont="1" applyFill="1"/>
    <xf numFmtId="40" fontId="13" fillId="0" borderId="0" xfId="1" quotePrefix="1" applyNumberFormat="1" applyFont="1" applyFill="1" applyAlignment="1"/>
    <xf numFmtId="166" fontId="13" fillId="0" borderId="0" xfId="1" applyNumberFormat="1" applyFont="1" applyFill="1" applyAlignment="1">
      <alignment horizontal="center"/>
    </xf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40" fontId="13" fillId="0" borderId="14" xfId="1" applyNumberFormat="1" applyFont="1" applyFill="1" applyBorder="1" applyAlignment="1"/>
    <xf numFmtId="40" fontId="56" fillId="0" borderId="14" xfId="1" applyNumberFormat="1" applyFont="1" applyFill="1" applyBorder="1" applyAlignment="1"/>
    <xf numFmtId="40" fontId="57" fillId="0" borderId="14" xfId="1" applyNumberFormat="1" applyFont="1" applyFill="1" applyBorder="1" applyAlignment="1"/>
    <xf numFmtId="168" fontId="13" fillId="0" borderId="14" xfId="1" applyNumberFormat="1" applyFont="1" applyFill="1" applyBorder="1" applyAlignment="1">
      <alignment horizontal="center"/>
    </xf>
    <xf numFmtId="10" fontId="13" fillId="0" borderId="14" xfId="0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6" xfId="0" applyFont="1" applyBorder="1" applyAlignment="1">
      <alignment horizontal="center"/>
    </xf>
    <xf numFmtId="166" fontId="71" fillId="0" borderId="0" xfId="0" applyNumberFormat="1" applyFont="1" applyFill="1" applyAlignment="1">
      <alignment horizontal="center"/>
    </xf>
    <xf numFmtId="10" fontId="72" fillId="0" borderId="9" xfId="0" applyNumberFormat="1" applyFont="1" applyFill="1" applyBorder="1" applyAlignment="1">
      <alignment horizontal="center"/>
    </xf>
    <xf numFmtId="166" fontId="73" fillId="0" borderId="0" xfId="0" applyNumberFormat="1" applyFont="1" applyFill="1" applyBorder="1" applyAlignment="1">
      <alignment horizontal="center"/>
    </xf>
    <xf numFmtId="166" fontId="73" fillId="0" borderId="0" xfId="0" applyNumberFormat="1" applyFont="1" applyFill="1" applyAlignment="1">
      <alignment horizontal="center"/>
    </xf>
    <xf numFmtId="10" fontId="72" fillId="0" borderId="17" xfId="0" applyNumberFormat="1" applyFont="1" applyFill="1" applyBorder="1" applyAlignment="1">
      <alignment horizontal="center"/>
    </xf>
    <xf numFmtId="10" fontId="72" fillId="0" borderId="9" xfId="0" quotePrefix="1" applyNumberFormat="1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0" fontId="13" fillId="0" borderId="12" xfId="0" applyNumberFormat="1" applyFont="1" applyFill="1" applyBorder="1" applyAlignment="1">
      <alignment horizontal="center"/>
    </xf>
    <xf numFmtId="10" fontId="13" fillId="0" borderId="19" xfId="0" applyNumberFormat="1" applyFont="1" applyFill="1" applyBorder="1" applyAlignment="1">
      <alignment horizontal="center"/>
    </xf>
    <xf numFmtId="10" fontId="46" fillId="0" borderId="0" xfId="0" applyNumberFormat="1" applyFont="1" applyFill="1" applyAlignment="1">
      <alignment horizontal="center"/>
    </xf>
    <xf numFmtId="10" fontId="72" fillId="0" borderId="13" xfId="0" applyNumberFormat="1" applyFont="1" applyFill="1" applyBorder="1" applyAlignment="1">
      <alignment horizontal="center"/>
    </xf>
    <xf numFmtId="166" fontId="72" fillId="0" borderId="0" xfId="0" applyNumberFormat="1" applyFont="1" applyFill="1" applyAlignment="1">
      <alignment horizontal="center"/>
    </xf>
    <xf numFmtId="10" fontId="72" fillId="0" borderId="13" xfId="0" quotePrefix="1" applyNumberFormat="1" applyFont="1" applyFill="1" applyBorder="1" applyAlignment="1">
      <alignment horizontal="center"/>
    </xf>
    <xf numFmtId="166" fontId="74" fillId="0" borderId="0" xfId="0" applyNumberFormat="1" applyFont="1" applyFill="1" applyAlignment="1">
      <alignment horizontal="center"/>
    </xf>
    <xf numFmtId="10" fontId="15" fillId="0" borderId="13" xfId="0" applyNumberFormat="1" applyFont="1" applyFill="1" applyBorder="1" applyAlignment="1">
      <alignment horizontal="center"/>
    </xf>
    <xf numFmtId="40" fontId="73" fillId="0" borderId="0" xfId="1" applyNumberFormat="1" applyFont="1" applyFill="1" applyAlignment="1"/>
    <xf numFmtId="40" fontId="75" fillId="0" borderId="0" xfId="1" applyNumberFormat="1" applyFont="1" applyFill="1" applyAlignment="1"/>
    <xf numFmtId="40" fontId="75" fillId="0" borderId="0" xfId="1" applyNumberFormat="1" applyFont="1" applyFill="1" applyAlignment="1">
      <alignment horizontal="center"/>
    </xf>
    <xf numFmtId="40" fontId="76" fillId="0" borderId="0" xfId="1" applyNumberFormat="1" applyFont="1" applyFill="1" applyAlignment="1">
      <alignment horizontal="center"/>
    </xf>
    <xf numFmtId="40" fontId="77" fillId="0" borderId="0" xfId="1" quotePrefix="1" applyNumberFormat="1" applyFont="1" applyFill="1" applyAlignment="1"/>
    <xf numFmtId="40" fontId="76" fillId="0" borderId="0" xfId="1" quotePrefix="1" applyNumberFormat="1" applyFont="1" applyFill="1" applyAlignment="1"/>
    <xf numFmtId="40" fontId="77" fillId="0" borderId="0" xfId="1" applyNumberFormat="1" applyFont="1" applyFill="1" applyAlignment="1"/>
    <xf numFmtId="40" fontId="76" fillId="0" borderId="0" xfId="1" applyNumberFormat="1" applyFont="1" applyFill="1" applyAlignment="1"/>
    <xf numFmtId="166" fontId="78" fillId="0" borderId="0" xfId="0" applyNumberFormat="1" applyFont="1" applyFill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/>
    <xf numFmtId="165" fontId="79" fillId="0" borderId="0" xfId="3" applyNumberFormat="1" applyFont="1"/>
    <xf numFmtId="40" fontId="69" fillId="0" borderId="0" xfId="1" applyNumberFormat="1" applyFont="1" applyFill="1" applyAlignment="1"/>
    <xf numFmtId="40" fontId="70" fillId="0" borderId="0" xfId="1" applyNumberFormat="1" applyFont="1" applyFill="1" applyAlignment="1"/>
    <xf numFmtId="10" fontId="15" fillId="18" borderId="0" xfId="0" applyNumberFormat="1" applyFont="1" applyFill="1" applyAlignment="1">
      <alignment horizontal="center"/>
    </xf>
    <xf numFmtId="173" fontId="15" fillId="0" borderId="0" xfId="1" applyNumberFormat="1" applyFont="1" applyFill="1" applyAlignment="1">
      <alignment horizontal="center"/>
    </xf>
    <xf numFmtId="173" fontId="16" fillId="0" borderId="0" xfId="1" applyNumberFormat="1" applyFont="1" applyFill="1" applyAlignment="1">
      <alignment horizontal="center"/>
    </xf>
    <xf numFmtId="173" fontId="13" fillId="0" borderId="0" xfId="1" applyNumberFormat="1" applyFont="1" applyFill="1" applyBorder="1"/>
    <xf numFmtId="173" fontId="13" fillId="10" borderId="0" xfId="1" applyNumberFormat="1" applyFont="1" applyFill="1"/>
    <xf numFmtId="173" fontId="13" fillId="0" borderId="0" xfId="1" applyNumberFormat="1" applyFont="1" applyFill="1"/>
    <xf numFmtId="173" fontId="17" fillId="10" borderId="0" xfId="1" applyNumberFormat="1" applyFont="1" applyFill="1"/>
    <xf numFmtId="173" fontId="32" fillId="0" borderId="0" xfId="1" applyNumberFormat="1" applyFont="1" applyFill="1"/>
    <xf numFmtId="173" fontId="13" fillId="16" borderId="0" xfId="1" applyNumberFormat="1" applyFont="1" applyFill="1"/>
    <xf numFmtId="173" fontId="13" fillId="10" borderId="0" xfId="1" applyNumberFormat="1" applyFont="1" applyFill="1" applyBorder="1"/>
    <xf numFmtId="173" fontId="13" fillId="15" borderId="0" xfId="1" applyNumberFormat="1" applyFont="1" applyFill="1"/>
    <xf numFmtId="173" fontId="17" fillId="10" borderId="0" xfId="1" applyNumberFormat="1" applyFont="1" applyFill="1" applyBorder="1"/>
    <xf numFmtId="173" fontId="13" fillId="0" borderId="20" xfId="1" applyNumberFormat="1" applyFont="1" applyFill="1" applyBorder="1"/>
    <xf numFmtId="10" fontId="15" fillId="17" borderId="0" xfId="0" applyNumberFormat="1" applyFont="1" applyFill="1" applyAlignment="1">
      <alignment horizontal="center"/>
    </xf>
    <xf numFmtId="10" fontId="15" fillId="17" borderId="0" xfId="0" applyNumberFormat="1" applyFont="1" applyFill="1" applyBorder="1" applyAlignment="1">
      <alignment horizontal="center"/>
    </xf>
    <xf numFmtId="10" fontId="36" fillId="0" borderId="0" xfId="3" applyNumberFormat="1" applyFont="1" applyFill="1" applyAlignment="1">
      <alignment horizontal="center"/>
    </xf>
    <xf numFmtId="10" fontId="42" fillId="0" borderId="0" xfId="0" applyNumberFormat="1" applyFont="1" applyFill="1" applyAlignment="1">
      <alignment horizontal="left"/>
    </xf>
    <xf numFmtId="10" fontId="17" fillId="0" borderId="0" xfId="1" applyNumberFormat="1" applyFont="1" applyFill="1" applyAlignment="1">
      <alignment horizontal="center"/>
    </xf>
    <xf numFmtId="10" fontId="16" fillId="17" borderId="0" xfId="0" applyNumberFormat="1" applyFont="1" applyFill="1" applyBorder="1" applyAlignment="1">
      <alignment horizontal="center"/>
    </xf>
    <xf numFmtId="0" fontId="13" fillId="19" borderId="0" xfId="0" applyFont="1" applyFill="1" applyAlignment="1">
      <alignment horizontal="center"/>
    </xf>
    <xf numFmtId="4" fontId="13" fillId="19" borderId="0" xfId="1" applyNumberFormat="1" applyFont="1" applyFill="1"/>
    <xf numFmtId="173" fontId="13" fillId="19" borderId="0" xfId="1" applyNumberFormat="1" applyFont="1" applyFill="1"/>
    <xf numFmtId="3" fontId="13" fillId="19" borderId="0" xfId="1" applyNumberFormat="1" applyFont="1" applyFill="1"/>
    <xf numFmtId="0" fontId="13" fillId="9" borderId="0" xfId="0" applyFont="1" applyFill="1" applyAlignment="1">
      <alignment horizontal="center"/>
    </xf>
    <xf numFmtId="4" fontId="13" fillId="9" borderId="0" xfId="1" applyNumberFormat="1" applyFont="1" applyFill="1"/>
    <xf numFmtId="173" fontId="13" fillId="9" borderId="0" xfId="1" applyNumberFormat="1" applyFont="1" applyFill="1"/>
    <xf numFmtId="3" fontId="13" fillId="9" borderId="0" xfId="1" applyNumberFormat="1" applyFont="1" applyFill="1"/>
    <xf numFmtId="0" fontId="15" fillId="9" borderId="0" xfId="0" applyFont="1" applyFill="1" applyAlignment="1">
      <alignment horizontal="center"/>
    </xf>
    <xf numFmtId="4" fontId="15" fillId="9" borderId="0" xfId="1" applyNumberFormat="1" applyFont="1" applyFill="1"/>
    <xf numFmtId="173" fontId="15" fillId="9" borderId="0" xfId="1" applyNumberFormat="1" applyFont="1" applyFill="1"/>
    <xf numFmtId="3" fontId="15" fillId="9" borderId="0" xfId="1" applyNumberFormat="1" applyFont="1" applyFill="1"/>
    <xf numFmtId="3" fontId="15" fillId="0" borderId="0" xfId="1" applyNumberFormat="1" applyFont="1" applyFill="1" applyAlignment="1"/>
    <xf numFmtId="0" fontId="15" fillId="0" borderId="0" xfId="0" applyFont="1" applyFill="1" applyAlignment="1"/>
    <xf numFmtId="0" fontId="13" fillId="20" borderId="0" xfId="0" applyFont="1" applyFill="1" applyAlignment="1">
      <alignment horizontal="center"/>
    </xf>
    <xf numFmtId="4" fontId="13" fillId="20" borderId="0" xfId="1" applyNumberFormat="1" applyFont="1" applyFill="1"/>
    <xf numFmtId="173" fontId="13" fillId="20" borderId="0" xfId="1" applyNumberFormat="1" applyFont="1" applyFill="1"/>
    <xf numFmtId="3" fontId="13" fillId="20" borderId="0" xfId="1" applyNumberFormat="1" applyFont="1" applyFill="1"/>
    <xf numFmtId="0" fontId="13" fillId="6" borderId="0" xfId="0" applyFont="1" applyFill="1" applyAlignment="1">
      <alignment horizontal="center"/>
    </xf>
    <xf numFmtId="4" fontId="13" fillId="6" borderId="0" xfId="1" applyNumberFormat="1" applyFont="1" applyFill="1"/>
    <xf numFmtId="173" fontId="13" fillId="6" borderId="0" xfId="1" applyNumberFormat="1" applyFont="1" applyFill="1"/>
    <xf numFmtId="3" fontId="13" fillId="6" borderId="0" xfId="1" applyNumberFormat="1" applyFont="1" applyFill="1"/>
    <xf numFmtId="0" fontId="15" fillId="6" borderId="0" xfId="0" applyFont="1" applyFill="1" applyAlignment="1">
      <alignment horizontal="center"/>
    </xf>
    <xf numFmtId="4" fontId="15" fillId="6" borderId="0" xfId="1" applyNumberFormat="1" applyFont="1" applyFill="1"/>
    <xf numFmtId="173" fontId="15" fillId="6" borderId="0" xfId="1" applyNumberFormat="1" applyFont="1" applyFill="1"/>
    <xf numFmtId="3" fontId="15" fillId="6" borderId="0" xfId="1" applyNumberFormat="1" applyFont="1" applyFill="1"/>
    <xf numFmtId="10" fontId="15" fillId="9" borderId="7" xfId="0" applyNumberFormat="1" applyFont="1" applyFill="1" applyBorder="1" applyAlignment="1">
      <alignment horizontal="center"/>
    </xf>
    <xf numFmtId="10" fontId="15" fillId="9" borderId="18" xfId="0" applyNumberFormat="1" applyFont="1" applyFill="1" applyBorder="1" applyAlignment="1">
      <alignment horizontal="center"/>
    </xf>
    <xf numFmtId="10" fontId="16" fillId="17" borderId="0" xfId="0" applyNumberFormat="1" applyFont="1" applyFill="1" applyAlignment="1">
      <alignment horizontal="center"/>
    </xf>
    <xf numFmtId="3" fontId="81" fillId="0" borderId="0" xfId="1" applyNumberFormat="1" applyFont="1" applyFill="1" applyAlignment="1"/>
    <xf numFmtId="0" fontId="13" fillId="9" borderId="0" xfId="8" applyFont="1" applyFill="1" applyAlignment="1">
      <alignment horizontal="center"/>
    </xf>
    <xf numFmtId="10" fontId="13" fillId="9" borderId="0" xfId="0" applyNumberFormat="1" applyFont="1" applyFill="1" applyBorder="1" applyAlignment="1">
      <alignment horizontal="center"/>
    </xf>
    <xf numFmtId="170" fontId="13" fillId="18" borderId="0" xfId="0" applyNumberFormat="1" applyFont="1" applyFill="1" applyAlignment="1">
      <alignment horizontal="center"/>
    </xf>
    <xf numFmtId="170" fontId="80" fillId="22" borderId="0" xfId="0" applyNumberFormat="1" applyFont="1" applyFill="1" applyAlignment="1">
      <alignment horizontal="center"/>
    </xf>
    <xf numFmtId="170" fontId="15" fillId="21" borderId="0" xfId="0" applyNumberFormat="1" applyFont="1" applyFill="1" applyAlignment="1">
      <alignment horizontal="center"/>
    </xf>
    <xf numFmtId="170" fontId="82" fillId="22" borderId="0" xfId="0" applyNumberFormat="1" applyFont="1" applyFill="1" applyAlignment="1">
      <alignment horizontal="center"/>
    </xf>
    <xf numFmtId="0" fontId="13" fillId="17" borderId="0" xfId="0" applyFont="1" applyFill="1" applyAlignment="1">
      <alignment horizontal="center"/>
    </xf>
    <xf numFmtId="4" fontId="13" fillId="17" borderId="0" xfId="1" applyNumberFormat="1" applyFont="1" applyFill="1"/>
    <xf numFmtId="173" fontId="13" fillId="17" borderId="0" xfId="1" applyNumberFormat="1" applyFont="1" applyFill="1"/>
    <xf numFmtId="3" fontId="13" fillId="17" borderId="0" xfId="1" applyNumberFormat="1" applyFont="1" applyFill="1"/>
    <xf numFmtId="3" fontId="15" fillId="10" borderId="0" xfId="1" applyNumberFormat="1" applyFont="1" applyFill="1" applyAlignment="1"/>
    <xf numFmtId="3" fontId="15" fillId="10" borderId="0" xfId="1" applyNumberFormat="1" applyFont="1" applyFill="1" applyBorder="1" applyAlignment="1"/>
    <xf numFmtId="170" fontId="15" fillId="18" borderId="0" xfId="0" applyNumberFormat="1" applyFont="1" applyFill="1" applyAlignment="1">
      <alignment horizontal="center"/>
    </xf>
    <xf numFmtId="0" fontId="15" fillId="23" borderId="0" xfId="0" applyFont="1" applyFill="1" applyAlignment="1">
      <alignment horizontal="center"/>
    </xf>
    <xf numFmtId="4" fontId="15" fillId="23" borderId="0" xfId="1" applyNumberFormat="1" applyFont="1" applyFill="1"/>
    <xf numFmtId="173" fontId="15" fillId="23" borderId="0" xfId="1" applyNumberFormat="1" applyFont="1" applyFill="1"/>
    <xf numFmtId="3" fontId="15" fillId="23" borderId="0" xfId="1" applyNumberFormat="1" applyFont="1" applyFill="1"/>
    <xf numFmtId="3" fontId="13" fillId="19" borderId="0" xfId="1" applyNumberFormat="1" applyFont="1" applyFill="1" applyAlignment="1"/>
    <xf numFmtId="3" fontId="15" fillId="19" borderId="0" xfId="1" applyNumberFormat="1" applyFont="1" applyFill="1" applyAlignment="1"/>
    <xf numFmtId="0" fontId="13" fillId="19" borderId="0" xfId="8" applyFont="1" applyFill="1" applyAlignment="1">
      <alignment horizontal="center"/>
    </xf>
    <xf numFmtId="10" fontId="13" fillId="19" borderId="0" xfId="0" applyNumberFormat="1" applyFont="1" applyFill="1" applyBorder="1" applyAlignment="1">
      <alignment horizontal="center"/>
    </xf>
    <xf numFmtId="10" fontId="35" fillId="0" borderId="0" xfId="3" applyNumberFormat="1" applyFont="1" applyFill="1" applyAlignment="1">
      <alignment horizontal="center"/>
    </xf>
    <xf numFmtId="0" fontId="15" fillId="0" borderId="0" xfId="0" quotePrefix="1" applyFont="1" applyAlignment="1">
      <alignment horizontal="center"/>
    </xf>
    <xf numFmtId="171" fontId="58" fillId="0" borderId="0" xfId="0" quotePrefix="1" applyNumberFormat="1" applyFont="1" applyFill="1" applyAlignment="1">
      <alignment horizontal="center"/>
    </xf>
    <xf numFmtId="168" fontId="15" fillId="0" borderId="0" xfId="1" quotePrefix="1" applyNumberFormat="1" applyFont="1" applyFill="1" applyAlignment="1">
      <alignment horizontal="center"/>
    </xf>
    <xf numFmtId="168" fontId="15" fillId="0" borderId="0" xfId="1" applyNumberFormat="1" applyFont="1" applyFill="1" applyAlignment="1">
      <alignment horizontal="center"/>
    </xf>
    <xf numFmtId="168" fontId="74" fillId="4" borderId="10" xfId="1" quotePrefix="1" applyNumberFormat="1" applyFont="1" applyFill="1" applyBorder="1" applyAlignment="1">
      <alignment horizontal="center"/>
    </xf>
    <xf numFmtId="168" fontId="74" fillId="4" borderId="15" xfId="1" applyNumberFormat="1" applyFont="1" applyFill="1" applyBorder="1" applyAlignment="1">
      <alignment horizontal="center"/>
    </xf>
    <xf numFmtId="168" fontId="74" fillId="4" borderId="11" xfId="1" applyNumberFormat="1" applyFont="1" applyFill="1" applyBorder="1" applyAlignment="1">
      <alignment horizontal="center"/>
    </xf>
    <xf numFmtId="168" fontId="71" fillId="2" borderId="16" xfId="1" applyNumberFormat="1" applyFont="1" applyFill="1" applyBorder="1" applyAlignment="1">
      <alignment horizontal="center"/>
    </xf>
    <xf numFmtId="168" fontId="71" fillId="2" borderId="8" xfId="1" quotePrefix="1" applyNumberFormat="1" applyFont="1" applyFill="1" applyBorder="1" applyAlignment="1">
      <alignment horizontal="center"/>
    </xf>
    <xf numFmtId="168" fontId="71" fillId="2" borderId="4" xfId="1" quotePrefix="1" applyNumberFormat="1" applyFont="1" applyFill="1" applyBorder="1" applyAlignment="1">
      <alignment horizontal="center"/>
    </xf>
    <xf numFmtId="168" fontId="71" fillId="2" borderId="16" xfId="1" quotePrefix="1" applyNumberFormat="1" applyFont="1" applyFill="1" applyBorder="1" applyAlignment="1">
      <alignment horizontal="center"/>
    </xf>
    <xf numFmtId="168" fontId="71" fillId="2" borderId="10" xfId="1" applyNumberFormat="1" applyFont="1" applyFill="1" applyBorder="1" applyAlignment="1">
      <alignment horizontal="center"/>
    </xf>
    <xf numFmtId="168" fontId="71" fillId="2" borderId="15" xfId="1" applyNumberFormat="1" applyFont="1" applyFill="1" applyBorder="1" applyAlignment="1">
      <alignment horizontal="center"/>
    </xf>
    <xf numFmtId="168" fontId="71" fillId="2" borderId="11" xfId="1" applyNumberFormat="1" applyFont="1" applyFill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3">
    <cellStyle name="Comma" xfId="1" builtinId="3"/>
    <cellStyle name="Comma 2" xfId="6"/>
    <cellStyle name="Comma 3" xfId="11"/>
    <cellStyle name="Currency" xfId="12" builtinId="4"/>
    <cellStyle name="Normal" xfId="0" builtinId="0"/>
    <cellStyle name="Normal 2" xfId="5"/>
    <cellStyle name="Normal 2 2" xfId="8"/>
    <cellStyle name="Normal 2 3" xfId="10"/>
    <cellStyle name="Normal 3" xfId="4"/>
    <cellStyle name="Normal 4" xfId="9"/>
    <cellStyle name="Normal_EAF &amp; EFOR Contributors" xfId="2"/>
    <cellStyle name="Percent" xfId="3" builtinId="5"/>
    <cellStyle name="Percent 2" xfId="7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lor rgb="FF0099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006600"/>
      <color rgb="FF009900"/>
      <color rgb="FF0066FF"/>
      <color rgb="FF0000FF"/>
      <color rgb="FF66CCFF"/>
      <color rgb="FF008000"/>
      <color rgb="FFFF9900"/>
      <color rgb="FFFF6699"/>
      <color rgb="FFFF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95"/>
  <sheetViews>
    <sheetView tabSelected="1" zoomScaleNormal="100" zoomScaleSheetLayoutView="100" workbookViewId="0">
      <pane xSplit="5" ySplit="8" topLeftCell="S63" activePane="bottomRight" state="frozen"/>
      <selection activeCell="T25" sqref="T25"/>
      <selection pane="topRight" activeCell="T25" sqref="T25"/>
      <selection pane="bottomLeft" activeCell="T25" sqref="T25"/>
      <selection pane="bottomRight" activeCell="A69" sqref="A69"/>
    </sheetView>
  </sheetViews>
  <sheetFormatPr defaultColWidth="9.33203125" defaultRowHeight="12.75" x14ac:dyDescent="0.2"/>
  <cols>
    <col min="1" max="1" width="13.83203125" style="210" customWidth="1"/>
    <col min="2" max="2" width="8.1640625" style="218" bestFit="1" customWidth="1"/>
    <col min="3" max="3" width="1.6640625" style="259" customWidth="1"/>
    <col min="4" max="4" width="7.33203125" style="267" customWidth="1"/>
    <col min="5" max="5" width="1.6640625" style="259" customWidth="1"/>
    <col min="6" max="6" width="11.1640625" style="260" bestFit="1" customWidth="1"/>
    <col min="7" max="7" width="10.1640625" style="260" customWidth="1"/>
    <col min="8" max="8" width="9.1640625" style="261" bestFit="1" customWidth="1"/>
    <col min="9" max="9" width="12" style="262" bestFit="1" customWidth="1"/>
    <col min="10" max="10" width="2.1640625" style="256" customWidth="1"/>
    <col min="11" max="11" width="13.33203125" style="260" bestFit="1" customWidth="1"/>
    <col min="12" max="12" width="12.6640625" style="260" bestFit="1" customWidth="1"/>
    <col min="13" max="13" width="11.6640625" style="281" bestFit="1" customWidth="1"/>
    <col min="14" max="14" width="4.5" style="256" bestFit="1" customWidth="1"/>
    <col min="15" max="15" width="10.83203125" style="256" customWidth="1"/>
    <col min="16" max="16" width="12.5" style="256" customWidth="1"/>
    <col min="17" max="17" width="1.83203125" style="256" customWidth="1"/>
    <col min="18" max="18" width="11.5" style="257" customWidth="1"/>
    <col min="19" max="19" width="1.6640625" style="256" customWidth="1"/>
    <col min="20" max="20" width="10.6640625" style="256" customWidth="1"/>
    <col min="21" max="21" width="11.6640625" style="256" customWidth="1"/>
    <col min="22" max="22" width="4" style="256" customWidth="1"/>
    <col min="23" max="23" width="12.33203125" style="257" customWidth="1"/>
    <col min="24" max="24" width="1.6640625" style="256" customWidth="1"/>
    <col min="25" max="26" width="14" style="256" customWidth="1"/>
    <col min="27" max="27" width="2.83203125" style="256" customWidth="1"/>
    <col min="28" max="28" width="12.1640625" style="257" customWidth="1"/>
    <col min="29" max="29" width="1.6640625" style="256" customWidth="1"/>
    <col min="30" max="30" width="10.6640625" style="257" bestFit="1" customWidth="1"/>
    <col min="31" max="16384" width="9.33203125" style="210"/>
  </cols>
  <sheetData>
    <row r="1" spans="1:32" s="233" customFormat="1" x14ac:dyDescent="0.2">
      <c r="A1" s="424" t="s">
        <v>143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157"/>
      <c r="AD1" s="157"/>
    </row>
    <row r="2" spans="1:32" s="233" customFormat="1" x14ac:dyDescent="0.2">
      <c r="A2" s="424" t="s">
        <v>28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157"/>
      <c r="AD2" s="157"/>
    </row>
    <row r="3" spans="1:32" s="234" customFormat="1" ht="11.25" x14ac:dyDescent="0.2">
      <c r="B3" s="235"/>
      <c r="C3" s="236"/>
      <c r="D3" s="237"/>
      <c r="E3" s="236"/>
      <c r="F3" s="238"/>
      <c r="G3" s="238"/>
      <c r="H3" s="239"/>
      <c r="I3" s="240"/>
      <c r="J3" s="241"/>
      <c r="K3" s="238"/>
      <c r="L3" s="238"/>
      <c r="M3" s="242"/>
      <c r="N3" s="241"/>
      <c r="O3" s="241"/>
      <c r="P3" s="241"/>
      <c r="Q3" s="241"/>
      <c r="R3" s="243"/>
      <c r="S3" s="241"/>
      <c r="T3" s="241"/>
      <c r="U3" s="241"/>
      <c r="V3" s="241"/>
      <c r="W3" s="243"/>
      <c r="X3" s="241"/>
      <c r="Y3" s="244"/>
      <c r="Z3" s="244"/>
      <c r="AA3" s="241"/>
      <c r="AB3" s="243"/>
      <c r="AC3" s="241"/>
      <c r="AD3" s="243"/>
    </row>
    <row r="4" spans="1:32" s="233" customFormat="1" ht="14.25" x14ac:dyDescent="0.2">
      <c r="B4" s="245"/>
      <c r="C4" s="246"/>
      <c r="D4" s="247"/>
      <c r="E4" s="246"/>
      <c r="F4" s="248"/>
      <c r="G4" s="248"/>
      <c r="H4" s="249"/>
      <c r="I4" s="250"/>
      <c r="J4" s="251" t="s">
        <v>179</v>
      </c>
      <c r="K4" s="252" t="s">
        <v>140</v>
      </c>
      <c r="L4" s="426" t="s">
        <v>35</v>
      </c>
      <c r="M4" s="427"/>
      <c r="N4" s="253">
        <v>16</v>
      </c>
      <c r="O4" s="254"/>
      <c r="P4" s="254"/>
      <c r="Q4" s="254"/>
      <c r="R4" s="369" t="s">
        <v>36</v>
      </c>
      <c r="S4" s="254"/>
      <c r="T4" s="254"/>
      <c r="U4" s="254"/>
      <c r="V4" s="254"/>
      <c r="W4" s="255"/>
      <c r="X4" s="254"/>
      <c r="Y4" s="256"/>
      <c r="Z4" s="256"/>
      <c r="AA4" s="254"/>
      <c r="AB4" s="257"/>
      <c r="AC4" s="254"/>
      <c r="AD4" s="257"/>
    </row>
    <row r="5" spans="1:32" x14ac:dyDescent="0.2">
      <c r="A5" s="258"/>
      <c r="D5" s="247">
        <v>2014</v>
      </c>
      <c r="J5" s="425" t="s">
        <v>177</v>
      </c>
      <c r="K5" s="425"/>
      <c r="L5" s="425"/>
      <c r="M5" s="425"/>
      <c r="N5" s="425"/>
      <c r="R5" s="263"/>
      <c r="W5" s="263"/>
    </row>
    <row r="6" spans="1:32" s="264" customFormat="1" ht="11.25" x14ac:dyDescent="0.2">
      <c r="B6" s="265"/>
      <c r="C6" s="266"/>
      <c r="D6" s="267" t="s">
        <v>176</v>
      </c>
      <c r="E6" s="266"/>
      <c r="F6" s="268"/>
      <c r="G6" s="268"/>
      <c r="H6" s="269"/>
      <c r="I6" s="270"/>
      <c r="J6" s="244"/>
      <c r="K6" s="268"/>
      <c r="L6" s="268"/>
      <c r="M6" s="271"/>
      <c r="N6" s="244"/>
      <c r="O6" s="244"/>
      <c r="P6" s="244"/>
      <c r="Q6" s="244"/>
      <c r="R6" s="243"/>
      <c r="S6" s="244"/>
      <c r="T6" s="244"/>
      <c r="U6" s="244"/>
      <c r="V6" s="244"/>
      <c r="W6" s="243"/>
      <c r="X6" s="244"/>
      <c r="Y6" s="244"/>
      <c r="Z6" s="272">
        <f>N4</f>
        <v>16</v>
      </c>
      <c r="AA6" s="244"/>
      <c r="AB6" s="243"/>
      <c r="AC6" s="244"/>
      <c r="AD6" s="243"/>
    </row>
    <row r="7" spans="1:32" s="218" customFormat="1" x14ac:dyDescent="0.2">
      <c r="A7" s="273" t="s">
        <v>0</v>
      </c>
      <c r="B7" s="273" t="s">
        <v>1</v>
      </c>
      <c r="C7" s="259"/>
      <c r="D7" s="267" t="s">
        <v>3</v>
      </c>
      <c r="E7" s="259"/>
      <c r="F7" s="274" t="s">
        <v>2</v>
      </c>
      <c r="G7" s="274" t="s">
        <v>4</v>
      </c>
      <c r="H7" s="341" t="s">
        <v>68</v>
      </c>
      <c r="I7" s="340" t="s">
        <v>86</v>
      </c>
      <c r="J7" s="256"/>
      <c r="K7" s="274" t="s">
        <v>6</v>
      </c>
      <c r="L7" s="274" t="s">
        <v>7</v>
      </c>
      <c r="M7" s="275" t="s">
        <v>5</v>
      </c>
      <c r="N7" s="256"/>
      <c r="O7" s="256" t="s">
        <v>10</v>
      </c>
      <c r="P7" s="256" t="s">
        <v>11</v>
      </c>
      <c r="Q7" s="256"/>
      <c r="R7" s="276" t="s">
        <v>9</v>
      </c>
      <c r="S7" s="256"/>
      <c r="T7" s="256" t="s">
        <v>66</v>
      </c>
      <c r="U7" s="256" t="s">
        <v>67</v>
      </c>
      <c r="V7" s="256"/>
      <c r="W7" s="276" t="s">
        <v>73</v>
      </c>
      <c r="X7" s="256"/>
      <c r="Y7" s="277" t="s">
        <v>12</v>
      </c>
      <c r="Z7" s="277" t="s">
        <v>13</v>
      </c>
      <c r="AA7" s="256"/>
      <c r="AB7" s="276" t="s">
        <v>8</v>
      </c>
      <c r="AC7" s="256"/>
      <c r="AD7" s="276" t="s">
        <v>74</v>
      </c>
    </row>
    <row r="8" spans="1:32" s="264" customFormat="1" ht="11.25" x14ac:dyDescent="0.2">
      <c r="B8" s="265"/>
      <c r="C8" s="266"/>
      <c r="D8" s="267"/>
      <c r="E8" s="266"/>
      <c r="F8" s="268"/>
      <c r="G8" s="268"/>
      <c r="H8" s="269"/>
      <c r="I8" s="270"/>
      <c r="J8" s="244"/>
      <c r="K8" s="268"/>
      <c r="L8" s="268"/>
      <c r="M8" s="271"/>
      <c r="N8" s="244"/>
      <c r="O8" s="244"/>
      <c r="P8" s="244"/>
      <c r="Q8" s="244"/>
      <c r="R8" s="243"/>
      <c r="S8" s="244"/>
      <c r="T8" s="244"/>
      <c r="U8" s="244"/>
      <c r="V8" s="244"/>
      <c r="W8" s="243"/>
      <c r="X8" s="244"/>
      <c r="Y8" s="244"/>
      <c r="Z8" s="244"/>
      <c r="AA8" s="244"/>
      <c r="AB8" s="243"/>
      <c r="AC8" s="244"/>
      <c r="AD8" s="243"/>
    </row>
    <row r="9" spans="1:32" s="52" customFormat="1" x14ac:dyDescent="0.2">
      <c r="A9" s="52" t="s">
        <v>19</v>
      </c>
      <c r="B9" s="53">
        <v>1</v>
      </c>
      <c r="C9" s="256"/>
      <c r="D9" s="278">
        <v>107</v>
      </c>
      <c r="E9" s="256"/>
      <c r="F9" s="279">
        <v>0</v>
      </c>
      <c r="G9" s="279">
        <v>0</v>
      </c>
      <c r="H9" s="342">
        <v>0</v>
      </c>
      <c r="I9" s="338">
        <v>0</v>
      </c>
      <c r="J9" s="280"/>
      <c r="K9" s="279">
        <v>384</v>
      </c>
      <c r="L9" s="279">
        <v>0</v>
      </c>
      <c r="M9" s="281">
        <f t="shared" ref="M9:M18" si="0">K9-L9+0.00000000001</f>
        <v>384.00000000001</v>
      </c>
      <c r="N9" s="256"/>
      <c r="O9" s="256">
        <f t="shared" ref="O9:O18" si="1">D9*(F9+G9)</f>
        <v>0</v>
      </c>
      <c r="P9" s="256">
        <f t="shared" ref="P9:P18" si="2">D9*(F9+M9)</f>
        <v>41088.00000000107</v>
      </c>
      <c r="Q9" s="256"/>
      <c r="R9" s="282">
        <f t="shared" ref="R9:R15" si="3">IF(O9/P9 &gt; 1,1,O9/P9)</f>
        <v>0</v>
      </c>
      <c r="S9" s="256"/>
      <c r="T9" s="256">
        <f t="shared" ref="T9" si="4">D9*(F9+G9+H9)</f>
        <v>0</v>
      </c>
      <c r="U9" s="256">
        <f t="shared" ref="U9" si="5">D9*(F9+H9+M9)</f>
        <v>41088.00000000107</v>
      </c>
      <c r="V9" s="256"/>
      <c r="W9" s="282">
        <f t="shared" ref="W9:W11" si="6">IF(T9/U9 &gt; 1,1,T9/U9)</f>
        <v>0</v>
      </c>
      <c r="X9" s="256"/>
      <c r="Y9" s="256">
        <f t="shared" ref="Y9:Y11" si="7">D9*(K9-G9)</f>
        <v>41088</v>
      </c>
      <c r="Z9" s="256">
        <f t="shared" ref="Z9:Z11" si="8">D9*(Z$6*24)</f>
        <v>41088</v>
      </c>
      <c r="AA9" s="256"/>
      <c r="AB9" s="282">
        <f t="shared" ref="AB9:AB11" si="9">Y9/Z9</f>
        <v>1</v>
      </c>
      <c r="AC9" s="256"/>
      <c r="AD9" s="282">
        <f t="shared" ref="AD9:AD11" si="10">T9/Z9</f>
        <v>0</v>
      </c>
      <c r="AF9" s="281"/>
    </row>
    <row r="10" spans="1:32" s="52" customFormat="1" x14ac:dyDescent="0.2">
      <c r="A10" s="52" t="s">
        <v>19</v>
      </c>
      <c r="B10" s="53">
        <v>2</v>
      </c>
      <c r="C10" s="256"/>
      <c r="D10" s="278">
        <v>168</v>
      </c>
      <c r="E10" s="256"/>
      <c r="F10" s="279">
        <v>0</v>
      </c>
      <c r="G10" s="279">
        <v>3.407</v>
      </c>
      <c r="H10" s="342">
        <v>0</v>
      </c>
      <c r="I10" s="338">
        <v>0</v>
      </c>
      <c r="J10" s="280"/>
      <c r="K10" s="279">
        <v>384</v>
      </c>
      <c r="L10" s="279">
        <v>0</v>
      </c>
      <c r="M10" s="281">
        <f t="shared" si="0"/>
        <v>384.00000000001</v>
      </c>
      <c r="N10" s="256"/>
      <c r="O10" s="256">
        <f t="shared" si="1"/>
        <v>572.37599999999998</v>
      </c>
      <c r="P10" s="256">
        <f t="shared" si="2"/>
        <v>64512.000000001681</v>
      </c>
      <c r="Q10" s="256"/>
      <c r="R10" s="282">
        <f t="shared" si="3"/>
        <v>8.8723958333331021E-3</v>
      </c>
      <c r="S10" s="256"/>
      <c r="T10" s="256">
        <f t="shared" ref="T10:T17" si="11">D10*(F10+G10+H10)</f>
        <v>572.37599999999998</v>
      </c>
      <c r="U10" s="256">
        <f t="shared" ref="U10:U17" si="12">D10*(F10+H10+M10)</f>
        <v>64512.000000001681</v>
      </c>
      <c r="V10" s="256"/>
      <c r="W10" s="282">
        <f t="shared" si="6"/>
        <v>8.8723958333331021E-3</v>
      </c>
      <c r="X10" s="256"/>
      <c r="Y10" s="256">
        <f t="shared" si="7"/>
        <v>63939.624000000003</v>
      </c>
      <c r="Z10" s="256">
        <f t="shared" si="8"/>
        <v>64512</v>
      </c>
      <c r="AA10" s="256"/>
      <c r="AB10" s="282">
        <f t="shared" si="9"/>
        <v>0.99112760416666668</v>
      </c>
      <c r="AC10" s="256"/>
      <c r="AD10" s="282">
        <f t="shared" si="10"/>
        <v>8.8723958333333328E-3</v>
      </c>
      <c r="AF10" s="281"/>
    </row>
    <row r="11" spans="1:32" s="52" customFormat="1" x14ac:dyDescent="0.2">
      <c r="A11" s="52" t="s">
        <v>19</v>
      </c>
      <c r="B11" s="53">
        <v>3</v>
      </c>
      <c r="C11" s="256"/>
      <c r="D11" s="278">
        <v>414</v>
      </c>
      <c r="E11" s="256"/>
      <c r="F11" s="279">
        <v>16.082999999999998</v>
      </c>
      <c r="G11" s="279">
        <v>0</v>
      </c>
      <c r="H11" s="342">
        <v>0</v>
      </c>
      <c r="I11" s="338">
        <v>1.244</v>
      </c>
      <c r="J11" s="280"/>
      <c r="K11" s="279">
        <v>367.91699999999997</v>
      </c>
      <c r="L11" s="279">
        <v>0</v>
      </c>
      <c r="M11" s="281">
        <f t="shared" si="0"/>
        <v>367.91700000000998</v>
      </c>
      <c r="N11" s="256"/>
      <c r="O11" s="256">
        <f t="shared" si="1"/>
        <v>6658.3619999999992</v>
      </c>
      <c r="P11" s="256">
        <f t="shared" si="2"/>
        <v>158976.00000000413</v>
      </c>
      <c r="Q11" s="256"/>
      <c r="R11" s="282">
        <f t="shared" si="3"/>
        <v>4.1882812499998909E-2</v>
      </c>
      <c r="S11" s="256"/>
      <c r="T11" s="256">
        <f t="shared" ref="T11" si="13">D11*(F11+G11+H11)</f>
        <v>6658.3619999999992</v>
      </c>
      <c r="U11" s="256">
        <f t="shared" ref="U11" si="14">D11*(F11+H11+M11)</f>
        <v>158976.00000000413</v>
      </c>
      <c r="V11" s="256"/>
      <c r="W11" s="282">
        <f t="shared" si="6"/>
        <v>4.1882812499998909E-2</v>
      </c>
      <c r="X11" s="256"/>
      <c r="Y11" s="256">
        <f t="shared" si="7"/>
        <v>152317.63799999998</v>
      </c>
      <c r="Z11" s="256">
        <f t="shared" si="8"/>
        <v>158976</v>
      </c>
      <c r="AA11" s="256"/>
      <c r="AB11" s="282">
        <f t="shared" si="9"/>
        <v>0.95811718749999986</v>
      </c>
      <c r="AC11" s="256"/>
      <c r="AD11" s="282">
        <f t="shared" si="10"/>
        <v>4.1882812499999998E-2</v>
      </c>
      <c r="AF11" s="281"/>
    </row>
    <row r="12" spans="1:32" s="52" customFormat="1" x14ac:dyDescent="0.2">
      <c r="A12" s="52" t="s">
        <v>19</v>
      </c>
      <c r="B12" s="53">
        <v>5</v>
      </c>
      <c r="C12" s="256"/>
      <c r="D12" s="278">
        <v>130</v>
      </c>
      <c r="E12" s="256"/>
      <c r="F12" s="279">
        <v>0</v>
      </c>
      <c r="G12" s="279">
        <v>0</v>
      </c>
      <c r="H12" s="342">
        <v>0</v>
      </c>
      <c r="I12" s="338">
        <v>0</v>
      </c>
      <c r="J12" s="280"/>
      <c r="K12" s="279">
        <v>384</v>
      </c>
      <c r="L12" s="279">
        <v>325.64999999999998</v>
      </c>
      <c r="M12" s="281">
        <f t="shared" si="0"/>
        <v>58.35000000001002</v>
      </c>
      <c r="N12" s="256"/>
      <c r="O12" s="256">
        <f t="shared" si="1"/>
        <v>0</v>
      </c>
      <c r="P12" s="256">
        <f t="shared" si="2"/>
        <v>7585.5000000013024</v>
      </c>
      <c r="Q12" s="256"/>
      <c r="R12" s="282">
        <f t="shared" si="3"/>
        <v>0</v>
      </c>
      <c r="S12" s="256"/>
      <c r="T12" s="256">
        <f t="shared" si="11"/>
        <v>0</v>
      </c>
      <c r="U12" s="256">
        <f t="shared" si="12"/>
        <v>7585.5000000013024</v>
      </c>
      <c r="V12" s="256"/>
      <c r="W12" s="282">
        <f t="shared" ref="W12:W16" si="15">IF(T12/U12 &gt; 1,1,T12/U12)</f>
        <v>0</v>
      </c>
      <c r="X12" s="256"/>
      <c r="Y12" s="256">
        <f t="shared" ref="Y12:Y16" si="16">D12*(K12-G12)</f>
        <v>49920</v>
      </c>
      <c r="Z12" s="256">
        <f t="shared" ref="Z12:Z16" si="17">D12*(Z$6*24)</f>
        <v>49920</v>
      </c>
      <c r="AA12" s="256"/>
      <c r="AB12" s="282">
        <f t="shared" ref="AB12:AB16" si="18">Y12/Z12</f>
        <v>1</v>
      </c>
      <c r="AC12" s="256"/>
      <c r="AD12" s="282">
        <f t="shared" ref="AD12:AD16" si="19">T12/Z12</f>
        <v>0</v>
      </c>
      <c r="AF12" s="281"/>
    </row>
    <row r="13" spans="1:32" s="52" customFormat="1" x14ac:dyDescent="0.2">
      <c r="A13" s="52" t="s">
        <v>19</v>
      </c>
      <c r="B13" s="53">
        <v>6</v>
      </c>
      <c r="C13" s="256"/>
      <c r="D13" s="278">
        <v>171</v>
      </c>
      <c r="E13" s="256"/>
      <c r="F13" s="279">
        <v>0</v>
      </c>
      <c r="G13" s="279">
        <v>0</v>
      </c>
      <c r="H13" s="342">
        <v>1.5</v>
      </c>
      <c r="I13" s="338">
        <v>0</v>
      </c>
      <c r="J13" s="280"/>
      <c r="K13" s="279">
        <v>382.5</v>
      </c>
      <c r="L13" s="279">
        <v>184.267</v>
      </c>
      <c r="M13" s="281">
        <f t="shared" si="0"/>
        <v>198.23300000001001</v>
      </c>
      <c r="N13" s="256"/>
      <c r="O13" s="256">
        <f t="shared" si="1"/>
        <v>0</v>
      </c>
      <c r="P13" s="256">
        <f t="shared" si="2"/>
        <v>33897.843000001711</v>
      </c>
      <c r="Q13" s="256"/>
      <c r="R13" s="282">
        <f t="shared" ref="R13" si="20">IF(O13/P13 &gt; 1,1,O13/P13)</f>
        <v>0</v>
      </c>
      <c r="S13" s="256"/>
      <c r="T13" s="256">
        <f t="shared" ref="T13" si="21">D13*(F13+G13+H13)</f>
        <v>256.5</v>
      </c>
      <c r="U13" s="256">
        <f t="shared" ref="U13" si="22">D13*(F13+H13+M13)</f>
        <v>34154.343000001711</v>
      </c>
      <c r="V13" s="256"/>
      <c r="W13" s="282">
        <f t="shared" si="15"/>
        <v>7.5100258845555061E-3</v>
      </c>
      <c r="X13" s="256"/>
      <c r="Y13" s="256">
        <f t="shared" si="16"/>
        <v>65407.5</v>
      </c>
      <c r="Z13" s="256">
        <f t="shared" si="17"/>
        <v>65664</v>
      </c>
      <c r="AA13" s="256"/>
      <c r="AB13" s="282">
        <f t="shared" si="18"/>
        <v>0.99609375</v>
      </c>
      <c r="AC13" s="256"/>
      <c r="AD13" s="282">
        <f t="shared" si="19"/>
        <v>3.90625E-3</v>
      </c>
      <c r="AF13" s="281"/>
    </row>
    <row r="14" spans="1:32" s="52" customFormat="1" x14ac:dyDescent="0.2">
      <c r="A14" s="52" t="s">
        <v>19</v>
      </c>
      <c r="B14" s="53">
        <v>7</v>
      </c>
      <c r="C14" s="256"/>
      <c r="D14" s="278">
        <v>171</v>
      </c>
      <c r="E14" s="256"/>
      <c r="F14" s="279">
        <v>2.3330000000000002</v>
      </c>
      <c r="G14" s="279">
        <v>0</v>
      </c>
      <c r="H14" s="342">
        <v>0</v>
      </c>
      <c r="I14" s="338">
        <v>0</v>
      </c>
      <c r="J14" s="280"/>
      <c r="K14" s="279">
        <v>381.66699999999997</v>
      </c>
      <c r="L14" s="279">
        <v>203.483</v>
      </c>
      <c r="M14" s="281">
        <f t="shared" si="0"/>
        <v>178.18400000000997</v>
      </c>
      <c r="N14" s="256"/>
      <c r="O14" s="256">
        <f t="shared" si="1"/>
        <v>398.94300000000004</v>
      </c>
      <c r="P14" s="256">
        <f t="shared" si="2"/>
        <v>30868.407000001705</v>
      </c>
      <c r="Q14" s="256"/>
      <c r="R14" s="282">
        <f t="shared" si="3"/>
        <v>1.292399053828654E-2</v>
      </c>
      <c r="S14" s="256"/>
      <c r="T14" s="256">
        <f t="shared" si="11"/>
        <v>398.94300000000004</v>
      </c>
      <c r="U14" s="256">
        <f t="shared" si="12"/>
        <v>30868.407000001705</v>
      </c>
      <c r="V14" s="256"/>
      <c r="W14" s="282">
        <f t="shared" si="15"/>
        <v>1.292399053828654E-2</v>
      </c>
      <c r="X14" s="256"/>
      <c r="Y14" s="256">
        <f t="shared" si="16"/>
        <v>65265.056999999993</v>
      </c>
      <c r="Z14" s="256">
        <f t="shared" si="17"/>
        <v>65664</v>
      </c>
      <c r="AA14" s="256"/>
      <c r="AB14" s="282">
        <f t="shared" si="18"/>
        <v>0.9939244791666666</v>
      </c>
      <c r="AC14" s="256"/>
      <c r="AD14" s="282">
        <f t="shared" si="19"/>
        <v>6.0755208333333338E-3</v>
      </c>
      <c r="AF14" s="281"/>
    </row>
    <row r="15" spans="1:32" s="52" customFormat="1" x14ac:dyDescent="0.2">
      <c r="A15" s="52" t="s">
        <v>19</v>
      </c>
      <c r="B15" s="53">
        <v>8</v>
      </c>
      <c r="C15" s="256"/>
      <c r="D15" s="278">
        <v>128</v>
      </c>
      <c r="E15" s="256"/>
      <c r="F15" s="279">
        <v>0</v>
      </c>
      <c r="G15" s="279">
        <v>0</v>
      </c>
      <c r="H15" s="342">
        <v>0</v>
      </c>
      <c r="I15" s="338">
        <v>0</v>
      </c>
      <c r="J15" s="280"/>
      <c r="K15" s="279">
        <v>384</v>
      </c>
      <c r="L15" s="279">
        <v>368.86700000000002</v>
      </c>
      <c r="M15" s="281">
        <f t="shared" si="0"/>
        <v>15.13300000000998</v>
      </c>
      <c r="N15" s="256"/>
      <c r="O15" s="256">
        <f t="shared" si="1"/>
        <v>0</v>
      </c>
      <c r="P15" s="256">
        <f t="shared" si="2"/>
        <v>1937.0240000012775</v>
      </c>
      <c r="Q15" s="256"/>
      <c r="R15" s="282">
        <f t="shared" si="3"/>
        <v>0</v>
      </c>
      <c r="S15" s="256"/>
      <c r="T15" s="256">
        <f t="shared" si="11"/>
        <v>0</v>
      </c>
      <c r="U15" s="256">
        <f t="shared" si="12"/>
        <v>1937.0240000012775</v>
      </c>
      <c r="V15" s="256"/>
      <c r="W15" s="282">
        <f t="shared" si="15"/>
        <v>0</v>
      </c>
      <c r="X15" s="256"/>
      <c r="Y15" s="256">
        <f t="shared" si="16"/>
        <v>49152</v>
      </c>
      <c r="Z15" s="256">
        <f t="shared" si="17"/>
        <v>49152</v>
      </c>
      <c r="AA15" s="256"/>
      <c r="AB15" s="282">
        <f t="shared" si="18"/>
        <v>1</v>
      </c>
      <c r="AC15" s="256"/>
      <c r="AD15" s="282">
        <f t="shared" si="19"/>
        <v>0</v>
      </c>
      <c r="AF15" s="281"/>
    </row>
    <row r="16" spans="1:32" s="52" customFormat="1" x14ac:dyDescent="0.2">
      <c r="A16" s="52" t="s">
        <v>19</v>
      </c>
      <c r="B16" s="53">
        <v>9</v>
      </c>
      <c r="C16" s="256"/>
      <c r="D16" s="278">
        <v>138</v>
      </c>
      <c r="E16" s="256"/>
      <c r="F16" s="279">
        <v>0</v>
      </c>
      <c r="G16" s="279">
        <v>0</v>
      </c>
      <c r="H16" s="342">
        <v>0</v>
      </c>
      <c r="I16" s="338">
        <v>0</v>
      </c>
      <c r="J16" s="280"/>
      <c r="K16" s="279">
        <v>384</v>
      </c>
      <c r="L16" s="279">
        <v>370.31700000000001</v>
      </c>
      <c r="M16" s="281">
        <f t="shared" si="0"/>
        <v>13.683000000009992</v>
      </c>
      <c r="N16" s="256"/>
      <c r="O16" s="256">
        <f t="shared" si="1"/>
        <v>0</v>
      </c>
      <c r="P16" s="256">
        <f t="shared" si="2"/>
        <v>1888.2540000013789</v>
      </c>
      <c r="Q16" s="256"/>
      <c r="R16" s="282">
        <f t="shared" ref="R16:R18" si="23">IF(O16/P16 &gt; 1,1,O16/P16)</f>
        <v>0</v>
      </c>
      <c r="S16" s="256"/>
      <c r="T16" s="256">
        <f t="shared" si="11"/>
        <v>0</v>
      </c>
      <c r="U16" s="256">
        <f t="shared" si="12"/>
        <v>1888.2540000013789</v>
      </c>
      <c r="V16" s="256"/>
      <c r="W16" s="282">
        <f t="shared" si="15"/>
        <v>0</v>
      </c>
      <c r="X16" s="256"/>
      <c r="Y16" s="256">
        <f t="shared" si="16"/>
        <v>52992</v>
      </c>
      <c r="Z16" s="256">
        <f t="shared" si="17"/>
        <v>52992</v>
      </c>
      <c r="AA16" s="256"/>
      <c r="AB16" s="282">
        <f t="shared" si="18"/>
        <v>1</v>
      </c>
      <c r="AC16" s="256"/>
      <c r="AD16" s="282">
        <f t="shared" si="19"/>
        <v>0</v>
      </c>
      <c r="AF16" s="281"/>
    </row>
    <row r="17" spans="1:32" s="52" customFormat="1" x14ac:dyDescent="0.2">
      <c r="A17" s="52" t="s">
        <v>19</v>
      </c>
      <c r="B17" s="53">
        <v>10</v>
      </c>
      <c r="C17" s="256"/>
      <c r="D17" s="278">
        <v>138</v>
      </c>
      <c r="E17" s="256"/>
      <c r="F17" s="279">
        <v>0</v>
      </c>
      <c r="G17" s="279">
        <v>0</v>
      </c>
      <c r="H17" s="342">
        <v>0</v>
      </c>
      <c r="I17" s="338">
        <v>0</v>
      </c>
      <c r="J17" s="280"/>
      <c r="K17" s="279">
        <v>384</v>
      </c>
      <c r="L17" s="279">
        <v>370.25</v>
      </c>
      <c r="M17" s="281">
        <f t="shared" si="0"/>
        <v>13.750000000009999</v>
      </c>
      <c r="N17" s="256"/>
      <c r="O17" s="256">
        <f t="shared" si="1"/>
        <v>0</v>
      </c>
      <c r="P17" s="256">
        <f t="shared" si="2"/>
        <v>1897.5000000013799</v>
      </c>
      <c r="Q17" s="256"/>
      <c r="R17" s="282">
        <f t="shared" si="23"/>
        <v>0</v>
      </c>
      <c r="S17" s="256"/>
      <c r="T17" s="256">
        <f t="shared" si="11"/>
        <v>0</v>
      </c>
      <c r="U17" s="256">
        <f t="shared" si="12"/>
        <v>1897.5000000013799</v>
      </c>
      <c r="V17" s="256"/>
      <c r="W17" s="282">
        <f t="shared" ref="W17" si="24">IF(T17/U17 &gt; 1,1,T17/U17)</f>
        <v>0</v>
      </c>
      <c r="X17" s="256"/>
      <c r="Y17" s="256">
        <f t="shared" ref="Y17" si="25">D17*(K17-G17)</f>
        <v>52992</v>
      </c>
      <c r="Z17" s="256">
        <f t="shared" ref="Z17" si="26">D17*(Z$6*24)</f>
        <v>52992</v>
      </c>
      <c r="AA17" s="256"/>
      <c r="AB17" s="282">
        <f t="shared" ref="AB17" si="27">Y17/Z17</f>
        <v>1</v>
      </c>
      <c r="AC17" s="256"/>
      <c r="AD17" s="282">
        <f t="shared" ref="AD17" si="28">T17/Z17</f>
        <v>0</v>
      </c>
      <c r="AF17" s="281"/>
    </row>
    <row r="18" spans="1:32" s="54" customFormat="1" x14ac:dyDescent="0.2">
      <c r="A18" s="54" t="s">
        <v>19</v>
      </c>
      <c r="B18" s="283">
        <v>11</v>
      </c>
      <c r="C18" s="284"/>
      <c r="D18" s="285">
        <v>128</v>
      </c>
      <c r="E18" s="284"/>
      <c r="F18" s="286">
        <v>0</v>
      </c>
      <c r="G18" s="286">
        <v>0</v>
      </c>
      <c r="H18" s="343">
        <v>0</v>
      </c>
      <c r="I18" s="339">
        <v>0</v>
      </c>
      <c r="J18" s="280"/>
      <c r="K18" s="286">
        <v>384</v>
      </c>
      <c r="L18" s="286">
        <v>378.66699999999997</v>
      </c>
      <c r="M18" s="275">
        <f t="shared" si="0"/>
        <v>5.3330000000100268</v>
      </c>
      <c r="N18" s="284"/>
      <c r="O18" s="284">
        <f t="shared" si="1"/>
        <v>0</v>
      </c>
      <c r="P18" s="284">
        <f t="shared" si="2"/>
        <v>682.62400000128343</v>
      </c>
      <c r="Q18" s="284"/>
      <c r="R18" s="287">
        <f t="shared" si="23"/>
        <v>0</v>
      </c>
      <c r="S18" s="284"/>
      <c r="T18" s="284">
        <f t="shared" ref="T18" si="29">D18*(F18+G18+H18)</f>
        <v>0</v>
      </c>
      <c r="U18" s="284">
        <f t="shared" ref="U18" si="30">D18*(F18+H18+M18)</f>
        <v>682.62400000128343</v>
      </c>
      <c r="V18" s="284"/>
      <c r="W18" s="287">
        <f t="shared" ref="W18" si="31">IF(T18/U18 &gt; 1,1,T18/U18)</f>
        <v>0</v>
      </c>
      <c r="X18" s="284"/>
      <c r="Y18" s="284">
        <f t="shared" ref="Y18" si="32">D18*(K18-G18)</f>
        <v>49152</v>
      </c>
      <c r="Z18" s="284">
        <f t="shared" ref="Z18" si="33">D18*(Z$6*24)</f>
        <v>49152</v>
      </c>
      <c r="AA18" s="284"/>
      <c r="AB18" s="287">
        <f t="shared" ref="AB18" si="34">Y18/Z18</f>
        <v>1</v>
      </c>
      <c r="AC18" s="284"/>
      <c r="AD18" s="287">
        <f t="shared" ref="AD18" si="35">T18/Z18</f>
        <v>0</v>
      </c>
      <c r="AF18" s="275"/>
    </row>
    <row r="19" spans="1:32" s="52" customFormat="1" x14ac:dyDescent="0.2">
      <c r="A19" s="52" t="s">
        <v>19</v>
      </c>
      <c r="B19" s="53" t="s">
        <v>21</v>
      </c>
      <c r="C19" s="256"/>
      <c r="D19" s="278">
        <f>SUM(D$9:D$11)</f>
        <v>689</v>
      </c>
      <c r="E19" s="256"/>
      <c r="F19" s="260">
        <f>SUM(F$9:F$11)</f>
        <v>16.082999999999998</v>
      </c>
      <c r="G19" s="260">
        <f>SUM(G$9:G$11)</f>
        <v>3.407</v>
      </c>
      <c r="H19" s="260">
        <f>SUM(H$9:H$11)</f>
        <v>0</v>
      </c>
      <c r="I19" s="260">
        <f>SUM(I$9:I$11)</f>
        <v>1.244</v>
      </c>
      <c r="J19" s="256"/>
      <c r="K19" s="260">
        <f>SUM(K$9:K$11)</f>
        <v>1135.9169999999999</v>
      </c>
      <c r="L19" s="260">
        <f>SUM(L$9:L$11)</f>
        <v>0</v>
      </c>
      <c r="M19" s="281">
        <f>SUM(M$9:M$11)</f>
        <v>1135.9170000000299</v>
      </c>
      <c r="N19" s="256"/>
      <c r="O19" s="256">
        <f>SUM(O9:O11)</f>
        <v>7230.7379999999994</v>
      </c>
      <c r="P19" s="256">
        <f>SUM(P9:P11)</f>
        <v>264576.00000000687</v>
      </c>
      <c r="Q19" s="256"/>
      <c r="R19" s="257">
        <f>O19/P19</f>
        <v>2.7329531023221349E-2</v>
      </c>
      <c r="S19" s="256"/>
      <c r="T19" s="256">
        <f>SUM(T9:T11)</f>
        <v>7230.7379999999994</v>
      </c>
      <c r="U19" s="256">
        <f>SUM(U9:U11)</f>
        <v>264576.00000000687</v>
      </c>
      <c r="V19" s="256"/>
      <c r="W19" s="257">
        <f>T19/U19</f>
        <v>2.7329531023221349E-2</v>
      </c>
      <c r="X19" s="256"/>
      <c r="Y19" s="256">
        <f>SUM(Y9:Y11)</f>
        <v>257345.26199999999</v>
      </c>
      <c r="Z19" s="256">
        <f>SUM(Z9:Z11)</f>
        <v>264576</v>
      </c>
      <c r="AA19" s="256"/>
      <c r="AB19" s="257">
        <f>Y19/Z19</f>
        <v>0.97267046897677789</v>
      </c>
      <c r="AC19" s="256"/>
      <c r="AD19" s="257">
        <f t="shared" ref="AD19:AD76" si="36">T19/Z19</f>
        <v>2.7329531023222057E-2</v>
      </c>
    </row>
    <row r="20" spans="1:32" s="52" customFormat="1" x14ac:dyDescent="0.2">
      <c r="A20" s="52" t="s">
        <v>19</v>
      </c>
      <c r="B20" s="53" t="s">
        <v>22</v>
      </c>
      <c r="C20" s="256"/>
      <c r="D20" s="278">
        <f>SUM(D9:D18)</f>
        <v>1693</v>
      </c>
      <c r="E20" s="256"/>
      <c r="F20" s="260">
        <f>SUM(F9:F18)</f>
        <v>18.415999999999997</v>
      </c>
      <c r="G20" s="260">
        <f>SUM(G9:G18)</f>
        <v>3.407</v>
      </c>
      <c r="H20" s="260">
        <f>SUM(H9:H18)</f>
        <v>1.5</v>
      </c>
      <c r="I20" s="260">
        <f>SUM(I9:I18)</f>
        <v>1.244</v>
      </c>
      <c r="J20" s="256"/>
      <c r="K20" s="260">
        <f>SUM(K9:K18)</f>
        <v>3820.0839999999998</v>
      </c>
      <c r="L20" s="260">
        <f>SUM(L9:L18)</f>
        <v>2201.5010000000002</v>
      </c>
      <c r="M20" s="281">
        <f>SUM(M9:M18)</f>
        <v>1618.5830000000999</v>
      </c>
      <c r="N20" s="256"/>
      <c r="O20" s="256">
        <f>SUM(O9:O18)</f>
        <v>7629.6809999999996</v>
      </c>
      <c r="P20" s="256">
        <f>SUM(P9:P18)</f>
        <v>343333.15200001688</v>
      </c>
      <c r="Q20" s="256"/>
      <c r="R20" s="282">
        <f>O20/P20</f>
        <v>2.2222383581529653E-2</v>
      </c>
      <c r="S20" s="256"/>
      <c r="T20" s="256">
        <f>SUM(T9:T18)</f>
        <v>7886.1809999999996</v>
      </c>
      <c r="U20" s="256">
        <f>SUM(U9:U18)</f>
        <v>343589.65200001688</v>
      </c>
      <c r="V20" s="256"/>
      <c r="W20" s="282">
        <f>T20/U20</f>
        <v>2.2952323954155675E-2</v>
      </c>
      <c r="X20" s="256"/>
      <c r="Y20" s="256">
        <f>SUM(Y9:Y18)</f>
        <v>642225.8189999999</v>
      </c>
      <c r="Z20" s="256">
        <f>SUM(Z9:Z18)</f>
        <v>650112</v>
      </c>
      <c r="AA20" s="256"/>
      <c r="AB20" s="282">
        <f>Y20/Z20</f>
        <v>0.98786950402392193</v>
      </c>
      <c r="AC20" s="256"/>
      <c r="AD20" s="282">
        <f t="shared" si="36"/>
        <v>1.2130495976077968E-2</v>
      </c>
    </row>
    <row r="21" spans="1:32" x14ac:dyDescent="0.2">
      <c r="A21" s="52"/>
      <c r="B21" s="53"/>
      <c r="C21" s="256"/>
      <c r="D21" s="278"/>
      <c r="E21" s="256"/>
    </row>
    <row r="22" spans="1:32" s="52" customFormat="1" x14ac:dyDescent="0.2">
      <c r="A22" s="52" t="s">
        <v>16</v>
      </c>
      <c r="B22" s="53">
        <v>4</v>
      </c>
      <c r="C22" s="256"/>
      <c r="D22" s="278">
        <f>(155+155)/2</f>
        <v>155</v>
      </c>
      <c r="E22" s="256"/>
      <c r="F22" s="279">
        <v>0</v>
      </c>
      <c r="G22" s="279">
        <v>6.1289999999999996</v>
      </c>
      <c r="H22" s="344">
        <v>12.5</v>
      </c>
      <c r="I22" s="338">
        <v>0</v>
      </c>
      <c r="J22" s="298"/>
      <c r="K22" s="279">
        <v>371.5</v>
      </c>
      <c r="L22" s="279">
        <v>0</v>
      </c>
      <c r="M22" s="281">
        <f>K22-L22+0.00000000001</f>
        <v>371.50000000001</v>
      </c>
      <c r="N22" s="256"/>
      <c r="O22" s="256">
        <f>D22*(F22+G22)</f>
        <v>949.99499999999989</v>
      </c>
      <c r="P22" s="256">
        <f>D22*(F22+M22)</f>
        <v>57582.50000000155</v>
      </c>
      <c r="Q22" s="256"/>
      <c r="R22" s="206">
        <f t="shared" ref="R22" si="37">O22/P22</f>
        <v>1.6497981157469272E-2</v>
      </c>
      <c r="S22" s="256"/>
      <c r="T22" s="256">
        <f t="shared" ref="T22" si="38">D22*(F22+G22+H22)</f>
        <v>2887.4949999999994</v>
      </c>
      <c r="U22" s="256">
        <f>D22*(F22+H22+M22)</f>
        <v>59520.00000000155</v>
      </c>
      <c r="V22" s="256"/>
      <c r="W22" s="206">
        <f t="shared" ref="W22" si="39">T22/U22</f>
        <v>4.851302083333206E-2</v>
      </c>
      <c r="X22" s="256"/>
      <c r="Y22" s="256">
        <f t="shared" ref="Y22" si="40">D22*(K22-G22)</f>
        <v>56632.504999999997</v>
      </c>
      <c r="Z22" s="256">
        <f>D22*(Z$6*24)</f>
        <v>59520</v>
      </c>
      <c r="AA22" s="256"/>
      <c r="AB22" s="282">
        <f t="shared" ref="AB22" si="41">Y22/Z22</f>
        <v>0.95148697916666658</v>
      </c>
      <c r="AC22" s="256"/>
      <c r="AD22" s="282">
        <f t="shared" ref="AD22" si="42">T22/Z22</f>
        <v>4.8513020833333323E-2</v>
      </c>
    </row>
    <row r="23" spans="1:32" s="52" customFormat="1" x14ac:dyDescent="0.2">
      <c r="A23" s="52" t="s">
        <v>16</v>
      </c>
      <c r="B23" s="53">
        <v>5</v>
      </c>
      <c r="C23" s="256"/>
      <c r="D23" s="278">
        <f>(168+168)/2</f>
        <v>168</v>
      </c>
      <c r="E23" s="256"/>
      <c r="F23" s="279">
        <v>61.35</v>
      </c>
      <c r="G23" s="279">
        <v>0</v>
      </c>
      <c r="H23" s="344">
        <v>5.3280000000000003</v>
      </c>
      <c r="I23" s="338">
        <v>0</v>
      </c>
      <c r="J23" s="298"/>
      <c r="K23" s="279">
        <v>322.64999999999998</v>
      </c>
      <c r="L23" s="279">
        <v>0</v>
      </c>
      <c r="M23" s="281">
        <f>K23-L23+0.00000000001</f>
        <v>322.65000000000998</v>
      </c>
      <c r="N23" s="256"/>
      <c r="O23" s="256">
        <f>D23*(F23+G23)</f>
        <v>10306.800000000001</v>
      </c>
      <c r="P23" s="256">
        <f>D23*(F23+M23)</f>
        <v>64512.000000001681</v>
      </c>
      <c r="Q23" s="256"/>
      <c r="R23" s="367">
        <f t="shared" ref="R23:R24" si="43">O23/P23</f>
        <v>0.15976562499999586</v>
      </c>
      <c r="S23" s="256"/>
      <c r="T23" s="256">
        <f t="shared" ref="T23" si="44">D23*(F23+G23+H23)</f>
        <v>11201.903999999999</v>
      </c>
      <c r="U23" s="256">
        <f>D23*(F23+H23+M23)</f>
        <v>65407.10400000168</v>
      </c>
      <c r="V23" s="256"/>
      <c r="W23" s="367">
        <f t="shared" ref="W23" si="45">T23/U23</f>
        <v>0.17126433238811048</v>
      </c>
      <c r="X23" s="256"/>
      <c r="Y23" s="256">
        <f t="shared" ref="Y23" si="46">D23*(K23-G23)</f>
        <v>54205.2</v>
      </c>
      <c r="Z23" s="256">
        <f>D23*(Z$6*24)</f>
        <v>64512</v>
      </c>
      <c r="AA23" s="256"/>
      <c r="AB23" s="282">
        <f t="shared" ref="AB23" si="47">Y23/Z23</f>
        <v>0.84023437499999998</v>
      </c>
      <c r="AC23" s="256"/>
      <c r="AD23" s="366">
        <f t="shared" ref="AD23:AD24" si="48">T23/Z23</f>
        <v>0.17364062499999997</v>
      </c>
    </row>
    <row r="24" spans="1:32" s="52" customFormat="1" x14ac:dyDescent="0.2">
      <c r="A24" s="52" t="s">
        <v>16</v>
      </c>
      <c r="B24" s="53">
        <v>6</v>
      </c>
      <c r="C24" s="256"/>
      <c r="D24" s="278">
        <f>(240+240)/2</f>
        <v>240</v>
      </c>
      <c r="E24" s="256"/>
      <c r="F24" s="279">
        <v>0</v>
      </c>
      <c r="G24" s="279">
        <v>5.4989999999999997</v>
      </c>
      <c r="H24" s="344">
        <v>0</v>
      </c>
      <c r="I24" s="338">
        <v>0</v>
      </c>
      <c r="J24" s="298"/>
      <c r="K24" s="279">
        <v>384</v>
      </c>
      <c r="L24" s="279">
        <v>0</v>
      </c>
      <c r="M24" s="281">
        <f>K24-L24+0.00000000001</f>
        <v>384.00000000001</v>
      </c>
      <c r="N24" s="256"/>
      <c r="O24" s="256">
        <f>D24*(F24+G24)</f>
        <v>1319.76</v>
      </c>
      <c r="P24" s="256">
        <f>D24*(F24+M24)</f>
        <v>92160.000000002401</v>
      </c>
      <c r="Q24" s="256"/>
      <c r="R24" s="206">
        <f t="shared" si="43"/>
        <v>1.4320312499999627E-2</v>
      </c>
      <c r="S24" s="256"/>
      <c r="T24" s="256">
        <f t="shared" ref="T24" si="49">D24*(F24+G24+H24)</f>
        <v>1319.76</v>
      </c>
      <c r="U24" s="256">
        <f>D24*(F24+H24+M24)</f>
        <v>92160.000000002401</v>
      </c>
      <c r="V24" s="256"/>
      <c r="W24" s="206">
        <f t="shared" ref="W24" si="50">T24/U24</f>
        <v>1.4320312499999627E-2</v>
      </c>
      <c r="X24" s="256"/>
      <c r="Y24" s="256">
        <f t="shared" ref="Y24" si="51">D24*(K24-G24)</f>
        <v>90840.239999999991</v>
      </c>
      <c r="Z24" s="256">
        <f>D24*(Z$6*24)</f>
        <v>92160</v>
      </c>
      <c r="AA24" s="256"/>
      <c r="AB24" s="282">
        <f t="shared" ref="AB24" si="52">Y24/Z24</f>
        <v>0.9856796874999999</v>
      </c>
      <c r="AC24" s="256"/>
      <c r="AD24" s="282">
        <f t="shared" si="48"/>
        <v>1.43203125E-2</v>
      </c>
    </row>
    <row r="25" spans="1:32" s="54" customFormat="1" x14ac:dyDescent="0.2">
      <c r="A25" s="54" t="s">
        <v>16</v>
      </c>
      <c r="B25" s="283">
        <v>11</v>
      </c>
      <c r="C25" s="284"/>
      <c r="D25" s="285">
        <f>(14+14)/2</f>
        <v>14</v>
      </c>
      <c r="E25" s="284"/>
      <c r="F25" s="286">
        <v>8.9169999999999998</v>
      </c>
      <c r="G25" s="286">
        <v>0</v>
      </c>
      <c r="H25" s="345">
        <v>0</v>
      </c>
      <c r="I25" s="339">
        <v>0</v>
      </c>
      <c r="J25" s="298"/>
      <c r="K25" s="286">
        <v>375.08300000000003</v>
      </c>
      <c r="L25" s="286">
        <v>375.08300000000003</v>
      </c>
      <c r="M25" s="275">
        <f>K25-L25+0.00000000001</f>
        <v>9.9999999999999994E-12</v>
      </c>
      <c r="N25" s="284"/>
      <c r="O25" s="284">
        <f>D25*(F25+G25)</f>
        <v>124.83799999999999</v>
      </c>
      <c r="P25" s="284">
        <f>D25*(F25+M25)</f>
        <v>124.83800000013998</v>
      </c>
      <c r="Q25" s="284"/>
      <c r="R25" s="371">
        <f>O25/P25</f>
        <v>0.99999999999887856</v>
      </c>
      <c r="S25" s="284"/>
      <c r="T25" s="284">
        <f>D25*(F25+G25+H25)</f>
        <v>124.83799999999999</v>
      </c>
      <c r="U25" s="284">
        <f>D25*(F25+H25+M25)</f>
        <v>124.83800000013998</v>
      </c>
      <c r="V25" s="284"/>
      <c r="W25" s="371">
        <f t="shared" ref="W25" si="53">T25/U25</f>
        <v>0.99999999999887856</v>
      </c>
      <c r="X25" s="284"/>
      <c r="Y25" s="284">
        <f>D25*(K25-G25)</f>
        <v>5251.1620000000003</v>
      </c>
      <c r="Z25" s="284">
        <f>D25*(Z$6*24)</f>
        <v>5376</v>
      </c>
      <c r="AA25" s="284"/>
      <c r="AB25" s="287">
        <f t="shared" ref="AB25:AB27" si="54">Y25/Z25</f>
        <v>0.9767786458333334</v>
      </c>
      <c r="AC25" s="284"/>
      <c r="AD25" s="287">
        <f t="shared" si="36"/>
        <v>2.3221354166666666E-2</v>
      </c>
    </row>
    <row r="26" spans="1:32" s="52" customFormat="1" x14ac:dyDescent="0.2">
      <c r="A26" s="52" t="s">
        <v>16</v>
      </c>
      <c r="B26" s="53" t="s">
        <v>21</v>
      </c>
      <c r="C26" s="256"/>
      <c r="D26" s="278">
        <f>SUM(D$22:D$24)</f>
        <v>563</v>
      </c>
      <c r="E26" s="256"/>
      <c r="F26" s="260">
        <f>SUM(F$22:F$24)</f>
        <v>61.35</v>
      </c>
      <c r="G26" s="260">
        <f>SUM(G$22:G$24)</f>
        <v>11.628</v>
      </c>
      <c r="H26" s="260">
        <f>SUM(H$22:H$24)</f>
        <v>17.827999999999999</v>
      </c>
      <c r="I26" s="260">
        <f>SUM(I$22:I$24)</f>
        <v>0</v>
      </c>
      <c r="J26" s="256"/>
      <c r="K26" s="260">
        <f>SUM(K$22:K$24)</f>
        <v>1078.1500000000001</v>
      </c>
      <c r="L26" s="260">
        <f>SUM(L$22:L$24)</f>
        <v>0</v>
      </c>
      <c r="M26" s="281">
        <f>SUM(M$22:M$24)</f>
        <v>1078.1500000000301</v>
      </c>
      <c r="N26" s="256"/>
      <c r="O26" s="256">
        <f>SUM(O22:O24)</f>
        <v>12576.555000000002</v>
      </c>
      <c r="P26" s="256">
        <f>SUM(P22:P24)</f>
        <v>214254.50000000565</v>
      </c>
      <c r="Q26" s="256"/>
      <c r="R26" s="257">
        <f t="shared" ref="R26:R30" si="55">O26/P26</f>
        <v>5.8699140508132484E-2</v>
      </c>
      <c r="S26" s="256"/>
      <c r="T26" s="256">
        <f>SUM(T22:T24)</f>
        <v>15409.158999999998</v>
      </c>
      <c r="U26" s="256">
        <f>SUM(U22:U24)</f>
        <v>217087.10400000564</v>
      </c>
      <c r="V26" s="256"/>
      <c r="W26" s="257">
        <f t="shared" ref="W26:W27" si="56">T26/U26</f>
        <v>7.098145728637846E-2</v>
      </c>
      <c r="X26" s="256"/>
      <c r="Y26" s="256">
        <f>SUM(Y22:Y24)</f>
        <v>201677.94499999998</v>
      </c>
      <c r="Z26" s="256">
        <f>SUM(Z22:Z24)</f>
        <v>216192</v>
      </c>
      <c r="AA26" s="256"/>
      <c r="AB26" s="257">
        <f t="shared" si="54"/>
        <v>0.93286497650236821</v>
      </c>
      <c r="AC26" s="256"/>
      <c r="AD26" s="257">
        <f t="shared" si="36"/>
        <v>7.1275343213439896E-2</v>
      </c>
    </row>
    <row r="27" spans="1:32" s="52" customFormat="1" x14ac:dyDescent="0.2">
      <c r="A27" s="52" t="s">
        <v>16</v>
      </c>
      <c r="B27" s="53" t="s">
        <v>22</v>
      </c>
      <c r="C27" s="256"/>
      <c r="D27" s="278">
        <f>SUM(D22:D25)</f>
        <v>577</v>
      </c>
      <c r="E27" s="256"/>
      <c r="F27" s="260">
        <f>SUM(F22:F25)</f>
        <v>70.266999999999996</v>
      </c>
      <c r="G27" s="260">
        <f>SUM(G22:G25)</f>
        <v>11.628</v>
      </c>
      <c r="H27" s="260">
        <f>SUM(H22:H25)</f>
        <v>17.827999999999999</v>
      </c>
      <c r="I27" s="260">
        <f>SUM(I22:I25)</f>
        <v>0</v>
      </c>
      <c r="J27" s="256"/>
      <c r="K27" s="260">
        <f>SUM(K22:K25)</f>
        <v>1453.2330000000002</v>
      </c>
      <c r="L27" s="260">
        <f>SUM(L22:L25)</f>
        <v>375.08300000000003</v>
      </c>
      <c r="M27" s="281">
        <f>SUM(M22:M25)</f>
        <v>1078.1500000000401</v>
      </c>
      <c r="N27" s="256"/>
      <c r="O27" s="256">
        <f>SUM(O22:O25)</f>
        <v>12701.393000000002</v>
      </c>
      <c r="P27" s="256">
        <f>SUM(P22:P25)</f>
        <v>214379.33800000578</v>
      </c>
      <c r="Q27" s="256"/>
      <c r="R27" s="282">
        <f t="shared" si="55"/>
        <v>5.9247281564045406E-2</v>
      </c>
      <c r="S27" s="256"/>
      <c r="T27" s="256">
        <f>SUM(T22:T25)</f>
        <v>15533.996999999998</v>
      </c>
      <c r="U27" s="256">
        <f>SUM(U22:U25)</f>
        <v>217211.94200000577</v>
      </c>
      <c r="V27" s="256"/>
      <c r="W27" s="282">
        <f t="shared" si="56"/>
        <v>7.1515391174945556E-2</v>
      </c>
      <c r="X27" s="256"/>
      <c r="Y27" s="256">
        <f>SUM(Y22:Y25)</f>
        <v>206929.10699999999</v>
      </c>
      <c r="Z27" s="256">
        <f>SUM(Z22:Z25)</f>
        <v>221568</v>
      </c>
      <c r="AA27" s="256"/>
      <c r="AB27" s="282">
        <f t="shared" si="54"/>
        <v>0.9339304728119584</v>
      </c>
      <c r="AC27" s="256"/>
      <c r="AD27" s="282">
        <f t="shared" si="36"/>
        <v>7.0109388539861345E-2</v>
      </c>
    </row>
    <row r="28" spans="1:32" x14ac:dyDescent="0.2">
      <c r="A28" s="52"/>
      <c r="B28" s="53"/>
      <c r="C28" s="256"/>
      <c r="D28" s="278"/>
      <c r="E28" s="256"/>
      <c r="R28" s="282"/>
      <c r="W28" s="282"/>
      <c r="AB28" s="282"/>
      <c r="AD28" s="282"/>
    </row>
    <row r="29" spans="1:32" s="52" customFormat="1" x14ac:dyDescent="0.2">
      <c r="A29" s="52" t="s">
        <v>17</v>
      </c>
      <c r="B29" s="53">
        <v>1</v>
      </c>
      <c r="C29" s="256"/>
      <c r="D29" s="278">
        <v>481</v>
      </c>
      <c r="E29" s="256"/>
      <c r="F29" s="279">
        <v>0</v>
      </c>
      <c r="G29" s="279">
        <v>3.165</v>
      </c>
      <c r="H29" s="344">
        <v>34.383000000000003</v>
      </c>
      <c r="I29" s="338">
        <v>0.84899999999999998</v>
      </c>
      <c r="J29" s="289"/>
      <c r="K29" s="279">
        <v>349.61700000000002</v>
      </c>
      <c r="L29" s="279">
        <v>0</v>
      </c>
      <c r="M29" s="281">
        <f>K29-L29+0.00000000001</f>
        <v>349.61700000001002</v>
      </c>
      <c r="N29" s="256"/>
      <c r="O29" s="256">
        <f>D29*(F29+G29)</f>
        <v>1522.365</v>
      </c>
      <c r="P29" s="256">
        <f>D29*(F29+M29)</f>
        <v>168165.77700000483</v>
      </c>
      <c r="Q29" s="256"/>
      <c r="R29" s="282">
        <f t="shared" si="55"/>
        <v>9.0527634525778469E-3</v>
      </c>
      <c r="S29" s="256"/>
      <c r="T29" s="256">
        <f>D29*(F29+G29+H29)</f>
        <v>18060.588</v>
      </c>
      <c r="U29" s="256">
        <f>D29*(F29+H29+M29)</f>
        <v>184704.0000000048</v>
      </c>
      <c r="V29" s="256"/>
      <c r="W29" s="353">
        <f t="shared" ref="W29" si="57">T29/U29</f>
        <v>9.778124999999746E-2</v>
      </c>
      <c r="X29" s="256"/>
      <c r="Y29" s="256">
        <f>D29*(K29-G29)</f>
        <v>166643.41200000001</v>
      </c>
      <c r="Z29" s="256">
        <f>D29*(Z$6*24)</f>
        <v>184704</v>
      </c>
      <c r="AA29" s="256"/>
      <c r="AB29" s="282">
        <f t="shared" ref="AB29" si="58">Y29/Z29</f>
        <v>0.90221875000000007</v>
      </c>
      <c r="AC29" s="256"/>
      <c r="AD29" s="353">
        <f t="shared" ref="AD29" si="59">T29/Z29</f>
        <v>9.778125E-2</v>
      </c>
    </row>
    <row r="30" spans="1:32" s="52" customFormat="1" x14ac:dyDescent="0.2">
      <c r="A30" s="52" t="s">
        <v>17</v>
      </c>
      <c r="B30" s="53">
        <v>2</v>
      </c>
      <c r="C30" s="256"/>
      <c r="D30" s="278">
        <v>477</v>
      </c>
      <c r="E30" s="256"/>
      <c r="F30" s="279">
        <v>0</v>
      </c>
      <c r="G30" s="279">
        <v>0.83199999999999996</v>
      </c>
      <c r="H30" s="344">
        <v>0</v>
      </c>
      <c r="I30" s="338">
        <v>0.67900000000000005</v>
      </c>
      <c r="J30" s="289"/>
      <c r="K30" s="279">
        <v>384</v>
      </c>
      <c r="L30" s="279">
        <v>0</v>
      </c>
      <c r="M30" s="281">
        <f>K30-L30+0.00000000001</f>
        <v>384.00000000001</v>
      </c>
      <c r="N30" s="256"/>
      <c r="O30" s="256">
        <f>D30*(F30+G30)</f>
        <v>396.86399999999998</v>
      </c>
      <c r="P30" s="256">
        <f>D30*(F30+M30)</f>
        <v>183168.00000000477</v>
      </c>
      <c r="Q30" s="256"/>
      <c r="R30" s="282">
        <f t="shared" si="55"/>
        <v>2.1666666666666102E-3</v>
      </c>
      <c r="S30" s="256"/>
      <c r="T30" s="256">
        <f>D30*(F30+G30+H30)</f>
        <v>396.86399999999998</v>
      </c>
      <c r="U30" s="256">
        <f>D30*(F30+H30+M30)</f>
        <v>183168.00000000477</v>
      </c>
      <c r="V30" s="256"/>
      <c r="W30" s="282">
        <f t="shared" ref="W30:W36" si="60">T30/U30</f>
        <v>2.1666666666666102E-3</v>
      </c>
      <c r="X30" s="256"/>
      <c r="Y30" s="256">
        <f>D30*(K30-G30)</f>
        <v>182771.136</v>
      </c>
      <c r="Z30" s="256">
        <f>D30*(Z$6*24)</f>
        <v>183168</v>
      </c>
      <c r="AA30" s="256"/>
      <c r="AB30" s="282">
        <f t="shared" ref="AB30:AB34" si="61">Y30/Z30</f>
        <v>0.99783333333333335</v>
      </c>
      <c r="AC30" s="256"/>
      <c r="AD30" s="282">
        <f t="shared" si="36"/>
        <v>2.1666666666666666E-3</v>
      </c>
    </row>
    <row r="31" spans="1:32" s="52" customFormat="1" x14ac:dyDescent="0.2">
      <c r="A31" s="52" t="s">
        <v>17</v>
      </c>
      <c r="B31" s="53">
        <v>3</v>
      </c>
      <c r="C31" s="256"/>
      <c r="D31" s="278">
        <v>482</v>
      </c>
      <c r="E31" s="256"/>
      <c r="F31" s="279">
        <v>0</v>
      </c>
      <c r="G31" s="279">
        <v>6.0049999999999999</v>
      </c>
      <c r="H31" s="344">
        <v>43.216999999999999</v>
      </c>
      <c r="I31" s="338">
        <v>9.3490000000000002</v>
      </c>
      <c r="J31" s="289"/>
      <c r="K31" s="279">
        <v>374.56700000000001</v>
      </c>
      <c r="L31" s="279">
        <v>0</v>
      </c>
      <c r="M31" s="281">
        <f>K31-L31+0.00000000001</f>
        <v>374.56700000001001</v>
      </c>
      <c r="N31" s="256"/>
      <c r="O31" s="256">
        <f>D31*(F31+G31)</f>
        <v>2894.41</v>
      </c>
      <c r="P31" s="256">
        <f>D31*(F31+M31)</f>
        <v>180541.29400000483</v>
      </c>
      <c r="Q31" s="256"/>
      <c r="R31" s="282">
        <f>O31/P31</f>
        <v>1.6031844770094106E-2</v>
      </c>
      <c r="S31" s="256"/>
      <c r="T31" s="256">
        <f>D31*(F31+G31+H31)</f>
        <v>23725.004000000001</v>
      </c>
      <c r="U31" s="256">
        <f>D31*(F31+H31+M31)</f>
        <v>201371.88800000481</v>
      </c>
      <c r="V31" s="256"/>
      <c r="W31" s="366">
        <f t="shared" si="60"/>
        <v>0.11781686230204801</v>
      </c>
      <c r="X31" s="256"/>
      <c r="Y31" s="256">
        <f>D31*(K31-G31)</f>
        <v>177646.88400000002</v>
      </c>
      <c r="Z31" s="256">
        <f>D31*(Z$6*24)</f>
        <v>185088</v>
      </c>
      <c r="AA31" s="256"/>
      <c r="AB31" s="282">
        <f t="shared" si="61"/>
        <v>0.9597968750000001</v>
      </c>
      <c r="AC31" s="256"/>
      <c r="AD31" s="366">
        <f t="shared" si="36"/>
        <v>0.12818229166666667</v>
      </c>
    </row>
    <row r="32" spans="1:32" s="54" customFormat="1" x14ac:dyDescent="0.2">
      <c r="A32" s="54" t="s">
        <v>17</v>
      </c>
      <c r="B32" s="283">
        <v>4</v>
      </c>
      <c r="C32" s="284"/>
      <c r="D32" s="285">
        <v>491</v>
      </c>
      <c r="E32" s="284"/>
      <c r="F32" s="286">
        <v>1.7829999999999999</v>
      </c>
      <c r="G32" s="286">
        <v>0.24299999999999999</v>
      </c>
      <c r="H32" s="345">
        <v>0</v>
      </c>
      <c r="I32" s="339">
        <v>0.58399999999999996</v>
      </c>
      <c r="J32" s="289"/>
      <c r="K32" s="286">
        <v>382.21699999999998</v>
      </c>
      <c r="L32" s="286">
        <v>0</v>
      </c>
      <c r="M32" s="275">
        <f>K32-L32+0.00000000001</f>
        <v>382.21700000000999</v>
      </c>
      <c r="N32" s="284"/>
      <c r="O32" s="284">
        <f>D32*(F32+G32)</f>
        <v>994.76599999999985</v>
      </c>
      <c r="P32" s="284">
        <f>D32*(F32+M32)</f>
        <v>188544.00000000492</v>
      </c>
      <c r="Q32" s="284"/>
      <c r="R32" s="287">
        <f>O32/P32</f>
        <v>5.2760416666665279E-3</v>
      </c>
      <c r="S32" s="284"/>
      <c r="T32" s="284">
        <f>D32*(F32+G32+H32)</f>
        <v>994.76599999999985</v>
      </c>
      <c r="U32" s="284">
        <f>D32*(F32+H32+M32)</f>
        <v>188544.00000000492</v>
      </c>
      <c r="V32" s="284"/>
      <c r="W32" s="287">
        <f t="shared" ref="W32" si="62">T32/U32</f>
        <v>5.2760416666665279E-3</v>
      </c>
      <c r="X32" s="284"/>
      <c r="Y32" s="284">
        <f>D32*(K32-G32)</f>
        <v>187549.234</v>
      </c>
      <c r="Z32" s="284">
        <f>D32*(Z$6*24)</f>
        <v>188544</v>
      </c>
      <c r="AA32" s="284"/>
      <c r="AB32" s="287">
        <f t="shared" si="61"/>
        <v>0.99472395833333327</v>
      </c>
      <c r="AC32" s="284"/>
      <c r="AD32" s="287">
        <f t="shared" si="36"/>
        <v>5.2760416666666659E-3</v>
      </c>
    </row>
    <row r="33" spans="1:32" s="52" customFormat="1" x14ac:dyDescent="0.2">
      <c r="A33" s="52" t="s">
        <v>17</v>
      </c>
      <c r="B33" s="53" t="s">
        <v>21</v>
      </c>
      <c r="C33" s="256"/>
      <c r="D33" s="278">
        <f>SUM(D29:D32)</f>
        <v>1931</v>
      </c>
      <c r="E33" s="256"/>
      <c r="F33" s="260">
        <f>SUM(F29:F32)</f>
        <v>1.7829999999999999</v>
      </c>
      <c r="G33" s="260">
        <f>SUM(G29:G32)</f>
        <v>10.244999999999999</v>
      </c>
      <c r="H33" s="260">
        <f>SUM(H29:H32)</f>
        <v>77.599999999999994</v>
      </c>
      <c r="I33" s="260">
        <f>SUM(I29:I32)</f>
        <v>11.461</v>
      </c>
      <c r="J33" s="256"/>
      <c r="K33" s="260">
        <f>SUM(K29:K32)</f>
        <v>1490.4009999999998</v>
      </c>
      <c r="L33" s="260">
        <f>SUM(L29:L32)</f>
        <v>0</v>
      </c>
      <c r="M33" s="281">
        <f>SUM(M29:M32)</f>
        <v>1490.4010000000399</v>
      </c>
      <c r="N33" s="256"/>
      <c r="O33" s="256">
        <f>SUM(O29:O32)</f>
        <v>5808.4049999999997</v>
      </c>
      <c r="P33" s="256">
        <f>SUM(P29:P32)</f>
        <v>720419.07100001932</v>
      </c>
      <c r="Q33" s="256"/>
      <c r="R33" s="257">
        <f>O33/P33</f>
        <v>8.0625364233310858E-3</v>
      </c>
      <c r="S33" s="256"/>
      <c r="T33" s="256">
        <f>SUM(T29:T32)</f>
        <v>43177.222000000009</v>
      </c>
      <c r="U33" s="256">
        <f>SUM(U29:U32)</f>
        <v>757787.88800001924</v>
      </c>
      <c r="V33" s="256"/>
      <c r="W33" s="257">
        <f t="shared" si="60"/>
        <v>5.6977978513162657E-2</v>
      </c>
      <c r="X33" s="256"/>
      <c r="Y33" s="256">
        <f>SUM(Y29:Y32)</f>
        <v>714610.66599999997</v>
      </c>
      <c r="Z33" s="256">
        <f>SUM(Z29:Z32)</f>
        <v>741504</v>
      </c>
      <c r="AA33" s="256"/>
      <c r="AB33" s="257">
        <f t="shared" si="61"/>
        <v>0.96373137029604694</v>
      </c>
      <c r="AC33" s="256"/>
      <c r="AD33" s="257">
        <f t="shared" si="36"/>
        <v>5.8229250280510972E-2</v>
      </c>
    </row>
    <row r="34" spans="1:32" s="52" customFormat="1" x14ac:dyDescent="0.2">
      <c r="A34" s="52" t="s">
        <v>17</v>
      </c>
      <c r="B34" s="53" t="s">
        <v>22</v>
      </c>
      <c r="C34" s="256"/>
      <c r="D34" s="278">
        <f>SUM(D29:D32)</f>
        <v>1931</v>
      </c>
      <c r="E34" s="256"/>
      <c r="F34" s="260">
        <f>SUM(F29:F32)</f>
        <v>1.7829999999999999</v>
      </c>
      <c r="G34" s="260">
        <f>SUM(G29:G32)</f>
        <v>10.244999999999999</v>
      </c>
      <c r="H34" s="260">
        <f>SUM(H29:H32)</f>
        <v>77.599999999999994</v>
      </c>
      <c r="I34" s="260">
        <f>SUM(I29:I32)</f>
        <v>11.461</v>
      </c>
      <c r="J34" s="256"/>
      <c r="K34" s="260">
        <f>SUM(K29:K32)</f>
        <v>1490.4009999999998</v>
      </c>
      <c r="L34" s="260">
        <f>SUM(L29:L32)</f>
        <v>0</v>
      </c>
      <c r="M34" s="281">
        <f>SUM(M29:M32)</f>
        <v>1490.4010000000399</v>
      </c>
      <c r="N34" s="256"/>
      <c r="O34" s="256">
        <f>SUM(O29:O32)</f>
        <v>5808.4049999999997</v>
      </c>
      <c r="P34" s="256">
        <f>SUM(P29:P32)</f>
        <v>720419.07100001932</v>
      </c>
      <c r="Q34" s="256"/>
      <c r="R34" s="282">
        <f>O34/P34</f>
        <v>8.0625364233310858E-3</v>
      </c>
      <c r="S34" s="256"/>
      <c r="T34" s="256">
        <f>SUM(T29:T32)</f>
        <v>43177.222000000009</v>
      </c>
      <c r="U34" s="256">
        <f>SUM(U29:U32)</f>
        <v>757787.88800001924</v>
      </c>
      <c r="V34" s="256"/>
      <c r="W34" s="282">
        <f t="shared" si="60"/>
        <v>5.6977978513162657E-2</v>
      </c>
      <c r="X34" s="256"/>
      <c r="Y34" s="256">
        <f>SUM(Y29:Y32)</f>
        <v>714610.66599999997</v>
      </c>
      <c r="Z34" s="256">
        <f>SUM(Z29:Z32)</f>
        <v>741504</v>
      </c>
      <c r="AA34" s="256"/>
      <c r="AB34" s="282">
        <f t="shared" si="61"/>
        <v>0.96373137029604694</v>
      </c>
      <c r="AC34" s="256"/>
      <c r="AD34" s="282">
        <f t="shared" si="36"/>
        <v>5.8229250280510972E-2</v>
      </c>
    </row>
    <row r="35" spans="1:32" s="52" customFormat="1" x14ac:dyDescent="0.2">
      <c r="B35" s="53"/>
      <c r="C35" s="256"/>
      <c r="D35" s="278"/>
      <c r="E35" s="256"/>
      <c r="F35" s="260"/>
      <c r="G35" s="260"/>
      <c r="H35" s="261"/>
      <c r="I35" s="262"/>
      <c r="J35" s="256"/>
      <c r="K35" s="260"/>
      <c r="L35" s="260"/>
      <c r="M35" s="281"/>
      <c r="N35" s="256"/>
      <c r="O35" s="256"/>
      <c r="P35" s="256"/>
      <c r="Q35" s="256"/>
      <c r="R35" s="257"/>
      <c r="S35" s="256"/>
      <c r="T35" s="256"/>
      <c r="U35" s="256"/>
      <c r="V35" s="256"/>
      <c r="W35" s="257"/>
      <c r="X35" s="256"/>
      <c r="Y35" s="256"/>
      <c r="Z35" s="256"/>
      <c r="AA35" s="256"/>
      <c r="AB35" s="257"/>
      <c r="AC35" s="256"/>
      <c r="AD35" s="257"/>
    </row>
    <row r="36" spans="1:32" s="52" customFormat="1" x14ac:dyDescent="0.2">
      <c r="A36" s="52" t="s">
        <v>18</v>
      </c>
      <c r="B36" s="53">
        <v>3</v>
      </c>
      <c r="C36" s="256"/>
      <c r="D36" s="278">
        <v>71</v>
      </c>
      <c r="E36" s="256"/>
      <c r="F36" s="279">
        <v>0</v>
      </c>
      <c r="G36" s="279">
        <v>1.5620000000000001</v>
      </c>
      <c r="H36" s="344">
        <v>0</v>
      </c>
      <c r="I36" s="338">
        <v>0</v>
      </c>
      <c r="J36" s="288"/>
      <c r="K36" s="279">
        <v>384</v>
      </c>
      <c r="L36" s="279">
        <v>0</v>
      </c>
      <c r="M36" s="281">
        <f>K36-L36+0.00000000001</f>
        <v>384.00000000001</v>
      </c>
      <c r="N36" s="256"/>
      <c r="O36" s="256">
        <f>D36*(F36+G36)</f>
        <v>110.902</v>
      </c>
      <c r="P36" s="256">
        <f>D36*(F36+M36)</f>
        <v>27264.000000000709</v>
      </c>
      <c r="Q36" s="256"/>
      <c r="R36" s="282">
        <f t="shared" ref="R36:R37" si="63">O36/P36</f>
        <v>4.0677083333332279E-3</v>
      </c>
      <c r="S36" s="256"/>
      <c r="T36" s="256">
        <f>D36*(F36+G36+H36)</f>
        <v>110.902</v>
      </c>
      <c r="U36" s="256">
        <f>D36*(F36+H36+M36)</f>
        <v>27264.000000000709</v>
      </c>
      <c r="V36" s="256"/>
      <c r="W36" s="282">
        <f t="shared" si="60"/>
        <v>4.0677083333332279E-3</v>
      </c>
      <c r="X36" s="256"/>
      <c r="Y36" s="256">
        <f>D36*(K36-G36)</f>
        <v>27153.097999999998</v>
      </c>
      <c r="Z36" s="256">
        <f>D36*(Z$6*24)</f>
        <v>27264</v>
      </c>
      <c r="AA36" s="256"/>
      <c r="AB36" s="282">
        <f>Y36/Z36</f>
        <v>0.99593229166666664</v>
      </c>
      <c r="AC36" s="256"/>
      <c r="AD36" s="282">
        <f t="shared" si="36"/>
        <v>4.0677083333333338E-3</v>
      </c>
    </row>
    <row r="37" spans="1:32" s="54" customFormat="1" x14ac:dyDescent="0.2">
      <c r="A37" s="54" t="s">
        <v>18</v>
      </c>
      <c r="B37" s="283">
        <v>4</v>
      </c>
      <c r="C37" s="284"/>
      <c r="D37" s="285">
        <v>98</v>
      </c>
      <c r="E37" s="284"/>
      <c r="F37" s="286">
        <v>37.25</v>
      </c>
      <c r="G37" s="286">
        <v>5.4779999999999998</v>
      </c>
      <c r="H37" s="345">
        <v>0</v>
      </c>
      <c r="I37" s="339">
        <v>0</v>
      </c>
      <c r="J37" s="290"/>
      <c r="K37" s="286">
        <v>346.75</v>
      </c>
      <c r="L37" s="286">
        <v>0</v>
      </c>
      <c r="M37" s="275">
        <f>K37-L37+0.00000000001</f>
        <v>346.75000000001</v>
      </c>
      <c r="N37" s="284"/>
      <c r="O37" s="284">
        <f>D37*(F37+G37)</f>
        <v>4187.3440000000001</v>
      </c>
      <c r="P37" s="284">
        <f>D37*(F37+M37)</f>
        <v>37632.000000000982</v>
      </c>
      <c r="Q37" s="284"/>
      <c r="R37" s="400">
        <f t="shared" si="63"/>
        <v>0.11127083333333043</v>
      </c>
      <c r="S37" s="284"/>
      <c r="T37" s="284">
        <f>D37*(F37+G37+H37)</f>
        <v>4187.3440000000001</v>
      </c>
      <c r="U37" s="284">
        <f>D37*(F37+H37+M37)</f>
        <v>37632.000000000982</v>
      </c>
      <c r="V37" s="284"/>
      <c r="W37" s="371">
        <f>T37/U37</f>
        <v>0.11127083333333043</v>
      </c>
      <c r="X37" s="284"/>
      <c r="Y37" s="284">
        <f>D37*(K37-G37)</f>
        <v>33444.656000000003</v>
      </c>
      <c r="Z37" s="284">
        <f>D37*(Z$6*24)</f>
        <v>37632</v>
      </c>
      <c r="AA37" s="284"/>
      <c r="AB37" s="287">
        <f>Y37/Z37</f>
        <v>0.88872916666666679</v>
      </c>
      <c r="AC37" s="284"/>
      <c r="AD37" s="400">
        <f t="shared" si="36"/>
        <v>0.11127083333333333</v>
      </c>
    </row>
    <row r="38" spans="1:32" s="52" customFormat="1" x14ac:dyDescent="0.2">
      <c r="A38" s="52" t="s">
        <v>18</v>
      </c>
      <c r="B38" s="53" t="s">
        <v>21</v>
      </c>
      <c r="C38" s="256"/>
      <c r="D38" s="278">
        <f>SUM(D36:D37)</f>
        <v>169</v>
      </c>
      <c r="E38" s="256"/>
      <c r="F38" s="260">
        <f>SUM(F36:F37)</f>
        <v>37.25</v>
      </c>
      <c r="G38" s="260">
        <f>SUM(G36:G37)</f>
        <v>7.04</v>
      </c>
      <c r="H38" s="260">
        <f>SUM(H36:H37)</f>
        <v>0</v>
      </c>
      <c r="I38" s="260">
        <f>SUM(I36:I37)</f>
        <v>0</v>
      </c>
      <c r="J38" s="256"/>
      <c r="K38" s="260">
        <f>SUM(K36:K37)</f>
        <v>730.75</v>
      </c>
      <c r="L38" s="260">
        <f>SUM(L36:L37)</f>
        <v>0</v>
      </c>
      <c r="M38" s="281">
        <f>SUM(M36:M37)</f>
        <v>730.75000000002001</v>
      </c>
      <c r="N38" s="256"/>
      <c r="O38" s="256">
        <f>SUM(O36:O37)</f>
        <v>4298.2460000000001</v>
      </c>
      <c r="P38" s="256">
        <f>SUM(P36:P37)</f>
        <v>64896.000000001688</v>
      </c>
      <c r="Q38" s="256"/>
      <c r="R38" s="257">
        <f>O38/P38</f>
        <v>6.6232834072976587E-2</v>
      </c>
      <c r="S38" s="256"/>
      <c r="T38" s="256">
        <f>SUM(T36:T37)</f>
        <v>4298.2460000000001</v>
      </c>
      <c r="U38" s="256">
        <f>SUM(U36:U37)</f>
        <v>64896.000000001688</v>
      </c>
      <c r="V38" s="256"/>
      <c r="W38" s="257">
        <f>T38/U38</f>
        <v>6.6232834072976587E-2</v>
      </c>
      <c r="X38" s="256"/>
      <c r="Y38" s="256">
        <f>SUM(Y36:Y37)</f>
        <v>60597.754000000001</v>
      </c>
      <c r="Z38" s="256">
        <f>SUM(Z36:Z37)</f>
        <v>64896</v>
      </c>
      <c r="AA38" s="256"/>
      <c r="AB38" s="257">
        <f>Y38/Z38</f>
        <v>0.93376716592702169</v>
      </c>
      <c r="AC38" s="256"/>
      <c r="AD38" s="257">
        <f t="shared" si="36"/>
        <v>6.6232834072978308E-2</v>
      </c>
    </row>
    <row r="39" spans="1:32" s="52" customFormat="1" x14ac:dyDescent="0.2">
      <c r="A39" s="52" t="s">
        <v>18</v>
      </c>
      <c r="B39" s="53" t="s">
        <v>22</v>
      </c>
      <c r="C39" s="256"/>
      <c r="D39" s="278">
        <f>SUM(D36:D37)</f>
        <v>169</v>
      </c>
      <c r="E39" s="256"/>
      <c r="F39" s="260">
        <f>SUM(F36:F37)</f>
        <v>37.25</v>
      </c>
      <c r="G39" s="260">
        <f>SUM(G36:G37)</f>
        <v>7.04</v>
      </c>
      <c r="H39" s="260">
        <f>SUM(H36:H37)</f>
        <v>0</v>
      </c>
      <c r="I39" s="260">
        <f>SUM(I36:I37)</f>
        <v>0</v>
      </c>
      <c r="J39" s="256"/>
      <c r="K39" s="260">
        <f>SUM(K36:K37)</f>
        <v>730.75</v>
      </c>
      <c r="L39" s="260">
        <f>SUM(L36:L37)</f>
        <v>0</v>
      </c>
      <c r="M39" s="281">
        <f>SUM(M36:M37)</f>
        <v>730.75000000002001</v>
      </c>
      <c r="N39" s="256"/>
      <c r="O39" s="256">
        <f>SUM(O36:O37)</f>
        <v>4298.2460000000001</v>
      </c>
      <c r="P39" s="256">
        <f>SUM(P36:P37)</f>
        <v>64896.000000001688</v>
      </c>
      <c r="Q39" s="256"/>
      <c r="R39" s="282">
        <f>O39/P39</f>
        <v>6.6232834072976587E-2</v>
      </c>
      <c r="S39" s="256"/>
      <c r="T39" s="256">
        <f>SUM(T36:T37)</f>
        <v>4298.2460000000001</v>
      </c>
      <c r="U39" s="256">
        <f>SUM(U36:U37)</f>
        <v>64896.000000001688</v>
      </c>
      <c r="V39" s="256"/>
      <c r="W39" s="282">
        <f>T39/U39</f>
        <v>6.6232834072976587E-2</v>
      </c>
      <c r="X39" s="256"/>
      <c r="Y39" s="256">
        <f>SUM(Y36:Y37)</f>
        <v>60597.754000000001</v>
      </c>
      <c r="Z39" s="256">
        <f>SUM(Z36:Z37)</f>
        <v>64896</v>
      </c>
      <c r="AA39" s="256"/>
      <c r="AB39" s="282">
        <f>Y39/Z39</f>
        <v>0.93376716592702169</v>
      </c>
      <c r="AC39" s="256"/>
      <c r="AD39" s="282">
        <f t="shared" si="36"/>
        <v>6.6232834072978308E-2</v>
      </c>
    </row>
    <row r="40" spans="1:32" x14ac:dyDescent="0.2">
      <c r="A40" s="52"/>
      <c r="B40" s="53"/>
      <c r="C40" s="256"/>
      <c r="D40" s="278"/>
      <c r="E40" s="256"/>
    </row>
    <row r="41" spans="1:32" s="52" customFormat="1" x14ac:dyDescent="0.2">
      <c r="A41" s="52" t="s">
        <v>23</v>
      </c>
      <c r="B41" s="53">
        <v>1</v>
      </c>
      <c r="C41" s="256"/>
      <c r="D41" s="278">
        <v>14</v>
      </c>
      <c r="E41" s="256"/>
      <c r="F41" s="279">
        <v>16.2</v>
      </c>
      <c r="G41" s="279">
        <v>0</v>
      </c>
      <c r="H41" s="344">
        <v>0</v>
      </c>
      <c r="I41" s="338">
        <v>0</v>
      </c>
      <c r="J41" s="280"/>
      <c r="K41" s="279">
        <v>367.8</v>
      </c>
      <c r="L41" s="279">
        <v>367.8</v>
      </c>
      <c r="M41" s="281">
        <f>K41-L41+0.00000000001</f>
        <v>9.9999999999999994E-12</v>
      </c>
      <c r="N41" s="256"/>
      <c r="O41" s="256">
        <f>D41*(F41+G41)</f>
        <v>226.79999999999998</v>
      </c>
      <c r="P41" s="256">
        <f>D41*(F41+M41)</f>
        <v>226.80000000014002</v>
      </c>
      <c r="Q41" s="256"/>
      <c r="R41" s="366">
        <f>O41/P41</f>
        <v>0.9999999999993826</v>
      </c>
      <c r="S41" s="256"/>
      <c r="T41" s="256">
        <f>D41*(F41+G41+H41)</f>
        <v>226.79999999999998</v>
      </c>
      <c r="U41" s="256">
        <f>D41*(F41+H41+M41)</f>
        <v>226.80000000014002</v>
      </c>
      <c r="V41" s="256"/>
      <c r="W41" s="366">
        <f>T41/U41</f>
        <v>0.9999999999993826</v>
      </c>
      <c r="X41" s="256"/>
      <c r="Y41" s="256">
        <f>D41*(K41-G41)</f>
        <v>5149.2</v>
      </c>
      <c r="Z41" s="256">
        <f>D41*(Z$6*24)</f>
        <v>5376</v>
      </c>
      <c r="AA41" s="256"/>
      <c r="AB41" s="282">
        <f>Y41/Z41</f>
        <v>0.95781249999999996</v>
      </c>
      <c r="AC41" s="256"/>
      <c r="AD41" s="282">
        <f t="shared" ref="AD41" si="64">T41/Z41</f>
        <v>4.2187499999999996E-2</v>
      </c>
    </row>
    <row r="42" spans="1:32" s="54" customFormat="1" x14ac:dyDescent="0.2">
      <c r="A42" s="54" t="s">
        <v>23</v>
      </c>
      <c r="B42" s="283">
        <v>2</v>
      </c>
      <c r="C42" s="284"/>
      <c r="D42" s="285">
        <v>14</v>
      </c>
      <c r="E42" s="284"/>
      <c r="F42" s="286">
        <v>16.2</v>
      </c>
      <c r="G42" s="286">
        <v>0</v>
      </c>
      <c r="H42" s="345">
        <v>0</v>
      </c>
      <c r="I42" s="339">
        <v>0</v>
      </c>
      <c r="J42" s="346"/>
      <c r="K42" s="286">
        <v>367.8</v>
      </c>
      <c r="L42" s="286">
        <v>367.8</v>
      </c>
      <c r="M42" s="275">
        <f>K42-L42+0.00000000001</f>
        <v>9.9999999999999994E-12</v>
      </c>
      <c r="N42" s="284"/>
      <c r="O42" s="284">
        <f>D42*(F42+G42)</f>
        <v>226.79999999999998</v>
      </c>
      <c r="P42" s="284">
        <f>D42*(F42+M42)</f>
        <v>226.80000000014002</v>
      </c>
      <c r="Q42" s="284"/>
      <c r="R42" s="400">
        <f>O42/P42</f>
        <v>0.9999999999993826</v>
      </c>
      <c r="S42" s="284"/>
      <c r="T42" s="284">
        <f>D42*(F42+G42+H42)</f>
        <v>226.79999999999998</v>
      </c>
      <c r="U42" s="284">
        <f>D42*(F42+H42+M42)</f>
        <v>226.80000000014002</v>
      </c>
      <c r="V42" s="284"/>
      <c r="W42" s="400">
        <f>T42/U42</f>
        <v>0.9999999999993826</v>
      </c>
      <c r="X42" s="284"/>
      <c r="Y42" s="284">
        <f>D42*(K42-G42)</f>
        <v>5149.2</v>
      </c>
      <c r="Z42" s="284">
        <f>D42*(Z$6*24)</f>
        <v>5376</v>
      </c>
      <c r="AA42" s="284"/>
      <c r="AB42" s="287">
        <f>Y42/Z42</f>
        <v>0.95781249999999996</v>
      </c>
      <c r="AC42" s="284"/>
      <c r="AD42" s="287">
        <f t="shared" si="36"/>
        <v>4.2187499999999996E-2</v>
      </c>
    </row>
    <row r="43" spans="1:32" s="52" customFormat="1" x14ac:dyDescent="0.2">
      <c r="A43" s="52" t="s">
        <v>23</v>
      </c>
      <c r="B43" s="53" t="s">
        <v>21</v>
      </c>
      <c r="C43" s="256"/>
      <c r="D43" s="278">
        <v>0</v>
      </c>
      <c r="E43" s="256"/>
      <c r="F43" s="291" t="s">
        <v>30</v>
      </c>
      <c r="G43" s="291" t="s">
        <v>30</v>
      </c>
      <c r="H43" s="291" t="s">
        <v>30</v>
      </c>
      <c r="I43" s="291" t="s">
        <v>30</v>
      </c>
      <c r="J43" s="256"/>
      <c r="K43" s="291" t="s">
        <v>30</v>
      </c>
      <c r="L43" s="291" t="s">
        <v>30</v>
      </c>
      <c r="M43" s="292" t="s">
        <v>30</v>
      </c>
      <c r="N43" s="256"/>
      <c r="O43" s="256"/>
      <c r="P43" s="256"/>
      <c r="Q43" s="256"/>
      <c r="R43" s="293" t="s">
        <v>30</v>
      </c>
      <c r="S43" s="256"/>
      <c r="T43" s="256"/>
      <c r="U43" s="256"/>
      <c r="V43" s="256"/>
      <c r="W43" s="293" t="s">
        <v>30</v>
      </c>
      <c r="X43" s="256"/>
      <c r="Y43" s="256"/>
      <c r="Z43" s="256"/>
      <c r="AA43" s="256"/>
      <c r="AB43" s="293" t="s">
        <v>30</v>
      </c>
      <c r="AC43" s="256"/>
      <c r="AD43" s="293" t="s">
        <v>30</v>
      </c>
    </row>
    <row r="44" spans="1:32" s="52" customFormat="1" x14ac:dyDescent="0.2">
      <c r="A44" s="52" t="s">
        <v>23</v>
      </c>
      <c r="B44" s="53" t="s">
        <v>22</v>
      </c>
      <c r="C44" s="256"/>
      <c r="D44" s="278">
        <f>SUM(D41:D42)</f>
        <v>28</v>
      </c>
      <c r="E44" s="256"/>
      <c r="F44" s="260">
        <f>SUM(F41:F42)</f>
        <v>32.4</v>
      </c>
      <c r="G44" s="260">
        <f>SUM(G41:G42)</f>
        <v>0</v>
      </c>
      <c r="H44" s="260">
        <f>SUM(H41:H42)</f>
        <v>0</v>
      </c>
      <c r="I44" s="260">
        <f>SUM(I41:I42)</f>
        <v>0</v>
      </c>
      <c r="J44" s="256"/>
      <c r="K44" s="260">
        <f>SUM(K41:K42)</f>
        <v>735.6</v>
      </c>
      <c r="L44" s="260">
        <f>SUM(L41:L42)</f>
        <v>735.6</v>
      </c>
      <c r="M44" s="281">
        <f>SUM(M41:M42)</f>
        <v>1.9999999999999999E-11</v>
      </c>
      <c r="N44" s="256"/>
      <c r="O44" s="256">
        <f>SUM(O41:O42)</f>
        <v>453.59999999999997</v>
      </c>
      <c r="P44" s="256">
        <f>SUM(P41:P42)</f>
        <v>453.60000000028003</v>
      </c>
      <c r="Q44" s="256"/>
      <c r="R44" s="282">
        <f>O44/P44</f>
        <v>0.9999999999993826</v>
      </c>
      <c r="S44" s="256"/>
      <c r="T44" s="256">
        <f>SUM(T41:T42)</f>
        <v>453.59999999999997</v>
      </c>
      <c r="U44" s="256">
        <f>SUM(U41:U42)</f>
        <v>453.60000000028003</v>
      </c>
      <c r="V44" s="256"/>
      <c r="W44" s="282">
        <f>T44/U44</f>
        <v>0.9999999999993826</v>
      </c>
      <c r="X44" s="256"/>
      <c r="Y44" s="256">
        <f>SUM(Y41:Y42)</f>
        <v>10298.4</v>
      </c>
      <c r="Z44" s="256">
        <f>SUM(Z41:Z42)</f>
        <v>10752</v>
      </c>
      <c r="AA44" s="256"/>
      <c r="AB44" s="282">
        <f>Y44/Z44</f>
        <v>0.95781249999999996</v>
      </c>
      <c r="AC44" s="256"/>
      <c r="AD44" s="282">
        <f t="shared" si="36"/>
        <v>4.2187499999999996E-2</v>
      </c>
    </row>
    <row r="45" spans="1:32" x14ac:dyDescent="0.2">
      <c r="A45" s="52"/>
      <c r="B45" s="53"/>
      <c r="C45" s="256"/>
      <c r="D45" s="278"/>
      <c r="E45" s="256"/>
    </row>
    <row r="46" spans="1:32" s="52" customFormat="1" x14ac:dyDescent="0.2">
      <c r="A46" s="52" t="s">
        <v>14</v>
      </c>
      <c r="B46" s="53">
        <v>1</v>
      </c>
      <c r="C46" s="256"/>
      <c r="D46" s="278">
        <f>(303+303)/2</f>
        <v>303</v>
      </c>
      <c r="E46" s="256"/>
      <c r="F46" s="279">
        <v>0</v>
      </c>
      <c r="G46" s="279">
        <v>13.973000000000001</v>
      </c>
      <c r="H46" s="344">
        <v>2.2360000000000002</v>
      </c>
      <c r="I46" s="338">
        <v>0</v>
      </c>
      <c r="J46" s="298"/>
      <c r="K46" s="279">
        <v>384</v>
      </c>
      <c r="L46" s="279">
        <v>0</v>
      </c>
      <c r="M46" s="281">
        <f>K46-L46+0.00000000001</f>
        <v>384.00000000001</v>
      </c>
      <c r="N46" s="256"/>
      <c r="O46" s="256">
        <f>D46*(F46+G46)</f>
        <v>4233.8190000000004</v>
      </c>
      <c r="P46" s="256">
        <f>D46*(F46+M46)</f>
        <v>116352.00000000303</v>
      </c>
      <c r="Q46" s="256"/>
      <c r="R46" s="282">
        <f t="shared" ref="R46:R49" si="65">O46/P46</f>
        <v>3.6388020833332389E-2</v>
      </c>
      <c r="S46" s="256"/>
      <c r="T46" s="256">
        <f t="shared" ref="T46:T48" si="66">D46*(F46+G46+H46)</f>
        <v>4911.3270000000002</v>
      </c>
      <c r="U46" s="256">
        <f t="shared" ref="U46:U48" si="67">D46*(F46+H46+M46)</f>
        <v>117029.50800000303</v>
      </c>
      <c r="V46" s="256"/>
      <c r="W46" s="282">
        <f t="shared" ref="W46:W48" si="68">T46/U46</f>
        <v>4.196656966207081E-2</v>
      </c>
      <c r="X46" s="256"/>
      <c r="Y46" s="256">
        <f t="shared" ref="Y46:Y48" si="69">D46*(K46-G46)</f>
        <v>112118.181</v>
      </c>
      <c r="Z46" s="256">
        <f t="shared" ref="Z46:Z48" si="70">D46*(Z$6*24)</f>
        <v>116352</v>
      </c>
      <c r="AA46" s="256"/>
      <c r="AB46" s="282">
        <f t="shared" ref="AB46:AB48" si="71">Y46/Z46</f>
        <v>0.96361197916666663</v>
      </c>
      <c r="AC46" s="256"/>
      <c r="AD46" s="282">
        <f t="shared" ref="AD46:AD48" si="72">T46/Z46</f>
        <v>4.2210937500000004E-2</v>
      </c>
      <c r="AF46" s="294"/>
    </row>
    <row r="47" spans="1:32" s="52" customFormat="1" x14ac:dyDescent="0.2">
      <c r="A47" s="52" t="s">
        <v>14</v>
      </c>
      <c r="B47" s="53">
        <v>2</v>
      </c>
      <c r="C47" s="256"/>
      <c r="D47" s="278">
        <v>299</v>
      </c>
      <c r="E47" s="256"/>
      <c r="F47" s="279">
        <v>6.9669999999999996</v>
      </c>
      <c r="G47" s="279">
        <v>7.1130000000000004</v>
      </c>
      <c r="H47" s="344">
        <v>52.762</v>
      </c>
      <c r="I47" s="338">
        <v>0</v>
      </c>
      <c r="J47" s="298"/>
      <c r="K47" s="279">
        <v>329.56700000000001</v>
      </c>
      <c r="L47" s="279">
        <v>0</v>
      </c>
      <c r="M47" s="281">
        <f>K47-L47+0.00000000001</f>
        <v>329.56700000001001</v>
      </c>
      <c r="N47" s="256"/>
      <c r="O47" s="256">
        <f>D47*(F47+G47)</f>
        <v>4209.92</v>
      </c>
      <c r="P47" s="256">
        <f>D47*(F47+M47)</f>
        <v>100623.666000003</v>
      </c>
      <c r="Q47" s="256"/>
      <c r="R47" s="282">
        <f t="shared" si="65"/>
        <v>4.1838268941621293E-2</v>
      </c>
      <c r="S47" s="256"/>
      <c r="T47" s="256">
        <f t="shared" si="66"/>
        <v>19985.757999999998</v>
      </c>
      <c r="U47" s="256">
        <f t="shared" si="67"/>
        <v>116399.50400000298</v>
      </c>
      <c r="V47" s="256"/>
      <c r="W47" s="353">
        <f t="shared" si="68"/>
        <v>0.17169968353129311</v>
      </c>
      <c r="X47" s="256"/>
      <c r="Y47" s="256">
        <f t="shared" si="69"/>
        <v>96413.745999999999</v>
      </c>
      <c r="Z47" s="256">
        <f t="shared" si="70"/>
        <v>114816</v>
      </c>
      <c r="AA47" s="256"/>
      <c r="AB47" s="282">
        <f t="shared" si="71"/>
        <v>0.83972395833333335</v>
      </c>
      <c r="AC47" s="256"/>
      <c r="AD47" s="353">
        <f t="shared" si="72"/>
        <v>0.17406770833333332</v>
      </c>
      <c r="AF47" s="294"/>
    </row>
    <row r="48" spans="1:32" s="52" customFormat="1" x14ac:dyDescent="0.2">
      <c r="A48" s="52" t="s">
        <v>14</v>
      </c>
      <c r="B48" s="53">
        <v>3</v>
      </c>
      <c r="C48" s="256"/>
      <c r="D48" s="278">
        <v>394</v>
      </c>
      <c r="E48" s="256"/>
      <c r="F48" s="279">
        <v>0</v>
      </c>
      <c r="G48" s="279">
        <v>7.0949999999999998</v>
      </c>
      <c r="H48" s="344">
        <v>1.1080000000000001</v>
      </c>
      <c r="I48" s="338">
        <v>0</v>
      </c>
      <c r="J48" s="298"/>
      <c r="K48" s="279">
        <v>384</v>
      </c>
      <c r="L48" s="279">
        <v>0</v>
      </c>
      <c r="M48" s="281">
        <f>K48-L48+0.00000000001</f>
        <v>384.00000000001</v>
      </c>
      <c r="N48" s="256"/>
      <c r="O48" s="256">
        <f>D48*(F48+G48)</f>
        <v>2795.43</v>
      </c>
      <c r="P48" s="256">
        <f>D48*(F48+M48)</f>
        <v>151296.00000000393</v>
      </c>
      <c r="Q48" s="256"/>
      <c r="R48" s="282">
        <f t="shared" si="65"/>
        <v>1.8476562499999519E-2</v>
      </c>
      <c r="S48" s="256"/>
      <c r="T48" s="256">
        <f t="shared" si="66"/>
        <v>3231.982</v>
      </c>
      <c r="U48" s="256">
        <f t="shared" si="67"/>
        <v>151732.55200000395</v>
      </c>
      <c r="V48" s="256"/>
      <c r="W48" s="282">
        <f t="shared" si="68"/>
        <v>2.1300518296165714E-2</v>
      </c>
      <c r="X48" s="256"/>
      <c r="Y48" s="256">
        <f t="shared" si="69"/>
        <v>148500.56999999998</v>
      </c>
      <c r="Z48" s="256">
        <f t="shared" si="70"/>
        <v>151296</v>
      </c>
      <c r="AA48" s="256"/>
      <c r="AB48" s="282">
        <f t="shared" si="71"/>
        <v>0.98152343749999982</v>
      </c>
      <c r="AC48" s="256"/>
      <c r="AD48" s="282">
        <f t="shared" si="72"/>
        <v>2.1361979166666666E-2</v>
      </c>
      <c r="AF48" s="294"/>
    </row>
    <row r="49" spans="1:32" s="54" customFormat="1" x14ac:dyDescent="0.2">
      <c r="A49" s="54" t="s">
        <v>14</v>
      </c>
      <c r="B49" s="283">
        <v>4</v>
      </c>
      <c r="C49" s="284"/>
      <c r="D49" s="285">
        <v>486</v>
      </c>
      <c r="E49" s="284"/>
      <c r="F49" s="286">
        <v>0</v>
      </c>
      <c r="G49" s="286">
        <v>4.8460000000000001</v>
      </c>
      <c r="H49" s="345">
        <v>0.95299999999999996</v>
      </c>
      <c r="I49" s="339">
        <v>0</v>
      </c>
      <c r="J49" s="298"/>
      <c r="K49" s="279">
        <v>384</v>
      </c>
      <c r="L49" s="286">
        <v>0</v>
      </c>
      <c r="M49" s="275">
        <f>K49-L49+0.00000000001</f>
        <v>384.00000000001</v>
      </c>
      <c r="N49" s="284"/>
      <c r="O49" s="284">
        <f>D49*(F49+G49)</f>
        <v>2355.1559999999999</v>
      </c>
      <c r="P49" s="284">
        <f>D49*(F49+M49)</f>
        <v>186624.00000000486</v>
      </c>
      <c r="Q49" s="284"/>
      <c r="R49" s="287">
        <f t="shared" si="65"/>
        <v>1.2619791666666338E-2</v>
      </c>
      <c r="S49" s="284"/>
      <c r="T49" s="284">
        <f t="shared" ref="T49" si="73">D49*(F49+G49+H49)</f>
        <v>2818.3140000000003</v>
      </c>
      <c r="U49" s="284">
        <f>D49*(F49+H49+M49)</f>
        <v>187087.15800000486</v>
      </c>
      <c r="V49" s="284"/>
      <c r="W49" s="287">
        <f t="shared" ref="W49" si="74">T49/U49</f>
        <v>1.5064176665722439E-2</v>
      </c>
      <c r="X49" s="284"/>
      <c r="Y49" s="284">
        <f>D49*(K49-G49)</f>
        <v>184268.84400000001</v>
      </c>
      <c r="Z49" s="284">
        <f>D49*(Z$6*24)</f>
        <v>186624</v>
      </c>
      <c r="AA49" s="284"/>
      <c r="AB49" s="287">
        <f t="shared" ref="AB49" si="75">Y49/Z49</f>
        <v>0.9873802083333334</v>
      </c>
      <c r="AC49" s="284"/>
      <c r="AD49" s="287">
        <f t="shared" ref="AD49" si="76">T49/Z49</f>
        <v>1.5101562500000002E-2</v>
      </c>
      <c r="AF49" s="294"/>
    </row>
    <row r="50" spans="1:32" s="52" customFormat="1" x14ac:dyDescent="0.2">
      <c r="A50" s="52" t="s">
        <v>14</v>
      </c>
      <c r="B50" s="53" t="s">
        <v>21</v>
      </c>
      <c r="C50" s="256"/>
      <c r="D50" s="278">
        <f>SUM(D46:D49)</f>
        <v>1482</v>
      </c>
      <c r="E50" s="256"/>
      <c r="F50" s="260">
        <f>SUM(F46:F49)</f>
        <v>6.9669999999999996</v>
      </c>
      <c r="G50" s="260">
        <f>SUM(G46:G49)</f>
        <v>33.027000000000001</v>
      </c>
      <c r="H50" s="260">
        <f>SUM(H46:H49)</f>
        <v>57.058999999999997</v>
      </c>
      <c r="I50" s="260">
        <f>SUM(I46:I49)</f>
        <v>0</v>
      </c>
      <c r="J50" s="256"/>
      <c r="K50" s="260">
        <f>SUM(K46:K49)</f>
        <v>1481.567</v>
      </c>
      <c r="L50" s="260">
        <f>SUM(L46:L49)</f>
        <v>0</v>
      </c>
      <c r="M50" s="281">
        <f>SUM(M46:M49)</f>
        <v>1481.56700000004</v>
      </c>
      <c r="N50" s="256"/>
      <c r="O50" s="256">
        <f>SUM(O46:O49)</f>
        <v>13594.325000000001</v>
      </c>
      <c r="P50" s="256">
        <f>SUM(P46:P49)</f>
        <v>554895.66600001487</v>
      </c>
      <c r="Q50" s="256"/>
      <c r="R50" s="257">
        <f t="shared" ref="R50:R51" si="77">O50/P50</f>
        <v>2.4498884804769111E-2</v>
      </c>
      <c r="S50" s="256"/>
      <c r="T50" s="256">
        <f>SUM(T46:T49)</f>
        <v>30947.381000000001</v>
      </c>
      <c r="U50" s="256">
        <f>SUM(U46:U49)</f>
        <v>572248.72200001485</v>
      </c>
      <c r="V50" s="256"/>
      <c r="W50" s="257">
        <f t="shared" ref="W50:W51" si="78">T50/U50</f>
        <v>5.4080297273253149E-2</v>
      </c>
      <c r="X50" s="256"/>
      <c r="Y50" s="256">
        <f>SUM(Y46:Y49)</f>
        <v>541301.34100000001</v>
      </c>
      <c r="Z50" s="256">
        <f>SUM(Z46:Z49)</f>
        <v>569088</v>
      </c>
      <c r="AA50" s="256"/>
      <c r="AB50" s="257">
        <f t="shared" ref="AB50:AB51" si="79">Y50/Z50</f>
        <v>0.95117335280308146</v>
      </c>
      <c r="AC50" s="256"/>
      <c r="AD50" s="257">
        <f t="shared" si="36"/>
        <v>5.4380659933085919E-2</v>
      </c>
    </row>
    <row r="51" spans="1:32" s="52" customFormat="1" x14ac:dyDescent="0.2">
      <c r="A51" s="52" t="s">
        <v>14</v>
      </c>
      <c r="B51" s="53" t="s">
        <v>22</v>
      </c>
      <c r="C51" s="256"/>
      <c r="D51" s="278">
        <f>SUM(D46:D49)</f>
        <v>1482</v>
      </c>
      <c r="E51" s="256"/>
      <c r="F51" s="260">
        <f>SUM(F46:F49)</f>
        <v>6.9669999999999996</v>
      </c>
      <c r="G51" s="260">
        <f>SUM(G46:G49)</f>
        <v>33.027000000000001</v>
      </c>
      <c r="H51" s="260">
        <f>SUM(H46:H49)</f>
        <v>57.058999999999997</v>
      </c>
      <c r="I51" s="260">
        <f>SUM(I46:I49)</f>
        <v>0</v>
      </c>
      <c r="J51" s="256"/>
      <c r="K51" s="260">
        <f>SUM(K46:K49)</f>
        <v>1481.567</v>
      </c>
      <c r="L51" s="260">
        <f>SUM(L46:L49)</f>
        <v>0</v>
      </c>
      <c r="M51" s="281">
        <f>SUM(M46:M49)</f>
        <v>1481.56700000004</v>
      </c>
      <c r="N51" s="256"/>
      <c r="O51" s="256">
        <f>SUM(O46:O49)</f>
        <v>13594.325000000001</v>
      </c>
      <c r="P51" s="256">
        <f>SUM(P46:P49)</f>
        <v>554895.66600001487</v>
      </c>
      <c r="Q51" s="256"/>
      <c r="R51" s="282">
        <f t="shared" si="77"/>
        <v>2.4498884804769111E-2</v>
      </c>
      <c r="S51" s="256"/>
      <c r="T51" s="256">
        <f>SUM(T46:T49)</f>
        <v>30947.381000000001</v>
      </c>
      <c r="U51" s="256">
        <f>SUM(U46:U49)</f>
        <v>572248.72200001485</v>
      </c>
      <c r="V51" s="256"/>
      <c r="W51" s="282">
        <f t="shared" si="78"/>
        <v>5.4080297273253149E-2</v>
      </c>
      <c r="X51" s="256"/>
      <c r="Y51" s="256">
        <f>SUM(Y46:Y49)</f>
        <v>541301.34100000001</v>
      </c>
      <c r="Z51" s="256">
        <f>SUM(Z46:Z49)</f>
        <v>569088</v>
      </c>
      <c r="AA51" s="256"/>
      <c r="AB51" s="282">
        <f t="shared" si="79"/>
        <v>0.95117335280308146</v>
      </c>
      <c r="AC51" s="256"/>
      <c r="AD51" s="282">
        <f t="shared" si="36"/>
        <v>5.4380659933085919E-2</v>
      </c>
    </row>
    <row r="52" spans="1:32" x14ac:dyDescent="0.2">
      <c r="A52" s="52"/>
      <c r="B52" s="53"/>
      <c r="C52" s="256"/>
      <c r="D52" s="278"/>
      <c r="E52" s="256"/>
      <c r="L52" s="279"/>
    </row>
    <row r="53" spans="1:32" s="52" customFormat="1" x14ac:dyDescent="0.2">
      <c r="A53" s="295" t="s">
        <v>24</v>
      </c>
      <c r="B53" s="53">
        <v>11</v>
      </c>
      <c r="C53" s="256"/>
      <c r="D53" s="278">
        <v>13</v>
      </c>
      <c r="E53" s="256"/>
      <c r="F53" s="279">
        <v>0</v>
      </c>
      <c r="G53" s="279">
        <v>0</v>
      </c>
      <c r="H53" s="344">
        <v>0</v>
      </c>
      <c r="I53" s="338">
        <v>0</v>
      </c>
      <c r="J53" s="256"/>
      <c r="K53" s="279">
        <v>384</v>
      </c>
      <c r="L53" s="279">
        <v>384</v>
      </c>
      <c r="M53" s="281">
        <f>K53-L53+0.00000000001</f>
        <v>9.9999999999999994E-12</v>
      </c>
      <c r="N53" s="256"/>
      <c r="O53" s="256">
        <f>D53*(F53+G53)</f>
        <v>0</v>
      </c>
      <c r="P53" s="256">
        <f>D53*(F53+M53)</f>
        <v>1.2999999999999999E-10</v>
      </c>
      <c r="Q53" s="256"/>
      <c r="R53" s="282">
        <f>O53/P53</f>
        <v>0</v>
      </c>
      <c r="S53" s="256"/>
      <c r="T53" s="256">
        <f>D53*(F53+G53+H53)</f>
        <v>0</v>
      </c>
      <c r="U53" s="256">
        <f>D53*(F53+H53+M53)</f>
        <v>1.2999999999999999E-10</v>
      </c>
      <c r="V53" s="256"/>
      <c r="W53" s="282">
        <f>T53/U53</f>
        <v>0</v>
      </c>
      <c r="X53" s="256"/>
      <c r="Y53" s="256">
        <f>D53*(K53-G53)</f>
        <v>4992</v>
      </c>
      <c r="Z53" s="256">
        <f>D53*(Z$6*24)</f>
        <v>4992</v>
      </c>
      <c r="AA53" s="256"/>
      <c r="AB53" s="282">
        <f>Y53/Z53</f>
        <v>1</v>
      </c>
      <c r="AC53" s="256"/>
      <c r="AD53" s="282">
        <f t="shared" si="36"/>
        <v>0</v>
      </c>
    </row>
    <row r="54" spans="1:32" s="52" customFormat="1" x14ac:dyDescent="0.2">
      <c r="A54" s="295" t="s">
        <v>24</v>
      </c>
      <c r="B54" s="53">
        <v>12</v>
      </c>
      <c r="C54" s="256"/>
      <c r="D54" s="278">
        <v>28</v>
      </c>
      <c r="E54" s="256"/>
      <c r="F54" s="279">
        <v>0</v>
      </c>
      <c r="G54" s="279">
        <v>0</v>
      </c>
      <c r="H54" s="344">
        <v>0</v>
      </c>
      <c r="I54" s="338">
        <v>0</v>
      </c>
      <c r="J54" s="256"/>
      <c r="K54" s="279">
        <v>384</v>
      </c>
      <c r="L54" s="279">
        <v>384</v>
      </c>
      <c r="M54" s="281">
        <f>K54-L54+0.00000000001</f>
        <v>9.9999999999999994E-12</v>
      </c>
      <c r="N54" s="256"/>
      <c r="O54" s="256">
        <f>D54*(F54+G54)</f>
        <v>0</v>
      </c>
      <c r="P54" s="256">
        <f>D54*(F54+M54)</f>
        <v>2.7999999999999996E-10</v>
      </c>
      <c r="Q54" s="256"/>
      <c r="R54" s="282">
        <f>O54/P54</f>
        <v>0</v>
      </c>
      <c r="S54" s="256"/>
      <c r="T54" s="256">
        <f>D54*(F54+G54+H54)</f>
        <v>0</v>
      </c>
      <c r="U54" s="256">
        <f>D54*(F54+H54+M54)</f>
        <v>2.7999999999999996E-10</v>
      </c>
      <c r="V54" s="256"/>
      <c r="W54" s="282">
        <f>T54/U54</f>
        <v>0</v>
      </c>
      <c r="X54" s="256"/>
      <c r="Y54" s="256">
        <f t="shared" ref="Y54:Y55" si="80">D54*(K54-G54)</f>
        <v>10752</v>
      </c>
      <c r="Z54" s="256">
        <f>D54*(Z$6*24)</f>
        <v>10752</v>
      </c>
      <c r="AA54" s="256"/>
      <c r="AB54" s="282">
        <f t="shared" ref="AB54:AB55" si="81">Y54/Z54</f>
        <v>1</v>
      </c>
      <c r="AC54" s="256"/>
      <c r="AD54" s="282">
        <f t="shared" si="36"/>
        <v>0</v>
      </c>
    </row>
    <row r="55" spans="1:32" s="54" customFormat="1" x14ac:dyDescent="0.2">
      <c r="A55" s="296" t="s">
        <v>24</v>
      </c>
      <c r="B55" s="283">
        <v>13</v>
      </c>
      <c r="C55" s="284"/>
      <c r="D55" s="285">
        <v>175</v>
      </c>
      <c r="E55" s="284"/>
      <c r="F55" s="286">
        <v>0</v>
      </c>
      <c r="G55" s="286">
        <v>0</v>
      </c>
      <c r="H55" s="345">
        <v>0</v>
      </c>
      <c r="I55" s="339">
        <v>41.866999999999997</v>
      </c>
      <c r="J55" s="284"/>
      <c r="K55" s="286">
        <v>342.13299999999998</v>
      </c>
      <c r="L55" s="286">
        <v>342.13299999999998</v>
      </c>
      <c r="M55" s="275">
        <f>K55-L55+0.00000000001</f>
        <v>9.9999999999999994E-12</v>
      </c>
      <c r="N55" s="284"/>
      <c r="O55" s="284">
        <f>D55*(F55+G55)</f>
        <v>0</v>
      </c>
      <c r="P55" s="284">
        <f>D55*(F55+M55)</f>
        <v>1.75E-9</v>
      </c>
      <c r="Q55" s="284"/>
      <c r="R55" s="287">
        <f>O55/P55</f>
        <v>0</v>
      </c>
      <c r="S55" s="284"/>
      <c r="T55" s="284">
        <f>D55*(F55+G55+H55)</f>
        <v>0</v>
      </c>
      <c r="U55" s="284">
        <f>D55*(F55+H55+M55)</f>
        <v>1.75E-9</v>
      </c>
      <c r="V55" s="284"/>
      <c r="W55" s="287">
        <f>T55/(U55+D55*L55*(148-90)/148)</f>
        <v>0</v>
      </c>
      <c r="X55" s="284"/>
      <c r="Y55" s="284">
        <f t="shared" si="80"/>
        <v>59873.274999999994</v>
      </c>
      <c r="Z55" s="284">
        <f>D55*(Z$6*24)</f>
        <v>67200</v>
      </c>
      <c r="AA55" s="284"/>
      <c r="AB55" s="287">
        <f t="shared" si="81"/>
        <v>0.89097135416666662</v>
      </c>
      <c r="AC55" s="284"/>
      <c r="AD55" s="287">
        <f t="shared" ref="AD55" si="82">T55/Z55</f>
        <v>0</v>
      </c>
    </row>
    <row r="56" spans="1:32" s="52" customFormat="1" x14ac:dyDescent="0.2">
      <c r="A56" s="295" t="s">
        <v>24</v>
      </c>
      <c r="B56" s="53" t="s">
        <v>21</v>
      </c>
      <c r="C56" s="256"/>
      <c r="D56" s="278">
        <v>0</v>
      </c>
      <c r="E56" s="256"/>
      <c r="F56" s="291" t="s">
        <v>30</v>
      </c>
      <c r="G56" s="291" t="s">
        <v>30</v>
      </c>
      <c r="H56" s="291" t="s">
        <v>30</v>
      </c>
      <c r="I56" s="291" t="s">
        <v>30</v>
      </c>
      <c r="J56" s="256"/>
      <c r="K56" s="291" t="s">
        <v>30</v>
      </c>
      <c r="L56" s="291" t="s">
        <v>30</v>
      </c>
      <c r="M56" s="292" t="s">
        <v>30</v>
      </c>
      <c r="N56" s="256"/>
      <c r="O56" s="256"/>
      <c r="P56" s="256"/>
      <c r="Q56" s="256"/>
      <c r="R56" s="293" t="s">
        <v>30</v>
      </c>
      <c r="S56" s="256"/>
      <c r="T56" s="256"/>
      <c r="U56" s="256"/>
      <c r="V56" s="256"/>
      <c r="W56" s="293" t="s">
        <v>30</v>
      </c>
      <c r="X56" s="256"/>
      <c r="Y56" s="256"/>
      <c r="Z56" s="256"/>
      <c r="AA56" s="256"/>
      <c r="AB56" s="293" t="s">
        <v>30</v>
      </c>
      <c r="AC56" s="256"/>
      <c r="AD56" s="293" t="s">
        <v>30</v>
      </c>
    </row>
    <row r="57" spans="1:32" s="52" customFormat="1" x14ac:dyDescent="0.2">
      <c r="A57" s="295" t="s">
        <v>24</v>
      </c>
      <c r="B57" s="53" t="s">
        <v>22</v>
      </c>
      <c r="C57" s="256"/>
      <c r="D57" s="278">
        <f>SUM(D52:D55)</f>
        <v>216</v>
      </c>
      <c r="E57" s="256"/>
      <c r="F57" s="260">
        <f>SUM(F52:F55)</f>
        <v>0</v>
      </c>
      <c r="G57" s="260">
        <f>SUM(G52:G55)</f>
        <v>0</v>
      </c>
      <c r="H57" s="260">
        <f>SUM(H52:H55)</f>
        <v>0</v>
      </c>
      <c r="I57" s="260">
        <f>SUM(I52:I55)</f>
        <v>41.866999999999997</v>
      </c>
      <c r="J57" s="256"/>
      <c r="K57" s="260">
        <f>SUM(K52:K55)</f>
        <v>1110.133</v>
      </c>
      <c r="L57" s="260">
        <f>SUM(L52:L55)</f>
        <v>1110.133</v>
      </c>
      <c r="M57" s="281">
        <f>SUM(M52:M55)</f>
        <v>3E-11</v>
      </c>
      <c r="N57" s="256"/>
      <c r="O57" s="256">
        <f>SUM(O52:O55)</f>
        <v>0</v>
      </c>
      <c r="P57" s="256">
        <f>SUM(P52:P55)</f>
        <v>2.16E-9</v>
      </c>
      <c r="Q57" s="256"/>
      <c r="R57" s="257">
        <f>IF(O57/P57 &gt; 1,1,O57/P57)</f>
        <v>0</v>
      </c>
      <c r="S57" s="256"/>
      <c r="T57" s="256">
        <f>SUM(T52:T55)</f>
        <v>0</v>
      </c>
      <c r="U57" s="256">
        <f>SUM(U52:U55)</f>
        <v>2.16E-9</v>
      </c>
      <c r="V57" s="256"/>
      <c r="W57" s="257">
        <f>IF(T57/U57 &gt; 1,1,T57/U57)</f>
        <v>0</v>
      </c>
      <c r="X57" s="256"/>
      <c r="Y57" s="256">
        <f>SUM(Y52:Y55)</f>
        <v>75617.274999999994</v>
      </c>
      <c r="Z57" s="256">
        <f>SUM(Z52:Z55)</f>
        <v>82944</v>
      </c>
      <c r="AA57" s="256"/>
      <c r="AB57" s="257">
        <f>Y57/Z57</f>
        <v>0.91166660638503083</v>
      </c>
      <c r="AC57" s="256"/>
      <c r="AD57" s="257">
        <f t="shared" si="36"/>
        <v>0</v>
      </c>
    </row>
    <row r="58" spans="1:32" s="52" customFormat="1" x14ac:dyDescent="0.2">
      <c r="B58" s="53"/>
      <c r="C58" s="256"/>
      <c r="D58" s="278"/>
      <c r="E58" s="256"/>
      <c r="F58" s="260"/>
      <c r="G58" s="260"/>
      <c r="H58" s="261"/>
      <c r="I58" s="262"/>
      <c r="J58" s="256"/>
      <c r="K58" s="260"/>
      <c r="L58" s="260"/>
      <c r="M58" s="281"/>
      <c r="N58" s="256"/>
      <c r="O58" s="256"/>
      <c r="P58" s="256"/>
      <c r="Q58" s="256"/>
      <c r="R58" s="257"/>
      <c r="S58" s="256"/>
      <c r="T58" s="256"/>
      <c r="U58" s="256"/>
      <c r="V58" s="256"/>
      <c r="W58" s="257"/>
      <c r="X58" s="256"/>
      <c r="Y58" s="256"/>
      <c r="Z58" s="256"/>
      <c r="AA58" s="256"/>
      <c r="AB58" s="257"/>
      <c r="AC58" s="256"/>
      <c r="AD58" s="257"/>
    </row>
    <row r="59" spans="1:32" s="52" customFormat="1" x14ac:dyDescent="0.2">
      <c r="A59" s="297" t="s">
        <v>15</v>
      </c>
      <c r="B59" s="53" t="s">
        <v>144</v>
      </c>
      <c r="C59" s="256"/>
      <c r="D59" s="278">
        <v>383</v>
      </c>
      <c r="E59" s="256"/>
      <c r="F59" s="351">
        <v>0</v>
      </c>
      <c r="G59" s="351">
        <v>0.47499999999999998</v>
      </c>
      <c r="H59" s="342">
        <v>0</v>
      </c>
      <c r="I59" s="338">
        <v>0</v>
      </c>
      <c r="J59" s="298"/>
      <c r="K59" s="279">
        <v>384</v>
      </c>
      <c r="L59" s="351">
        <v>0</v>
      </c>
      <c r="M59" s="281">
        <f t="shared" ref="M59:M62" si="83">K59-L59+0.00000000001</f>
        <v>384.00000000001</v>
      </c>
      <c r="N59" s="256"/>
      <c r="O59" s="256">
        <f t="shared" ref="O59:O66" si="84">D59*(F59+G59)</f>
        <v>181.92499999999998</v>
      </c>
      <c r="P59" s="256">
        <f>D59*(F59+M59)+0.00000000001</f>
        <v>147072.00000000384</v>
      </c>
      <c r="Q59" s="256"/>
      <c r="R59" s="282">
        <f t="shared" ref="R59:R63" si="85">IF(O59/P59 &gt; 1,1,O59/P59)</f>
        <v>1.2369791666666343E-3</v>
      </c>
      <c r="S59" s="256"/>
      <c r="T59" s="256">
        <f t="shared" ref="T59" si="86">D59*(F59+G59+H59)</f>
        <v>181.92499999999998</v>
      </c>
      <c r="U59" s="256">
        <f t="shared" ref="U59" si="87">D59*(F59+H59+M59)</f>
        <v>147072.00000000384</v>
      </c>
      <c r="V59" s="256"/>
      <c r="W59" s="282">
        <f t="shared" ref="W59" si="88">IF(T59/U59 &gt; 1,1,T59/U59)</f>
        <v>1.2369791666666343E-3</v>
      </c>
      <c r="X59" s="256"/>
      <c r="Y59" s="256">
        <f t="shared" ref="Y59" si="89">D59*(K59-G59)</f>
        <v>146890.07499999998</v>
      </c>
      <c r="Z59" s="256">
        <f t="shared" ref="Z59" si="90">D59*(Z$6*24)</f>
        <v>147072</v>
      </c>
      <c r="AA59" s="256"/>
      <c r="AB59" s="282">
        <f t="shared" ref="AB59" si="91">Y59/Z59</f>
        <v>0.99876302083333324</v>
      </c>
      <c r="AC59" s="256"/>
      <c r="AD59" s="282">
        <f t="shared" ref="AD59" si="92">T59/Z59</f>
        <v>1.2369791666666666E-3</v>
      </c>
    </row>
    <row r="60" spans="1:32" s="52" customFormat="1" x14ac:dyDescent="0.2">
      <c r="A60" s="297" t="s">
        <v>15</v>
      </c>
      <c r="B60" s="53" t="s">
        <v>145</v>
      </c>
      <c r="C60" s="256"/>
      <c r="D60" s="278">
        <v>570</v>
      </c>
      <c r="E60" s="256"/>
      <c r="F60" s="351">
        <v>0</v>
      </c>
      <c r="G60" s="351">
        <v>0.41799999999999998</v>
      </c>
      <c r="H60" s="342">
        <v>0</v>
      </c>
      <c r="I60" s="338">
        <v>212.65</v>
      </c>
      <c r="J60" s="298"/>
      <c r="K60" s="279">
        <v>171.35</v>
      </c>
      <c r="L60" s="351">
        <v>0</v>
      </c>
      <c r="M60" s="281">
        <f t="shared" si="83"/>
        <v>171.35000000001</v>
      </c>
      <c r="N60" s="256"/>
      <c r="O60" s="256">
        <f t="shared" ref="O60" si="93">D60*(F60+G60)</f>
        <v>238.26</v>
      </c>
      <c r="P60" s="256">
        <f t="shared" ref="P60:P66" si="94">D60*(F60+M60)</f>
        <v>97669.500000005704</v>
      </c>
      <c r="Q60" s="256"/>
      <c r="R60" s="282">
        <f t="shared" si="85"/>
        <v>2.439451415231839E-3</v>
      </c>
      <c r="S60" s="256"/>
      <c r="T60" s="256">
        <f t="shared" ref="T60:T63" si="95">D60*(F60+G60+H60)</f>
        <v>238.26</v>
      </c>
      <c r="U60" s="256">
        <f t="shared" ref="U60:U63" si="96">D60*(F60+H60+M60)</f>
        <v>97669.500000005704</v>
      </c>
      <c r="V60" s="256"/>
      <c r="W60" s="282">
        <f t="shared" ref="W60:W63" si="97">IF(T60/U60 &gt; 1,1,T60/U60)</f>
        <v>2.439451415231839E-3</v>
      </c>
      <c r="X60" s="256"/>
      <c r="Y60" s="256">
        <f t="shared" ref="Y60:Y63" si="98">D60*(K60-G60)</f>
        <v>97431.239999999991</v>
      </c>
      <c r="Z60" s="256">
        <f t="shared" ref="Z60:Z63" si="99">D60*(Z$6*24)</f>
        <v>218880</v>
      </c>
      <c r="AA60" s="256"/>
      <c r="AB60" s="282">
        <f t="shared" ref="AB60:AB63" si="100">Y60/Z60</f>
        <v>0.44513541666666662</v>
      </c>
      <c r="AC60" s="256"/>
      <c r="AD60" s="282">
        <f t="shared" ref="AD60:AD63" si="101">T60/Z60</f>
        <v>1.0885416666666667E-3</v>
      </c>
    </row>
    <row r="61" spans="1:32" s="52" customFormat="1" x14ac:dyDescent="0.2">
      <c r="A61" s="297" t="s">
        <v>15</v>
      </c>
      <c r="B61" s="53">
        <v>5</v>
      </c>
      <c r="C61" s="256"/>
      <c r="D61" s="278">
        <v>176</v>
      </c>
      <c r="E61" s="256"/>
      <c r="F61" s="351">
        <v>2.3170000000000002</v>
      </c>
      <c r="G61" s="351">
        <v>0</v>
      </c>
      <c r="H61" s="342">
        <v>0</v>
      </c>
      <c r="I61" s="338">
        <v>0</v>
      </c>
      <c r="J61" s="298"/>
      <c r="K61" s="351">
        <v>381.68299999999999</v>
      </c>
      <c r="L61" s="351">
        <v>272.06700000000001</v>
      </c>
      <c r="M61" s="281">
        <f t="shared" si="83"/>
        <v>109.61600000000999</v>
      </c>
      <c r="N61" s="256"/>
      <c r="O61" s="256">
        <f t="shared" si="84"/>
        <v>407.79200000000003</v>
      </c>
      <c r="P61" s="256">
        <f t="shared" si="94"/>
        <v>19700.20800000176</v>
      </c>
      <c r="Q61" s="256"/>
      <c r="R61" s="282">
        <f t="shared" si="85"/>
        <v>2.0699882965700848E-2</v>
      </c>
      <c r="S61" s="256"/>
      <c r="T61" s="256">
        <f t="shared" si="95"/>
        <v>407.79200000000003</v>
      </c>
      <c r="U61" s="256">
        <f t="shared" si="96"/>
        <v>19700.20800000176</v>
      </c>
      <c r="V61" s="256"/>
      <c r="W61" s="282">
        <f t="shared" si="97"/>
        <v>2.0699882965700848E-2</v>
      </c>
      <c r="X61" s="256"/>
      <c r="Y61" s="256">
        <f t="shared" si="98"/>
        <v>67176.207999999999</v>
      </c>
      <c r="Z61" s="256">
        <f t="shared" si="99"/>
        <v>67584</v>
      </c>
      <c r="AA61" s="256"/>
      <c r="AB61" s="282">
        <f t="shared" si="100"/>
        <v>0.99396614583333331</v>
      </c>
      <c r="AC61" s="256"/>
      <c r="AD61" s="282">
        <f t="shared" si="101"/>
        <v>6.0338541666666674E-3</v>
      </c>
    </row>
    <row r="62" spans="1:32" s="52" customFormat="1" x14ac:dyDescent="0.2">
      <c r="A62" s="297" t="s">
        <v>15</v>
      </c>
      <c r="B62" s="53">
        <v>6</v>
      </c>
      <c r="C62" s="256"/>
      <c r="D62" s="278">
        <v>176</v>
      </c>
      <c r="E62" s="256"/>
      <c r="F62" s="351">
        <v>1.9670000000000001</v>
      </c>
      <c r="G62" s="351">
        <v>0</v>
      </c>
      <c r="H62" s="342">
        <v>4.3170000000000002</v>
      </c>
      <c r="I62" s="338">
        <v>0</v>
      </c>
      <c r="J62" s="298"/>
      <c r="K62" s="351">
        <v>377.71699999999998</v>
      </c>
      <c r="L62" s="351">
        <v>260.41699999999997</v>
      </c>
      <c r="M62" s="281">
        <f t="shared" si="83"/>
        <v>117.30000000001002</v>
      </c>
      <c r="N62" s="256"/>
      <c r="O62" s="256">
        <f t="shared" si="84"/>
        <v>346.19200000000001</v>
      </c>
      <c r="P62" s="256">
        <f t="shared" si="94"/>
        <v>20990.992000001763</v>
      </c>
      <c r="Q62" s="256"/>
      <c r="R62" s="282">
        <f t="shared" si="85"/>
        <v>1.6492407790921502E-2</v>
      </c>
      <c r="S62" s="256"/>
      <c r="T62" s="256">
        <f t="shared" si="95"/>
        <v>1105.9840000000002</v>
      </c>
      <c r="U62" s="256">
        <f t="shared" si="96"/>
        <v>21750.784000001764</v>
      </c>
      <c r="V62" s="256"/>
      <c r="W62" s="282">
        <f t="shared" si="97"/>
        <v>5.0848006214392567E-2</v>
      </c>
      <c r="X62" s="256"/>
      <c r="Y62" s="256">
        <f t="shared" si="98"/>
        <v>66478.191999999995</v>
      </c>
      <c r="Z62" s="256">
        <f t="shared" si="99"/>
        <v>67584</v>
      </c>
      <c r="AA62" s="256"/>
      <c r="AB62" s="282">
        <f t="shared" si="100"/>
        <v>0.98363802083333329</v>
      </c>
      <c r="AC62" s="256"/>
      <c r="AD62" s="282">
        <f t="shared" si="101"/>
        <v>1.6364583333333335E-2</v>
      </c>
    </row>
    <row r="63" spans="1:32" s="52" customFormat="1" x14ac:dyDescent="0.2">
      <c r="A63" s="297" t="s">
        <v>15</v>
      </c>
      <c r="B63" s="53">
        <v>7</v>
      </c>
      <c r="C63" s="256"/>
      <c r="D63" s="278">
        <v>176</v>
      </c>
      <c r="E63" s="256"/>
      <c r="F63" s="351">
        <v>0.217</v>
      </c>
      <c r="G63" s="351">
        <v>0</v>
      </c>
      <c r="H63" s="342">
        <v>0</v>
      </c>
      <c r="I63" s="338">
        <v>0</v>
      </c>
      <c r="J63" s="298"/>
      <c r="K63" s="351">
        <v>383.78300000000002</v>
      </c>
      <c r="L63" s="351">
        <v>246.21700000000001</v>
      </c>
      <c r="M63" s="281">
        <f>K63-L63+0.00000000001</f>
        <v>137.56600000001001</v>
      </c>
      <c r="N63" s="256"/>
      <c r="O63" s="256">
        <f t="shared" si="84"/>
        <v>38.192</v>
      </c>
      <c r="P63" s="256">
        <f t="shared" si="94"/>
        <v>24249.808000001765</v>
      </c>
      <c r="Q63" s="256"/>
      <c r="R63" s="282">
        <f t="shared" si="85"/>
        <v>1.5749403046818853E-3</v>
      </c>
      <c r="S63" s="256"/>
      <c r="T63" s="256">
        <f t="shared" si="95"/>
        <v>38.192</v>
      </c>
      <c r="U63" s="256">
        <f t="shared" si="96"/>
        <v>24249.808000001765</v>
      </c>
      <c r="V63" s="256"/>
      <c r="W63" s="282">
        <f t="shared" si="97"/>
        <v>1.5749403046818853E-3</v>
      </c>
      <c r="X63" s="256"/>
      <c r="Y63" s="256">
        <f t="shared" si="98"/>
        <v>67545.808000000005</v>
      </c>
      <c r="Z63" s="256">
        <f t="shared" si="99"/>
        <v>67584</v>
      </c>
      <c r="AA63" s="256"/>
      <c r="AB63" s="282">
        <f t="shared" si="100"/>
        <v>0.99943489583333345</v>
      </c>
      <c r="AC63" s="256"/>
      <c r="AD63" s="282">
        <f t="shared" si="101"/>
        <v>5.6510416666666666E-4</v>
      </c>
    </row>
    <row r="64" spans="1:32" s="52" customFormat="1" x14ac:dyDescent="0.2">
      <c r="A64" s="297" t="s">
        <v>15</v>
      </c>
      <c r="B64" s="53">
        <v>8</v>
      </c>
      <c r="C64" s="256"/>
      <c r="D64" s="278">
        <v>176</v>
      </c>
      <c r="E64" s="256"/>
      <c r="F64" s="351">
        <v>0</v>
      </c>
      <c r="G64" s="351">
        <v>0</v>
      </c>
      <c r="H64" s="342">
        <v>0</v>
      </c>
      <c r="I64" s="338">
        <v>0</v>
      </c>
      <c r="J64" s="298"/>
      <c r="K64" s="351">
        <v>384</v>
      </c>
      <c r="L64" s="351">
        <v>339.11700000000002</v>
      </c>
      <c r="M64" s="281">
        <f>K64-L64+0.00000000001</f>
        <v>44.883000000009979</v>
      </c>
      <c r="N64" s="256"/>
      <c r="O64" s="256">
        <f t="shared" si="84"/>
        <v>0</v>
      </c>
      <c r="P64" s="256">
        <f t="shared" si="94"/>
        <v>7899.4080000017566</v>
      </c>
      <c r="Q64" s="256"/>
      <c r="R64" s="282">
        <f t="shared" ref="R64:R66" si="102">IF(O64/P64 &gt; 1,1,O64/P64)</f>
        <v>0</v>
      </c>
      <c r="S64" s="256"/>
      <c r="T64" s="256">
        <f t="shared" ref="T64:T66" si="103">D64*(F64+G64+H64)</f>
        <v>0</v>
      </c>
      <c r="U64" s="256">
        <f t="shared" ref="U64:U66" si="104">D64*(F64+H64+M64)</f>
        <v>7899.4080000017566</v>
      </c>
      <c r="V64" s="256"/>
      <c r="W64" s="282">
        <f t="shared" ref="W64:W65" si="105">IF(T64/U64 &gt; 1,1,T64/U64)</f>
        <v>0</v>
      </c>
      <c r="X64" s="256"/>
      <c r="Y64" s="256">
        <f t="shared" ref="Y64" si="106">D64*(K64-G64)</f>
        <v>67584</v>
      </c>
      <c r="Z64" s="256">
        <f t="shared" ref="Z64:Z66" si="107">D64*(Z$6*24)</f>
        <v>67584</v>
      </c>
      <c r="AA64" s="256"/>
      <c r="AB64" s="282">
        <f>Y64/Z64</f>
        <v>1</v>
      </c>
      <c r="AC64" s="256"/>
      <c r="AD64" s="282">
        <f t="shared" si="36"/>
        <v>0</v>
      </c>
    </row>
    <row r="65" spans="1:31" s="52" customFormat="1" x14ac:dyDescent="0.2">
      <c r="A65" s="297" t="s">
        <v>15</v>
      </c>
      <c r="B65" s="53">
        <v>9</v>
      </c>
      <c r="C65" s="256"/>
      <c r="D65" s="278">
        <v>176</v>
      </c>
      <c r="E65" s="256"/>
      <c r="F65" s="351">
        <v>2.95</v>
      </c>
      <c r="G65" s="351">
        <v>1.4630000000000001</v>
      </c>
      <c r="H65" s="342">
        <v>0</v>
      </c>
      <c r="I65" s="338">
        <v>0</v>
      </c>
      <c r="J65" s="298"/>
      <c r="K65" s="351">
        <v>381.05</v>
      </c>
      <c r="L65" s="351">
        <v>238.68299999999999</v>
      </c>
      <c r="M65" s="281">
        <f>K65-L65+0.00000000001</f>
        <v>142.36700000001002</v>
      </c>
      <c r="N65" s="256"/>
      <c r="O65" s="256">
        <f t="shared" si="84"/>
        <v>776.6880000000001</v>
      </c>
      <c r="P65" s="256">
        <f t="shared" si="94"/>
        <v>25575.792000001762</v>
      </c>
      <c r="Q65" s="256"/>
      <c r="R65" s="282">
        <f t="shared" si="102"/>
        <v>3.0368091826831662E-2</v>
      </c>
      <c r="S65" s="256"/>
      <c r="T65" s="256">
        <f t="shared" si="103"/>
        <v>776.6880000000001</v>
      </c>
      <c r="U65" s="256">
        <f t="shared" si="104"/>
        <v>25575.792000001762</v>
      </c>
      <c r="V65" s="256"/>
      <c r="W65" s="282">
        <f t="shared" si="105"/>
        <v>3.0368091826831662E-2</v>
      </c>
      <c r="X65" s="256"/>
      <c r="Y65" s="256">
        <f t="shared" ref="Y65:Y66" si="108">D65*(K65-G65)</f>
        <v>66807.312000000005</v>
      </c>
      <c r="Z65" s="256">
        <f t="shared" si="107"/>
        <v>67584</v>
      </c>
      <c r="AA65" s="256"/>
      <c r="AB65" s="282">
        <f t="shared" ref="AB65:AB66" si="109">Y65/Z65</f>
        <v>0.98850781250000008</v>
      </c>
      <c r="AC65" s="256"/>
      <c r="AD65" s="282">
        <f t="shared" ref="AD65:AD66" si="110">T65/Z65</f>
        <v>1.1492187500000001E-2</v>
      </c>
    </row>
    <row r="66" spans="1:31" s="54" customFormat="1" x14ac:dyDescent="0.2">
      <c r="A66" s="299" t="s">
        <v>15</v>
      </c>
      <c r="B66" s="283">
        <v>10</v>
      </c>
      <c r="C66" s="284"/>
      <c r="D66" s="285">
        <v>176</v>
      </c>
      <c r="E66" s="284"/>
      <c r="F66" s="352">
        <v>0</v>
      </c>
      <c r="G66" s="352">
        <v>0</v>
      </c>
      <c r="H66" s="343">
        <v>0</v>
      </c>
      <c r="I66" s="339">
        <v>0</v>
      </c>
      <c r="J66" s="298"/>
      <c r="K66" s="352">
        <v>384</v>
      </c>
      <c r="L66" s="352">
        <v>315.56700000000001</v>
      </c>
      <c r="M66" s="275">
        <f>K66-L66+0.00000000001</f>
        <v>68.433000000009997</v>
      </c>
      <c r="N66" s="284"/>
      <c r="O66" s="284">
        <f t="shared" si="84"/>
        <v>0</v>
      </c>
      <c r="P66" s="284">
        <f t="shared" si="94"/>
        <v>12044.20800000176</v>
      </c>
      <c r="Q66" s="284"/>
      <c r="R66" s="287">
        <f t="shared" si="102"/>
        <v>0</v>
      </c>
      <c r="S66" s="284"/>
      <c r="T66" s="284">
        <f t="shared" si="103"/>
        <v>0</v>
      </c>
      <c r="U66" s="284">
        <f t="shared" si="104"/>
        <v>12044.20800000176</v>
      </c>
      <c r="V66" s="284"/>
      <c r="W66" s="287">
        <f t="shared" ref="W66" si="111">IF(T66/U66 &gt; 1,1,T66/U66)</f>
        <v>0</v>
      </c>
      <c r="X66" s="284"/>
      <c r="Y66" s="284">
        <f t="shared" si="108"/>
        <v>67584</v>
      </c>
      <c r="Z66" s="284">
        <f t="shared" si="107"/>
        <v>67584</v>
      </c>
      <c r="AA66" s="284"/>
      <c r="AB66" s="287">
        <f t="shared" si="109"/>
        <v>1</v>
      </c>
      <c r="AC66" s="284"/>
      <c r="AD66" s="287">
        <f t="shared" si="110"/>
        <v>0</v>
      </c>
    </row>
    <row r="67" spans="1:31" s="52" customFormat="1" x14ac:dyDescent="0.2">
      <c r="A67" s="297" t="s">
        <v>15</v>
      </c>
      <c r="B67" s="53" t="s">
        <v>21</v>
      </c>
      <c r="C67" s="256"/>
      <c r="D67" s="278">
        <f>SUM(D59:D60)</f>
        <v>953</v>
      </c>
      <c r="E67" s="256"/>
      <c r="F67" s="260">
        <f>SUM(F59:F60)</f>
        <v>0</v>
      </c>
      <c r="G67" s="260">
        <f t="shared" ref="G67:I67" si="112">SUM(G59:G60)</f>
        <v>0.89300000000000002</v>
      </c>
      <c r="H67" s="260">
        <f t="shared" si="112"/>
        <v>0</v>
      </c>
      <c r="I67" s="260">
        <f t="shared" si="112"/>
        <v>212.65</v>
      </c>
      <c r="J67" s="300"/>
      <c r="K67" s="260">
        <f t="shared" ref="K67:M67" si="113">SUM(K59:K60)</f>
        <v>555.35</v>
      </c>
      <c r="L67" s="260">
        <f t="shared" si="113"/>
        <v>0</v>
      </c>
      <c r="M67" s="281">
        <f t="shared" si="113"/>
        <v>555.35000000002003</v>
      </c>
      <c r="N67" s="256"/>
      <c r="O67" s="281">
        <f t="shared" ref="O67:P67" si="114">SUM(O59:O60)</f>
        <v>420.18499999999995</v>
      </c>
      <c r="P67" s="281">
        <f t="shared" si="114"/>
        <v>244741.50000000955</v>
      </c>
      <c r="Q67" s="256"/>
      <c r="R67" s="257">
        <f>O67/P67</f>
        <v>1.7168522706610182E-3</v>
      </c>
      <c r="S67" s="256"/>
      <c r="T67" s="281">
        <f t="shared" ref="T67:U67" si="115">SUM(T59:T60)</f>
        <v>420.18499999999995</v>
      </c>
      <c r="U67" s="281">
        <f t="shared" si="115"/>
        <v>244741.50000000955</v>
      </c>
      <c r="V67" s="256"/>
      <c r="W67" s="257">
        <f>T67/U67</f>
        <v>1.7168522706610182E-3</v>
      </c>
      <c r="X67" s="256"/>
      <c r="Y67" s="281">
        <f t="shared" ref="Y67:Z67" si="116">SUM(Y59:Y60)</f>
        <v>244321.31499999997</v>
      </c>
      <c r="Z67" s="281">
        <f t="shared" si="116"/>
        <v>365952</v>
      </c>
      <c r="AA67" s="256"/>
      <c r="AB67" s="257">
        <f t="shared" ref="AB67:AB68" si="117">Y67/Z67</f>
        <v>0.66763213481549488</v>
      </c>
      <c r="AC67" s="256"/>
      <c r="AD67" s="257">
        <f t="shared" si="36"/>
        <v>1.1481970313046519E-3</v>
      </c>
    </row>
    <row r="68" spans="1:31" s="52" customFormat="1" x14ac:dyDescent="0.2">
      <c r="A68" s="297" t="s">
        <v>15</v>
      </c>
      <c r="B68" s="53" t="s">
        <v>22</v>
      </c>
      <c r="C68" s="256"/>
      <c r="D68" s="278">
        <f>SUM(D59:D66)</f>
        <v>2009</v>
      </c>
      <c r="E68" s="256"/>
      <c r="F68" s="260">
        <f>SUM(F59:F66)</f>
        <v>7.4510000000000005</v>
      </c>
      <c r="G68" s="260">
        <f t="shared" ref="G68:I68" si="118">SUM(G59:G66)</f>
        <v>2.3559999999999999</v>
      </c>
      <c r="H68" s="260">
        <f t="shared" si="118"/>
        <v>4.3170000000000002</v>
      </c>
      <c r="I68" s="260">
        <f t="shared" si="118"/>
        <v>212.65</v>
      </c>
      <c r="J68" s="300"/>
      <c r="K68" s="260">
        <f t="shared" ref="K68:M68" si="119">SUM(K59:K66)</f>
        <v>2847.5830000000001</v>
      </c>
      <c r="L68" s="260">
        <f t="shared" si="119"/>
        <v>1672.068</v>
      </c>
      <c r="M68" s="281">
        <f t="shared" si="119"/>
        <v>1175.5150000000801</v>
      </c>
      <c r="N68" s="256"/>
      <c r="O68" s="281">
        <f t="shared" ref="O68:P68" si="120">SUM(O59:O66)</f>
        <v>1989.049</v>
      </c>
      <c r="P68" s="281">
        <f t="shared" si="120"/>
        <v>355201.91600002011</v>
      </c>
      <c r="Q68" s="256"/>
      <c r="R68" s="282">
        <f>O68/P68</f>
        <v>5.5997699066462452E-3</v>
      </c>
      <c r="S68" s="256"/>
      <c r="T68" s="281">
        <f t="shared" ref="T68:U68" si="121">SUM(T59:T66)</f>
        <v>2748.8410000000003</v>
      </c>
      <c r="U68" s="281">
        <f t="shared" si="121"/>
        <v>355961.70800002012</v>
      </c>
      <c r="V68" s="256"/>
      <c r="W68" s="282">
        <f>T68/U68</f>
        <v>7.722294106982555E-3</v>
      </c>
      <c r="X68" s="256"/>
      <c r="Y68" s="281">
        <f t="shared" ref="Y68:Z68" si="122">SUM(Y59:Y66)</f>
        <v>647496.83499999996</v>
      </c>
      <c r="Z68" s="281">
        <f t="shared" si="122"/>
        <v>771456</v>
      </c>
      <c r="AA68" s="256"/>
      <c r="AB68" s="282">
        <f t="shared" si="117"/>
        <v>0.83931790665961503</v>
      </c>
      <c r="AC68" s="256"/>
      <c r="AD68" s="282">
        <f t="shared" si="36"/>
        <v>3.563185716359715E-3</v>
      </c>
    </row>
    <row r="69" spans="1:31" x14ac:dyDescent="0.2">
      <c r="A69" s="52"/>
      <c r="B69" s="53"/>
      <c r="C69" s="256"/>
      <c r="D69" s="278"/>
      <c r="E69" s="256"/>
    </row>
    <row r="70" spans="1:31" s="54" customFormat="1" x14ac:dyDescent="0.2">
      <c r="A70" s="54" t="s">
        <v>20</v>
      </c>
      <c r="B70" s="283">
        <v>3</v>
      </c>
      <c r="C70" s="284"/>
      <c r="D70" s="285">
        <v>0</v>
      </c>
      <c r="E70" s="284"/>
      <c r="F70" s="301"/>
      <c r="G70" s="301"/>
      <c r="H70" s="302"/>
      <c r="I70" s="303"/>
      <c r="J70" s="290"/>
      <c r="K70" s="301"/>
      <c r="L70" s="301"/>
      <c r="M70" s="304"/>
      <c r="N70" s="284"/>
      <c r="O70" s="284">
        <f t="shared" ref="O70" si="123">D70*(F70+G70)</f>
        <v>0</v>
      </c>
      <c r="P70" s="284">
        <f>D70*(F70+M70)</f>
        <v>0</v>
      </c>
      <c r="Q70" s="284"/>
      <c r="R70" s="370"/>
      <c r="S70" s="284"/>
      <c r="T70" s="284">
        <f t="shared" ref="T70" si="124">D70*(F70+G70+H70)</f>
        <v>0</v>
      </c>
      <c r="U70" s="284">
        <f>D70*(F70+H70+M70)</f>
        <v>0</v>
      </c>
      <c r="V70" s="284"/>
      <c r="W70" s="275"/>
      <c r="X70" s="284"/>
      <c r="Y70" s="284">
        <f t="shared" ref="Y70" si="125">D70*(K70-G70)</f>
        <v>0</v>
      </c>
      <c r="Z70" s="284">
        <f>D70*(Z$6*24)</f>
        <v>0</v>
      </c>
      <c r="AA70" s="284"/>
      <c r="AB70" s="275"/>
      <c r="AC70" s="284"/>
      <c r="AD70" s="275"/>
      <c r="AE70" s="305"/>
    </row>
    <row r="71" spans="1:31" s="52" customFormat="1" x14ac:dyDescent="0.2">
      <c r="A71" s="52" t="s">
        <v>20</v>
      </c>
      <c r="B71" s="53" t="s">
        <v>21</v>
      </c>
      <c r="C71" s="256"/>
      <c r="D71" s="278">
        <f>SUM(D70:D70)</f>
        <v>0</v>
      </c>
      <c r="E71" s="256"/>
      <c r="F71" s="260">
        <f>SUM(F70:F70)</f>
        <v>0</v>
      </c>
      <c r="G71" s="260">
        <f>SUM(G70:G70)</f>
        <v>0</v>
      </c>
      <c r="H71" s="260">
        <f>SUM(H70:H70)</f>
        <v>0</v>
      </c>
      <c r="I71" s="260">
        <f>SUM(I70:I70)</f>
        <v>0</v>
      </c>
      <c r="J71" s="256"/>
      <c r="K71" s="260">
        <f>SUM(K70:K70)</f>
        <v>0</v>
      </c>
      <c r="L71" s="260">
        <f>SUM(L70:L70)</f>
        <v>0</v>
      </c>
      <c r="M71" s="281">
        <f>SUM(M70:M70)</f>
        <v>0</v>
      </c>
      <c r="N71" s="256"/>
      <c r="O71" s="256">
        <f>SUM(O70:O70)</f>
        <v>0</v>
      </c>
      <c r="P71" s="256">
        <f>SUM(P70:P70)</f>
        <v>0</v>
      </c>
      <c r="Q71" s="256"/>
      <c r="R71" s="282"/>
      <c r="S71" s="256"/>
      <c r="T71" s="256">
        <f>SUM(T70:T70)</f>
        <v>0</v>
      </c>
      <c r="U71" s="256">
        <f>SUM(U70:U70)</f>
        <v>0</v>
      </c>
      <c r="V71" s="256"/>
      <c r="W71" s="282"/>
      <c r="X71" s="256"/>
      <c r="Y71" s="256">
        <f>SUM(Y70:Y70)</f>
        <v>0</v>
      </c>
      <c r="Z71" s="256">
        <f>SUM(Z70:Z70)</f>
        <v>0</v>
      </c>
      <c r="AA71" s="256"/>
      <c r="AB71" s="282"/>
      <c r="AC71" s="256"/>
      <c r="AD71" s="282"/>
      <c r="AE71" s="306"/>
    </row>
    <row r="72" spans="1:31" s="52" customFormat="1" x14ac:dyDescent="0.2">
      <c r="A72" s="52" t="s">
        <v>20</v>
      </c>
      <c r="B72" s="53" t="s">
        <v>22</v>
      </c>
      <c r="C72" s="256"/>
      <c r="D72" s="278">
        <f>SUM(D70:D70)</f>
        <v>0</v>
      </c>
      <c r="E72" s="256"/>
      <c r="F72" s="260">
        <f>SUM(F70:F70)</f>
        <v>0</v>
      </c>
      <c r="G72" s="260">
        <f>SUM(G70:G70)</f>
        <v>0</v>
      </c>
      <c r="H72" s="260">
        <f>SUM(H70:H70)</f>
        <v>0</v>
      </c>
      <c r="I72" s="260">
        <f>SUM(I70:I70)</f>
        <v>0</v>
      </c>
      <c r="J72" s="256"/>
      <c r="K72" s="260">
        <f>SUM(K70:K70)</f>
        <v>0</v>
      </c>
      <c r="L72" s="260">
        <f>SUM(L70:L70)</f>
        <v>0</v>
      </c>
      <c r="M72" s="281">
        <f>SUM(M70:M70)</f>
        <v>0</v>
      </c>
      <c r="N72" s="256"/>
      <c r="O72" s="256">
        <f>SUM(O70:O70)</f>
        <v>0</v>
      </c>
      <c r="P72" s="256">
        <f>SUM(P70:P70)</f>
        <v>0</v>
      </c>
      <c r="Q72" s="256"/>
      <c r="R72" s="282"/>
      <c r="S72" s="256"/>
      <c r="T72" s="256">
        <f>SUM(T70:T70)</f>
        <v>0</v>
      </c>
      <c r="U72" s="256">
        <f>SUM(U70:U70)</f>
        <v>0</v>
      </c>
      <c r="V72" s="256"/>
      <c r="W72" s="282"/>
      <c r="X72" s="256"/>
      <c r="Y72" s="256">
        <f>SUM(Y70:Y70)</f>
        <v>0</v>
      </c>
      <c r="Z72" s="256">
        <f>SUM(Z70:Z70)</f>
        <v>0</v>
      </c>
      <c r="AA72" s="256"/>
      <c r="AB72" s="282"/>
      <c r="AC72" s="256"/>
      <c r="AD72" s="282"/>
    </row>
    <row r="73" spans="1:31" x14ac:dyDescent="0.2">
      <c r="A73" s="52"/>
      <c r="B73" s="53"/>
      <c r="C73" s="256"/>
      <c r="D73" s="278"/>
      <c r="E73" s="256"/>
    </row>
    <row r="74" spans="1:31" s="54" customFormat="1" x14ac:dyDescent="0.2">
      <c r="A74" s="54" t="s">
        <v>25</v>
      </c>
      <c r="B74" s="283">
        <v>1</v>
      </c>
      <c r="C74" s="284"/>
      <c r="D74" s="285">
        <v>16</v>
      </c>
      <c r="E74" s="284"/>
      <c r="F74" s="286">
        <v>0</v>
      </c>
      <c r="G74" s="286">
        <v>0</v>
      </c>
      <c r="H74" s="345">
        <v>0</v>
      </c>
      <c r="I74" s="339">
        <v>0</v>
      </c>
      <c r="J74" s="290"/>
      <c r="K74" s="352">
        <v>384</v>
      </c>
      <c r="L74" s="352">
        <v>384</v>
      </c>
      <c r="M74" s="275">
        <f>K74-L74+0.00000000001</f>
        <v>9.9999999999999994E-12</v>
      </c>
      <c r="N74" s="284"/>
      <c r="O74" s="284">
        <f>D74*(F74+G74)</f>
        <v>0</v>
      </c>
      <c r="P74" s="284">
        <f>D74*(F74+M74)</f>
        <v>1.5999999999999999E-10</v>
      </c>
      <c r="Q74" s="284"/>
      <c r="R74" s="287">
        <f t="shared" ref="R74" si="126">IF(O74/P74 &gt; 1,1,O74/P74)</f>
        <v>0</v>
      </c>
      <c r="S74" s="284"/>
      <c r="T74" s="284">
        <f>D74*(F74+G74+H74)</f>
        <v>0</v>
      </c>
      <c r="U74" s="284">
        <f>D74*(F74+H74+M74)</f>
        <v>1.5999999999999999E-10</v>
      </c>
      <c r="V74" s="284"/>
      <c r="W74" s="287">
        <f>T74/U74</f>
        <v>0</v>
      </c>
      <c r="X74" s="284"/>
      <c r="Y74" s="284">
        <f>D74*(K74-G74)</f>
        <v>6144</v>
      </c>
      <c r="Z74" s="284">
        <f>D74*(Z$6*24)</f>
        <v>6144</v>
      </c>
      <c r="AA74" s="284"/>
      <c r="AB74" s="287">
        <f>Y74/Z74</f>
        <v>1</v>
      </c>
      <c r="AC74" s="284"/>
      <c r="AD74" s="287">
        <f t="shared" si="36"/>
        <v>0</v>
      </c>
    </row>
    <row r="75" spans="1:31" s="52" customFormat="1" x14ac:dyDescent="0.2">
      <c r="A75" s="52" t="s">
        <v>25</v>
      </c>
      <c r="B75" s="53" t="s">
        <v>21</v>
      </c>
      <c r="C75" s="256"/>
      <c r="D75" s="278">
        <v>0</v>
      </c>
      <c r="E75" s="256"/>
      <c r="F75" s="307">
        <f>SUM(F74)</f>
        <v>0</v>
      </c>
      <c r="G75" s="307">
        <f>SUM(G74)</f>
        <v>0</v>
      </c>
      <c r="H75" s="307">
        <f>SUM(H74)</f>
        <v>0</v>
      </c>
      <c r="I75" s="307">
        <f>SUM(I74)</f>
        <v>0</v>
      </c>
      <c r="J75" s="308"/>
      <c r="K75" s="307">
        <f>SUM(K74)</f>
        <v>384</v>
      </c>
      <c r="L75" s="307">
        <f>SUM(L74)</f>
        <v>384</v>
      </c>
      <c r="M75" s="292" t="s">
        <v>30</v>
      </c>
      <c r="N75" s="256"/>
      <c r="O75" s="256"/>
      <c r="P75" s="256"/>
      <c r="Q75" s="256"/>
      <c r="R75" s="293" t="s">
        <v>30</v>
      </c>
      <c r="S75" s="256"/>
      <c r="T75" s="256"/>
      <c r="U75" s="256"/>
      <c r="V75" s="256"/>
      <c r="W75" s="293" t="s">
        <v>30</v>
      </c>
      <c r="X75" s="256"/>
      <c r="Y75" s="256"/>
      <c r="Z75" s="256"/>
      <c r="AA75" s="256"/>
      <c r="AB75" s="293" t="s">
        <v>30</v>
      </c>
      <c r="AC75" s="256"/>
      <c r="AD75" s="293" t="s">
        <v>30</v>
      </c>
    </row>
    <row r="76" spans="1:31" s="52" customFormat="1" x14ac:dyDescent="0.2">
      <c r="A76" s="52" t="s">
        <v>25</v>
      </c>
      <c r="B76" s="53" t="s">
        <v>22</v>
      </c>
      <c r="C76" s="256"/>
      <c r="D76" s="278">
        <f>SUM(D74)</f>
        <v>16</v>
      </c>
      <c r="E76" s="256"/>
      <c r="F76" s="260">
        <f>SUM(F74)</f>
        <v>0</v>
      </c>
      <c r="G76" s="260">
        <f>SUM(G74)</f>
        <v>0</v>
      </c>
      <c r="H76" s="260">
        <f>SUM(H74)</f>
        <v>0</v>
      </c>
      <c r="I76" s="260">
        <f>SUM(I74)</f>
        <v>0</v>
      </c>
      <c r="J76" s="256"/>
      <c r="K76" s="260">
        <f>SUM(K74)</f>
        <v>384</v>
      </c>
      <c r="L76" s="260">
        <f>SUM(L74)</f>
        <v>384</v>
      </c>
      <c r="M76" s="281">
        <f>SUM(M74)</f>
        <v>9.9999999999999994E-12</v>
      </c>
      <c r="N76" s="256"/>
      <c r="O76" s="256">
        <f>SUM(O74)</f>
        <v>0</v>
      </c>
      <c r="P76" s="256">
        <f>SUM(P74)</f>
        <v>1.5999999999999999E-10</v>
      </c>
      <c r="Q76" s="256"/>
      <c r="R76" s="282">
        <f>O76/P76</f>
        <v>0</v>
      </c>
      <c r="S76" s="256"/>
      <c r="T76" s="256">
        <f>SUM(T74)</f>
        <v>0</v>
      </c>
      <c r="U76" s="256">
        <f>SUM(U74)</f>
        <v>1.5999999999999999E-10</v>
      </c>
      <c r="V76" s="256"/>
      <c r="W76" s="282">
        <f>T76/U76</f>
        <v>0</v>
      </c>
      <c r="X76" s="256"/>
      <c r="Y76" s="256">
        <f>SUM(Y74)</f>
        <v>6144</v>
      </c>
      <c r="Z76" s="256">
        <f>SUM(Z74)</f>
        <v>6144</v>
      </c>
      <c r="AA76" s="256"/>
      <c r="AB76" s="282">
        <f>Y76/Z76</f>
        <v>1</v>
      </c>
      <c r="AC76" s="256"/>
      <c r="AD76" s="282">
        <f t="shared" si="36"/>
        <v>0</v>
      </c>
    </row>
    <row r="77" spans="1:31" ht="13.5" thickBot="1" x14ac:dyDescent="0.25">
      <c r="A77" s="309"/>
      <c r="B77" s="310"/>
      <c r="D77" s="311"/>
      <c r="F77" s="312"/>
      <c r="G77" s="312"/>
      <c r="H77" s="313"/>
      <c r="I77" s="314"/>
      <c r="K77" s="312"/>
      <c r="L77" s="312"/>
      <c r="M77" s="315"/>
      <c r="R77" s="316"/>
      <c r="W77" s="316"/>
      <c r="AB77" s="316"/>
      <c r="AD77" s="316"/>
    </row>
    <row r="78" spans="1:31" ht="13.5" thickTop="1" x14ac:dyDescent="0.2">
      <c r="R78" s="282"/>
      <c r="W78" s="282"/>
      <c r="AB78" s="282"/>
      <c r="AD78" s="282"/>
    </row>
    <row r="79" spans="1:31" x14ac:dyDescent="0.2">
      <c r="A79" s="317" t="s">
        <v>26</v>
      </c>
      <c r="B79" s="318" t="s">
        <v>21</v>
      </c>
      <c r="D79" s="267">
        <f>SUM(D19,D33,D38,D43,D71)</f>
        <v>2789</v>
      </c>
      <c r="F79" s="260">
        <f t="shared" ref="F79:I80" si="127">SUM(F19,F33,F38,F43,F71)</f>
        <v>55.116</v>
      </c>
      <c r="G79" s="260">
        <f t="shared" si="127"/>
        <v>20.692</v>
      </c>
      <c r="H79" s="260">
        <f t="shared" si="127"/>
        <v>77.599999999999994</v>
      </c>
      <c r="I79" s="260">
        <f t="shared" si="127"/>
        <v>12.705</v>
      </c>
      <c r="K79" s="260">
        <f t="shared" ref="K79:M80" si="128">SUM(K19,K33,K38,K43,K71)</f>
        <v>3357.0679999999998</v>
      </c>
      <c r="L79" s="260">
        <f t="shared" si="128"/>
        <v>0</v>
      </c>
      <c r="M79" s="281">
        <f t="shared" si="128"/>
        <v>3357.0680000000898</v>
      </c>
      <c r="O79" s="256">
        <f>SUM(O19,O33,O38,O43,O71)</f>
        <v>17337.388999999999</v>
      </c>
      <c r="P79" s="256">
        <f>SUM(P19,P33,P38,P43,P71)</f>
        <v>1049891.0710000279</v>
      </c>
      <c r="R79" s="398">
        <f>O79/P79</f>
        <v>1.6513512190827594E-2</v>
      </c>
      <c r="T79" s="256">
        <f>SUM(T19,T33,T38,T43,T71)</f>
        <v>54706.206000000006</v>
      </c>
      <c r="U79" s="256">
        <f>SUM(U19,U33,U38,U43,U71)</f>
        <v>1087259.8880000277</v>
      </c>
      <c r="W79" s="398">
        <f>T79/U79</f>
        <v>5.0315666570418541E-2</v>
      </c>
      <c r="Y79" s="256">
        <f>SUM(Y19,Y33,Y38,Y43,Y71)</f>
        <v>1032553.6819999999</v>
      </c>
      <c r="Z79" s="256">
        <f>SUM(Z19,Z33,Z38,Z43,Z71)</f>
        <v>1070976</v>
      </c>
      <c r="AB79" s="398">
        <f>Y79/Z79</f>
        <v>0.96412401585096208</v>
      </c>
      <c r="AD79" s="398">
        <f t="shared" ref="AD79:AD80" si="129">T79/Z79</f>
        <v>5.1080702088562212E-2</v>
      </c>
    </row>
    <row r="80" spans="1:31" x14ac:dyDescent="0.2">
      <c r="A80" s="210" t="s">
        <v>26</v>
      </c>
      <c r="B80" s="218" t="s">
        <v>22</v>
      </c>
      <c r="D80" s="267">
        <f>SUM(D20,D34,D39,D44,D72)</f>
        <v>3821</v>
      </c>
      <c r="F80" s="260">
        <f t="shared" si="127"/>
        <v>89.84899999999999</v>
      </c>
      <c r="G80" s="260">
        <f t="shared" si="127"/>
        <v>20.692</v>
      </c>
      <c r="H80" s="260">
        <f t="shared" si="127"/>
        <v>79.099999999999994</v>
      </c>
      <c r="I80" s="260">
        <f t="shared" si="127"/>
        <v>12.705</v>
      </c>
      <c r="K80" s="260">
        <f t="shared" si="128"/>
        <v>6776.835</v>
      </c>
      <c r="L80" s="260">
        <f t="shared" si="128"/>
        <v>2937.1010000000001</v>
      </c>
      <c r="M80" s="281">
        <f t="shared" si="128"/>
        <v>3839.7340000001795</v>
      </c>
      <c r="O80" s="256">
        <f>SUM(O20,O34,O39,O44,O72)</f>
        <v>18189.931999999997</v>
      </c>
      <c r="P80" s="256">
        <f>SUM(P20,P34,P39,P44,P72)</f>
        <v>1129101.823000038</v>
      </c>
      <c r="R80" s="282">
        <f>O80/P80</f>
        <v>1.6110090010898321E-2</v>
      </c>
      <c r="T80" s="256">
        <f>SUM(T20,T34,T39,T44,T72)</f>
        <v>55815.249000000003</v>
      </c>
      <c r="U80" s="256">
        <f>SUM(U20,U34,U39,U44,U72)</f>
        <v>1166727.1400000381</v>
      </c>
      <c r="W80" s="206">
        <f>T80/U80</f>
        <v>4.7839162291191908E-2</v>
      </c>
      <c r="Y80" s="256">
        <f>SUM(Y20,Y34,Y39,Y44,Y72)</f>
        <v>1427732.6389999997</v>
      </c>
      <c r="Z80" s="256">
        <f>SUM(Z20,Z34,Z39,Z44,Z72)</f>
        <v>1467264</v>
      </c>
      <c r="AB80" s="282">
        <f>Y80/Z80</f>
        <v>0.97305777215279576</v>
      </c>
      <c r="AD80" s="282">
        <f t="shared" si="129"/>
        <v>3.8040358790238163E-2</v>
      </c>
    </row>
    <row r="81" spans="1:30" x14ac:dyDescent="0.2">
      <c r="R81" s="282"/>
      <c r="W81" s="206"/>
      <c r="AB81" s="282"/>
      <c r="AD81" s="282"/>
    </row>
    <row r="82" spans="1:30" x14ac:dyDescent="0.2">
      <c r="K82" s="431" t="s">
        <v>178</v>
      </c>
      <c r="L82" s="432"/>
      <c r="M82" s="433"/>
      <c r="N82" s="319"/>
      <c r="O82" s="319"/>
      <c r="P82" s="319"/>
      <c r="Q82" s="319"/>
      <c r="R82" s="320">
        <v>5.2400000000000002E-2</v>
      </c>
      <c r="S82" s="321"/>
      <c r="T82" s="322"/>
      <c r="U82" s="322"/>
      <c r="V82" s="322"/>
      <c r="W82" s="323">
        <v>7.4200000000000002E-2</v>
      </c>
      <c r="X82" s="321"/>
      <c r="Y82" s="321"/>
      <c r="Z82" s="321"/>
      <c r="AA82" s="321"/>
      <c r="AB82" s="324">
        <v>0.89072656267223327</v>
      </c>
      <c r="AC82" s="321"/>
      <c r="AD82" s="320">
        <v>6.3799999999999996E-2</v>
      </c>
    </row>
    <row r="83" spans="1:30" x14ac:dyDescent="0.2">
      <c r="W83" s="179"/>
    </row>
    <row r="84" spans="1:30" s="52" customFormat="1" x14ac:dyDescent="0.2">
      <c r="A84" s="325" t="s">
        <v>27</v>
      </c>
      <c r="B84" s="326" t="s">
        <v>21</v>
      </c>
      <c r="C84" s="256"/>
      <c r="D84" s="278">
        <f>SUM(D26,D50,D56,D67,D75)</f>
        <v>2998</v>
      </c>
      <c r="E84" s="256"/>
      <c r="F84" s="260">
        <f t="shared" ref="F84:I85" si="130">SUM(F26,F50,F56,F67,F75)</f>
        <v>68.317000000000007</v>
      </c>
      <c r="G84" s="260">
        <f t="shared" si="130"/>
        <v>45.548000000000002</v>
      </c>
      <c r="H84" s="260">
        <f t="shared" si="130"/>
        <v>74.887</v>
      </c>
      <c r="I84" s="260">
        <f t="shared" si="130"/>
        <v>212.65</v>
      </c>
      <c r="J84" s="256"/>
      <c r="K84" s="260">
        <f t="shared" ref="K84:M85" si="131">SUM(K26,K50,K56,K67,K75)</f>
        <v>3499.067</v>
      </c>
      <c r="L84" s="260">
        <f t="shared" si="131"/>
        <v>384</v>
      </c>
      <c r="M84" s="281">
        <f t="shared" si="131"/>
        <v>3115.06700000009</v>
      </c>
      <c r="N84" s="256"/>
      <c r="O84" s="256">
        <f>SUM(O26,O50,O56,O67,O75)</f>
        <v>26591.065000000006</v>
      </c>
      <c r="P84" s="256">
        <f>SUM(P26,P50,P56,P67,P75)</f>
        <v>1013891.66600003</v>
      </c>
      <c r="Q84" s="256"/>
      <c r="R84" s="398">
        <f>O84/P84</f>
        <v>2.6226731998800372E-2</v>
      </c>
      <c r="S84" s="256"/>
      <c r="T84" s="256">
        <f>SUM(T26,T50,T56,T67,T75)</f>
        <v>46776.724999999999</v>
      </c>
      <c r="U84" s="256">
        <f>SUM(U26,U50,U56,U67,U75)</f>
        <v>1034077.32600003</v>
      </c>
      <c r="V84" s="256"/>
      <c r="W84" s="398">
        <f>T84/U84</f>
        <v>4.5235229342992712E-2</v>
      </c>
      <c r="X84" s="256"/>
      <c r="Y84" s="256">
        <f>SUM(Y26,Y50,Y56,Y67,Y75)</f>
        <v>987300.60099999991</v>
      </c>
      <c r="Z84" s="256">
        <f>SUM(Z26,Z50,Z56,Z67,Z75)</f>
        <v>1151232</v>
      </c>
      <c r="AA84" s="256"/>
      <c r="AB84" s="398">
        <f>Y84/Z84</f>
        <v>0.85760350737297075</v>
      </c>
      <c r="AC84" s="256"/>
      <c r="AD84" s="398">
        <f t="shared" ref="AD84" si="132">T84/Z84</f>
        <v>4.0631883929564155E-2</v>
      </c>
    </row>
    <row r="85" spans="1:30" s="52" customFormat="1" x14ac:dyDescent="0.2">
      <c r="A85" s="52" t="s">
        <v>27</v>
      </c>
      <c r="B85" s="53" t="s">
        <v>22</v>
      </c>
      <c r="C85" s="256"/>
      <c r="D85" s="278">
        <f>SUM(D27,D51,D57,D68,D76)</f>
        <v>4300</v>
      </c>
      <c r="E85" s="256"/>
      <c r="F85" s="260">
        <f t="shared" si="130"/>
        <v>84.685000000000002</v>
      </c>
      <c r="G85" s="260">
        <f t="shared" si="130"/>
        <v>47.011000000000003</v>
      </c>
      <c r="H85" s="260">
        <f t="shared" si="130"/>
        <v>79.204000000000008</v>
      </c>
      <c r="I85" s="260">
        <f t="shared" si="130"/>
        <v>254.517</v>
      </c>
      <c r="J85" s="256"/>
      <c r="K85" s="260">
        <f t="shared" si="131"/>
        <v>7276.5159999999996</v>
      </c>
      <c r="L85" s="260">
        <f t="shared" si="131"/>
        <v>3541.2840000000001</v>
      </c>
      <c r="M85" s="281">
        <f t="shared" si="131"/>
        <v>3735.2320000002001</v>
      </c>
      <c r="N85" s="256"/>
      <c r="O85" s="256">
        <f>SUM(O27,O51,O57,O68,O76)</f>
        <v>28284.767</v>
      </c>
      <c r="P85" s="256">
        <f>SUM(P27,P51,P57,P68,P76)</f>
        <v>1124476.9200000432</v>
      </c>
      <c r="Q85" s="256"/>
      <c r="R85" s="282">
        <f>O85/P85</f>
        <v>2.51537105803816E-2</v>
      </c>
      <c r="S85" s="256"/>
      <c r="T85" s="256">
        <f>SUM(T27,T51,T57,T68,T76)</f>
        <v>49230.218999999997</v>
      </c>
      <c r="U85" s="256">
        <f>SUM(U27,U51,U57,U68,U76)</f>
        <v>1145422.372000043</v>
      </c>
      <c r="V85" s="256"/>
      <c r="W85" s="206">
        <f>T85/U85</f>
        <v>4.2979969837709915E-2</v>
      </c>
      <c r="X85" s="256"/>
      <c r="Y85" s="256">
        <f>SUM(Y27,Y51,Y57,Y68,Y76)</f>
        <v>1477488.558</v>
      </c>
      <c r="Z85" s="256">
        <f>SUM(Z27,Z51,Z57,Z68,Z76)</f>
        <v>1651200</v>
      </c>
      <c r="AA85" s="256"/>
      <c r="AB85" s="282">
        <f>Y85/Z85</f>
        <v>0.89479684956395344</v>
      </c>
      <c r="AC85" s="256"/>
      <c r="AD85" s="282">
        <f t="shared" ref="AD85" si="133">T85/Z85</f>
        <v>2.9814812863372092E-2</v>
      </c>
    </row>
    <row r="86" spans="1:30" x14ac:dyDescent="0.2">
      <c r="R86" s="282"/>
      <c r="W86" s="206"/>
      <c r="AB86" s="282"/>
      <c r="AD86" s="282"/>
    </row>
    <row r="87" spans="1:30" x14ac:dyDescent="0.2">
      <c r="K87" s="434" t="str">
        <f>K82</f>
        <v>FEBRUARY Steam Targets</v>
      </c>
      <c r="L87" s="432"/>
      <c r="M87" s="433"/>
      <c r="N87" s="319"/>
      <c r="O87" s="319"/>
      <c r="P87" s="319"/>
      <c r="Q87" s="319"/>
      <c r="R87" s="320">
        <v>5.04E-2</v>
      </c>
      <c r="S87" s="321"/>
      <c r="T87" s="322"/>
      <c r="U87" s="322"/>
      <c r="V87" s="322"/>
      <c r="W87" s="323">
        <v>7.1900000000000006E-2</v>
      </c>
      <c r="X87" s="321"/>
      <c r="Y87" s="321"/>
      <c r="Z87" s="321"/>
      <c r="AA87" s="321"/>
      <c r="AB87" s="324">
        <v>0.76282123407551417</v>
      </c>
      <c r="AC87" s="321"/>
      <c r="AD87" s="320">
        <v>5.9700000000000003E-2</v>
      </c>
    </row>
    <row r="88" spans="1:30" ht="13.5" thickBot="1" x14ac:dyDescent="0.25">
      <c r="W88" s="179"/>
    </row>
    <row r="89" spans="1:30" ht="13.5" thickBot="1" x14ac:dyDescent="0.25">
      <c r="A89" s="327" t="s">
        <v>29</v>
      </c>
      <c r="B89" s="328" t="s">
        <v>21</v>
      </c>
      <c r="D89" s="267">
        <f>SUM(D79,D84)</f>
        <v>5787</v>
      </c>
      <c r="F89" s="260">
        <f t="shared" ref="F89:I90" si="134">SUM(F79,F84)</f>
        <v>123.43300000000001</v>
      </c>
      <c r="G89" s="260">
        <f t="shared" si="134"/>
        <v>66.240000000000009</v>
      </c>
      <c r="H89" s="260">
        <f>SUM(H79,H84)</f>
        <v>152.48699999999999</v>
      </c>
      <c r="I89" s="260">
        <f t="shared" si="134"/>
        <v>225.35500000000002</v>
      </c>
      <c r="K89" s="260">
        <f t="shared" ref="K89:M90" si="135">SUM(K79,K84)</f>
        <v>6856.1350000000002</v>
      </c>
      <c r="L89" s="260">
        <f t="shared" si="135"/>
        <v>384</v>
      </c>
      <c r="M89" s="281">
        <f t="shared" si="135"/>
        <v>6472.1350000001803</v>
      </c>
      <c r="O89" s="256">
        <f>SUM(O79,O84)</f>
        <v>43928.454000000005</v>
      </c>
      <c r="P89" s="256">
        <f>SUM(P79,P84)</f>
        <v>2063782.7370000579</v>
      </c>
      <c r="R89" s="398">
        <f>O89/P89</f>
        <v>2.1285406265126042E-2</v>
      </c>
      <c r="T89" s="256">
        <f>SUM(T79,T84)</f>
        <v>101482.93100000001</v>
      </c>
      <c r="U89" s="256">
        <f>SUM(U79,U84)</f>
        <v>2121337.2140000579</v>
      </c>
      <c r="W89" s="399">
        <f>T89/U89</f>
        <v>4.7839132001385447E-2</v>
      </c>
      <c r="Y89" s="256">
        <f>SUM(Y79,Y84)</f>
        <v>2019854.2829999998</v>
      </c>
      <c r="Z89" s="256">
        <f>SUM(Z79,Z84)</f>
        <v>2222208</v>
      </c>
      <c r="AB89" s="398">
        <f>Y89/Z89</f>
        <v>0.90894024456756517</v>
      </c>
      <c r="AD89" s="398">
        <f t="shared" ref="AD89:AD90" si="136">T89/Z89</f>
        <v>4.5667611222711832E-2</v>
      </c>
    </row>
    <row r="90" spans="1:30" x14ac:dyDescent="0.2">
      <c r="A90" s="329" t="s">
        <v>29</v>
      </c>
      <c r="B90" s="218" t="s">
        <v>22</v>
      </c>
      <c r="D90" s="267">
        <f>SUM(D80,D85)</f>
        <v>8121</v>
      </c>
      <c r="F90" s="260">
        <f t="shared" si="134"/>
        <v>174.53399999999999</v>
      </c>
      <c r="G90" s="260">
        <f t="shared" si="134"/>
        <v>67.703000000000003</v>
      </c>
      <c r="H90" s="260">
        <f>SUM(H80,H85)</f>
        <v>158.304</v>
      </c>
      <c r="I90" s="260">
        <f t="shared" si="134"/>
        <v>267.22199999999998</v>
      </c>
      <c r="K90" s="260">
        <f t="shared" si="135"/>
        <v>14053.350999999999</v>
      </c>
      <c r="L90" s="260">
        <f t="shared" si="135"/>
        <v>6478.3850000000002</v>
      </c>
      <c r="M90" s="281">
        <f t="shared" si="135"/>
        <v>7574.9660000003796</v>
      </c>
      <c r="O90" s="256">
        <f>SUM(O80,O85)</f>
        <v>46474.698999999993</v>
      </c>
      <c r="P90" s="256">
        <f>SUM(P80,P85)</f>
        <v>2253578.7430000813</v>
      </c>
      <c r="R90" s="330">
        <f>O90/P90</f>
        <v>2.0622620418459598E-2</v>
      </c>
      <c r="T90" s="256">
        <f>SUM(T80,T85)</f>
        <v>105045.46799999999</v>
      </c>
      <c r="U90" s="256">
        <f>SUM(U80,U85)</f>
        <v>2312149.5120000811</v>
      </c>
      <c r="W90" s="331">
        <f>T90/U90</f>
        <v>4.5431953018095446E-2</v>
      </c>
      <c r="Y90" s="256">
        <f>SUM(Y80,Y85)</f>
        <v>2905221.1969999997</v>
      </c>
      <c r="Z90" s="256">
        <f>SUM(Z80,Z85)</f>
        <v>3118464</v>
      </c>
      <c r="AB90" s="330">
        <f>Y90/Z90</f>
        <v>0.93161928340362421</v>
      </c>
      <c r="AD90" s="330">
        <f t="shared" si="136"/>
        <v>3.3685002616672823E-2</v>
      </c>
    </row>
    <row r="92" spans="1:30" x14ac:dyDescent="0.2">
      <c r="R92" s="332" t="s">
        <v>34</v>
      </c>
      <c r="W92" s="332" t="s">
        <v>34</v>
      </c>
      <c r="AB92" s="332" t="s">
        <v>34</v>
      </c>
      <c r="AD92" s="332" t="s">
        <v>34</v>
      </c>
    </row>
    <row r="93" spans="1:30" ht="13.5" thickBot="1" x14ac:dyDescent="0.25"/>
    <row r="94" spans="1:30" ht="13.5" thickBot="1" x14ac:dyDescent="0.25">
      <c r="K94" s="435" t="str">
        <f>K87</f>
        <v>FEBRUARY Steam Targets</v>
      </c>
      <c r="L94" s="436"/>
      <c r="M94" s="437"/>
      <c r="N94" s="319"/>
      <c r="O94" s="319"/>
      <c r="P94" s="319"/>
      <c r="Q94" s="319"/>
      <c r="R94" s="333">
        <v>5.1400000000000001E-2</v>
      </c>
      <c r="S94" s="334"/>
      <c r="T94" s="334"/>
      <c r="U94" s="334"/>
      <c r="V94" s="334"/>
      <c r="W94" s="333">
        <v>7.2999999999999995E-2</v>
      </c>
      <c r="X94" s="322"/>
      <c r="Y94" s="322"/>
      <c r="Z94" s="322"/>
      <c r="AA94" s="322"/>
      <c r="AB94" s="335">
        <v>0.82454950611230371</v>
      </c>
      <c r="AC94" s="322"/>
      <c r="AD94" s="333">
        <v>6.1699999999999998E-2</v>
      </c>
    </row>
    <row r="95" spans="1:30" ht="13.5" thickBot="1" x14ac:dyDescent="0.25">
      <c r="K95" s="428" t="s">
        <v>146</v>
      </c>
      <c r="L95" s="429"/>
      <c r="M95" s="430"/>
      <c r="N95" s="336"/>
      <c r="O95" s="336"/>
      <c r="P95" s="336"/>
      <c r="Q95" s="336"/>
      <c r="R95" s="337">
        <v>5.1400000000000001E-2</v>
      </c>
      <c r="S95" s="254"/>
      <c r="T95" s="254"/>
      <c r="U95" s="254"/>
      <c r="V95" s="254"/>
      <c r="W95" s="337">
        <v>7.2999999999999995E-2</v>
      </c>
      <c r="X95" s="254"/>
      <c r="Y95" s="254"/>
      <c r="Z95" s="254"/>
      <c r="AA95" s="254"/>
      <c r="AB95" s="337">
        <v>0.83109999999999995</v>
      </c>
      <c r="AC95" s="254"/>
      <c r="AD95" s="337">
        <v>6.1699999999999998E-2</v>
      </c>
    </row>
  </sheetData>
  <mergeCells count="8">
    <mergeCell ref="A1:AB1"/>
    <mergeCell ref="A2:AB2"/>
    <mergeCell ref="J5:N5"/>
    <mergeCell ref="L4:M4"/>
    <mergeCell ref="K95:M95"/>
    <mergeCell ref="K82:M82"/>
    <mergeCell ref="K87:M87"/>
    <mergeCell ref="K94:M94"/>
  </mergeCells>
  <phoneticPr fontId="0" type="noConversion"/>
  <pageMargins left="0.5" right="0.5" top="0.25" bottom="0.5" header="0.25" footer="0.25"/>
  <pageSetup scale="62" fitToHeight="6" orientation="landscape" r:id="rId1"/>
  <headerFooter scaleWithDoc="0" alignWithMargins="0"/>
  <ignoredErrors>
    <ignoredError sqref="D44 D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6"/>
  <sheetViews>
    <sheetView zoomScaleNormal="100" zoomScaleSheetLayoutView="100" workbookViewId="0">
      <pane xSplit="3" ySplit="8" topLeftCell="D11" activePane="bottomRight" state="frozen"/>
      <selection activeCell="AI21" sqref="AI21:AJ22"/>
      <selection pane="topRight" activeCell="AI21" sqref="AI21:AJ22"/>
      <selection pane="bottomLeft" activeCell="AI21" sqref="AI21:AJ22"/>
      <selection pane="bottomRight" activeCell="G26" sqref="G26"/>
    </sheetView>
  </sheetViews>
  <sheetFormatPr defaultColWidth="9.33203125" defaultRowHeight="14.25" x14ac:dyDescent="0.2"/>
  <cols>
    <col min="1" max="1" width="7.6640625" style="210" bestFit="1" customWidth="1"/>
    <col min="2" max="2" width="5.33203125" style="210" bestFit="1" customWidth="1"/>
    <col min="3" max="3" width="0.33203125" style="210" customWidth="1"/>
    <col min="4" max="4" width="5.6640625" style="211" bestFit="1" customWidth="1"/>
    <col min="5" max="5" width="0.33203125" style="210" customWidth="1"/>
    <col min="6" max="6" width="5.6640625" style="210" bestFit="1" customWidth="1"/>
    <col min="7" max="8" width="14.6640625" style="212" customWidth="1"/>
    <col min="9" max="9" width="0.33203125" style="210" customWidth="1"/>
    <col min="10" max="10" width="8.6640625" style="225" customWidth="1"/>
    <col min="11" max="11" width="0.33203125" style="210" customWidth="1"/>
    <col min="12" max="12" width="8.6640625" style="210" customWidth="1"/>
    <col min="13" max="13" width="0.33203125" style="210" customWidth="1"/>
    <col min="14" max="14" width="8.6640625" style="210" customWidth="1"/>
    <col min="15" max="15" width="0.33203125" style="210" customWidth="1"/>
    <col min="16" max="16" width="9.6640625" style="227" customWidth="1"/>
    <col min="17" max="17" width="0.33203125" style="210" customWidth="1"/>
    <col min="18" max="18" width="6.6640625" style="218" bestFit="1" customWidth="1"/>
    <col min="19" max="19" width="32.33203125" style="84" customWidth="1"/>
    <col min="20" max="16384" width="9.33203125" style="210"/>
  </cols>
  <sheetData>
    <row r="1" spans="1:24" s="164" customFormat="1" ht="15" x14ac:dyDescent="0.25">
      <c r="B1" s="438" t="s">
        <v>139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165"/>
    </row>
    <row r="2" spans="1:24" s="164" customFormat="1" ht="15" x14ac:dyDescent="0.25">
      <c r="B2" s="438" t="s">
        <v>28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165"/>
    </row>
    <row r="3" spans="1:24" s="164" customFormat="1" ht="15" x14ac:dyDescent="0.25">
      <c r="C3" s="166"/>
      <c r="D3" s="167"/>
      <c r="E3" s="166"/>
      <c r="F3" s="166"/>
      <c r="G3" s="168"/>
      <c r="H3" s="168"/>
      <c r="I3" s="166"/>
      <c r="J3" s="169"/>
      <c r="K3" s="166"/>
      <c r="L3" s="170"/>
      <c r="M3" s="166"/>
      <c r="N3" s="170"/>
      <c r="O3" s="166"/>
      <c r="P3" s="171"/>
      <c r="Q3" s="166"/>
      <c r="R3" s="170"/>
      <c r="S3" s="165"/>
    </row>
    <row r="4" spans="1:24" s="164" customFormat="1" ht="15" x14ac:dyDescent="0.25">
      <c r="C4" s="166"/>
      <c r="D4" s="167"/>
      <c r="E4" s="166"/>
      <c r="F4" s="166"/>
      <c r="G4" s="172"/>
      <c r="H4" s="172" t="str">
        <f>'Interim Report'!J4</f>
        <v>FEBRUARY</v>
      </c>
      <c r="I4" s="173"/>
      <c r="J4" s="174" t="s">
        <v>140</v>
      </c>
      <c r="K4" s="439" t="s">
        <v>75</v>
      </c>
      <c r="L4" s="440"/>
      <c r="N4" s="175">
        <f>'Interim Report'!N4</f>
        <v>16</v>
      </c>
      <c r="O4" s="176"/>
      <c r="P4" s="176" t="s">
        <v>137</v>
      </c>
      <c r="Q4" s="176"/>
      <c r="R4" s="177"/>
      <c r="S4" s="165"/>
      <c r="T4" s="177"/>
      <c r="U4" s="178"/>
      <c r="V4" s="178"/>
      <c r="W4" s="177"/>
      <c r="X4" s="179"/>
    </row>
    <row r="5" spans="1:24" s="180" customFormat="1" x14ac:dyDescent="0.2">
      <c r="B5" s="181"/>
      <c r="C5" s="182"/>
      <c r="D5" s="183"/>
      <c r="E5" s="182"/>
      <c r="F5" s="182"/>
      <c r="G5" s="184"/>
      <c r="H5" s="184"/>
      <c r="I5" s="182"/>
      <c r="J5" s="185"/>
      <c r="K5" s="182"/>
      <c r="L5" s="186"/>
      <c r="M5" s="182"/>
      <c r="N5" s="186"/>
      <c r="O5" s="182"/>
      <c r="P5" s="187"/>
      <c r="Q5" s="182"/>
      <c r="R5" s="186"/>
      <c r="S5" s="188"/>
    </row>
    <row r="6" spans="1:24" s="180" customFormat="1" x14ac:dyDescent="0.2">
      <c r="A6" s="189" t="s">
        <v>63</v>
      </c>
      <c r="C6" s="182"/>
      <c r="D6" s="183"/>
      <c r="E6" s="182"/>
      <c r="F6" s="166" t="s">
        <v>80</v>
      </c>
      <c r="G6" s="184"/>
      <c r="H6" s="184"/>
      <c r="I6" s="182"/>
      <c r="J6" s="169" t="s">
        <v>60</v>
      </c>
      <c r="K6" s="182"/>
      <c r="L6" s="190" t="s">
        <v>9</v>
      </c>
      <c r="M6" s="182"/>
      <c r="N6" s="190" t="s">
        <v>8</v>
      </c>
      <c r="O6" s="182"/>
      <c r="P6" s="191" t="s">
        <v>61</v>
      </c>
      <c r="Q6" s="182"/>
      <c r="R6" s="192"/>
      <c r="S6" s="188"/>
    </row>
    <row r="7" spans="1:24" s="202" customFormat="1" ht="15" x14ac:dyDescent="0.25">
      <c r="A7" s="193" t="s">
        <v>64</v>
      </c>
      <c r="B7" s="193" t="s">
        <v>1</v>
      </c>
      <c r="C7" s="182"/>
      <c r="D7" s="194" t="s">
        <v>3</v>
      </c>
      <c r="E7" s="182"/>
      <c r="F7" s="195" t="s">
        <v>138</v>
      </c>
      <c r="G7" s="196" t="s">
        <v>31</v>
      </c>
      <c r="H7" s="197" t="s">
        <v>37</v>
      </c>
      <c r="I7" s="182"/>
      <c r="J7" s="198" t="s">
        <v>69</v>
      </c>
      <c r="K7" s="182"/>
      <c r="L7" s="199" t="s">
        <v>71</v>
      </c>
      <c r="M7" s="182"/>
      <c r="N7" s="199" t="s">
        <v>70</v>
      </c>
      <c r="O7" s="182"/>
      <c r="P7" s="200" t="s">
        <v>70</v>
      </c>
      <c r="Q7" s="182"/>
      <c r="R7" s="192" t="s">
        <v>48</v>
      </c>
      <c r="S7" s="201" t="s">
        <v>33</v>
      </c>
    </row>
    <row r="8" spans="1:24" s="180" customFormat="1" x14ac:dyDescent="0.2">
      <c r="C8" s="182"/>
      <c r="D8" s="183"/>
      <c r="E8" s="182"/>
      <c r="F8" s="182"/>
      <c r="G8" s="184"/>
      <c r="H8" s="184"/>
      <c r="I8" s="182"/>
      <c r="J8" s="185"/>
      <c r="K8" s="182"/>
      <c r="L8" s="186"/>
      <c r="M8" s="182"/>
      <c r="N8" s="186"/>
      <c r="O8" s="182"/>
      <c r="P8" s="187"/>
      <c r="Q8" s="182"/>
      <c r="R8" s="186"/>
      <c r="S8" s="188"/>
    </row>
    <row r="9" spans="1:24" s="180" customFormat="1" ht="12.75" x14ac:dyDescent="0.2">
      <c r="A9" s="202">
        <v>1</v>
      </c>
      <c r="B9" s="203" t="str">
        <f>'Event List By Impact'!A7</f>
        <v>GH1</v>
      </c>
      <c r="C9" s="178"/>
      <c r="D9" s="203">
        <f>'Event List By Impact'!L7</f>
        <v>481</v>
      </c>
      <c r="E9" s="178"/>
      <c r="F9" s="347">
        <f>'Event List By Impact'!C7</f>
        <v>6</v>
      </c>
      <c r="G9" s="204">
        <f>'Event List By Impact'!E7</f>
        <v>41671.62777777778</v>
      </c>
      <c r="H9" s="204">
        <f>'Event List By Impact'!F7</f>
        <v>41673.060416666667</v>
      </c>
      <c r="I9" s="185"/>
      <c r="J9" s="205">
        <f>'Event List By Impact'!H7</f>
        <v>34.383333333302289</v>
      </c>
      <c r="K9" s="178"/>
      <c r="L9" s="403"/>
      <c r="M9" s="178"/>
      <c r="N9" s="206">
        <v>8.000688558631527E-3</v>
      </c>
      <c r="O9" s="178"/>
      <c r="P9" s="207">
        <f t="shared" ref="P9:P13" si="0">D9*J9</f>
        <v>16538.383333318401</v>
      </c>
      <c r="Q9" s="178"/>
      <c r="R9" s="402" t="str">
        <f>'Event List By Impact'!B7</f>
        <v>MO</v>
      </c>
      <c r="S9" s="401" t="str">
        <f>'Event List By Impact'!M7</f>
        <v>First Reheater Leaks</v>
      </c>
      <c r="V9" s="209"/>
    </row>
    <row r="10" spans="1:24" s="180" customFormat="1" ht="12.75" x14ac:dyDescent="0.2">
      <c r="A10" s="202">
        <v>2</v>
      </c>
      <c r="B10" s="203" t="str">
        <f>'Event List By Impact'!A8</f>
        <v>MC2</v>
      </c>
      <c r="C10" s="178"/>
      <c r="D10" s="203">
        <f>'Event List By Impact'!L8</f>
        <v>299</v>
      </c>
      <c r="E10" s="178"/>
      <c r="F10" s="347">
        <f>'Event List By Impact'!C8</f>
        <v>57</v>
      </c>
      <c r="G10" s="204">
        <f>'Event List By Impact'!E8</f>
        <v>41685.022222222222</v>
      </c>
      <c r="H10" s="204">
        <f>'Event List By Impact'!F8</f>
        <v>41687</v>
      </c>
      <c r="I10" s="185"/>
      <c r="J10" s="205">
        <f>'Event List By Impact'!H8</f>
        <v>47.466666666674428</v>
      </c>
      <c r="K10" s="178"/>
      <c r="L10" s="403"/>
      <c r="M10" s="178"/>
      <c r="N10" s="206">
        <v>6.8658487815587161E-3</v>
      </c>
      <c r="O10" s="178"/>
      <c r="P10" s="207">
        <f t="shared" si="0"/>
        <v>14192.533333335654</v>
      </c>
      <c r="Q10" s="178"/>
      <c r="R10" s="402" t="str">
        <f>'Event List By Impact'!B8</f>
        <v>MO</v>
      </c>
      <c r="S10" s="401" t="str">
        <f>'Event List By Impact'!M8</f>
        <v>Second Superheater Leaks</v>
      </c>
      <c r="V10" s="209"/>
    </row>
    <row r="11" spans="1:24" s="180" customFormat="1" ht="12.75" x14ac:dyDescent="0.2">
      <c r="A11" s="202">
        <v>3</v>
      </c>
      <c r="B11" s="203" t="str">
        <f>'Event List By Impact'!A9</f>
        <v>BR3</v>
      </c>
      <c r="C11" s="178"/>
      <c r="D11" s="203">
        <f>'Event List By Impact'!L9</f>
        <v>414</v>
      </c>
      <c r="E11" s="178"/>
      <c r="F11" s="347">
        <f>'Event List By Impact'!C9</f>
        <v>8</v>
      </c>
      <c r="G11" s="204">
        <f>'Event List By Impact'!E9</f>
        <v>41671</v>
      </c>
      <c r="H11" s="204">
        <f>'Event List By Impact'!F9</f>
        <v>41671.670138888891</v>
      </c>
      <c r="I11" s="185"/>
      <c r="J11" s="205">
        <f>'Event List By Impact'!H9</f>
        <v>16.083333333372138</v>
      </c>
      <c r="K11" s="178"/>
      <c r="L11" s="206">
        <f>(D11*J11)/'Interim Report'!$P$89</f>
        <v>3.2263570581537808E-3</v>
      </c>
      <c r="M11" s="178"/>
      <c r="N11" s="206">
        <v>3.2211482642594842E-3</v>
      </c>
      <c r="O11" s="178"/>
      <c r="P11" s="207">
        <f t="shared" si="0"/>
        <v>6658.5000000160653</v>
      </c>
      <c r="Q11" s="178"/>
      <c r="R11" s="208" t="str">
        <f>'Event List By Impact'!B9</f>
        <v>U1</v>
      </c>
      <c r="S11" s="91" t="str">
        <f>'Event List By Impact'!M9</f>
        <v>Pulverizer Puff Boiler Damage</v>
      </c>
      <c r="V11" s="209"/>
    </row>
    <row r="12" spans="1:24" s="180" customFormat="1" ht="12.75" x14ac:dyDescent="0.2">
      <c r="A12" s="202">
        <v>4</v>
      </c>
      <c r="B12" s="203" t="str">
        <f>'Event List By Impact'!A10</f>
        <v>CR5</v>
      </c>
      <c r="C12" s="178"/>
      <c r="D12" s="203">
        <f>'Event List By Impact'!L10</f>
        <v>168</v>
      </c>
      <c r="E12" s="178"/>
      <c r="F12" s="347">
        <f>'Event List By Impact'!C10</f>
        <v>7</v>
      </c>
      <c r="G12" s="204">
        <f>'Event List By Impact'!E10</f>
        <v>41677.45208333333</v>
      </c>
      <c r="H12" s="204">
        <f>'Event List By Impact'!F10</f>
        <v>41679</v>
      </c>
      <c r="I12" s="185"/>
      <c r="J12" s="205">
        <f>'Event List By Impact'!H10</f>
        <v>37.150000000081491</v>
      </c>
      <c r="K12" s="178"/>
      <c r="L12" s="206">
        <f>(D12*J12)/'Interim Report'!$P$89</f>
        <v>3.0241555412397632E-3</v>
      </c>
      <c r="M12" s="178"/>
      <c r="N12" s="206">
        <v>3.0192731916936079E-3</v>
      </c>
      <c r="O12" s="178"/>
      <c r="P12" s="207">
        <f t="shared" si="0"/>
        <v>6241.2000000136904</v>
      </c>
      <c r="Q12" s="178"/>
      <c r="R12" s="208" t="str">
        <f>'Event List By Impact'!B10</f>
        <v>U2</v>
      </c>
      <c r="S12" s="401" t="str">
        <f>'Event List By Impact'!M10</f>
        <v>First Reheater Leaks</v>
      </c>
      <c r="V12" s="209"/>
    </row>
    <row r="13" spans="1:24" s="180" customFormat="1" ht="12.75" x14ac:dyDescent="0.2">
      <c r="A13" s="202">
        <v>5</v>
      </c>
      <c r="B13" s="203" t="str">
        <f>'Event List By Impact'!A11</f>
        <v>GH3</v>
      </c>
      <c r="C13" s="178"/>
      <c r="D13" s="203">
        <f>'Event List By Impact'!L11</f>
        <v>482</v>
      </c>
      <c r="E13" s="178"/>
      <c r="F13" s="347">
        <f>'Event List By Impact'!C11</f>
        <v>11</v>
      </c>
      <c r="G13" s="204">
        <f>'Event List By Impact'!E11</f>
        <v>41671</v>
      </c>
      <c r="H13" s="204">
        <f>'Event List By Impact'!F11</f>
        <v>41671.393055555556</v>
      </c>
      <c r="I13" s="185"/>
      <c r="J13" s="205">
        <f>'Event List By Impact'!H11</f>
        <v>9.4333333333488554</v>
      </c>
      <c r="K13" s="178"/>
      <c r="L13" s="403"/>
      <c r="M13" s="178"/>
      <c r="N13" s="206">
        <v>2.1996142781619587E-3</v>
      </c>
      <c r="O13" s="178"/>
      <c r="P13" s="207">
        <f t="shared" si="0"/>
        <v>4546.8666666741483</v>
      </c>
      <c r="Q13" s="178"/>
      <c r="R13" s="402" t="str">
        <f>'Event List By Impact'!B11</f>
        <v>MO</v>
      </c>
      <c r="S13" s="91" t="str">
        <f>'Event List By Impact'!M11</f>
        <v>Induced Draft Fan Bearings</v>
      </c>
      <c r="V13" s="209"/>
    </row>
    <row r="14" spans="1:24" s="180" customFormat="1" ht="12.75" x14ac:dyDescent="0.2">
      <c r="A14" s="202">
        <v>6</v>
      </c>
      <c r="B14" s="203" t="str">
        <f>'Event List By Impact'!A12</f>
        <v>GH3</v>
      </c>
      <c r="C14" s="178"/>
      <c r="D14" s="203">
        <f>'Event List By Impact'!L12</f>
        <v>482</v>
      </c>
      <c r="E14" s="178"/>
      <c r="F14" s="347">
        <f>'Event List By Impact'!C12</f>
        <v>17</v>
      </c>
      <c r="G14" s="204">
        <f>'Event List By Impact'!E12</f>
        <v>41685.916666666664</v>
      </c>
      <c r="H14" s="204">
        <f>'Event List By Impact'!F12</f>
        <v>41686.544444444444</v>
      </c>
      <c r="I14" s="185"/>
      <c r="J14" s="205">
        <f>'Event List By Impact'!H12</f>
        <v>9.348766603442046</v>
      </c>
      <c r="K14" s="178"/>
      <c r="L14" s="422"/>
      <c r="M14" s="178"/>
      <c r="N14" s="206">
        <v>2.179895459798689E-3</v>
      </c>
      <c r="O14" s="178"/>
      <c r="P14" s="207">
        <f>D14*J14</f>
        <v>4506.1055028590663</v>
      </c>
      <c r="Q14" s="178"/>
      <c r="R14" s="421" t="str">
        <f>'Event List By Impact'!B12</f>
        <v>PD</v>
      </c>
      <c r="S14" s="91" t="str">
        <f>'Event List By Impact'!M12</f>
        <v>Plant Modifications For Baghouse</v>
      </c>
      <c r="V14" s="209"/>
    </row>
    <row r="15" spans="1:24" s="180" customFormat="1" ht="12.75" x14ac:dyDescent="0.2">
      <c r="A15" s="202">
        <v>7</v>
      </c>
      <c r="B15" s="203" t="str">
        <f>'Event List By Impact'!A13</f>
        <v>CR5</v>
      </c>
      <c r="C15" s="178"/>
      <c r="D15" s="203">
        <f>'Event List By Impact'!L13</f>
        <v>168</v>
      </c>
      <c r="E15" s="178"/>
      <c r="F15" s="347">
        <f>'Event List By Impact'!C13</f>
        <v>8</v>
      </c>
      <c r="G15" s="204">
        <f>'Event List By Impact'!E13</f>
        <v>41679</v>
      </c>
      <c r="H15" s="204">
        <f>'Event List By Impact'!F13</f>
        <v>41680.008333333331</v>
      </c>
      <c r="I15" s="185"/>
      <c r="J15" s="205">
        <f>'Event List By Impact'!H13</f>
        <v>24.199999999953434</v>
      </c>
      <c r="K15" s="178"/>
      <c r="L15" s="206">
        <f>(D15*J15)/'Interim Report'!$P$89</f>
        <v>1.9699748074751256E-3</v>
      </c>
      <c r="M15" s="178"/>
      <c r="N15" s="206">
        <v>1.9667943805836995E-3</v>
      </c>
      <c r="O15" s="178"/>
      <c r="P15" s="207">
        <f>D15*J15</f>
        <v>4065.5999999921769</v>
      </c>
      <c r="Q15" s="178"/>
      <c r="R15" s="208" t="str">
        <f>'Event List By Impact'!B13</f>
        <v>SF</v>
      </c>
      <c r="S15" s="91" t="str">
        <f>'Event List By Impact'!M13</f>
        <v>Electrostatic Precipitator Problems</v>
      </c>
      <c r="V15" s="209"/>
    </row>
    <row r="16" spans="1:24" s="180" customFormat="1" ht="12.75" x14ac:dyDescent="0.2">
      <c r="A16" s="202">
        <v>8</v>
      </c>
      <c r="B16" s="203" t="str">
        <f>'Event List By Impact'!A14</f>
        <v>GR4</v>
      </c>
      <c r="C16" s="178"/>
      <c r="D16" s="203">
        <f>'Event List By Impact'!L14</f>
        <v>98</v>
      </c>
      <c r="E16" s="178"/>
      <c r="F16" s="347">
        <f>'Event List By Impact'!C14</f>
        <v>27</v>
      </c>
      <c r="G16" s="204">
        <f>'Event List By Impact'!E14</f>
        <v>41677.195833333331</v>
      </c>
      <c r="H16" s="204">
        <f>'Event List By Impact'!F14</f>
        <v>41678.747916666667</v>
      </c>
      <c r="I16" s="185"/>
      <c r="J16" s="205">
        <f>'Event List By Impact'!H14</f>
        <v>37.250000000058208</v>
      </c>
      <c r="K16" s="178"/>
      <c r="L16" s="206">
        <f>(D16*J16)/'Interim Report'!$P$89</f>
        <v>1.768839294252514E-3</v>
      </c>
      <c r="M16" s="178"/>
      <c r="N16" s="206">
        <v>1.7659835906989939E-3</v>
      </c>
      <c r="O16" s="178"/>
      <c r="P16" s="207">
        <f>D16*J16</f>
        <v>3650.5000000057044</v>
      </c>
      <c r="Q16" s="178"/>
      <c r="R16" s="208" t="str">
        <f>'Event List By Impact'!B14</f>
        <v>U1</v>
      </c>
      <c r="S16" s="401" t="str">
        <f>'Event List By Impact'!M14</f>
        <v>Second Superheater Leaks</v>
      </c>
      <c r="V16" s="209"/>
    </row>
    <row r="17" spans="1:22" s="180" customFormat="1" ht="12.75" x14ac:dyDescent="0.2">
      <c r="A17" s="202">
        <v>9</v>
      </c>
      <c r="B17" s="203" t="str">
        <f>'Event List By Impact'!A15</f>
        <v>MC1</v>
      </c>
      <c r="C17" s="178"/>
      <c r="D17" s="203">
        <f>'Event List By Impact'!L15</f>
        <v>303</v>
      </c>
      <c r="E17" s="178"/>
      <c r="F17" s="347">
        <f>'Event List By Impact'!C15</f>
        <v>18</v>
      </c>
      <c r="G17" s="204">
        <f>'Event List By Impact'!E15</f>
        <v>41671.888888888891</v>
      </c>
      <c r="H17" s="204">
        <f>'Event List By Impact'!F15</f>
        <v>41672.368055555555</v>
      </c>
      <c r="I17" s="185"/>
      <c r="J17" s="205">
        <f>'Event List By Impact'!H15</f>
        <v>7.3181818181447769</v>
      </c>
      <c r="K17" s="178"/>
      <c r="L17" s="206">
        <f>(D17*J17)/'Interim Report'!$P$89</f>
        <v>1.0744392087129882E-3</v>
      </c>
      <c r="M17" s="178"/>
      <c r="N17" s="206">
        <v>1.0727045797524416E-3</v>
      </c>
      <c r="O17" s="178"/>
      <c r="P17" s="207">
        <f>D17*J17</f>
        <v>2217.4090908978674</v>
      </c>
      <c r="Q17" s="178"/>
      <c r="R17" s="208" t="str">
        <f>'Event List By Impact'!B15</f>
        <v>D1</v>
      </c>
      <c r="S17" s="91" t="str">
        <f>'Event List By Impact'!M15</f>
        <v>Turbine Control Valve Stuck</v>
      </c>
      <c r="V17" s="209"/>
    </row>
    <row r="18" spans="1:22" s="180" customFormat="1" ht="12.75" x14ac:dyDescent="0.2">
      <c r="A18" s="202">
        <v>10</v>
      </c>
      <c r="B18" s="203" t="str">
        <f>'Event List By Impact'!A16</f>
        <v>MC2</v>
      </c>
      <c r="C18" s="178"/>
      <c r="D18" s="203">
        <f>'Event List By Impact'!L16</f>
        <v>299</v>
      </c>
      <c r="E18" s="178"/>
      <c r="F18" s="347">
        <f>'Event List By Impact'!C16</f>
        <v>35</v>
      </c>
      <c r="G18" s="204">
        <f>'Event List By Impact'!E16</f>
        <v>41671.984027777777</v>
      </c>
      <c r="H18" s="204">
        <f>'Event List By Impact'!F16</f>
        <v>41672.274305555555</v>
      </c>
      <c r="I18" s="185"/>
      <c r="J18" s="205">
        <f>'Event List By Impact'!H16</f>
        <v>6.9666666666744277</v>
      </c>
      <c r="K18" s="178"/>
      <c r="L18" s="206">
        <f>(D18*J18)/'Interim Report'!$P$89</f>
        <v>1.0093278211850821E-3</v>
      </c>
      <c r="M18" s="178"/>
      <c r="N18" s="206">
        <v>1.0076983113392808E-3</v>
      </c>
      <c r="O18" s="178"/>
      <c r="P18" s="207">
        <f>D18*J18</f>
        <v>2083.0333333356539</v>
      </c>
      <c r="Q18" s="178"/>
      <c r="R18" s="208" t="str">
        <f>'Event List By Impact'!B16</f>
        <v>U1</v>
      </c>
      <c r="S18" s="91" t="str">
        <f>'Event List By Impact'!M16</f>
        <v>Condenser Loss of Vacuum</v>
      </c>
      <c r="V18" s="209"/>
    </row>
    <row r="19" spans="1:22" ht="15" thickBot="1" x14ac:dyDescent="0.25">
      <c r="A19" s="202"/>
      <c r="J19" s="213"/>
      <c r="L19" s="206"/>
      <c r="M19" s="178"/>
      <c r="N19" s="206"/>
      <c r="O19" s="178"/>
      <c r="P19" s="207"/>
      <c r="Q19" s="178"/>
      <c r="R19" s="53"/>
      <c r="S19" s="214"/>
    </row>
    <row r="20" spans="1:22" x14ac:dyDescent="0.2">
      <c r="A20" s="202"/>
      <c r="J20" s="215"/>
      <c r="L20" s="216"/>
      <c r="N20" s="216"/>
      <c r="P20" s="217"/>
    </row>
    <row r="21" spans="1:22" x14ac:dyDescent="0.2">
      <c r="J21" s="219">
        <f>SUM(J8:J19)</f>
        <v>229.60028175505209</v>
      </c>
      <c r="L21" s="220">
        <f>SUM(L8:L19)</f>
        <v>1.2073093731019254E-2</v>
      </c>
      <c r="N21" s="220">
        <f>SUM(N8:N19)</f>
        <v>3.1299649396478398E-2</v>
      </c>
      <c r="P21" s="221">
        <f>SUM(P8:P19)</f>
        <v>64700.131260448426</v>
      </c>
    </row>
    <row r="22" spans="1:22" ht="15" thickBot="1" x14ac:dyDescent="0.25">
      <c r="J22" s="222"/>
      <c r="L22" s="223"/>
      <c r="N22" s="223"/>
      <c r="P22" s="224"/>
    </row>
    <row r="23" spans="1:22" x14ac:dyDescent="0.2">
      <c r="L23" s="226">
        <f>L21/L25</f>
        <v>0.56720053075988408</v>
      </c>
      <c r="M23" s="226"/>
      <c r="N23" s="226">
        <f>N21/N25</f>
        <v>0.34372648210879869</v>
      </c>
    </row>
    <row r="24" spans="1:22" x14ac:dyDescent="0.2">
      <c r="L24" s="228" t="s">
        <v>72</v>
      </c>
      <c r="M24" s="228"/>
      <c r="N24" s="228" t="s">
        <v>72</v>
      </c>
    </row>
    <row r="25" spans="1:22" ht="15.75" x14ac:dyDescent="0.3">
      <c r="J25" s="229" t="s">
        <v>141</v>
      </c>
      <c r="L25" s="230">
        <f>'Interim Report'!R89</f>
        <v>2.1285406265126042E-2</v>
      </c>
      <c r="N25" s="230">
        <f>100%-'Interim Report'!AB89</f>
        <v>9.105975543243483E-2</v>
      </c>
      <c r="P25" s="231" t="s">
        <v>142</v>
      </c>
    </row>
    <row r="26" spans="1:22" x14ac:dyDescent="0.2">
      <c r="M26" s="232"/>
    </row>
  </sheetData>
  <mergeCells count="3">
    <mergeCell ref="B1:R1"/>
    <mergeCell ref="B2:R2"/>
    <mergeCell ref="K4:L4"/>
  </mergeCells>
  <phoneticPr fontId="0" type="noConversion"/>
  <printOptions horizontalCentered="1"/>
  <pageMargins left="0.25" right="0.25" top="0.34" bottom="0.38" header="0.17" footer="0.17"/>
  <pageSetup orientation="landscape" r:id="rId1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25"/>
  <sheetViews>
    <sheetView view="pageBreakPreview" zoomScale="80" zoomScaleNormal="90" zoomScaleSheetLayoutView="80" workbookViewId="0">
      <pane xSplit="2" ySplit="3" topLeftCell="C4" activePane="bottomRight" state="frozen"/>
      <selection activeCell="AI21" sqref="AI21:AJ22"/>
      <selection pane="topRight" activeCell="AI21" sqref="AI21:AJ22"/>
      <selection pane="bottomLeft" activeCell="AI21" sqref="AI21:AJ22"/>
      <selection pane="bottomRight" activeCell="C4" sqref="C4"/>
    </sheetView>
  </sheetViews>
  <sheetFormatPr defaultColWidth="55.1640625" defaultRowHeight="13.5" x14ac:dyDescent="0.25"/>
  <cols>
    <col min="1" max="1" width="7.1640625" style="53" bestFit="1" customWidth="1"/>
    <col min="2" max="2" width="6.83203125" style="53" bestFit="1" customWidth="1"/>
    <col min="3" max="3" width="6.6640625" style="53" bestFit="1" customWidth="1"/>
    <col min="4" max="4" width="7.1640625" style="53" bestFit="1" customWidth="1"/>
    <col min="5" max="6" width="14.6640625" style="77" customWidth="1"/>
    <col min="7" max="7" width="13.1640625" style="83" bestFit="1" customWidth="1"/>
    <col min="8" max="8" width="10.1640625" style="358" bestFit="1" customWidth="1"/>
    <col min="9" max="9" width="10.1640625" style="78" bestFit="1" customWidth="1"/>
    <col min="10" max="10" width="5.6640625" style="91" bestFit="1" customWidth="1"/>
    <col min="11" max="11" width="5.83203125" style="91" bestFit="1" customWidth="1"/>
    <col min="12" max="12" width="5.6640625" style="91" bestFit="1" customWidth="1"/>
    <col min="13" max="13" width="31.6640625" style="91" customWidth="1"/>
    <col min="14" max="14" width="40.6640625" style="140" customWidth="1"/>
    <col min="15" max="15" width="45.6640625" style="79" customWidth="1"/>
    <col min="16" max="16384" width="55.1640625" style="52"/>
  </cols>
  <sheetData>
    <row r="1" spans="1:15" s="67" customFormat="1" x14ac:dyDescent="0.25">
      <c r="A1" s="67" t="s">
        <v>1</v>
      </c>
      <c r="B1" s="67" t="s">
        <v>47</v>
      </c>
      <c r="C1" s="67" t="s">
        <v>47</v>
      </c>
      <c r="D1" s="67" t="s">
        <v>43</v>
      </c>
      <c r="E1" s="68" t="s">
        <v>47</v>
      </c>
      <c r="F1" s="68" t="s">
        <v>47</v>
      </c>
      <c r="G1" s="80" t="s">
        <v>80</v>
      </c>
      <c r="H1" s="354" t="s">
        <v>60</v>
      </c>
      <c r="I1" s="69" t="s">
        <v>61</v>
      </c>
      <c r="J1" s="69"/>
      <c r="K1" s="69"/>
      <c r="L1" s="69"/>
      <c r="M1" s="67" t="s">
        <v>47</v>
      </c>
      <c r="N1" s="134" t="s">
        <v>47</v>
      </c>
    </row>
    <row r="2" spans="1:15" s="70" customFormat="1" x14ac:dyDescent="0.25">
      <c r="A2" s="70" t="s">
        <v>46</v>
      </c>
      <c r="B2" s="70" t="s">
        <v>48</v>
      </c>
      <c r="C2" s="70" t="s">
        <v>49</v>
      </c>
      <c r="D2" s="70" t="s">
        <v>50</v>
      </c>
      <c r="E2" s="71" t="s">
        <v>51</v>
      </c>
      <c r="F2" s="71" t="s">
        <v>52</v>
      </c>
      <c r="G2" s="81" t="s">
        <v>55</v>
      </c>
      <c r="H2" s="355" t="s">
        <v>62</v>
      </c>
      <c r="I2" s="72" t="s">
        <v>53</v>
      </c>
      <c r="J2" s="72" t="s">
        <v>44</v>
      </c>
      <c r="K2" s="72" t="s">
        <v>45</v>
      </c>
      <c r="L2" s="72" t="s">
        <v>56</v>
      </c>
      <c r="M2" s="70" t="s">
        <v>43</v>
      </c>
      <c r="N2" s="135" t="s">
        <v>54</v>
      </c>
    </row>
    <row r="3" spans="1:15" x14ac:dyDescent="0.25">
      <c r="A3" s="73"/>
      <c r="B3" s="73"/>
      <c r="C3" s="73"/>
      <c r="D3" s="73"/>
      <c r="E3" s="74"/>
      <c r="F3" s="74"/>
      <c r="G3" s="82"/>
      <c r="H3" s="356"/>
      <c r="I3" s="75"/>
      <c r="J3" s="90"/>
      <c r="K3" s="90"/>
      <c r="L3" s="90"/>
      <c r="M3" s="90"/>
      <c r="N3" s="136"/>
      <c r="O3" s="76"/>
    </row>
    <row r="4" spans="1:15" x14ac:dyDescent="0.25">
      <c r="A4" s="109"/>
      <c r="B4" s="109"/>
      <c r="C4" s="109"/>
      <c r="D4" s="109"/>
      <c r="E4" s="110"/>
      <c r="F4" s="110"/>
      <c r="G4" s="111"/>
      <c r="H4" s="357"/>
      <c r="I4" s="112"/>
      <c r="J4" s="113"/>
      <c r="K4" s="113"/>
      <c r="L4" s="113"/>
      <c r="M4" s="113"/>
      <c r="N4" s="137"/>
    </row>
    <row r="5" spans="1:15" s="54" customFormat="1" x14ac:dyDescent="0.25">
      <c r="A5" s="114"/>
      <c r="B5" s="114"/>
      <c r="C5" s="114"/>
      <c r="D5" s="114"/>
      <c r="E5" s="115"/>
      <c r="F5" s="115"/>
      <c r="G5" s="116"/>
      <c r="H5" s="359"/>
      <c r="I5" s="117"/>
      <c r="J5" s="118"/>
      <c r="K5" s="412">
        <v>114</v>
      </c>
      <c r="L5" s="412">
        <v>107</v>
      </c>
      <c r="M5" s="118"/>
      <c r="N5" s="138"/>
      <c r="O5" s="92"/>
    </row>
    <row r="6" spans="1:15" s="104" customFormat="1" x14ac:dyDescent="0.25">
      <c r="A6" s="100" t="s">
        <v>84</v>
      </c>
      <c r="B6" s="100"/>
      <c r="C6" s="100"/>
      <c r="D6" s="100"/>
      <c r="E6" s="101"/>
      <c r="F6" s="101"/>
      <c r="G6" s="98">
        <f>SUM(G4:G5)</f>
        <v>0</v>
      </c>
      <c r="H6" s="360">
        <f>SUM(H4:H5)</f>
        <v>0</v>
      </c>
      <c r="I6" s="99">
        <f>SUM(I4:I5)</f>
        <v>0</v>
      </c>
      <c r="J6" s="102"/>
      <c r="K6" s="102"/>
      <c r="L6" s="102"/>
      <c r="M6" s="102"/>
      <c r="N6" s="139"/>
      <c r="O6" s="103"/>
    </row>
    <row r="7" spans="1:15" s="104" customFormat="1" x14ac:dyDescent="0.25">
      <c r="A7" s="100"/>
      <c r="B7" s="89" t="s">
        <v>92</v>
      </c>
      <c r="C7" s="100"/>
      <c r="D7" s="100"/>
      <c r="E7" s="101"/>
      <c r="F7" s="101"/>
      <c r="G7" s="122"/>
      <c r="H7" s="363"/>
      <c r="I7" s="123"/>
      <c r="J7" s="102"/>
      <c r="K7" s="102"/>
      <c r="L7" s="102"/>
      <c r="M7" s="102"/>
      <c r="N7" s="139"/>
      <c r="O7" s="103"/>
    </row>
    <row r="8" spans="1:15" s="104" customFormat="1" x14ac:dyDescent="0.25">
      <c r="A8" s="100"/>
      <c r="B8" s="372" t="s">
        <v>94</v>
      </c>
      <c r="C8" s="100"/>
      <c r="D8" s="100"/>
      <c r="E8" s="101"/>
      <c r="F8" s="101"/>
      <c r="G8" s="373"/>
      <c r="H8" s="374"/>
      <c r="I8" s="375"/>
      <c r="J8" s="102"/>
      <c r="K8" s="102"/>
      <c r="L8" s="102"/>
      <c r="M8" s="102"/>
      <c r="N8" s="139"/>
      <c r="O8" s="103"/>
    </row>
    <row r="10" spans="1:15" x14ac:dyDescent="0.25">
      <c r="A10" s="109"/>
      <c r="B10" s="109"/>
      <c r="C10" s="109"/>
      <c r="D10" s="109"/>
      <c r="E10" s="110"/>
      <c r="F10" s="110"/>
      <c r="G10" s="111"/>
      <c r="H10" s="357"/>
      <c r="I10" s="112"/>
      <c r="J10" s="113"/>
      <c r="K10" s="113"/>
      <c r="L10" s="113"/>
      <c r="M10" s="113"/>
      <c r="N10" s="137"/>
    </row>
    <row r="11" spans="1:15" x14ac:dyDescent="0.25">
      <c r="A11" s="53" t="s">
        <v>99</v>
      </c>
      <c r="B11" s="53" t="s">
        <v>91</v>
      </c>
      <c r="C11" s="53">
        <v>4</v>
      </c>
      <c r="D11" s="53">
        <v>310</v>
      </c>
      <c r="E11" s="77">
        <v>41681.836111111108</v>
      </c>
      <c r="F11" s="77">
        <v>41682.095138888886</v>
      </c>
      <c r="G11" s="83">
        <f>(F11-E11)*24</f>
        <v>6.2166666666744277</v>
      </c>
      <c r="H11" s="358">
        <f>G11*(K11-J11)/K11</f>
        <v>1.7268518518540077</v>
      </c>
      <c r="I11" s="78">
        <f>H11*L11</f>
        <v>290.11111111147329</v>
      </c>
      <c r="J11" s="91">
        <v>130</v>
      </c>
      <c r="K11" s="91">
        <v>180</v>
      </c>
      <c r="L11" s="91">
        <v>168</v>
      </c>
      <c r="M11" s="91" t="s">
        <v>150</v>
      </c>
      <c r="N11" s="140" t="s">
        <v>198</v>
      </c>
    </row>
    <row r="12" spans="1:15" x14ac:dyDescent="0.25">
      <c r="A12" s="53" t="s">
        <v>99</v>
      </c>
      <c r="B12" s="53" t="s">
        <v>91</v>
      </c>
      <c r="C12" s="53">
        <v>5</v>
      </c>
      <c r="D12" s="53">
        <v>310</v>
      </c>
      <c r="E12" s="77">
        <v>41686.747916666667</v>
      </c>
      <c r="F12" s="405">
        <v>41687</v>
      </c>
      <c r="G12" s="83">
        <f>(F12-E12)*24</f>
        <v>6.0499999999883585</v>
      </c>
      <c r="H12" s="358">
        <f>G12*(K12-J12)/K12</f>
        <v>1.6805555555523217</v>
      </c>
      <c r="I12" s="78">
        <f>H12*L12</f>
        <v>282.33333333279006</v>
      </c>
      <c r="J12" s="91">
        <v>130</v>
      </c>
      <c r="K12" s="91">
        <v>180</v>
      </c>
      <c r="L12" s="91">
        <v>168</v>
      </c>
      <c r="M12" s="91" t="s">
        <v>150</v>
      </c>
      <c r="N12" s="140" t="s">
        <v>202</v>
      </c>
    </row>
    <row r="13" spans="1:15" s="54" customFormat="1" x14ac:dyDescent="0.25">
      <c r="A13" s="114"/>
      <c r="B13" s="114"/>
      <c r="C13" s="114"/>
      <c r="D13" s="114"/>
      <c r="E13" s="115"/>
      <c r="F13" s="115"/>
      <c r="G13" s="116"/>
      <c r="H13" s="359"/>
      <c r="I13" s="117"/>
      <c r="J13" s="118"/>
      <c r="K13" s="412">
        <v>180</v>
      </c>
      <c r="L13" s="412">
        <v>168</v>
      </c>
      <c r="M13" s="118"/>
      <c r="N13" s="138"/>
      <c r="O13" s="92"/>
    </row>
    <row r="14" spans="1:15" s="104" customFormat="1" x14ac:dyDescent="0.25">
      <c r="A14" s="100" t="s">
        <v>99</v>
      </c>
      <c r="B14" s="100"/>
      <c r="C14" s="100"/>
      <c r="D14" s="100"/>
      <c r="E14" s="101"/>
      <c r="F14" s="101"/>
      <c r="G14" s="98">
        <f>SUM(G10:G13)</f>
        <v>12.266666666662786</v>
      </c>
      <c r="H14" s="360">
        <f>SUM(H10:H13)</f>
        <v>3.4074074074063292</v>
      </c>
      <c r="I14" s="99">
        <f>SUM(I10:I13)</f>
        <v>572.44444444426335</v>
      </c>
      <c r="J14" s="102"/>
      <c r="K14" s="102"/>
      <c r="L14" s="102"/>
      <c r="M14" s="102"/>
      <c r="N14" s="139"/>
      <c r="O14" s="103"/>
    </row>
    <row r="15" spans="1:15" s="104" customFormat="1" x14ac:dyDescent="0.25">
      <c r="A15" s="100"/>
      <c r="B15" s="89" t="s">
        <v>92</v>
      </c>
      <c r="C15" s="100"/>
      <c r="D15" s="100"/>
      <c r="E15" s="101"/>
      <c r="F15" s="101"/>
      <c r="G15" s="122"/>
      <c r="H15" s="363"/>
      <c r="I15" s="123"/>
      <c r="J15" s="102"/>
      <c r="K15" s="102"/>
      <c r="L15" s="102"/>
      <c r="M15" s="102"/>
      <c r="N15" s="139"/>
      <c r="O15" s="103"/>
    </row>
    <row r="16" spans="1:15" s="104" customFormat="1" x14ac:dyDescent="0.25">
      <c r="A16" s="100"/>
      <c r="B16" s="372" t="s">
        <v>94</v>
      </c>
      <c r="C16" s="100"/>
      <c r="D16" s="100"/>
      <c r="E16" s="101"/>
      <c r="F16" s="101"/>
      <c r="G16" s="373"/>
      <c r="H16" s="374"/>
      <c r="I16" s="375"/>
      <c r="J16" s="102"/>
      <c r="K16" s="102"/>
      <c r="L16" s="102"/>
      <c r="M16" s="102"/>
      <c r="N16" s="139"/>
      <c r="O16" s="103"/>
    </row>
    <row r="18" spans="1:15" x14ac:dyDescent="0.25">
      <c r="A18" s="109"/>
      <c r="B18" s="109"/>
      <c r="C18" s="109"/>
      <c r="D18" s="109"/>
      <c r="E18" s="110"/>
      <c r="F18" s="110"/>
      <c r="G18" s="111"/>
      <c r="H18" s="357"/>
      <c r="I18" s="112"/>
      <c r="J18" s="113"/>
      <c r="K18" s="113"/>
      <c r="L18" s="113"/>
      <c r="M18" s="113"/>
      <c r="N18" s="137"/>
    </row>
    <row r="19" spans="1:15" s="157" customFormat="1" x14ac:dyDescent="0.25">
      <c r="A19" s="394" t="s">
        <v>82</v>
      </c>
      <c r="B19" s="394" t="s">
        <v>93</v>
      </c>
      <c r="C19" s="67">
        <v>8</v>
      </c>
      <c r="D19" s="67">
        <v>339</v>
      </c>
      <c r="E19" s="406">
        <v>41669.164583333331</v>
      </c>
      <c r="F19" s="68">
        <v>41671.670138888891</v>
      </c>
      <c r="G19" s="395">
        <f t="shared" ref="G19:G20" si="0">(F19-E19)*24</f>
        <v>60.133333333418705</v>
      </c>
      <c r="H19" s="396">
        <f t="shared" ref="H19:H20" si="1">G19*(K19-J19)/K19</f>
        <v>60.133333333418705</v>
      </c>
      <c r="I19" s="397">
        <f t="shared" ref="I19:I20" si="2">H19*L19</f>
        <v>24895.200000035344</v>
      </c>
      <c r="J19" s="384">
        <v>0</v>
      </c>
      <c r="K19" s="384">
        <v>457</v>
      </c>
      <c r="L19" s="384">
        <v>414</v>
      </c>
      <c r="M19" s="384" t="s">
        <v>180</v>
      </c>
      <c r="N19" s="139" t="s">
        <v>181</v>
      </c>
      <c r="O19" s="385"/>
    </row>
    <row r="20" spans="1:15" x14ac:dyDescent="0.25">
      <c r="A20" s="53" t="s">
        <v>82</v>
      </c>
      <c r="B20" s="372" t="s">
        <v>94</v>
      </c>
      <c r="C20" s="53">
        <v>9</v>
      </c>
      <c r="D20" s="53">
        <v>3412</v>
      </c>
      <c r="E20" s="77">
        <v>41674.916666666664</v>
      </c>
      <c r="F20" s="77">
        <v>41675.077777777777</v>
      </c>
      <c r="G20" s="373">
        <f t="shared" si="0"/>
        <v>3.8666666666977108</v>
      </c>
      <c r="H20" s="374">
        <f t="shared" si="1"/>
        <v>1.2437636761587822</v>
      </c>
      <c r="I20" s="375">
        <f t="shared" si="2"/>
        <v>514.9181619297359</v>
      </c>
      <c r="J20" s="91">
        <v>310</v>
      </c>
      <c r="K20" s="91">
        <v>457</v>
      </c>
      <c r="L20" s="91">
        <v>414</v>
      </c>
      <c r="M20" s="91" t="s">
        <v>188</v>
      </c>
      <c r="N20" s="140" t="s">
        <v>189</v>
      </c>
    </row>
    <row r="21" spans="1:15" s="54" customFormat="1" x14ac:dyDescent="0.25">
      <c r="A21" s="114"/>
      <c r="B21" s="114"/>
      <c r="C21" s="114"/>
      <c r="D21" s="114"/>
      <c r="E21" s="115"/>
      <c r="F21" s="115"/>
      <c r="G21" s="116"/>
      <c r="H21" s="359"/>
      <c r="I21" s="117"/>
      <c r="J21" s="118"/>
      <c r="K21" s="412">
        <v>457</v>
      </c>
      <c r="L21" s="412">
        <v>414</v>
      </c>
      <c r="M21" s="118"/>
      <c r="N21" s="138"/>
      <c r="O21" s="92"/>
    </row>
    <row r="22" spans="1:15" s="104" customFormat="1" x14ac:dyDescent="0.25">
      <c r="A22" s="100" t="s">
        <v>82</v>
      </c>
      <c r="B22" s="100"/>
      <c r="C22" s="100"/>
      <c r="D22" s="100"/>
      <c r="E22" s="101"/>
      <c r="F22" s="101"/>
      <c r="G22" s="98">
        <f>SUM(G18:G21)</f>
        <v>64.000000000116415</v>
      </c>
      <c r="H22" s="360">
        <f>SUM(H18:H21)</f>
        <v>61.37709700957749</v>
      </c>
      <c r="I22" s="99">
        <f>SUM(I18:I21)</f>
        <v>25410.118161965078</v>
      </c>
      <c r="J22" s="102"/>
      <c r="K22" s="102"/>
      <c r="L22" s="102"/>
      <c r="M22" s="102"/>
      <c r="N22" s="139"/>
      <c r="O22" s="103"/>
    </row>
    <row r="23" spans="1:15" s="104" customFormat="1" x14ac:dyDescent="0.25">
      <c r="A23" s="100"/>
      <c r="B23" s="89" t="s">
        <v>92</v>
      </c>
      <c r="C23" s="100"/>
      <c r="D23" s="100"/>
      <c r="E23" s="101"/>
      <c r="F23" s="101"/>
      <c r="G23" s="122"/>
      <c r="H23" s="363"/>
      <c r="I23" s="123"/>
      <c r="J23" s="102"/>
      <c r="K23" s="102"/>
      <c r="L23" s="102"/>
      <c r="M23" s="102"/>
      <c r="N23" s="139"/>
      <c r="O23" s="103"/>
    </row>
    <row r="24" spans="1:15" s="104" customFormat="1" x14ac:dyDescent="0.25">
      <c r="A24" s="100"/>
      <c r="B24" s="372" t="s">
        <v>94</v>
      </c>
      <c r="C24" s="100"/>
      <c r="D24" s="100"/>
      <c r="E24" s="101"/>
      <c r="F24" s="101"/>
      <c r="G24" s="373">
        <f>G20</f>
        <v>3.8666666666977108</v>
      </c>
      <c r="H24" s="374">
        <f>H20</f>
        <v>1.2437636761587822</v>
      </c>
      <c r="I24" s="375">
        <f>I20</f>
        <v>514.9181619297359</v>
      </c>
      <c r="J24" s="102"/>
      <c r="K24" s="102"/>
      <c r="L24" s="102"/>
      <c r="M24" s="102"/>
      <c r="N24" s="139"/>
      <c r="O24" s="103"/>
    </row>
    <row r="26" spans="1:15" s="142" customFormat="1" x14ac:dyDescent="0.25">
      <c r="A26" s="143"/>
      <c r="B26" s="143"/>
      <c r="C26" s="143"/>
      <c r="D26" s="143"/>
      <c r="E26" s="144"/>
      <c r="F26" s="144"/>
      <c r="G26" s="145"/>
      <c r="H26" s="362"/>
      <c r="I26" s="146"/>
      <c r="J26" s="147"/>
      <c r="K26" s="147"/>
      <c r="L26" s="147"/>
      <c r="M26" s="147"/>
      <c r="N26" s="148"/>
      <c r="O26" s="76"/>
    </row>
    <row r="27" spans="1:15" x14ac:dyDescent="0.25">
      <c r="A27" s="53" t="s">
        <v>83</v>
      </c>
      <c r="B27" s="53" t="s">
        <v>91</v>
      </c>
      <c r="C27" s="53">
        <v>8</v>
      </c>
      <c r="D27" s="53">
        <v>8560</v>
      </c>
      <c r="E27" s="77">
        <v>41679</v>
      </c>
      <c r="F27" s="77">
        <v>41679.487500000003</v>
      </c>
      <c r="G27" s="83">
        <f t="shared" ref="G27:G28" si="3">(F27-E27)*24</f>
        <v>11.700000000069849</v>
      </c>
      <c r="H27" s="358">
        <f t="shared" ref="H27:H28" si="4">G27*(K27-J27)/K27</f>
        <v>6.1285714286080166</v>
      </c>
      <c r="I27" s="78">
        <f t="shared" ref="I27:I28" si="5">H27*L27</f>
        <v>949.9285714342426</v>
      </c>
      <c r="J27" s="91">
        <v>80</v>
      </c>
      <c r="K27" s="91">
        <v>168</v>
      </c>
      <c r="L27" s="91">
        <v>155</v>
      </c>
      <c r="M27" s="91" t="s">
        <v>194</v>
      </c>
      <c r="N27" s="140" t="s">
        <v>203</v>
      </c>
    </row>
    <row r="28" spans="1:15" s="157" customFormat="1" x14ac:dyDescent="0.25">
      <c r="A28" s="67" t="s">
        <v>83</v>
      </c>
      <c r="B28" s="380" t="s">
        <v>95</v>
      </c>
      <c r="C28" s="67">
        <v>9</v>
      </c>
      <c r="D28" s="67">
        <v>8100</v>
      </c>
      <c r="E28" s="68">
        <v>41686.479166666664</v>
      </c>
      <c r="F28" s="407">
        <v>41687</v>
      </c>
      <c r="G28" s="381">
        <f t="shared" si="3"/>
        <v>12.500000000058208</v>
      </c>
      <c r="H28" s="382">
        <f t="shared" si="4"/>
        <v>12.500000000058208</v>
      </c>
      <c r="I28" s="383">
        <f t="shared" si="5"/>
        <v>1937.5000000090222</v>
      </c>
      <c r="J28" s="384">
        <v>0</v>
      </c>
      <c r="K28" s="384">
        <v>168</v>
      </c>
      <c r="L28" s="384">
        <v>155</v>
      </c>
      <c r="M28" s="384" t="s">
        <v>201</v>
      </c>
      <c r="N28" s="139" t="s">
        <v>204</v>
      </c>
      <c r="O28" s="385"/>
    </row>
    <row r="29" spans="1:15" s="156" customFormat="1" x14ac:dyDescent="0.25">
      <c r="A29" s="149"/>
      <c r="B29" s="149"/>
      <c r="C29" s="149"/>
      <c r="D29" s="149"/>
      <c r="E29" s="150"/>
      <c r="F29" s="150"/>
      <c r="G29" s="151"/>
      <c r="H29" s="364"/>
      <c r="I29" s="152"/>
      <c r="J29" s="153"/>
      <c r="K29" s="413">
        <v>168</v>
      </c>
      <c r="L29" s="413">
        <v>155</v>
      </c>
      <c r="M29" s="153"/>
      <c r="N29" s="154"/>
      <c r="O29" s="155"/>
    </row>
    <row r="30" spans="1:15" s="104" customFormat="1" x14ac:dyDescent="0.25">
      <c r="A30" s="100" t="s">
        <v>83</v>
      </c>
      <c r="B30" s="100"/>
      <c r="C30" s="100"/>
      <c r="D30" s="100"/>
      <c r="E30" s="101"/>
      <c r="F30" s="101"/>
      <c r="G30" s="98">
        <f>SUM(G26:G29)</f>
        <v>24.200000000128057</v>
      </c>
      <c r="H30" s="360">
        <f>SUM(H26:H29)</f>
        <v>18.628571428666223</v>
      </c>
      <c r="I30" s="99">
        <f>SUM(I26:I29)</f>
        <v>2887.4285714432649</v>
      </c>
      <c r="J30" s="102"/>
      <c r="K30" s="102"/>
      <c r="L30" s="102"/>
      <c r="M30" s="102"/>
      <c r="N30" s="139"/>
      <c r="O30" s="103"/>
    </row>
    <row r="31" spans="1:15" s="104" customFormat="1" x14ac:dyDescent="0.25">
      <c r="A31" s="100"/>
      <c r="B31" s="89" t="s">
        <v>92</v>
      </c>
      <c r="C31" s="100"/>
      <c r="D31" s="100"/>
      <c r="E31" s="101"/>
      <c r="F31" s="101"/>
      <c r="G31" s="122"/>
      <c r="H31" s="363"/>
      <c r="I31" s="123"/>
      <c r="J31" s="102"/>
      <c r="K31" s="102"/>
      <c r="L31" s="102"/>
      <c r="M31" s="102"/>
      <c r="N31" s="139"/>
      <c r="O31" s="103"/>
    </row>
    <row r="32" spans="1:15" s="104" customFormat="1" x14ac:dyDescent="0.25">
      <c r="A32" s="100"/>
      <c r="B32" s="372" t="s">
        <v>94</v>
      </c>
      <c r="C32" s="100"/>
      <c r="D32" s="100"/>
      <c r="E32" s="101"/>
      <c r="F32" s="101"/>
      <c r="G32" s="373"/>
      <c r="H32" s="374"/>
      <c r="I32" s="375"/>
      <c r="J32" s="102"/>
      <c r="K32" s="102"/>
      <c r="L32" s="102"/>
      <c r="M32" s="102"/>
      <c r="N32" s="139"/>
      <c r="O32" s="103"/>
    </row>
    <row r="34" spans="1:15" x14ac:dyDescent="0.25">
      <c r="A34" s="143"/>
      <c r="B34" s="143"/>
      <c r="C34" s="143"/>
      <c r="D34" s="143"/>
      <c r="E34" s="144"/>
      <c r="F34" s="144"/>
      <c r="G34" s="145"/>
      <c r="H34" s="362"/>
      <c r="I34" s="146"/>
      <c r="J34" s="147"/>
      <c r="K34" s="147"/>
      <c r="L34" s="147"/>
      <c r="M34" s="147"/>
      <c r="N34" s="148"/>
    </row>
    <row r="35" spans="1:15" x14ac:dyDescent="0.25">
      <c r="A35" s="53" t="s">
        <v>87</v>
      </c>
      <c r="B35" s="89" t="s">
        <v>92</v>
      </c>
      <c r="C35" s="53">
        <v>4</v>
      </c>
      <c r="D35" s="53">
        <v>344</v>
      </c>
      <c r="E35" s="77">
        <v>41672.958333333336</v>
      </c>
      <c r="F35" s="77">
        <v>41673.201388888891</v>
      </c>
      <c r="G35" s="122">
        <f t="shared" ref="G35:G40" si="6">(F35-E35)*24</f>
        <v>5.8333333333139308</v>
      </c>
      <c r="H35" s="363">
        <f t="shared" ref="H35:H39" si="7">G35*(K35-J35)/K35</f>
        <v>1.8047882136219897</v>
      </c>
      <c r="I35" s="123">
        <f t="shared" ref="I35:I39" si="8">H35*L35</f>
        <v>303.20441988849427</v>
      </c>
      <c r="J35" s="91">
        <v>125</v>
      </c>
      <c r="K35" s="91">
        <v>181</v>
      </c>
      <c r="L35" s="91">
        <v>168</v>
      </c>
      <c r="M35" s="91" t="s">
        <v>166</v>
      </c>
      <c r="N35" s="140" t="s">
        <v>205</v>
      </c>
    </row>
    <row r="36" spans="1:15" x14ac:dyDescent="0.25">
      <c r="A36" s="53" t="s">
        <v>87</v>
      </c>
      <c r="B36" s="89" t="s">
        <v>92</v>
      </c>
      <c r="C36" s="53">
        <v>5</v>
      </c>
      <c r="D36" s="53">
        <v>344</v>
      </c>
      <c r="E36" s="77">
        <v>41673.958333333336</v>
      </c>
      <c r="F36" s="77">
        <v>41674.204861111109</v>
      </c>
      <c r="G36" s="122">
        <f t="shared" si="6"/>
        <v>5.9166666665696539</v>
      </c>
      <c r="H36" s="363">
        <f t="shared" si="7"/>
        <v>1.6671270717958693</v>
      </c>
      <c r="I36" s="123">
        <f t="shared" si="8"/>
        <v>280.07734806170606</v>
      </c>
      <c r="J36" s="91">
        <v>130</v>
      </c>
      <c r="K36" s="91">
        <v>181</v>
      </c>
      <c r="L36" s="91">
        <v>168</v>
      </c>
      <c r="M36" s="91" t="s">
        <v>166</v>
      </c>
      <c r="N36" s="140" t="s">
        <v>205</v>
      </c>
    </row>
    <row r="37" spans="1:15" x14ac:dyDescent="0.25">
      <c r="A37" s="53" t="s">
        <v>87</v>
      </c>
      <c r="B37" s="89" t="s">
        <v>92</v>
      </c>
      <c r="C37" s="53">
        <v>6</v>
      </c>
      <c r="D37" s="53">
        <v>344</v>
      </c>
      <c r="E37" s="77">
        <v>41674.958333333336</v>
      </c>
      <c r="F37" s="77">
        <v>41675.208333333336</v>
      </c>
      <c r="G37" s="122">
        <f t="shared" si="6"/>
        <v>6</v>
      </c>
      <c r="H37" s="363">
        <f t="shared" si="7"/>
        <v>1.8563535911602209</v>
      </c>
      <c r="I37" s="123">
        <f t="shared" si="8"/>
        <v>311.86740331491711</v>
      </c>
      <c r="J37" s="91">
        <v>125</v>
      </c>
      <c r="K37" s="91">
        <v>181</v>
      </c>
      <c r="L37" s="91">
        <v>168</v>
      </c>
      <c r="M37" s="91" t="s">
        <v>166</v>
      </c>
      <c r="N37" s="140" t="s">
        <v>205</v>
      </c>
    </row>
    <row r="38" spans="1:15" s="157" customFormat="1" x14ac:dyDescent="0.25">
      <c r="A38" s="394" t="s">
        <v>87</v>
      </c>
      <c r="B38" s="394" t="s">
        <v>155</v>
      </c>
      <c r="C38" s="67">
        <v>7</v>
      </c>
      <c r="D38" s="67">
        <v>1060</v>
      </c>
      <c r="E38" s="68">
        <v>41677.45208333333</v>
      </c>
      <c r="F38" s="68">
        <v>41679</v>
      </c>
      <c r="G38" s="395">
        <f t="shared" si="6"/>
        <v>37.150000000081491</v>
      </c>
      <c r="H38" s="396">
        <f t="shared" si="7"/>
        <v>37.150000000081491</v>
      </c>
      <c r="I38" s="397">
        <f t="shared" si="8"/>
        <v>6241.2000000136904</v>
      </c>
      <c r="J38" s="384">
        <v>0</v>
      </c>
      <c r="K38" s="384">
        <v>181</v>
      </c>
      <c r="L38" s="384">
        <v>168</v>
      </c>
      <c r="M38" s="384" t="s">
        <v>183</v>
      </c>
      <c r="N38" s="139" t="s">
        <v>206</v>
      </c>
      <c r="O38" s="385"/>
    </row>
    <row r="39" spans="1:15" s="157" customFormat="1" x14ac:dyDescent="0.25">
      <c r="A39" s="394" t="s">
        <v>87</v>
      </c>
      <c r="B39" s="394" t="s">
        <v>97</v>
      </c>
      <c r="C39" s="67">
        <v>8</v>
      </c>
      <c r="D39" s="67">
        <v>8560</v>
      </c>
      <c r="E39" s="68">
        <v>41679</v>
      </c>
      <c r="F39" s="68">
        <v>41680.008333333331</v>
      </c>
      <c r="G39" s="395">
        <f t="shared" si="6"/>
        <v>24.199999999953434</v>
      </c>
      <c r="H39" s="396">
        <f t="shared" si="7"/>
        <v>24.199999999953434</v>
      </c>
      <c r="I39" s="397">
        <f t="shared" si="8"/>
        <v>4065.5999999921769</v>
      </c>
      <c r="J39" s="384">
        <v>0</v>
      </c>
      <c r="K39" s="384">
        <v>181</v>
      </c>
      <c r="L39" s="384">
        <v>168</v>
      </c>
      <c r="M39" s="384" t="s">
        <v>194</v>
      </c>
      <c r="N39" s="139" t="s">
        <v>203</v>
      </c>
      <c r="O39" s="385"/>
    </row>
    <row r="40" spans="1:15" x14ac:dyDescent="0.25">
      <c r="A40" s="53" t="s">
        <v>87</v>
      </c>
      <c r="B40" s="386" t="s">
        <v>96</v>
      </c>
      <c r="C40" s="53">
        <v>9</v>
      </c>
      <c r="D40" s="53">
        <v>9999</v>
      </c>
      <c r="E40" s="77">
        <v>41683.416666666664</v>
      </c>
      <c r="F40" s="77">
        <v>41683.583333333336</v>
      </c>
      <c r="G40" s="387">
        <f t="shared" si="6"/>
        <v>4.0000000001164153</v>
      </c>
      <c r="H40" s="388"/>
      <c r="I40" s="389"/>
      <c r="J40" s="91">
        <v>0</v>
      </c>
      <c r="K40" s="91">
        <v>181</v>
      </c>
      <c r="L40" s="91">
        <v>168</v>
      </c>
      <c r="M40" s="91" t="s">
        <v>191</v>
      </c>
      <c r="N40" s="140" t="s">
        <v>207</v>
      </c>
    </row>
    <row r="41" spans="1:15" s="54" customFormat="1" x14ac:dyDescent="0.25">
      <c r="A41" s="149"/>
      <c r="B41" s="149"/>
      <c r="C41" s="149"/>
      <c r="D41" s="149"/>
      <c r="E41" s="150"/>
      <c r="F41" s="150"/>
      <c r="G41" s="151"/>
      <c r="H41" s="364"/>
      <c r="I41" s="152"/>
      <c r="J41" s="153"/>
      <c r="K41" s="413">
        <v>181</v>
      </c>
      <c r="L41" s="413">
        <v>168</v>
      </c>
      <c r="M41" s="153"/>
      <c r="N41" s="154"/>
      <c r="O41" s="92"/>
    </row>
    <row r="42" spans="1:15" s="104" customFormat="1" x14ac:dyDescent="0.25">
      <c r="A42" s="100" t="s">
        <v>87</v>
      </c>
      <c r="B42" s="100"/>
      <c r="C42" s="100"/>
      <c r="D42" s="100"/>
      <c r="E42" s="101"/>
      <c r="F42" s="101"/>
      <c r="G42" s="98">
        <f>SUM(G34:G41)</f>
        <v>83.100000000034925</v>
      </c>
      <c r="H42" s="360">
        <f>SUM(H34:H41)</f>
        <v>66.678268876613004</v>
      </c>
      <c r="I42" s="99">
        <f>SUM(I34:I41)</f>
        <v>11201.949171270986</v>
      </c>
      <c r="J42" s="102"/>
      <c r="K42" s="102"/>
      <c r="L42" s="102"/>
      <c r="M42" s="102"/>
      <c r="N42" s="139"/>
      <c r="O42" s="103"/>
    </row>
    <row r="43" spans="1:15" s="104" customFormat="1" x14ac:dyDescent="0.25">
      <c r="A43" s="100"/>
      <c r="B43" s="89" t="s">
        <v>92</v>
      </c>
      <c r="C43" s="100"/>
      <c r="D43" s="100"/>
      <c r="E43" s="101"/>
      <c r="F43" s="101"/>
      <c r="G43" s="122">
        <f>SUM(G35:G37)</f>
        <v>17.749999999883585</v>
      </c>
      <c r="H43" s="363">
        <f t="shared" ref="H43:I43" si="9">SUM(H35:H37)</f>
        <v>5.3282688765780799</v>
      </c>
      <c r="I43" s="123">
        <f t="shared" si="9"/>
        <v>895.1491712651175</v>
      </c>
      <c r="J43" s="102"/>
      <c r="K43" s="102"/>
      <c r="L43" s="102"/>
      <c r="M43" s="102"/>
      <c r="N43" s="139"/>
      <c r="O43" s="103"/>
    </row>
    <row r="44" spans="1:15" s="104" customFormat="1" x14ac:dyDescent="0.25">
      <c r="A44" s="100"/>
      <c r="B44" s="372" t="s">
        <v>94</v>
      </c>
      <c r="C44" s="100"/>
      <c r="D44" s="100"/>
      <c r="E44" s="101"/>
      <c r="F44" s="101"/>
      <c r="G44" s="373"/>
      <c r="H44" s="374"/>
      <c r="I44" s="375"/>
      <c r="J44" s="102"/>
      <c r="K44" s="102"/>
      <c r="L44" s="102"/>
      <c r="M44" s="102"/>
      <c r="N44" s="139"/>
      <c r="O44" s="103"/>
    </row>
    <row r="46" spans="1:15" x14ac:dyDescent="0.25">
      <c r="A46" s="109"/>
      <c r="B46" s="109"/>
      <c r="C46" s="109"/>
      <c r="D46" s="109"/>
      <c r="E46" s="110"/>
      <c r="F46" s="110"/>
      <c r="G46" s="111"/>
      <c r="H46" s="357"/>
      <c r="I46" s="112"/>
      <c r="J46" s="113"/>
      <c r="K46" s="113"/>
      <c r="L46" s="113"/>
      <c r="M46" s="113"/>
      <c r="N46" s="137"/>
    </row>
    <row r="47" spans="1:15" x14ac:dyDescent="0.25">
      <c r="A47" s="53" t="s">
        <v>89</v>
      </c>
      <c r="B47" s="53" t="s">
        <v>91</v>
      </c>
      <c r="C47" s="53">
        <v>7</v>
      </c>
      <c r="D47" s="53">
        <v>250</v>
      </c>
      <c r="E47" s="77">
        <v>41677.050000000003</v>
      </c>
      <c r="F47" s="77">
        <v>41677.090277777781</v>
      </c>
      <c r="G47" s="83">
        <f t="shared" ref="G47:G52" si="10">(F47-E47)*24</f>
        <v>0.96666666667442769</v>
      </c>
      <c r="H47" s="358">
        <f t="shared" ref="H47:H52" si="11">G47*(K47-J47)/K47</f>
        <v>0.2259259259277398</v>
      </c>
      <c r="I47" s="78">
        <f t="shared" ref="I47:I52" si="12">H47*L47</f>
        <v>54.22222222265755</v>
      </c>
      <c r="J47" s="91">
        <v>200</v>
      </c>
      <c r="K47" s="91">
        <v>261</v>
      </c>
      <c r="L47" s="91">
        <v>240</v>
      </c>
      <c r="M47" s="91" t="s">
        <v>147</v>
      </c>
      <c r="N47" s="140" t="s">
        <v>208</v>
      </c>
    </row>
    <row r="48" spans="1:15" x14ac:dyDescent="0.25">
      <c r="A48" s="53" t="s">
        <v>89</v>
      </c>
      <c r="B48" s="53" t="s">
        <v>91</v>
      </c>
      <c r="C48" s="53">
        <v>8</v>
      </c>
      <c r="D48" s="53">
        <v>250</v>
      </c>
      <c r="E48" s="77">
        <v>41678.003472222219</v>
      </c>
      <c r="F48" s="77">
        <v>41678.050694444442</v>
      </c>
      <c r="G48" s="83">
        <f t="shared" si="10"/>
        <v>1.1333333333604969</v>
      </c>
      <c r="H48" s="358">
        <f t="shared" si="11"/>
        <v>0.22145593870262584</v>
      </c>
      <c r="I48" s="78">
        <f t="shared" si="12"/>
        <v>53.149425288630198</v>
      </c>
      <c r="J48" s="91">
        <v>210</v>
      </c>
      <c r="K48" s="91">
        <v>261</v>
      </c>
      <c r="L48" s="91">
        <v>240</v>
      </c>
      <c r="M48" s="91" t="s">
        <v>147</v>
      </c>
      <c r="N48" s="140" t="s">
        <v>209</v>
      </c>
    </row>
    <row r="49" spans="1:15" x14ac:dyDescent="0.25">
      <c r="A49" s="53" t="s">
        <v>89</v>
      </c>
      <c r="B49" s="53" t="s">
        <v>91</v>
      </c>
      <c r="C49" s="53">
        <v>9</v>
      </c>
      <c r="D49" s="53">
        <v>8560</v>
      </c>
      <c r="E49" s="77">
        <v>41679</v>
      </c>
      <c r="F49" s="77">
        <v>41679.284722222219</v>
      </c>
      <c r="G49" s="83">
        <f t="shared" si="10"/>
        <v>6.8333333332557231</v>
      </c>
      <c r="H49" s="358">
        <f t="shared" si="11"/>
        <v>2.5134099616572776</v>
      </c>
      <c r="I49" s="78">
        <f t="shared" si="12"/>
        <v>603.21839079774668</v>
      </c>
      <c r="J49" s="91">
        <v>165</v>
      </c>
      <c r="K49" s="91">
        <v>261</v>
      </c>
      <c r="L49" s="91">
        <v>240</v>
      </c>
      <c r="M49" s="91" t="s">
        <v>194</v>
      </c>
      <c r="N49" s="140" t="s">
        <v>203</v>
      </c>
    </row>
    <row r="50" spans="1:15" x14ac:dyDescent="0.25">
      <c r="A50" s="53" t="s">
        <v>89</v>
      </c>
      <c r="B50" s="53" t="s">
        <v>91</v>
      </c>
      <c r="C50" s="53">
        <v>10</v>
      </c>
      <c r="D50" s="53">
        <v>340</v>
      </c>
      <c r="E50" s="77">
        <v>41679.284722222219</v>
      </c>
      <c r="F50" s="77">
        <v>41679.302083333336</v>
      </c>
      <c r="G50" s="83">
        <f t="shared" si="10"/>
        <v>0.41666666680248454</v>
      </c>
      <c r="H50" s="358">
        <f t="shared" si="11"/>
        <v>0.15325670503079891</v>
      </c>
      <c r="I50" s="78">
        <f t="shared" si="12"/>
        <v>36.781609207391739</v>
      </c>
      <c r="J50" s="91">
        <v>165</v>
      </c>
      <c r="K50" s="91">
        <v>261</v>
      </c>
      <c r="L50" s="91">
        <v>240</v>
      </c>
      <c r="M50" s="91" t="s">
        <v>168</v>
      </c>
      <c r="N50" s="140" t="s">
        <v>210</v>
      </c>
    </row>
    <row r="51" spans="1:15" x14ac:dyDescent="0.25">
      <c r="A51" s="53" t="s">
        <v>89</v>
      </c>
      <c r="B51" s="53" t="s">
        <v>91</v>
      </c>
      <c r="C51" s="53">
        <v>11</v>
      </c>
      <c r="D51" s="53">
        <v>4240</v>
      </c>
      <c r="E51" s="77">
        <v>41681.333333333336</v>
      </c>
      <c r="F51" s="77">
        <v>41681.583333333336</v>
      </c>
      <c r="G51" s="83">
        <f t="shared" si="10"/>
        <v>6</v>
      </c>
      <c r="H51" s="358">
        <f t="shared" si="11"/>
        <v>0.94252873563218387</v>
      </c>
      <c r="I51" s="78">
        <f t="shared" si="12"/>
        <v>226.20689655172413</v>
      </c>
      <c r="J51" s="91">
        <v>220</v>
      </c>
      <c r="K51" s="91">
        <v>261</v>
      </c>
      <c r="L51" s="91">
        <v>240</v>
      </c>
      <c r="M51" s="91" t="s">
        <v>197</v>
      </c>
      <c r="N51" s="140" t="s">
        <v>211</v>
      </c>
    </row>
    <row r="52" spans="1:15" x14ac:dyDescent="0.25">
      <c r="A52" s="53" t="s">
        <v>89</v>
      </c>
      <c r="B52" s="53" t="s">
        <v>91</v>
      </c>
      <c r="C52" s="53">
        <v>12</v>
      </c>
      <c r="D52" s="53">
        <v>250</v>
      </c>
      <c r="E52" s="77">
        <v>41686.20416666667</v>
      </c>
      <c r="F52" s="77">
        <v>41686.511805555558</v>
      </c>
      <c r="G52" s="83">
        <f t="shared" si="10"/>
        <v>7.3833333333022892</v>
      </c>
      <c r="H52" s="358">
        <f t="shared" si="11"/>
        <v>1.442720306507344</v>
      </c>
      <c r="I52" s="78">
        <f t="shared" si="12"/>
        <v>346.25287356176256</v>
      </c>
      <c r="J52" s="91">
        <v>210</v>
      </c>
      <c r="K52" s="91">
        <v>261</v>
      </c>
      <c r="L52" s="91">
        <v>240</v>
      </c>
      <c r="M52" s="91" t="s">
        <v>147</v>
      </c>
      <c r="N52" s="140" t="s">
        <v>212</v>
      </c>
    </row>
    <row r="53" spans="1:15" s="54" customFormat="1" x14ac:dyDescent="0.25">
      <c r="A53" s="114"/>
      <c r="B53" s="114"/>
      <c r="C53" s="114"/>
      <c r="D53" s="114"/>
      <c r="E53" s="115"/>
      <c r="F53" s="115"/>
      <c r="G53" s="116"/>
      <c r="H53" s="359"/>
      <c r="I53" s="117"/>
      <c r="J53" s="118"/>
      <c r="K53" s="412">
        <v>261</v>
      </c>
      <c r="L53" s="412">
        <v>240</v>
      </c>
      <c r="M53" s="118"/>
      <c r="N53" s="138"/>
      <c r="O53" s="92"/>
    </row>
    <row r="54" spans="1:15" s="104" customFormat="1" x14ac:dyDescent="0.25">
      <c r="A54" s="100" t="s">
        <v>89</v>
      </c>
      <c r="B54" s="100"/>
      <c r="C54" s="100"/>
      <c r="D54" s="100"/>
      <c r="E54" s="101"/>
      <c r="F54" s="101"/>
      <c r="G54" s="98">
        <f>SUM(G46:G53)</f>
        <v>22.733333333395422</v>
      </c>
      <c r="H54" s="360">
        <f>SUM(H46:H53)</f>
        <v>5.4992975734579694</v>
      </c>
      <c r="I54" s="99">
        <f>SUM(I46:I53)</f>
        <v>1319.8314176299127</v>
      </c>
      <c r="J54" s="102"/>
      <c r="K54" s="102"/>
      <c r="L54" s="102"/>
      <c r="M54" s="102"/>
      <c r="N54" s="139"/>
      <c r="O54" s="103"/>
    </row>
    <row r="55" spans="1:15" s="104" customFormat="1" x14ac:dyDescent="0.25">
      <c r="A55" s="100"/>
      <c r="B55" s="89" t="s">
        <v>92</v>
      </c>
      <c r="C55" s="100"/>
      <c r="D55" s="100"/>
      <c r="E55" s="101"/>
      <c r="F55" s="101"/>
      <c r="G55" s="122"/>
      <c r="H55" s="363"/>
      <c r="I55" s="123"/>
      <c r="J55" s="102"/>
      <c r="K55" s="102"/>
      <c r="L55" s="102"/>
      <c r="M55" s="102"/>
      <c r="N55" s="139"/>
      <c r="O55" s="103"/>
    </row>
    <row r="56" spans="1:15" s="104" customFormat="1" x14ac:dyDescent="0.25">
      <c r="A56" s="100"/>
      <c r="B56" s="372" t="s">
        <v>94</v>
      </c>
      <c r="C56" s="100"/>
      <c r="D56" s="100"/>
      <c r="E56" s="101"/>
      <c r="F56" s="101"/>
      <c r="G56" s="373"/>
      <c r="H56" s="374"/>
      <c r="I56" s="375"/>
      <c r="J56" s="102"/>
      <c r="K56" s="102"/>
      <c r="L56" s="102"/>
      <c r="M56" s="102"/>
      <c r="N56" s="139"/>
      <c r="O56" s="103"/>
    </row>
    <row r="58" spans="1:15" x14ac:dyDescent="0.25">
      <c r="A58" s="109"/>
      <c r="B58" s="109"/>
      <c r="C58" s="109"/>
      <c r="D58" s="109"/>
      <c r="E58" s="110"/>
      <c r="F58" s="144"/>
      <c r="G58" s="145"/>
      <c r="H58" s="362"/>
      <c r="I58" s="146"/>
      <c r="J58" s="147"/>
      <c r="K58" s="147"/>
      <c r="L58" s="147"/>
      <c r="M58" s="147"/>
      <c r="N58" s="148"/>
    </row>
    <row r="59" spans="1:15" s="157" customFormat="1" x14ac:dyDescent="0.25">
      <c r="A59" s="67" t="s">
        <v>110</v>
      </c>
      <c r="B59" s="380" t="s">
        <v>95</v>
      </c>
      <c r="C59" s="67">
        <v>6</v>
      </c>
      <c r="D59" s="67">
        <v>1060</v>
      </c>
      <c r="E59" s="68">
        <v>41671.62777777778</v>
      </c>
      <c r="F59" s="68">
        <v>41673.060416666667</v>
      </c>
      <c r="G59" s="381">
        <f t="shared" ref="G59:G63" si="13">(F59-E59)*24</f>
        <v>34.383333333302289</v>
      </c>
      <c r="H59" s="382">
        <f t="shared" ref="H59:H63" si="14">G59*(K59-J59)/K59</f>
        <v>34.383333333302289</v>
      </c>
      <c r="I59" s="383">
        <f t="shared" ref="I59:I63" si="15">H59*L59</f>
        <v>16538.383333318401</v>
      </c>
      <c r="J59" s="384">
        <v>0</v>
      </c>
      <c r="K59" s="384">
        <v>517</v>
      </c>
      <c r="L59" s="384">
        <v>481</v>
      </c>
      <c r="M59" s="384" t="s">
        <v>183</v>
      </c>
      <c r="N59" s="139" t="s">
        <v>213</v>
      </c>
      <c r="O59" s="385"/>
    </row>
    <row r="60" spans="1:15" x14ac:dyDescent="0.25">
      <c r="A60" s="53" t="s">
        <v>110</v>
      </c>
      <c r="B60" s="53" t="s">
        <v>91</v>
      </c>
      <c r="C60" s="53">
        <v>7</v>
      </c>
      <c r="D60" s="53">
        <v>250</v>
      </c>
      <c r="E60" s="77">
        <v>41677.524305555555</v>
      </c>
      <c r="F60" s="77">
        <v>41677.572916666664</v>
      </c>
      <c r="G60" s="83">
        <f t="shared" si="13"/>
        <v>1.1666666666278616</v>
      </c>
      <c r="H60" s="358">
        <f t="shared" si="14"/>
        <v>0.12862669245220137</v>
      </c>
      <c r="I60" s="78">
        <f t="shared" si="15"/>
        <v>61.869439069508864</v>
      </c>
      <c r="J60" s="91">
        <v>460</v>
      </c>
      <c r="K60" s="91">
        <v>517</v>
      </c>
      <c r="L60" s="91">
        <v>481</v>
      </c>
      <c r="M60" s="91" t="s">
        <v>147</v>
      </c>
      <c r="N60" s="140" t="s">
        <v>214</v>
      </c>
    </row>
    <row r="61" spans="1:15" x14ac:dyDescent="0.25">
      <c r="A61" s="53" t="s">
        <v>110</v>
      </c>
      <c r="B61" s="53" t="s">
        <v>91</v>
      </c>
      <c r="C61" s="53">
        <v>8</v>
      </c>
      <c r="D61" s="53">
        <v>250</v>
      </c>
      <c r="E61" s="77">
        <v>41679.680555555555</v>
      </c>
      <c r="F61" s="77">
        <v>41679.821527777778</v>
      </c>
      <c r="G61" s="83">
        <f t="shared" si="13"/>
        <v>3.3833333333604969</v>
      </c>
      <c r="H61" s="358">
        <f t="shared" si="14"/>
        <v>2.9448742746851519</v>
      </c>
      <c r="I61" s="78">
        <f t="shared" si="15"/>
        <v>1416.484526123558</v>
      </c>
      <c r="J61" s="91">
        <v>67</v>
      </c>
      <c r="K61" s="91">
        <v>517</v>
      </c>
      <c r="L61" s="91">
        <v>481</v>
      </c>
      <c r="M61" s="91" t="s">
        <v>147</v>
      </c>
      <c r="N61" s="140" t="s">
        <v>215</v>
      </c>
    </row>
    <row r="62" spans="1:15" x14ac:dyDescent="0.25">
      <c r="A62" s="53" t="s">
        <v>110</v>
      </c>
      <c r="B62" s="372" t="s">
        <v>94</v>
      </c>
      <c r="C62" s="53">
        <v>9</v>
      </c>
      <c r="D62" s="53">
        <v>250</v>
      </c>
      <c r="E62" s="77">
        <v>41680.375</v>
      </c>
      <c r="F62" s="77">
        <v>41680.647916666669</v>
      </c>
      <c r="G62" s="373">
        <f t="shared" si="13"/>
        <v>6.5500000000465661</v>
      </c>
      <c r="H62" s="374">
        <f t="shared" si="14"/>
        <v>0.84883945841996122</v>
      </c>
      <c r="I62" s="375">
        <f t="shared" si="15"/>
        <v>408.29177950000133</v>
      </c>
      <c r="J62" s="91">
        <v>450</v>
      </c>
      <c r="K62" s="91">
        <v>517</v>
      </c>
      <c r="L62" s="91">
        <v>481</v>
      </c>
      <c r="M62" s="91" t="s">
        <v>147</v>
      </c>
      <c r="N62" s="140" t="s">
        <v>216</v>
      </c>
    </row>
    <row r="63" spans="1:15" x14ac:dyDescent="0.25">
      <c r="A63" s="53" t="s">
        <v>110</v>
      </c>
      <c r="B63" s="53" t="s">
        <v>91</v>
      </c>
      <c r="C63" s="53">
        <v>10</v>
      </c>
      <c r="D63" s="53">
        <v>9650</v>
      </c>
      <c r="E63" s="77">
        <v>41683.307638888888</v>
      </c>
      <c r="F63" s="77">
        <v>41683.380555555559</v>
      </c>
      <c r="G63" s="83">
        <f t="shared" si="13"/>
        <v>1.7500000001164153</v>
      </c>
      <c r="H63" s="358">
        <f t="shared" si="14"/>
        <v>9.1392649909367921E-2</v>
      </c>
      <c r="I63" s="78">
        <f t="shared" si="15"/>
        <v>43.959864606405972</v>
      </c>
      <c r="J63" s="91">
        <v>490</v>
      </c>
      <c r="K63" s="91">
        <v>517</v>
      </c>
      <c r="L63" s="91">
        <v>481</v>
      </c>
      <c r="M63" s="91" t="s">
        <v>159</v>
      </c>
      <c r="N63" s="140" t="s">
        <v>217</v>
      </c>
    </row>
    <row r="64" spans="1:15" s="54" customFormat="1" x14ac:dyDescent="0.25">
      <c r="A64" s="114"/>
      <c r="B64" s="114"/>
      <c r="C64" s="114"/>
      <c r="D64" s="114"/>
      <c r="E64" s="115"/>
      <c r="F64" s="115"/>
      <c r="G64" s="116"/>
      <c r="H64" s="359"/>
      <c r="I64" s="117"/>
      <c r="J64" s="118"/>
      <c r="K64" s="412">
        <v>517</v>
      </c>
      <c r="L64" s="412">
        <v>481</v>
      </c>
      <c r="M64" s="118"/>
      <c r="N64" s="138"/>
      <c r="O64" s="92"/>
    </row>
    <row r="65" spans="1:15" s="104" customFormat="1" x14ac:dyDescent="0.25">
      <c r="A65" s="100" t="s">
        <v>110</v>
      </c>
      <c r="B65" s="100"/>
      <c r="C65" s="100"/>
      <c r="D65" s="100"/>
      <c r="E65" s="101"/>
      <c r="F65" s="101"/>
      <c r="G65" s="98">
        <f>SUM(G58:G64)</f>
        <v>47.233333333453629</v>
      </c>
      <c r="H65" s="360">
        <f>SUM(H58:H64)</f>
        <v>38.397066408768971</v>
      </c>
      <c r="I65" s="99">
        <f>SUM(I58:I64)</f>
        <v>18468.988942617878</v>
      </c>
      <c r="J65" s="102"/>
      <c r="K65" s="102"/>
      <c r="L65" s="102"/>
      <c r="M65" s="102"/>
      <c r="N65" s="139"/>
      <c r="O65" s="103"/>
    </row>
    <row r="66" spans="1:15" s="104" customFormat="1" x14ac:dyDescent="0.25">
      <c r="A66" s="100"/>
      <c r="B66" s="89" t="s">
        <v>92</v>
      </c>
      <c r="C66" s="100"/>
      <c r="D66" s="100"/>
      <c r="E66" s="101"/>
      <c r="F66" s="101"/>
      <c r="G66" s="122"/>
      <c r="H66" s="363"/>
      <c r="I66" s="123"/>
      <c r="J66" s="102"/>
      <c r="K66" s="102"/>
      <c r="L66" s="102"/>
      <c r="M66" s="102"/>
      <c r="N66" s="139"/>
      <c r="O66" s="103"/>
    </row>
    <row r="67" spans="1:15" s="104" customFormat="1" x14ac:dyDescent="0.25">
      <c r="A67" s="100"/>
      <c r="B67" s="372" t="s">
        <v>94</v>
      </c>
      <c r="C67" s="100"/>
      <c r="D67" s="100"/>
      <c r="E67" s="101"/>
      <c r="F67" s="101"/>
      <c r="G67" s="373">
        <f>SUM(G62)</f>
        <v>6.5500000000465661</v>
      </c>
      <c r="H67" s="374">
        <f t="shared" ref="H67:I67" si="16">SUM(H62)</f>
        <v>0.84883945841996122</v>
      </c>
      <c r="I67" s="375">
        <f t="shared" si="16"/>
        <v>408.29177950000133</v>
      </c>
      <c r="J67" s="102"/>
      <c r="K67" s="102"/>
      <c r="L67" s="102"/>
      <c r="M67" s="102"/>
      <c r="N67" s="139"/>
      <c r="O67" s="103"/>
    </row>
    <row r="69" spans="1:15" x14ac:dyDescent="0.25">
      <c r="A69" s="109"/>
      <c r="B69" s="109"/>
      <c r="C69" s="109"/>
      <c r="D69" s="109"/>
      <c r="E69" s="110"/>
      <c r="F69" s="110"/>
      <c r="G69" s="111"/>
      <c r="H69" s="357"/>
      <c r="I69" s="112"/>
      <c r="J69" s="113"/>
      <c r="K69" s="113"/>
      <c r="L69" s="113"/>
      <c r="M69" s="113"/>
      <c r="N69" s="137"/>
    </row>
    <row r="70" spans="1:15" x14ac:dyDescent="0.25">
      <c r="A70" s="53" t="s">
        <v>118</v>
      </c>
      <c r="B70" s="53" t="s">
        <v>91</v>
      </c>
      <c r="C70" s="53">
        <v>6</v>
      </c>
      <c r="D70" s="53">
        <v>312</v>
      </c>
      <c r="E70" s="77">
        <v>41671.611111111109</v>
      </c>
      <c r="F70" s="77">
        <v>41671.75</v>
      </c>
      <c r="G70" s="83">
        <f t="shared" ref="G70:G74" si="17">(F70-E70)*24</f>
        <v>3.3333333333721384</v>
      </c>
      <c r="H70" s="358">
        <f t="shared" ref="H70:H74" si="18">G70*(K70-J70)/K70</f>
        <v>0.18991486575204719</v>
      </c>
      <c r="I70" s="78">
        <f t="shared" ref="I70:I74" si="19">H70*L70</f>
        <v>90.589390963726515</v>
      </c>
      <c r="J70" s="91">
        <v>480</v>
      </c>
      <c r="K70" s="91">
        <v>509</v>
      </c>
      <c r="L70" s="91">
        <v>477</v>
      </c>
      <c r="M70" s="91" t="s">
        <v>182</v>
      </c>
      <c r="N70" s="140" t="s">
        <v>218</v>
      </c>
    </row>
    <row r="71" spans="1:15" x14ac:dyDescent="0.25">
      <c r="A71" s="53" t="s">
        <v>118</v>
      </c>
      <c r="B71" s="372" t="s">
        <v>94</v>
      </c>
      <c r="C71" s="53">
        <v>7</v>
      </c>
      <c r="D71" s="53">
        <v>344</v>
      </c>
      <c r="E71" s="77">
        <v>41676.958333333336</v>
      </c>
      <c r="F71" s="77">
        <v>41677.058333333334</v>
      </c>
      <c r="G71" s="373">
        <f t="shared" si="17"/>
        <v>2.3999999999650754</v>
      </c>
      <c r="H71" s="374">
        <f t="shared" si="18"/>
        <v>0.23104125736402495</v>
      </c>
      <c r="I71" s="375">
        <f t="shared" si="19"/>
        <v>110.20667976263989</v>
      </c>
      <c r="J71" s="91">
        <v>460</v>
      </c>
      <c r="K71" s="91">
        <v>509</v>
      </c>
      <c r="L71" s="91">
        <v>477</v>
      </c>
      <c r="M71" s="91" t="s">
        <v>166</v>
      </c>
      <c r="N71" s="140" t="s">
        <v>219</v>
      </c>
    </row>
    <row r="72" spans="1:15" x14ac:dyDescent="0.25">
      <c r="A72" s="53" t="s">
        <v>118</v>
      </c>
      <c r="B72" s="372" t="s">
        <v>94</v>
      </c>
      <c r="C72" s="53">
        <v>8</v>
      </c>
      <c r="D72" s="53">
        <v>340</v>
      </c>
      <c r="E72" s="77">
        <v>41683.958333333336</v>
      </c>
      <c r="F72" s="77">
        <v>41684.09097222222</v>
      </c>
      <c r="G72" s="373">
        <f t="shared" si="17"/>
        <v>3.1833333332324401</v>
      </c>
      <c r="H72" s="374">
        <f t="shared" si="18"/>
        <v>0.30645055663730758</v>
      </c>
      <c r="I72" s="375">
        <f t="shared" si="19"/>
        <v>146.17691551599572</v>
      </c>
      <c r="J72" s="91">
        <v>460</v>
      </c>
      <c r="K72" s="91">
        <v>509</v>
      </c>
      <c r="L72" s="91">
        <v>477</v>
      </c>
      <c r="M72" s="91" t="s">
        <v>168</v>
      </c>
      <c r="N72" s="140" t="s">
        <v>220</v>
      </c>
    </row>
    <row r="73" spans="1:15" x14ac:dyDescent="0.25">
      <c r="A73" s="53" t="s">
        <v>118</v>
      </c>
      <c r="B73" s="372" t="s">
        <v>94</v>
      </c>
      <c r="C73" s="53">
        <v>9</v>
      </c>
      <c r="D73" s="53">
        <v>340</v>
      </c>
      <c r="E73" s="77">
        <v>41684.09097222222</v>
      </c>
      <c r="F73" s="77">
        <v>41684.152083333334</v>
      </c>
      <c r="G73" s="373">
        <f t="shared" si="17"/>
        <v>1.4666666667326353</v>
      </c>
      <c r="H73" s="374">
        <f t="shared" si="18"/>
        <v>0.1411918795086427</v>
      </c>
      <c r="I73" s="375">
        <f t="shared" si="19"/>
        <v>67.348526525622574</v>
      </c>
      <c r="J73" s="91">
        <v>460</v>
      </c>
      <c r="K73" s="91">
        <v>509</v>
      </c>
      <c r="L73" s="91">
        <v>477</v>
      </c>
      <c r="M73" s="91" t="s">
        <v>168</v>
      </c>
      <c r="N73" s="140" t="s">
        <v>221</v>
      </c>
    </row>
    <row r="74" spans="1:15" x14ac:dyDescent="0.25">
      <c r="A74" s="53" t="s">
        <v>118</v>
      </c>
      <c r="B74" s="53" t="s">
        <v>91</v>
      </c>
      <c r="C74" s="53">
        <v>10</v>
      </c>
      <c r="D74" s="53">
        <v>250</v>
      </c>
      <c r="E74" s="77">
        <v>41685.138888888891</v>
      </c>
      <c r="F74" s="77">
        <v>41685.416666666664</v>
      </c>
      <c r="G74" s="83">
        <f t="shared" si="17"/>
        <v>6.6666666665696539</v>
      </c>
      <c r="H74" s="358">
        <f t="shared" si="18"/>
        <v>0.64178127045562483</v>
      </c>
      <c r="I74" s="78">
        <f t="shared" si="19"/>
        <v>306.12966600733307</v>
      </c>
      <c r="J74" s="91">
        <v>460</v>
      </c>
      <c r="K74" s="91">
        <v>509</v>
      </c>
      <c r="L74" s="91">
        <v>477</v>
      </c>
      <c r="M74" s="91" t="s">
        <v>147</v>
      </c>
      <c r="N74" s="140" t="s">
        <v>222</v>
      </c>
    </row>
    <row r="75" spans="1:15" s="54" customFormat="1" x14ac:dyDescent="0.25">
      <c r="A75" s="114"/>
      <c r="B75" s="114"/>
      <c r="C75" s="114"/>
      <c r="D75" s="114"/>
      <c r="E75" s="115"/>
      <c r="F75" s="115"/>
      <c r="G75" s="116"/>
      <c r="H75" s="359"/>
      <c r="I75" s="117"/>
      <c r="J75" s="118"/>
      <c r="K75" s="412">
        <v>509</v>
      </c>
      <c r="L75" s="412">
        <v>477</v>
      </c>
      <c r="M75" s="118"/>
      <c r="N75" s="138"/>
      <c r="O75" s="92"/>
    </row>
    <row r="76" spans="1:15" s="104" customFormat="1" x14ac:dyDescent="0.25">
      <c r="A76" s="100" t="s">
        <v>118</v>
      </c>
      <c r="B76" s="100"/>
      <c r="C76" s="100"/>
      <c r="D76" s="100"/>
      <c r="E76" s="101"/>
      <c r="F76" s="101"/>
      <c r="G76" s="98">
        <f>SUM(G69:G75)</f>
        <v>17.049999999871943</v>
      </c>
      <c r="H76" s="360">
        <f>SUM(H69:H75)</f>
        <v>1.5103798297176474</v>
      </c>
      <c r="I76" s="99">
        <f>SUM(I69:I75)</f>
        <v>720.45117877531777</v>
      </c>
      <c r="J76" s="102"/>
      <c r="K76" s="102"/>
      <c r="L76" s="102"/>
      <c r="M76" s="102"/>
      <c r="N76" s="139"/>
      <c r="O76" s="103"/>
    </row>
    <row r="77" spans="1:15" s="104" customFormat="1" x14ac:dyDescent="0.25">
      <c r="A77" s="100"/>
      <c r="B77" s="89" t="s">
        <v>92</v>
      </c>
      <c r="C77" s="100"/>
      <c r="D77" s="100"/>
      <c r="E77" s="101"/>
      <c r="F77" s="101"/>
      <c r="G77" s="122"/>
      <c r="H77" s="363"/>
      <c r="I77" s="123"/>
      <c r="J77" s="102"/>
      <c r="K77" s="102"/>
      <c r="L77" s="102"/>
      <c r="M77" s="102"/>
      <c r="N77" s="139"/>
      <c r="O77" s="103"/>
    </row>
    <row r="78" spans="1:15" s="104" customFormat="1" x14ac:dyDescent="0.25">
      <c r="A78" s="100"/>
      <c r="B78" s="372" t="s">
        <v>94</v>
      </c>
      <c r="C78" s="100"/>
      <c r="D78" s="100"/>
      <c r="E78" s="101"/>
      <c r="F78" s="101"/>
      <c r="G78" s="373">
        <f>SUM(G71:G73)</f>
        <v>7.0499999999301508</v>
      </c>
      <c r="H78" s="374">
        <f t="shared" ref="H78:I78" si="20">SUM(H71:H73)</f>
        <v>0.67868369350997515</v>
      </c>
      <c r="I78" s="375">
        <f t="shared" si="20"/>
        <v>323.73212180425816</v>
      </c>
      <c r="J78" s="102"/>
      <c r="K78" s="102"/>
      <c r="L78" s="102"/>
      <c r="M78" s="102"/>
      <c r="N78" s="139"/>
      <c r="O78" s="103"/>
    </row>
    <row r="80" spans="1:15" x14ac:dyDescent="0.25">
      <c r="A80" s="109"/>
      <c r="B80" s="109"/>
      <c r="C80" s="109"/>
      <c r="D80" s="109"/>
      <c r="E80" s="110"/>
      <c r="F80" s="110"/>
      <c r="G80" s="111"/>
      <c r="H80" s="357"/>
      <c r="I80" s="112"/>
      <c r="J80" s="113"/>
      <c r="K80" s="113"/>
      <c r="L80" s="113"/>
      <c r="M80" s="113"/>
      <c r="N80" s="137"/>
    </row>
    <row r="81" spans="1:15" s="157" customFormat="1" x14ac:dyDescent="0.25">
      <c r="A81" s="67" t="s">
        <v>119</v>
      </c>
      <c r="B81" s="380" t="s">
        <v>95</v>
      </c>
      <c r="C81" s="67">
        <v>11</v>
      </c>
      <c r="D81" s="67">
        <v>1455</v>
      </c>
      <c r="E81" s="414">
        <v>41669.592361111114</v>
      </c>
      <c r="F81" s="68">
        <v>41671.393055555556</v>
      </c>
      <c r="G81" s="381">
        <f t="shared" ref="G81:G87" si="21">(F81-E81)*24</f>
        <v>43.21666666661622</v>
      </c>
      <c r="H81" s="382">
        <f t="shared" ref="H81:H87" si="22">G81*(K81-J81)/K81</f>
        <v>43.21666666661622</v>
      </c>
      <c r="I81" s="383">
        <f t="shared" ref="I81:I87" si="23">H81*L81</f>
        <v>20830.433333309018</v>
      </c>
      <c r="J81" s="384">
        <v>0</v>
      </c>
      <c r="K81" s="384">
        <v>527</v>
      </c>
      <c r="L81" s="384">
        <v>482</v>
      </c>
      <c r="M81" s="384" t="s">
        <v>162</v>
      </c>
      <c r="N81" s="139" t="s">
        <v>223</v>
      </c>
      <c r="O81" s="385"/>
    </row>
    <row r="82" spans="1:15" x14ac:dyDescent="0.25">
      <c r="A82" s="53" t="s">
        <v>119</v>
      </c>
      <c r="B82" s="53" t="s">
        <v>91</v>
      </c>
      <c r="C82" s="53">
        <v>12</v>
      </c>
      <c r="D82" s="53">
        <v>9650</v>
      </c>
      <c r="E82" s="77">
        <v>41672.840277777781</v>
      </c>
      <c r="F82" s="77">
        <v>41672.864583333336</v>
      </c>
      <c r="G82" s="83">
        <f t="shared" si="21"/>
        <v>0.58333333331393078</v>
      </c>
      <c r="H82" s="358">
        <f t="shared" si="22"/>
        <v>0.140575585068063</v>
      </c>
      <c r="I82" s="78">
        <f t="shared" si="23"/>
        <v>67.757432002806368</v>
      </c>
      <c r="J82" s="91">
        <v>400</v>
      </c>
      <c r="K82" s="91">
        <v>527</v>
      </c>
      <c r="L82" s="91">
        <v>482</v>
      </c>
      <c r="M82" s="91" t="s">
        <v>159</v>
      </c>
      <c r="N82" s="140" t="s">
        <v>224</v>
      </c>
    </row>
    <row r="83" spans="1:15" x14ac:dyDescent="0.25">
      <c r="A83" s="53" t="s">
        <v>119</v>
      </c>
      <c r="B83" s="53" t="s">
        <v>91</v>
      </c>
      <c r="C83" s="53">
        <v>13</v>
      </c>
      <c r="D83" s="53">
        <v>9650</v>
      </c>
      <c r="E83" s="77">
        <v>41675.590277777781</v>
      </c>
      <c r="F83" s="77">
        <v>41675.625</v>
      </c>
      <c r="G83" s="83">
        <f t="shared" si="21"/>
        <v>0.83333333325572312</v>
      </c>
      <c r="H83" s="358">
        <f t="shared" si="22"/>
        <v>0.27988614798152373</v>
      </c>
      <c r="I83" s="78">
        <f t="shared" si="23"/>
        <v>134.90512332709443</v>
      </c>
      <c r="J83" s="91">
        <v>350</v>
      </c>
      <c r="K83" s="91">
        <v>527</v>
      </c>
      <c r="L83" s="91">
        <v>482</v>
      </c>
      <c r="M83" s="91" t="s">
        <v>159</v>
      </c>
      <c r="N83" s="140" t="s">
        <v>225</v>
      </c>
    </row>
    <row r="84" spans="1:15" x14ac:dyDescent="0.25">
      <c r="A84" s="53" t="s">
        <v>119</v>
      </c>
      <c r="B84" s="53" t="s">
        <v>91</v>
      </c>
      <c r="C84" s="53">
        <v>14</v>
      </c>
      <c r="D84" s="53">
        <v>9650</v>
      </c>
      <c r="E84" s="77">
        <v>41675.625</v>
      </c>
      <c r="F84" s="77">
        <v>41675.826388888891</v>
      </c>
      <c r="G84" s="83">
        <f t="shared" si="21"/>
        <v>4.8333333333721384</v>
      </c>
      <c r="H84" s="358">
        <f t="shared" si="22"/>
        <v>2.9256799494226038</v>
      </c>
      <c r="I84" s="78">
        <f t="shared" si="23"/>
        <v>1410.1777356216951</v>
      </c>
      <c r="J84" s="91">
        <v>208</v>
      </c>
      <c r="K84" s="91">
        <v>527</v>
      </c>
      <c r="L84" s="91">
        <v>482</v>
      </c>
      <c r="M84" s="91" t="s">
        <v>159</v>
      </c>
      <c r="N84" s="140" t="s">
        <v>225</v>
      </c>
    </row>
    <row r="85" spans="1:15" x14ac:dyDescent="0.25">
      <c r="A85" s="53" t="s">
        <v>119</v>
      </c>
      <c r="B85" s="53" t="s">
        <v>91</v>
      </c>
      <c r="C85" s="53">
        <v>15</v>
      </c>
      <c r="D85" s="53">
        <v>9650</v>
      </c>
      <c r="E85" s="77">
        <v>41685.195138888892</v>
      </c>
      <c r="F85" s="77">
        <v>41685.296527777777</v>
      </c>
      <c r="G85" s="83">
        <f t="shared" si="21"/>
        <v>2.4333333332324401</v>
      </c>
      <c r="H85" s="358">
        <f t="shared" si="22"/>
        <v>0.58640101199339634</v>
      </c>
      <c r="I85" s="78">
        <f t="shared" si="23"/>
        <v>282.64528778081706</v>
      </c>
      <c r="J85" s="91">
        <v>400</v>
      </c>
      <c r="K85" s="91">
        <v>527</v>
      </c>
      <c r="L85" s="91">
        <v>482</v>
      </c>
      <c r="M85" s="91" t="s">
        <v>159</v>
      </c>
      <c r="N85" s="140" t="s">
        <v>225</v>
      </c>
    </row>
    <row r="86" spans="1:15" x14ac:dyDescent="0.25">
      <c r="A86" s="53" t="s">
        <v>119</v>
      </c>
      <c r="B86" s="53" t="s">
        <v>91</v>
      </c>
      <c r="C86" s="53">
        <v>16</v>
      </c>
      <c r="D86" s="53">
        <v>9650</v>
      </c>
      <c r="E86" s="77">
        <v>41685.473611111112</v>
      </c>
      <c r="F86" s="77">
        <v>41685.619444444441</v>
      </c>
      <c r="G86" s="83">
        <f t="shared" si="21"/>
        <v>3.4999999998835847</v>
      </c>
      <c r="H86" s="358">
        <f t="shared" si="22"/>
        <v>2.0721062617906609</v>
      </c>
      <c r="I86" s="78">
        <f t="shared" si="23"/>
        <v>998.75521818309858</v>
      </c>
      <c r="J86" s="91">
        <v>215</v>
      </c>
      <c r="K86" s="91">
        <v>527</v>
      </c>
      <c r="L86" s="91">
        <v>482</v>
      </c>
      <c r="M86" s="91" t="s">
        <v>159</v>
      </c>
      <c r="N86" s="140" t="s">
        <v>226</v>
      </c>
    </row>
    <row r="87" spans="1:15" x14ac:dyDescent="0.25">
      <c r="A87" s="53" t="s">
        <v>119</v>
      </c>
      <c r="B87" s="372" t="s">
        <v>94</v>
      </c>
      <c r="C87" s="53">
        <v>17</v>
      </c>
      <c r="D87" s="53">
        <v>9510</v>
      </c>
      <c r="E87" s="77">
        <v>41685.916666666664</v>
      </c>
      <c r="F87" s="77">
        <v>41686.544444444444</v>
      </c>
      <c r="G87" s="373">
        <f t="shared" si="21"/>
        <v>15.066666666709352</v>
      </c>
      <c r="H87" s="374">
        <f t="shared" si="22"/>
        <v>9.348766603442046</v>
      </c>
      <c r="I87" s="375">
        <f t="shared" si="23"/>
        <v>4506.1055028590663</v>
      </c>
      <c r="J87" s="91">
        <v>200</v>
      </c>
      <c r="K87" s="91">
        <v>527</v>
      </c>
      <c r="L87" s="91">
        <v>482</v>
      </c>
      <c r="M87" s="91" t="s">
        <v>200</v>
      </c>
      <c r="N87" s="140" t="s">
        <v>227</v>
      </c>
    </row>
    <row r="88" spans="1:15" s="54" customFormat="1" x14ac:dyDescent="0.25">
      <c r="A88" s="114"/>
      <c r="B88" s="114"/>
      <c r="C88" s="114"/>
      <c r="D88" s="114"/>
      <c r="E88" s="115"/>
      <c r="F88" s="115"/>
      <c r="G88" s="116"/>
      <c r="H88" s="359"/>
      <c r="I88" s="117"/>
      <c r="J88" s="118"/>
      <c r="K88" s="412">
        <v>527</v>
      </c>
      <c r="L88" s="412">
        <v>482</v>
      </c>
      <c r="M88" s="118"/>
      <c r="N88" s="138"/>
      <c r="O88" s="92"/>
    </row>
    <row r="89" spans="1:15" s="104" customFormat="1" x14ac:dyDescent="0.25">
      <c r="A89" s="100" t="s">
        <v>119</v>
      </c>
      <c r="B89" s="100"/>
      <c r="C89" s="100"/>
      <c r="D89" s="100"/>
      <c r="E89" s="101"/>
      <c r="F89" s="101"/>
      <c r="G89" s="98">
        <f>SUM(G80:G88)</f>
        <v>70.466666666383389</v>
      </c>
      <c r="H89" s="360">
        <f>SUM(H80:H88)</f>
        <v>58.570082226314504</v>
      </c>
      <c r="I89" s="99">
        <f>SUM(I80:I88)</f>
        <v>28230.779633083599</v>
      </c>
      <c r="J89" s="102"/>
      <c r="K89" s="102"/>
      <c r="L89" s="102"/>
      <c r="M89" s="102"/>
      <c r="N89" s="139"/>
      <c r="O89" s="103"/>
    </row>
    <row r="90" spans="1:15" s="104" customFormat="1" x14ac:dyDescent="0.25">
      <c r="A90" s="100"/>
      <c r="B90" s="89" t="s">
        <v>92</v>
      </c>
      <c r="C90" s="100"/>
      <c r="D90" s="100"/>
      <c r="E90" s="101"/>
      <c r="F90" s="101"/>
      <c r="G90" s="122"/>
      <c r="H90" s="363"/>
      <c r="I90" s="123"/>
      <c r="J90" s="102"/>
      <c r="K90" s="102"/>
      <c r="L90" s="102"/>
      <c r="M90" s="102"/>
      <c r="N90" s="139"/>
      <c r="O90" s="103"/>
    </row>
    <row r="91" spans="1:15" s="104" customFormat="1" x14ac:dyDescent="0.25">
      <c r="A91" s="100"/>
      <c r="B91" s="372" t="s">
        <v>94</v>
      </c>
      <c r="C91" s="100"/>
      <c r="D91" s="100"/>
      <c r="E91" s="101"/>
      <c r="F91" s="101"/>
      <c r="G91" s="373">
        <f>SUM(G87)</f>
        <v>15.066666666709352</v>
      </c>
      <c r="H91" s="374">
        <f t="shared" ref="H91:I91" si="24">SUM(H87)</f>
        <v>9.348766603442046</v>
      </c>
      <c r="I91" s="375">
        <f t="shared" si="24"/>
        <v>4506.1055028590663</v>
      </c>
      <c r="J91" s="102"/>
      <c r="K91" s="102"/>
      <c r="L91" s="102"/>
      <c r="M91" s="102"/>
      <c r="N91" s="139"/>
      <c r="O91" s="103"/>
    </row>
    <row r="93" spans="1:15" x14ac:dyDescent="0.25">
      <c r="A93" s="109"/>
      <c r="B93" s="109"/>
      <c r="C93" s="109"/>
      <c r="D93" s="109"/>
      <c r="E93" s="110"/>
      <c r="F93" s="110"/>
      <c r="G93" s="111"/>
      <c r="H93" s="357"/>
      <c r="I93" s="112"/>
      <c r="J93" s="113"/>
      <c r="K93" s="113"/>
      <c r="L93" s="113"/>
      <c r="M93" s="113"/>
      <c r="N93" s="137"/>
    </row>
    <row r="94" spans="1:15" x14ac:dyDescent="0.25">
      <c r="A94" s="53" t="s">
        <v>100</v>
      </c>
      <c r="B94" s="53" t="s">
        <v>91</v>
      </c>
      <c r="C94" s="53">
        <v>5</v>
      </c>
      <c r="D94" s="53">
        <v>9650</v>
      </c>
      <c r="E94" s="77">
        <v>41673.034722222219</v>
      </c>
      <c r="F94" s="77">
        <v>41673.074999999997</v>
      </c>
      <c r="G94" s="83">
        <f t="shared" ref="G94:G96" si="25">(F94-E94)*24</f>
        <v>0.96666666667442769</v>
      </c>
      <c r="H94" s="358">
        <f t="shared" ref="H94:H96" si="26">G94*(K94-J94)/K94</f>
        <v>0.24257178527036199</v>
      </c>
      <c r="I94" s="78">
        <f t="shared" ref="I94:I96" si="27">H94*L94</f>
        <v>119.10274656774774</v>
      </c>
      <c r="J94" s="91">
        <v>400</v>
      </c>
      <c r="K94" s="91">
        <v>534</v>
      </c>
      <c r="L94" s="91">
        <v>491</v>
      </c>
      <c r="M94" s="91" t="s">
        <v>159</v>
      </c>
      <c r="N94" s="140" t="s">
        <v>225</v>
      </c>
    </row>
    <row r="95" spans="1:15" x14ac:dyDescent="0.25">
      <c r="A95" s="53" t="s">
        <v>100</v>
      </c>
      <c r="B95" s="372" t="s">
        <v>94</v>
      </c>
      <c r="C95" s="53">
        <v>6</v>
      </c>
      <c r="D95" s="53">
        <v>3416</v>
      </c>
      <c r="E95" s="77">
        <v>41678.958333333336</v>
      </c>
      <c r="F95" s="77">
        <v>41679.013888888891</v>
      </c>
      <c r="G95" s="373">
        <f t="shared" si="25"/>
        <v>1.3333333333139308</v>
      </c>
      <c r="H95" s="374">
        <f t="shared" si="26"/>
        <v>0.5842696629128461</v>
      </c>
      <c r="I95" s="375">
        <f t="shared" si="27"/>
        <v>286.87640449020745</v>
      </c>
      <c r="J95" s="91">
        <v>300</v>
      </c>
      <c r="K95" s="91">
        <v>534</v>
      </c>
      <c r="L95" s="91">
        <v>491</v>
      </c>
      <c r="M95" s="91" t="s">
        <v>174</v>
      </c>
      <c r="N95" s="140" t="s">
        <v>228</v>
      </c>
    </row>
    <row r="96" spans="1:15" x14ac:dyDescent="0.25">
      <c r="A96" s="53" t="s">
        <v>100</v>
      </c>
      <c r="B96" s="390" t="s">
        <v>93</v>
      </c>
      <c r="C96" s="53">
        <v>7</v>
      </c>
      <c r="D96" s="53">
        <v>250</v>
      </c>
      <c r="E96" s="77">
        <v>41679.160416666666</v>
      </c>
      <c r="F96" s="77">
        <v>41679.234722222223</v>
      </c>
      <c r="G96" s="391">
        <f t="shared" si="25"/>
        <v>1.78333333338378</v>
      </c>
      <c r="H96" s="392">
        <f t="shared" si="26"/>
        <v>1.78333333338378</v>
      </c>
      <c r="I96" s="393">
        <f t="shared" si="27"/>
        <v>875.61666669143597</v>
      </c>
      <c r="J96" s="91">
        <v>0</v>
      </c>
      <c r="K96" s="91">
        <v>534</v>
      </c>
      <c r="L96" s="91">
        <v>491</v>
      </c>
      <c r="M96" s="91" t="s">
        <v>147</v>
      </c>
      <c r="N96" s="140" t="s">
        <v>229</v>
      </c>
    </row>
    <row r="97" spans="1:15" s="54" customFormat="1" x14ac:dyDescent="0.25">
      <c r="A97" s="114"/>
      <c r="B97" s="114"/>
      <c r="C97" s="114"/>
      <c r="D97" s="114"/>
      <c r="E97" s="115"/>
      <c r="F97" s="115"/>
      <c r="G97" s="116"/>
      <c r="H97" s="359"/>
      <c r="I97" s="117"/>
      <c r="J97" s="118"/>
      <c r="K97" s="412">
        <v>534</v>
      </c>
      <c r="L97" s="412">
        <v>491</v>
      </c>
      <c r="M97" s="118"/>
      <c r="N97" s="138"/>
      <c r="O97" s="92"/>
    </row>
    <row r="98" spans="1:15" s="104" customFormat="1" x14ac:dyDescent="0.25">
      <c r="A98" s="100" t="s">
        <v>100</v>
      </c>
      <c r="B98" s="100"/>
      <c r="C98" s="100"/>
      <c r="D98" s="100"/>
      <c r="E98" s="101"/>
      <c r="F98" s="101"/>
      <c r="G98" s="98">
        <f>SUM(G93:G97)</f>
        <v>4.0833333333721384</v>
      </c>
      <c r="H98" s="360">
        <f>SUM(H93:H97)</f>
        <v>2.6101747815669878</v>
      </c>
      <c r="I98" s="99">
        <f>SUM(I93:I97)</f>
        <v>1281.5958177493912</v>
      </c>
      <c r="J98" s="102"/>
      <c r="K98" s="102"/>
      <c r="L98" s="102"/>
      <c r="M98" s="102"/>
      <c r="N98" s="139"/>
      <c r="O98" s="103"/>
    </row>
    <row r="99" spans="1:15" s="104" customFormat="1" x14ac:dyDescent="0.25">
      <c r="A99" s="100"/>
      <c r="B99" s="89" t="s">
        <v>92</v>
      </c>
      <c r="C99" s="100"/>
      <c r="D99" s="100"/>
      <c r="E99" s="101"/>
      <c r="F99" s="101"/>
      <c r="G99" s="122"/>
      <c r="H99" s="363"/>
      <c r="I99" s="123"/>
      <c r="J99" s="102"/>
      <c r="K99" s="102"/>
      <c r="L99" s="102"/>
      <c r="M99" s="102"/>
      <c r="N99" s="139"/>
      <c r="O99" s="103"/>
    </row>
    <row r="100" spans="1:15" s="104" customFormat="1" x14ac:dyDescent="0.25">
      <c r="A100" s="100"/>
      <c r="B100" s="372" t="s">
        <v>94</v>
      </c>
      <c r="C100" s="100"/>
      <c r="D100" s="100"/>
      <c r="E100" s="101"/>
      <c r="F100" s="101"/>
      <c r="G100" s="373"/>
      <c r="H100" s="374"/>
      <c r="I100" s="375"/>
      <c r="J100" s="102"/>
      <c r="K100" s="102"/>
      <c r="L100" s="102"/>
      <c r="M100" s="102"/>
      <c r="N100" s="139"/>
      <c r="O100" s="103"/>
    </row>
    <row r="102" spans="1:15" x14ac:dyDescent="0.25">
      <c r="A102" s="109"/>
      <c r="B102" s="109"/>
      <c r="C102" s="109"/>
      <c r="D102" s="109"/>
      <c r="E102" s="110"/>
      <c r="F102" s="110"/>
      <c r="G102" s="111"/>
      <c r="H102" s="357"/>
      <c r="I102" s="112"/>
      <c r="J102" s="113"/>
      <c r="K102" s="113"/>
      <c r="L102" s="113"/>
      <c r="M102" s="113"/>
      <c r="N102" s="137"/>
    </row>
    <row r="103" spans="1:15" x14ac:dyDescent="0.25">
      <c r="A103" s="53" t="s">
        <v>88</v>
      </c>
      <c r="B103" s="53" t="s">
        <v>91</v>
      </c>
      <c r="C103" s="53">
        <v>4</v>
      </c>
      <c r="D103" s="53">
        <v>9630</v>
      </c>
      <c r="E103" s="77">
        <v>41681.345138888886</v>
      </c>
      <c r="F103" s="77">
        <v>41681.387499999997</v>
      </c>
      <c r="G103" s="83">
        <f t="shared" ref="G103:G109" si="28">(F103-E103)*24</f>
        <v>1.0166666666627862</v>
      </c>
      <c r="H103" s="358">
        <f t="shared" ref="H103:H109" si="29">G103*(K103-J103)/K103</f>
        <v>9.4888888888526701E-2</v>
      </c>
      <c r="I103" s="78">
        <f t="shared" ref="I103:I109" si="30">H103*L103</f>
        <v>6.7371111110853956</v>
      </c>
      <c r="J103" s="91">
        <v>68</v>
      </c>
      <c r="K103" s="91">
        <v>75</v>
      </c>
      <c r="L103" s="91">
        <v>71</v>
      </c>
      <c r="M103" s="91" t="s">
        <v>152</v>
      </c>
      <c r="N103" s="140" t="s">
        <v>230</v>
      </c>
    </row>
    <row r="104" spans="1:15" x14ac:dyDescent="0.25">
      <c r="A104" s="53" t="s">
        <v>88</v>
      </c>
      <c r="B104" s="53" t="s">
        <v>91</v>
      </c>
      <c r="C104" s="53">
        <v>5</v>
      </c>
      <c r="D104" s="53">
        <v>9630</v>
      </c>
      <c r="E104" s="77">
        <v>41681.387499999997</v>
      </c>
      <c r="F104" s="77">
        <v>41681.402777777781</v>
      </c>
      <c r="G104" s="83">
        <f t="shared" si="28"/>
        <v>0.36666666681412607</v>
      </c>
      <c r="H104" s="358">
        <f t="shared" si="29"/>
        <v>2.4444444454275072E-2</v>
      </c>
      <c r="I104" s="78">
        <f t="shared" si="30"/>
        <v>1.7355555562535301</v>
      </c>
      <c r="J104" s="91">
        <v>70</v>
      </c>
      <c r="K104" s="91">
        <v>75</v>
      </c>
      <c r="L104" s="91">
        <v>71</v>
      </c>
      <c r="M104" s="91" t="s">
        <v>152</v>
      </c>
      <c r="N104" s="140" t="s">
        <v>231</v>
      </c>
    </row>
    <row r="105" spans="1:15" x14ac:dyDescent="0.25">
      <c r="A105" s="53" t="s">
        <v>88</v>
      </c>
      <c r="B105" s="53" t="s">
        <v>91</v>
      </c>
      <c r="C105" s="53">
        <v>6</v>
      </c>
      <c r="D105" s="53">
        <v>9630</v>
      </c>
      <c r="E105" s="77">
        <v>41681.402777777781</v>
      </c>
      <c r="F105" s="77">
        <v>41681.550694444442</v>
      </c>
      <c r="G105" s="83">
        <f t="shared" si="28"/>
        <v>3.5499999998719431</v>
      </c>
      <c r="H105" s="358">
        <f t="shared" si="29"/>
        <v>0.80466666663764042</v>
      </c>
      <c r="I105" s="78">
        <f t="shared" si="30"/>
        <v>57.131333331272472</v>
      </c>
      <c r="J105" s="91">
        <v>58</v>
      </c>
      <c r="K105" s="91">
        <v>75</v>
      </c>
      <c r="L105" s="91">
        <v>71</v>
      </c>
      <c r="M105" s="91" t="s">
        <v>152</v>
      </c>
      <c r="N105" s="140" t="s">
        <v>232</v>
      </c>
    </row>
    <row r="106" spans="1:15" x14ac:dyDescent="0.25">
      <c r="A106" s="53" t="s">
        <v>88</v>
      </c>
      <c r="B106" s="53" t="s">
        <v>91</v>
      </c>
      <c r="C106" s="53">
        <v>7</v>
      </c>
      <c r="D106" s="53">
        <v>9630</v>
      </c>
      <c r="E106" s="77">
        <v>41681.550694444442</v>
      </c>
      <c r="F106" s="77">
        <v>41681.722222222219</v>
      </c>
      <c r="G106" s="83">
        <f t="shared" si="28"/>
        <v>4.1166666666395031</v>
      </c>
      <c r="H106" s="358">
        <f t="shared" si="29"/>
        <v>0.38422222221968694</v>
      </c>
      <c r="I106" s="78">
        <f t="shared" si="30"/>
        <v>27.279777777597772</v>
      </c>
      <c r="J106" s="91">
        <v>68</v>
      </c>
      <c r="K106" s="91">
        <v>75</v>
      </c>
      <c r="L106" s="91">
        <v>71</v>
      </c>
      <c r="M106" s="91" t="s">
        <v>152</v>
      </c>
      <c r="N106" s="140" t="s">
        <v>233</v>
      </c>
    </row>
    <row r="107" spans="1:15" x14ac:dyDescent="0.25">
      <c r="A107" s="53" t="s">
        <v>88</v>
      </c>
      <c r="B107" s="53" t="s">
        <v>91</v>
      </c>
      <c r="C107" s="53">
        <v>8</v>
      </c>
      <c r="D107" s="53">
        <v>9630</v>
      </c>
      <c r="E107" s="77">
        <v>41682.319444444445</v>
      </c>
      <c r="F107" s="77">
        <v>41682.347222222219</v>
      </c>
      <c r="G107" s="83">
        <f t="shared" si="28"/>
        <v>0.6666666665696539</v>
      </c>
      <c r="H107" s="358">
        <f t="shared" si="29"/>
        <v>7.9999999988358467E-2</v>
      </c>
      <c r="I107" s="78">
        <f t="shared" si="30"/>
        <v>5.6799999991734511</v>
      </c>
      <c r="J107" s="91">
        <v>66</v>
      </c>
      <c r="K107" s="91">
        <v>75</v>
      </c>
      <c r="L107" s="91">
        <v>71</v>
      </c>
      <c r="M107" s="91" t="s">
        <v>152</v>
      </c>
      <c r="N107" s="140" t="s">
        <v>234</v>
      </c>
    </row>
    <row r="108" spans="1:15" x14ac:dyDescent="0.25">
      <c r="A108" s="53" t="s">
        <v>88</v>
      </c>
      <c r="B108" s="53" t="s">
        <v>91</v>
      </c>
      <c r="C108" s="53">
        <v>9</v>
      </c>
      <c r="D108" s="53">
        <v>9630</v>
      </c>
      <c r="E108" s="77">
        <v>41682.347222222219</v>
      </c>
      <c r="F108" s="77">
        <v>41682.395833333336</v>
      </c>
      <c r="G108" s="83">
        <f t="shared" si="28"/>
        <v>1.1666666668024845</v>
      </c>
      <c r="H108" s="358">
        <f t="shared" si="29"/>
        <v>9.3333333344198757E-2</v>
      </c>
      <c r="I108" s="78">
        <f t="shared" si="30"/>
        <v>6.6266666674381121</v>
      </c>
      <c r="J108" s="91">
        <v>69</v>
      </c>
      <c r="K108" s="91">
        <v>75</v>
      </c>
      <c r="L108" s="91">
        <v>71</v>
      </c>
      <c r="M108" s="91" t="s">
        <v>152</v>
      </c>
      <c r="N108" s="140" t="s">
        <v>235</v>
      </c>
    </row>
    <row r="109" spans="1:15" x14ac:dyDescent="0.25">
      <c r="A109" s="53" t="s">
        <v>88</v>
      </c>
      <c r="B109" s="53" t="s">
        <v>91</v>
      </c>
      <c r="C109" s="53">
        <v>10</v>
      </c>
      <c r="D109" s="53">
        <v>9630</v>
      </c>
      <c r="E109" s="77">
        <v>41682.395833333336</v>
      </c>
      <c r="F109" s="77">
        <v>41682.458333333336</v>
      </c>
      <c r="G109" s="83">
        <f t="shared" si="28"/>
        <v>1.5</v>
      </c>
      <c r="H109" s="358">
        <f t="shared" si="29"/>
        <v>0.08</v>
      </c>
      <c r="I109" s="78">
        <f t="shared" si="30"/>
        <v>5.68</v>
      </c>
      <c r="J109" s="91">
        <v>71</v>
      </c>
      <c r="K109" s="91">
        <v>75</v>
      </c>
      <c r="L109" s="91">
        <v>71</v>
      </c>
      <c r="M109" s="91" t="s">
        <v>152</v>
      </c>
      <c r="N109" s="140" t="s">
        <v>236</v>
      </c>
    </row>
    <row r="110" spans="1:15" s="54" customFormat="1" x14ac:dyDescent="0.25">
      <c r="A110" s="114"/>
      <c r="B110" s="114"/>
      <c r="C110" s="114"/>
      <c r="D110" s="114"/>
      <c r="E110" s="115"/>
      <c r="F110" s="115"/>
      <c r="G110" s="116"/>
      <c r="H110" s="359"/>
      <c r="I110" s="117"/>
      <c r="J110" s="118"/>
      <c r="K110" s="412">
        <v>75</v>
      </c>
      <c r="L110" s="412">
        <v>71</v>
      </c>
      <c r="M110" s="118"/>
      <c r="N110" s="138"/>
      <c r="O110" s="92"/>
    </row>
    <row r="111" spans="1:15" s="104" customFormat="1" x14ac:dyDescent="0.25">
      <c r="A111" s="100" t="s">
        <v>88</v>
      </c>
      <c r="B111" s="100"/>
      <c r="C111" s="100"/>
      <c r="D111" s="100"/>
      <c r="E111" s="101"/>
      <c r="F111" s="101"/>
      <c r="G111" s="98">
        <f>SUM(G102:G110)</f>
        <v>12.383333333360497</v>
      </c>
      <c r="H111" s="360">
        <f>SUM(H102:H110)</f>
        <v>1.5615555555326865</v>
      </c>
      <c r="I111" s="99">
        <f>SUM(I102:I110)</f>
        <v>110.87044444282074</v>
      </c>
      <c r="J111" s="102"/>
      <c r="K111" s="102"/>
      <c r="L111" s="102"/>
      <c r="M111" s="102"/>
      <c r="N111" s="139"/>
      <c r="O111" s="103"/>
    </row>
    <row r="112" spans="1:15" s="104" customFormat="1" x14ac:dyDescent="0.25">
      <c r="A112" s="100"/>
      <c r="B112" s="89" t="s">
        <v>92</v>
      </c>
      <c r="C112" s="100"/>
      <c r="D112" s="100"/>
      <c r="E112" s="101"/>
      <c r="F112" s="101"/>
      <c r="G112" s="122"/>
      <c r="H112" s="363"/>
      <c r="I112" s="123"/>
      <c r="J112" s="102"/>
      <c r="K112" s="102"/>
      <c r="L112" s="102"/>
      <c r="M112" s="102"/>
      <c r="N112" s="139"/>
      <c r="O112" s="103"/>
    </row>
    <row r="113" spans="1:15" s="104" customFormat="1" x14ac:dyDescent="0.25">
      <c r="A113" s="100"/>
      <c r="B113" s="372" t="s">
        <v>94</v>
      </c>
      <c r="C113" s="100"/>
      <c r="D113" s="100"/>
      <c r="E113" s="101"/>
      <c r="F113" s="101"/>
      <c r="G113" s="373"/>
      <c r="H113" s="374"/>
      <c r="I113" s="375"/>
      <c r="J113" s="102"/>
      <c r="K113" s="102"/>
      <c r="L113" s="102"/>
      <c r="M113" s="102"/>
      <c r="N113" s="139"/>
      <c r="O113" s="103"/>
    </row>
    <row r="115" spans="1:15" x14ac:dyDescent="0.25">
      <c r="A115" s="109"/>
      <c r="B115" s="109"/>
      <c r="C115" s="109"/>
      <c r="D115" s="109"/>
      <c r="E115" s="110"/>
      <c r="F115" s="110"/>
      <c r="G115" s="111"/>
      <c r="H115" s="357"/>
      <c r="I115" s="112"/>
      <c r="J115" s="113"/>
      <c r="K115" s="113"/>
      <c r="L115" s="113"/>
      <c r="M115" s="113"/>
      <c r="N115" s="137"/>
      <c r="O115" s="52"/>
    </row>
    <row r="116" spans="1:15" x14ac:dyDescent="0.25">
      <c r="A116" s="53" t="s">
        <v>81</v>
      </c>
      <c r="B116" s="53" t="s">
        <v>91</v>
      </c>
      <c r="C116" s="53">
        <v>24</v>
      </c>
      <c r="D116" s="53">
        <v>8551</v>
      </c>
      <c r="E116" s="404">
        <v>41663.5</v>
      </c>
      <c r="F116" s="77">
        <v>41675.496527777781</v>
      </c>
      <c r="G116" s="83">
        <f t="shared" ref="G116:G120" si="31">(F116-E116)*24</f>
        <v>287.91666666674428</v>
      </c>
      <c r="H116" s="358">
        <f t="shared" ref="H116:H120" si="32">G116*(K116-J116)/K116</f>
        <v>5.4841269841284621</v>
      </c>
      <c r="I116" s="78">
        <f t="shared" ref="I116:I120" si="33">H116*L116</f>
        <v>537.44444444458929</v>
      </c>
      <c r="J116" s="91">
        <v>103</v>
      </c>
      <c r="K116" s="91">
        <v>105</v>
      </c>
      <c r="L116" s="91">
        <v>98</v>
      </c>
      <c r="M116" s="91" t="s">
        <v>164</v>
      </c>
      <c r="N116" s="140" t="s">
        <v>175</v>
      </c>
    </row>
    <row r="117" spans="1:15" x14ac:dyDescent="0.25">
      <c r="A117" s="53" t="s">
        <v>81</v>
      </c>
      <c r="B117" s="53" t="s">
        <v>91</v>
      </c>
      <c r="C117" s="53">
        <v>25</v>
      </c>
      <c r="D117" s="53">
        <v>263</v>
      </c>
      <c r="E117" s="77">
        <v>41671.901388888888</v>
      </c>
      <c r="F117" s="77">
        <v>41671.949999999997</v>
      </c>
      <c r="G117" s="83">
        <f t="shared" si="31"/>
        <v>1.1666666666278616</v>
      </c>
      <c r="H117" s="358">
        <f t="shared" si="32"/>
        <v>0.27777777776853846</v>
      </c>
      <c r="I117" s="78">
        <f t="shared" si="33"/>
        <v>27.22222222131677</v>
      </c>
      <c r="J117" s="91">
        <v>80</v>
      </c>
      <c r="K117" s="91">
        <v>105</v>
      </c>
      <c r="L117" s="91">
        <v>98</v>
      </c>
      <c r="M117" s="91" t="s">
        <v>184</v>
      </c>
      <c r="N117" s="140" t="s">
        <v>237</v>
      </c>
    </row>
    <row r="118" spans="1:15" x14ac:dyDescent="0.25">
      <c r="A118" s="53" t="s">
        <v>81</v>
      </c>
      <c r="B118" s="53" t="s">
        <v>91</v>
      </c>
      <c r="C118" s="53">
        <v>26</v>
      </c>
      <c r="D118" s="53">
        <v>338</v>
      </c>
      <c r="E118" s="77">
        <v>41674.926388888889</v>
      </c>
      <c r="F118" s="77">
        <v>41675.496527777781</v>
      </c>
      <c r="G118" s="83">
        <f t="shared" si="31"/>
        <v>13.683333333407063</v>
      </c>
      <c r="H118" s="358">
        <f t="shared" si="32"/>
        <v>3.2579365079540628</v>
      </c>
      <c r="I118" s="78">
        <f t="shared" si="33"/>
        <v>319.27777777949814</v>
      </c>
      <c r="J118" s="91">
        <v>80</v>
      </c>
      <c r="K118" s="91">
        <v>105</v>
      </c>
      <c r="L118" s="91">
        <v>98</v>
      </c>
      <c r="M118" s="91" t="s">
        <v>190</v>
      </c>
      <c r="N118" s="140" t="s">
        <v>238</v>
      </c>
    </row>
    <row r="119" spans="1:15" s="157" customFormat="1" x14ac:dyDescent="0.25">
      <c r="A119" s="394" t="s">
        <v>81</v>
      </c>
      <c r="B119" s="394" t="s">
        <v>93</v>
      </c>
      <c r="C119" s="67">
        <v>27</v>
      </c>
      <c r="D119" s="67">
        <v>1050</v>
      </c>
      <c r="E119" s="68">
        <v>41677.195833333331</v>
      </c>
      <c r="F119" s="68">
        <v>41678.747916666667</v>
      </c>
      <c r="G119" s="395">
        <f t="shared" si="31"/>
        <v>37.250000000058208</v>
      </c>
      <c r="H119" s="396">
        <f t="shared" si="32"/>
        <v>37.250000000058208</v>
      </c>
      <c r="I119" s="397">
        <f t="shared" si="33"/>
        <v>3650.5000000057044</v>
      </c>
      <c r="J119" s="384">
        <v>0</v>
      </c>
      <c r="K119" s="384">
        <v>105</v>
      </c>
      <c r="L119" s="384">
        <v>98</v>
      </c>
      <c r="M119" s="384" t="s">
        <v>163</v>
      </c>
      <c r="N119" s="139" t="s">
        <v>239</v>
      </c>
      <c r="O119" s="385"/>
    </row>
    <row r="120" spans="1:15" x14ac:dyDescent="0.25">
      <c r="A120" s="53" t="s">
        <v>81</v>
      </c>
      <c r="B120" s="53" t="s">
        <v>91</v>
      </c>
      <c r="C120" s="53">
        <v>28</v>
      </c>
      <c r="D120" s="53">
        <v>9630</v>
      </c>
      <c r="E120" s="77">
        <v>41683.611805555556</v>
      </c>
      <c r="F120" s="77">
        <v>41683.686111111114</v>
      </c>
      <c r="G120" s="83">
        <f t="shared" si="31"/>
        <v>1.78333333338378</v>
      </c>
      <c r="H120" s="358">
        <f t="shared" si="32"/>
        <v>0.16984126984607428</v>
      </c>
      <c r="I120" s="78">
        <f t="shared" si="33"/>
        <v>16.64444444491528</v>
      </c>
      <c r="J120" s="91">
        <v>95</v>
      </c>
      <c r="K120" s="91">
        <v>105</v>
      </c>
      <c r="L120" s="91">
        <v>98</v>
      </c>
      <c r="M120" s="91" t="s">
        <v>152</v>
      </c>
      <c r="N120" s="140" t="s">
        <v>240</v>
      </c>
    </row>
    <row r="121" spans="1:15" s="54" customFormat="1" x14ac:dyDescent="0.25">
      <c r="A121" s="114"/>
      <c r="B121" s="114"/>
      <c r="C121" s="114"/>
      <c r="D121" s="114"/>
      <c r="E121" s="115"/>
      <c r="F121" s="115"/>
      <c r="G121" s="116"/>
      <c r="H121" s="359"/>
      <c r="I121" s="117"/>
      <c r="J121" s="118"/>
      <c r="K121" s="412">
        <v>105</v>
      </c>
      <c r="L121" s="412">
        <v>98</v>
      </c>
      <c r="M121" s="118"/>
      <c r="N121" s="138"/>
      <c r="O121" s="92"/>
    </row>
    <row r="122" spans="1:15" s="104" customFormat="1" x14ac:dyDescent="0.25">
      <c r="A122" s="100" t="s">
        <v>81</v>
      </c>
      <c r="B122" s="100"/>
      <c r="C122" s="100"/>
      <c r="D122" s="100"/>
      <c r="E122" s="101"/>
      <c r="F122" s="101"/>
      <c r="G122" s="98">
        <f>SUM(G115:G121)</f>
        <v>341.80000000022119</v>
      </c>
      <c r="H122" s="360">
        <f>SUM(H115:H121)</f>
        <v>46.439682539755346</v>
      </c>
      <c r="I122" s="99">
        <f>SUM(I115:I121)</f>
        <v>4551.0888888960235</v>
      </c>
      <c r="J122" s="102"/>
      <c r="K122" s="102"/>
      <c r="L122" s="102"/>
      <c r="M122" s="102"/>
      <c r="N122" s="139"/>
      <c r="O122" s="103"/>
    </row>
    <row r="123" spans="1:15" s="104" customFormat="1" x14ac:dyDescent="0.25">
      <c r="A123" s="100"/>
      <c r="B123" s="89" t="s">
        <v>92</v>
      </c>
      <c r="C123" s="100"/>
      <c r="D123" s="100"/>
      <c r="E123" s="101"/>
      <c r="F123" s="101"/>
      <c r="G123" s="122"/>
      <c r="H123" s="363"/>
      <c r="I123" s="123"/>
      <c r="J123" s="102"/>
      <c r="K123" s="102"/>
      <c r="L123" s="102"/>
      <c r="M123" s="102"/>
      <c r="N123" s="139"/>
      <c r="O123" s="103"/>
    </row>
    <row r="124" spans="1:15" s="104" customFormat="1" x14ac:dyDescent="0.25">
      <c r="A124" s="100"/>
      <c r="B124" s="372" t="s">
        <v>94</v>
      </c>
      <c r="C124" s="100"/>
      <c r="D124" s="100"/>
      <c r="E124" s="101"/>
      <c r="F124" s="101"/>
      <c r="G124" s="373"/>
      <c r="H124" s="374"/>
      <c r="I124" s="375"/>
      <c r="J124" s="102"/>
      <c r="K124" s="102"/>
      <c r="L124" s="102"/>
      <c r="M124" s="102"/>
      <c r="N124" s="139"/>
      <c r="O124" s="103"/>
    </row>
    <row r="126" spans="1:15" x14ac:dyDescent="0.25">
      <c r="A126" s="109"/>
      <c r="B126" s="109"/>
      <c r="C126" s="109"/>
      <c r="D126" s="109"/>
      <c r="E126" s="110"/>
      <c r="F126" s="110"/>
      <c r="G126" s="111"/>
      <c r="H126" s="357"/>
      <c r="I126" s="112"/>
      <c r="J126" s="113"/>
      <c r="K126" s="113"/>
      <c r="L126" s="113"/>
      <c r="M126" s="113"/>
      <c r="N126" s="137"/>
    </row>
    <row r="127" spans="1:15" x14ac:dyDescent="0.25">
      <c r="A127" s="53" t="s">
        <v>79</v>
      </c>
      <c r="B127" s="53" t="s">
        <v>91</v>
      </c>
      <c r="C127" s="53">
        <v>18</v>
      </c>
      <c r="D127" s="53">
        <v>4261</v>
      </c>
      <c r="E127" s="77">
        <v>41671.888888888891</v>
      </c>
      <c r="F127" s="77">
        <v>41672.368055555555</v>
      </c>
      <c r="G127" s="83">
        <f t="shared" ref="G127:G148" si="34">(F127-E127)*24</f>
        <v>11.499999999941792</v>
      </c>
      <c r="H127" s="358">
        <f t="shared" ref="H127:H148" si="35">G127*(K127-J127)/K127</f>
        <v>7.3181818181447769</v>
      </c>
      <c r="I127" s="78">
        <f t="shared" ref="I127:I148" si="36">H127*L127</f>
        <v>2217.4090908978674</v>
      </c>
      <c r="J127" s="91">
        <v>120</v>
      </c>
      <c r="K127" s="91">
        <v>330</v>
      </c>
      <c r="L127" s="91">
        <v>303</v>
      </c>
      <c r="M127" s="91" t="s">
        <v>151</v>
      </c>
      <c r="N127" s="140" t="s">
        <v>294</v>
      </c>
    </row>
    <row r="128" spans="1:15" x14ac:dyDescent="0.25">
      <c r="A128" s="53" t="s">
        <v>79</v>
      </c>
      <c r="B128" s="408" t="s">
        <v>96</v>
      </c>
      <c r="C128" s="53">
        <v>19</v>
      </c>
      <c r="D128" s="53">
        <v>1160</v>
      </c>
      <c r="E128" s="77">
        <v>41674.958333333336</v>
      </c>
      <c r="F128" s="77">
        <v>41675.177083333336</v>
      </c>
      <c r="G128" s="409">
        <f t="shared" si="34"/>
        <v>5.25</v>
      </c>
      <c r="H128" s="410"/>
      <c r="I128" s="411"/>
      <c r="J128" s="91">
        <v>0</v>
      </c>
      <c r="K128" s="91">
        <v>330</v>
      </c>
      <c r="L128" s="91">
        <v>303</v>
      </c>
      <c r="M128" s="91" t="s">
        <v>169</v>
      </c>
      <c r="N128" s="140" t="s">
        <v>243</v>
      </c>
    </row>
    <row r="129" spans="1:14" s="52" customFormat="1" x14ac:dyDescent="0.25">
      <c r="A129" s="53" t="s">
        <v>79</v>
      </c>
      <c r="B129" s="53" t="s">
        <v>91</v>
      </c>
      <c r="C129" s="53">
        <v>20</v>
      </c>
      <c r="D129" s="53">
        <v>250</v>
      </c>
      <c r="E129" s="77">
        <v>41675.311111111114</v>
      </c>
      <c r="F129" s="77">
        <v>41675.395833333336</v>
      </c>
      <c r="G129" s="83">
        <f t="shared" si="34"/>
        <v>2.0333333333255723</v>
      </c>
      <c r="H129" s="358">
        <f t="shared" si="35"/>
        <v>0.40050505050352181</v>
      </c>
      <c r="I129" s="78">
        <f t="shared" si="36"/>
        <v>121.35303030256711</v>
      </c>
      <c r="J129" s="91">
        <v>265</v>
      </c>
      <c r="K129" s="91">
        <v>330</v>
      </c>
      <c r="L129" s="91">
        <v>303</v>
      </c>
      <c r="M129" s="91" t="s">
        <v>147</v>
      </c>
      <c r="N129" s="140" t="s">
        <v>244</v>
      </c>
    </row>
    <row r="130" spans="1:14" s="52" customFormat="1" x14ac:dyDescent="0.25">
      <c r="A130" s="53" t="s">
        <v>79</v>
      </c>
      <c r="B130" s="89" t="s">
        <v>92</v>
      </c>
      <c r="C130" s="53">
        <v>21</v>
      </c>
      <c r="D130" s="53">
        <v>250</v>
      </c>
      <c r="E130" s="77">
        <v>41676</v>
      </c>
      <c r="F130" s="77">
        <v>41676.133333333331</v>
      </c>
      <c r="G130" s="122">
        <f t="shared" si="34"/>
        <v>3.1999999999534339</v>
      </c>
      <c r="H130" s="363">
        <f t="shared" si="35"/>
        <v>0.87272727271457284</v>
      </c>
      <c r="I130" s="123">
        <f t="shared" si="36"/>
        <v>264.43636363251557</v>
      </c>
      <c r="J130" s="91">
        <v>240</v>
      </c>
      <c r="K130" s="91">
        <v>330</v>
      </c>
      <c r="L130" s="91">
        <v>303</v>
      </c>
      <c r="M130" s="91" t="s">
        <v>147</v>
      </c>
      <c r="N130" s="140" t="s">
        <v>245</v>
      </c>
    </row>
    <row r="131" spans="1:14" s="52" customFormat="1" x14ac:dyDescent="0.25">
      <c r="A131" s="53" t="s">
        <v>79</v>
      </c>
      <c r="B131" s="53" t="s">
        <v>91</v>
      </c>
      <c r="C131" s="53">
        <v>22</v>
      </c>
      <c r="D131" s="53">
        <v>1160</v>
      </c>
      <c r="E131" s="77">
        <v>41678.302083333336</v>
      </c>
      <c r="F131" s="77">
        <v>41678.352083333331</v>
      </c>
      <c r="G131" s="83">
        <f t="shared" si="34"/>
        <v>1.1999999998952262</v>
      </c>
      <c r="H131" s="358">
        <f t="shared" si="35"/>
        <v>0.1090909090813842</v>
      </c>
      <c r="I131" s="78">
        <f t="shared" si="36"/>
        <v>33.054545451659415</v>
      </c>
      <c r="J131" s="91">
        <v>300</v>
      </c>
      <c r="K131" s="91">
        <v>330</v>
      </c>
      <c r="L131" s="91">
        <v>303</v>
      </c>
      <c r="M131" s="91" t="s">
        <v>169</v>
      </c>
      <c r="N131" s="140" t="s">
        <v>246</v>
      </c>
    </row>
    <row r="132" spans="1:14" s="52" customFormat="1" x14ac:dyDescent="0.25">
      <c r="A132" s="53" t="s">
        <v>79</v>
      </c>
      <c r="B132" s="53" t="s">
        <v>91</v>
      </c>
      <c r="C132" s="53">
        <v>23</v>
      </c>
      <c r="D132" s="53">
        <v>1160</v>
      </c>
      <c r="E132" s="77">
        <v>41678.352083333331</v>
      </c>
      <c r="F132" s="77">
        <v>41678.628472222219</v>
      </c>
      <c r="G132" s="83">
        <f t="shared" si="34"/>
        <v>6.6333333333022892</v>
      </c>
      <c r="H132" s="358">
        <f t="shared" si="35"/>
        <v>1.6080808080732822</v>
      </c>
      <c r="I132" s="78">
        <f t="shared" si="36"/>
        <v>487.24848484620452</v>
      </c>
      <c r="J132" s="91">
        <v>250</v>
      </c>
      <c r="K132" s="91">
        <v>330</v>
      </c>
      <c r="L132" s="91">
        <v>303</v>
      </c>
      <c r="M132" s="91" t="s">
        <v>169</v>
      </c>
      <c r="N132" s="140" t="s">
        <v>246</v>
      </c>
    </row>
    <row r="133" spans="1:14" s="52" customFormat="1" x14ac:dyDescent="0.25">
      <c r="A133" s="53" t="s">
        <v>79</v>
      </c>
      <c r="B133" s="408" t="s">
        <v>96</v>
      </c>
      <c r="C133" s="53">
        <v>24</v>
      </c>
      <c r="D133" s="53">
        <v>1160</v>
      </c>
      <c r="E133" s="77">
        <v>41678.916666666664</v>
      </c>
      <c r="F133" s="77">
        <v>41679.166666666664</v>
      </c>
      <c r="G133" s="409">
        <f t="shared" si="34"/>
        <v>6</v>
      </c>
      <c r="H133" s="410"/>
      <c r="I133" s="411"/>
      <c r="J133" s="91">
        <v>0</v>
      </c>
      <c r="K133" s="91">
        <v>330</v>
      </c>
      <c r="L133" s="91">
        <v>303</v>
      </c>
      <c r="M133" s="91" t="s">
        <v>169</v>
      </c>
      <c r="N133" s="140" t="s">
        <v>247</v>
      </c>
    </row>
    <row r="134" spans="1:14" s="52" customFormat="1" x14ac:dyDescent="0.25">
      <c r="A134" s="53" t="s">
        <v>79</v>
      </c>
      <c r="B134" s="53" t="s">
        <v>91</v>
      </c>
      <c r="C134" s="53">
        <v>25</v>
      </c>
      <c r="D134" s="53">
        <v>1488</v>
      </c>
      <c r="E134" s="77">
        <v>41680.961805555555</v>
      </c>
      <c r="F134" s="77">
        <v>41681.267361111109</v>
      </c>
      <c r="G134" s="83">
        <f t="shared" si="34"/>
        <v>7.3333333333139308</v>
      </c>
      <c r="H134" s="358">
        <f t="shared" si="35"/>
        <v>0.155555555555144</v>
      </c>
      <c r="I134" s="78">
        <f t="shared" si="36"/>
        <v>47.133333333208633</v>
      </c>
      <c r="J134" s="91">
        <v>323</v>
      </c>
      <c r="K134" s="91">
        <v>330</v>
      </c>
      <c r="L134" s="91">
        <v>303</v>
      </c>
      <c r="M134" s="91" t="s">
        <v>196</v>
      </c>
      <c r="N134" s="140" t="s">
        <v>248</v>
      </c>
    </row>
    <row r="135" spans="1:14" s="52" customFormat="1" x14ac:dyDescent="0.25">
      <c r="A135" s="53" t="s">
        <v>79</v>
      </c>
      <c r="B135" s="53" t="s">
        <v>91</v>
      </c>
      <c r="C135" s="53">
        <v>26</v>
      </c>
      <c r="D135" s="53">
        <v>1488</v>
      </c>
      <c r="E135" s="77">
        <v>41681.267361111109</v>
      </c>
      <c r="F135" s="77">
        <v>41681.416666666664</v>
      </c>
      <c r="G135" s="83">
        <f t="shared" si="34"/>
        <v>3.5833333333139308</v>
      </c>
      <c r="H135" s="358">
        <f t="shared" si="35"/>
        <v>0.10858585858527063</v>
      </c>
      <c r="I135" s="78">
        <f t="shared" si="36"/>
        <v>32.901515151337001</v>
      </c>
      <c r="J135" s="91">
        <v>320</v>
      </c>
      <c r="K135" s="91">
        <v>330</v>
      </c>
      <c r="L135" s="91">
        <v>303</v>
      </c>
      <c r="M135" s="91" t="s">
        <v>196</v>
      </c>
      <c r="N135" s="140" t="s">
        <v>248</v>
      </c>
    </row>
    <row r="136" spans="1:14" s="52" customFormat="1" x14ac:dyDescent="0.25">
      <c r="A136" s="53" t="s">
        <v>79</v>
      </c>
      <c r="B136" s="53" t="s">
        <v>91</v>
      </c>
      <c r="C136" s="53">
        <v>27</v>
      </c>
      <c r="D136" s="53">
        <v>1488</v>
      </c>
      <c r="E136" s="77">
        <v>41681.416666666664</v>
      </c>
      <c r="F136" s="77">
        <v>41682.4375</v>
      </c>
      <c r="G136" s="83">
        <f t="shared" si="34"/>
        <v>24.500000000058208</v>
      </c>
      <c r="H136" s="358">
        <f t="shared" si="35"/>
        <v>0.44545454545560376</v>
      </c>
      <c r="I136" s="78">
        <f t="shared" si="36"/>
        <v>134.97272727304795</v>
      </c>
      <c r="J136" s="91">
        <v>324</v>
      </c>
      <c r="K136" s="91">
        <v>330</v>
      </c>
      <c r="L136" s="91">
        <v>303</v>
      </c>
      <c r="M136" s="91" t="s">
        <v>196</v>
      </c>
      <c r="N136" s="140" t="s">
        <v>249</v>
      </c>
    </row>
    <row r="137" spans="1:14" s="52" customFormat="1" x14ac:dyDescent="0.25">
      <c r="A137" s="53" t="s">
        <v>79</v>
      </c>
      <c r="B137" s="408" t="s">
        <v>96</v>
      </c>
      <c r="C137" s="53">
        <v>28</v>
      </c>
      <c r="D137" s="53">
        <v>8460</v>
      </c>
      <c r="E137" s="77">
        <v>41681.53125</v>
      </c>
      <c r="F137" s="77">
        <v>41681.666666666664</v>
      </c>
      <c r="G137" s="409">
        <f t="shared" si="34"/>
        <v>3.2499999999417923</v>
      </c>
      <c r="H137" s="410"/>
      <c r="I137" s="411"/>
      <c r="J137" s="91">
        <v>0</v>
      </c>
      <c r="K137" s="91">
        <v>330</v>
      </c>
      <c r="L137" s="91">
        <v>303</v>
      </c>
      <c r="M137" s="91" t="s">
        <v>167</v>
      </c>
      <c r="N137" s="140" t="s">
        <v>250</v>
      </c>
    </row>
    <row r="138" spans="1:14" s="52" customFormat="1" x14ac:dyDescent="0.25">
      <c r="A138" s="53" t="s">
        <v>79</v>
      </c>
      <c r="B138" s="408" t="s">
        <v>96</v>
      </c>
      <c r="C138" s="53">
        <v>29</v>
      </c>
      <c r="D138" s="53">
        <v>8460</v>
      </c>
      <c r="E138" s="77">
        <v>41682.291666666664</v>
      </c>
      <c r="F138" s="77">
        <v>41682.947916666664</v>
      </c>
      <c r="G138" s="409">
        <f t="shared" si="34"/>
        <v>15.75</v>
      </c>
      <c r="H138" s="410"/>
      <c r="I138" s="411"/>
      <c r="J138" s="91">
        <v>0</v>
      </c>
      <c r="K138" s="91">
        <v>330</v>
      </c>
      <c r="L138" s="91">
        <v>303</v>
      </c>
      <c r="M138" s="91" t="s">
        <v>167</v>
      </c>
      <c r="N138" s="140" t="s">
        <v>250</v>
      </c>
    </row>
    <row r="139" spans="1:14" s="52" customFormat="1" x14ac:dyDescent="0.25">
      <c r="A139" s="53" t="s">
        <v>79</v>
      </c>
      <c r="B139" s="53" t="s">
        <v>91</v>
      </c>
      <c r="C139" s="53">
        <v>30</v>
      </c>
      <c r="D139" s="53">
        <v>1488</v>
      </c>
      <c r="E139" s="77">
        <v>41682.4375</v>
      </c>
      <c r="F139" s="77">
        <v>41682.947916666664</v>
      </c>
      <c r="G139" s="83">
        <f t="shared" si="34"/>
        <v>12.249999999941792</v>
      </c>
      <c r="H139" s="358">
        <f t="shared" si="35"/>
        <v>0.37121212121035735</v>
      </c>
      <c r="I139" s="78">
        <f t="shared" si="36"/>
        <v>112.47727272673828</v>
      </c>
      <c r="J139" s="91">
        <v>320</v>
      </c>
      <c r="K139" s="91">
        <v>330</v>
      </c>
      <c r="L139" s="91">
        <v>303</v>
      </c>
      <c r="M139" s="91" t="s">
        <v>196</v>
      </c>
      <c r="N139" s="140" t="s">
        <v>251</v>
      </c>
    </row>
    <row r="140" spans="1:14" s="52" customFormat="1" x14ac:dyDescent="0.25">
      <c r="A140" s="53" t="s">
        <v>79</v>
      </c>
      <c r="B140" s="53" t="s">
        <v>91</v>
      </c>
      <c r="C140" s="53">
        <v>31</v>
      </c>
      <c r="D140" s="53">
        <v>1488</v>
      </c>
      <c r="E140" s="77">
        <v>41682.947916666664</v>
      </c>
      <c r="F140" s="77">
        <v>41683.30972222222</v>
      </c>
      <c r="G140" s="83">
        <f t="shared" si="34"/>
        <v>8.6833333333488554</v>
      </c>
      <c r="H140" s="358">
        <f t="shared" si="35"/>
        <v>0.52626262626356701</v>
      </c>
      <c r="I140" s="78">
        <f t="shared" si="36"/>
        <v>159.45757575786081</v>
      </c>
      <c r="J140" s="91">
        <v>310</v>
      </c>
      <c r="K140" s="91">
        <v>330</v>
      </c>
      <c r="L140" s="91">
        <v>303</v>
      </c>
      <c r="M140" s="91" t="s">
        <v>196</v>
      </c>
      <c r="N140" s="140" t="s">
        <v>249</v>
      </c>
    </row>
    <row r="141" spans="1:14" s="52" customFormat="1" x14ac:dyDescent="0.25">
      <c r="A141" s="53" t="s">
        <v>79</v>
      </c>
      <c r="B141" s="53" t="s">
        <v>91</v>
      </c>
      <c r="C141" s="53">
        <v>32</v>
      </c>
      <c r="D141" s="53">
        <v>1488</v>
      </c>
      <c r="E141" s="77">
        <v>41683.30972222222</v>
      </c>
      <c r="F141" s="77">
        <v>41683.916666666664</v>
      </c>
      <c r="G141" s="83">
        <f t="shared" si="34"/>
        <v>14.566666666651145</v>
      </c>
      <c r="H141" s="358">
        <f t="shared" si="35"/>
        <v>0.26484848484820261</v>
      </c>
      <c r="I141" s="78">
        <f t="shared" si="36"/>
        <v>80.249090909005389</v>
      </c>
      <c r="J141" s="91">
        <v>324</v>
      </c>
      <c r="K141" s="91">
        <v>330</v>
      </c>
      <c r="L141" s="91">
        <v>303</v>
      </c>
      <c r="M141" s="91" t="s">
        <v>196</v>
      </c>
      <c r="N141" s="140" t="s">
        <v>249</v>
      </c>
    </row>
    <row r="142" spans="1:14" s="52" customFormat="1" x14ac:dyDescent="0.25">
      <c r="A142" s="53" t="s">
        <v>79</v>
      </c>
      <c r="B142" s="408" t="s">
        <v>96</v>
      </c>
      <c r="C142" s="53">
        <v>33</v>
      </c>
      <c r="D142" s="53">
        <v>8460</v>
      </c>
      <c r="E142" s="77">
        <v>41683.569444444445</v>
      </c>
      <c r="F142" s="77">
        <v>41683.916666666664</v>
      </c>
      <c r="G142" s="409">
        <f t="shared" si="34"/>
        <v>8.3333333332557231</v>
      </c>
      <c r="H142" s="410"/>
      <c r="I142" s="411"/>
      <c r="J142" s="91">
        <v>0</v>
      </c>
      <c r="K142" s="91">
        <v>330</v>
      </c>
      <c r="L142" s="91">
        <v>303</v>
      </c>
      <c r="M142" s="91" t="s">
        <v>167</v>
      </c>
      <c r="N142" s="140" t="s">
        <v>250</v>
      </c>
    </row>
    <row r="143" spans="1:14" s="52" customFormat="1" x14ac:dyDescent="0.25">
      <c r="A143" s="53" t="s">
        <v>79</v>
      </c>
      <c r="B143" s="89" t="s">
        <v>92</v>
      </c>
      <c r="C143" s="53">
        <v>34</v>
      </c>
      <c r="D143" s="53">
        <v>310</v>
      </c>
      <c r="E143" s="77">
        <v>41683.916666666664</v>
      </c>
      <c r="F143" s="77">
        <v>41684.125</v>
      </c>
      <c r="G143" s="122">
        <f t="shared" si="34"/>
        <v>5.0000000000582077</v>
      </c>
      <c r="H143" s="363">
        <f t="shared" si="35"/>
        <v>1.3636363636522384</v>
      </c>
      <c r="I143" s="123">
        <f t="shared" si="36"/>
        <v>413.18181818662822</v>
      </c>
      <c r="J143" s="91">
        <v>240</v>
      </c>
      <c r="K143" s="91">
        <v>330</v>
      </c>
      <c r="L143" s="91">
        <v>303</v>
      </c>
      <c r="M143" s="91" t="s">
        <v>150</v>
      </c>
      <c r="N143" s="140" t="s">
        <v>171</v>
      </c>
    </row>
    <row r="144" spans="1:14" s="52" customFormat="1" x14ac:dyDescent="0.25">
      <c r="A144" s="53" t="s">
        <v>79</v>
      </c>
      <c r="B144" s="53" t="s">
        <v>91</v>
      </c>
      <c r="C144" s="53">
        <v>35</v>
      </c>
      <c r="D144" s="53">
        <v>250</v>
      </c>
      <c r="E144" s="77">
        <v>41684.125</v>
      </c>
      <c r="F144" s="77">
        <v>41684.211805555555</v>
      </c>
      <c r="G144" s="83">
        <f t="shared" si="34"/>
        <v>2.0833333333139308</v>
      </c>
      <c r="H144" s="358">
        <f t="shared" si="35"/>
        <v>0.56818181817652658</v>
      </c>
      <c r="I144" s="78">
        <f t="shared" si="36"/>
        <v>172.15909090748755</v>
      </c>
      <c r="J144" s="91">
        <v>240</v>
      </c>
      <c r="K144" s="91">
        <v>330</v>
      </c>
      <c r="L144" s="91">
        <v>303</v>
      </c>
      <c r="M144" s="91" t="s">
        <v>147</v>
      </c>
      <c r="N144" s="140" t="s">
        <v>252</v>
      </c>
    </row>
    <row r="145" spans="1:15" x14ac:dyDescent="0.25">
      <c r="A145" s="53" t="s">
        <v>79</v>
      </c>
      <c r="B145" s="53" t="s">
        <v>91</v>
      </c>
      <c r="C145" s="53">
        <v>36</v>
      </c>
      <c r="D145" s="53">
        <v>250</v>
      </c>
      <c r="E145" s="77">
        <v>41684.211805555555</v>
      </c>
      <c r="F145" s="77">
        <v>41684.284722222219</v>
      </c>
      <c r="G145" s="83">
        <f t="shared" si="34"/>
        <v>1.7499999999417923</v>
      </c>
      <c r="H145" s="358">
        <f t="shared" si="35"/>
        <v>0.42424242422831332</v>
      </c>
      <c r="I145" s="78">
        <f t="shared" si="36"/>
        <v>128.54545454117894</v>
      </c>
      <c r="J145" s="91">
        <v>250</v>
      </c>
      <c r="K145" s="91">
        <v>330</v>
      </c>
      <c r="L145" s="91">
        <v>303</v>
      </c>
      <c r="M145" s="91" t="s">
        <v>147</v>
      </c>
      <c r="N145" s="140" t="s">
        <v>252</v>
      </c>
    </row>
    <row r="146" spans="1:15" x14ac:dyDescent="0.25">
      <c r="A146" s="53" t="s">
        <v>79</v>
      </c>
      <c r="B146" s="53" t="s">
        <v>91</v>
      </c>
      <c r="C146" s="53">
        <v>37</v>
      </c>
      <c r="D146" s="53">
        <v>250</v>
      </c>
      <c r="E146" s="77">
        <v>41684.284722222219</v>
      </c>
      <c r="F146" s="77">
        <v>41684.5</v>
      </c>
      <c r="G146" s="83">
        <f t="shared" si="34"/>
        <v>5.1666666667442769</v>
      </c>
      <c r="H146" s="358">
        <f t="shared" si="35"/>
        <v>0.78282828284004191</v>
      </c>
      <c r="I146" s="78">
        <f t="shared" si="36"/>
        <v>237.19696970053269</v>
      </c>
      <c r="J146" s="91">
        <v>280</v>
      </c>
      <c r="K146" s="91">
        <v>330</v>
      </c>
      <c r="L146" s="91">
        <v>303</v>
      </c>
      <c r="M146" s="91" t="s">
        <v>147</v>
      </c>
      <c r="N146" s="140" t="s">
        <v>253</v>
      </c>
    </row>
    <row r="147" spans="1:15" x14ac:dyDescent="0.25">
      <c r="A147" s="53" t="s">
        <v>79</v>
      </c>
      <c r="B147" s="53" t="s">
        <v>91</v>
      </c>
      <c r="C147" s="53">
        <v>38</v>
      </c>
      <c r="D147" s="53">
        <v>1488</v>
      </c>
      <c r="E147" s="77">
        <v>41685.287499999999</v>
      </c>
      <c r="F147" s="77">
        <v>41686.263888888891</v>
      </c>
      <c r="G147" s="83">
        <f t="shared" si="34"/>
        <v>23.433333333407063</v>
      </c>
      <c r="H147" s="358">
        <f t="shared" si="35"/>
        <v>0.35505050505162217</v>
      </c>
      <c r="I147" s="78">
        <f t="shared" si="36"/>
        <v>107.58030303064152</v>
      </c>
      <c r="J147" s="91">
        <v>325</v>
      </c>
      <c r="K147" s="91">
        <v>330</v>
      </c>
      <c r="L147" s="91">
        <v>303</v>
      </c>
      <c r="M147" s="91" t="s">
        <v>196</v>
      </c>
      <c r="N147" s="140" t="s">
        <v>249</v>
      </c>
    </row>
    <row r="148" spans="1:15" x14ac:dyDescent="0.25">
      <c r="A148" s="53" t="s">
        <v>79</v>
      </c>
      <c r="B148" s="53" t="s">
        <v>91</v>
      </c>
      <c r="C148" s="53">
        <v>39</v>
      </c>
      <c r="D148" s="53">
        <v>1488</v>
      </c>
      <c r="E148" s="77">
        <v>41686.263888888891</v>
      </c>
      <c r="F148" s="405">
        <v>41687</v>
      </c>
      <c r="G148" s="83">
        <f t="shared" si="34"/>
        <v>17.666666666627862</v>
      </c>
      <c r="H148" s="358">
        <f t="shared" si="35"/>
        <v>0.53535353535235941</v>
      </c>
      <c r="I148" s="78">
        <f t="shared" si="36"/>
        <v>162.2121212117649</v>
      </c>
      <c r="J148" s="91">
        <v>320</v>
      </c>
      <c r="K148" s="91">
        <v>330</v>
      </c>
      <c r="L148" s="91">
        <v>303</v>
      </c>
      <c r="M148" s="91" t="s">
        <v>196</v>
      </c>
      <c r="N148" s="140" t="s">
        <v>249</v>
      </c>
    </row>
    <row r="149" spans="1:15" s="54" customFormat="1" ht="13.9" customHeight="1" x14ac:dyDescent="0.25">
      <c r="A149" s="114"/>
      <c r="B149" s="114"/>
      <c r="C149" s="114"/>
      <c r="D149" s="114"/>
      <c r="E149" s="115"/>
      <c r="F149" s="115"/>
      <c r="G149" s="116"/>
      <c r="H149" s="359"/>
      <c r="I149" s="117"/>
      <c r="J149" s="118"/>
      <c r="K149" s="412">
        <v>330</v>
      </c>
      <c r="L149" s="412">
        <v>303</v>
      </c>
      <c r="M149" s="118"/>
      <c r="N149" s="138"/>
      <c r="O149" s="92"/>
    </row>
    <row r="150" spans="1:15" s="104" customFormat="1" x14ac:dyDescent="0.25">
      <c r="A150" s="100" t="s">
        <v>79</v>
      </c>
      <c r="B150" s="100"/>
      <c r="C150" s="100"/>
      <c r="D150" s="100"/>
      <c r="E150" s="101"/>
      <c r="F150" s="101"/>
      <c r="G150" s="98">
        <f>SUM(G126:G149)</f>
        <v>189.16666666633682</v>
      </c>
      <c r="H150" s="360">
        <f>SUM(H126:H149)</f>
        <v>16.209797979736784</v>
      </c>
      <c r="I150" s="99">
        <f>SUM(I126:I149)</f>
        <v>4911.5687878602448</v>
      </c>
      <c r="J150" s="102"/>
      <c r="K150" s="102"/>
      <c r="L150" s="102"/>
      <c r="M150" s="102"/>
      <c r="N150" s="139"/>
      <c r="O150" s="103"/>
    </row>
    <row r="151" spans="1:15" s="104" customFormat="1" x14ac:dyDescent="0.25">
      <c r="A151" s="100"/>
      <c r="B151" s="89" t="s">
        <v>92</v>
      </c>
      <c r="C151" s="100"/>
      <c r="D151" s="100"/>
      <c r="E151" s="101"/>
      <c r="F151" s="101"/>
      <c r="G151" s="122">
        <f>SUM(G143,G130)</f>
        <v>8.2000000000116415</v>
      </c>
      <c r="H151" s="363">
        <f t="shared" ref="H151:I151" si="37">SUM(H143,H130)</f>
        <v>2.2363636363668111</v>
      </c>
      <c r="I151" s="123">
        <f t="shared" si="37"/>
        <v>677.61818181914373</v>
      </c>
      <c r="J151" s="102"/>
      <c r="K151" s="102"/>
      <c r="L151" s="102"/>
      <c r="M151" s="102"/>
      <c r="N151" s="139"/>
      <c r="O151" s="103"/>
    </row>
    <row r="152" spans="1:15" s="104" customFormat="1" x14ac:dyDescent="0.25">
      <c r="A152" s="100"/>
      <c r="B152" s="372" t="s">
        <v>94</v>
      </c>
      <c r="C152" s="100"/>
      <c r="D152" s="100"/>
      <c r="E152" s="101"/>
      <c r="F152" s="101"/>
      <c r="G152" s="373"/>
      <c r="H152" s="374"/>
      <c r="I152" s="375"/>
      <c r="J152" s="102"/>
      <c r="K152" s="102"/>
      <c r="L152" s="102"/>
      <c r="M152" s="102"/>
      <c r="N152" s="139"/>
      <c r="O152" s="103"/>
    </row>
    <row r="154" spans="1:15" x14ac:dyDescent="0.25">
      <c r="A154" s="109"/>
      <c r="B154" s="109"/>
      <c r="C154" s="109"/>
      <c r="D154" s="109"/>
      <c r="E154" s="110"/>
      <c r="F154" s="110"/>
      <c r="G154" s="111"/>
      <c r="H154" s="357"/>
      <c r="I154" s="112"/>
      <c r="J154" s="113"/>
      <c r="K154" s="113"/>
      <c r="L154" s="113"/>
      <c r="M154" s="113"/>
      <c r="N154" s="137"/>
      <c r="O154" s="52"/>
    </row>
    <row r="155" spans="1:15" s="157" customFormat="1" x14ac:dyDescent="0.25">
      <c r="A155" s="394" t="s">
        <v>78</v>
      </c>
      <c r="B155" s="394" t="s">
        <v>93</v>
      </c>
      <c r="C155" s="67">
        <v>35</v>
      </c>
      <c r="D155" s="67">
        <v>3149</v>
      </c>
      <c r="E155" s="68">
        <v>41671.984027777777</v>
      </c>
      <c r="F155" s="68">
        <v>41672.274305555555</v>
      </c>
      <c r="G155" s="395">
        <f t="shared" ref="G155:G177" si="38">(F155-E155)*24</f>
        <v>6.9666666666744277</v>
      </c>
      <c r="H155" s="396">
        <f t="shared" ref="H155:H177" si="39">G155*(K155-J155)/K155</f>
        <v>6.9666666666744277</v>
      </c>
      <c r="I155" s="397">
        <f t="shared" ref="I155:I177" si="40">H155*L155</f>
        <v>2083.0333333356539</v>
      </c>
      <c r="J155" s="384">
        <v>0</v>
      </c>
      <c r="K155" s="384">
        <v>330</v>
      </c>
      <c r="L155" s="384">
        <v>299</v>
      </c>
      <c r="M155" s="384" t="s">
        <v>185</v>
      </c>
      <c r="N155" s="139" t="s">
        <v>254</v>
      </c>
      <c r="O155" s="385"/>
    </row>
    <row r="156" spans="1:15" x14ac:dyDescent="0.25">
      <c r="A156" s="53" t="s">
        <v>78</v>
      </c>
      <c r="B156" s="408" t="s">
        <v>96</v>
      </c>
      <c r="C156" s="53">
        <v>36</v>
      </c>
      <c r="D156" s="53">
        <v>1850</v>
      </c>
      <c r="E156" s="77">
        <v>41672.274305555555</v>
      </c>
      <c r="F156" s="77">
        <v>41672.59375</v>
      </c>
      <c r="G156" s="409">
        <f t="shared" si="38"/>
        <v>7.6666666666860692</v>
      </c>
      <c r="H156" s="410"/>
      <c r="I156" s="411"/>
      <c r="J156" s="91">
        <v>0</v>
      </c>
      <c r="K156" s="91">
        <v>330</v>
      </c>
      <c r="L156" s="91">
        <v>299</v>
      </c>
      <c r="M156" s="91" t="s">
        <v>149</v>
      </c>
      <c r="N156" s="140" t="s">
        <v>255</v>
      </c>
    </row>
    <row r="157" spans="1:15" x14ac:dyDescent="0.25">
      <c r="A157" s="53" t="s">
        <v>78</v>
      </c>
      <c r="B157" s="53" t="s">
        <v>91</v>
      </c>
      <c r="C157" s="53">
        <v>37</v>
      </c>
      <c r="D157" s="53">
        <v>1850</v>
      </c>
      <c r="E157" s="77">
        <v>41672.59375</v>
      </c>
      <c r="F157" s="77">
        <v>41672.916666666664</v>
      </c>
      <c r="G157" s="83">
        <f t="shared" si="38"/>
        <v>7.7499999999417923</v>
      </c>
      <c r="H157" s="358">
        <f t="shared" si="39"/>
        <v>1.6439393939270468</v>
      </c>
      <c r="I157" s="78">
        <f t="shared" si="40"/>
        <v>491.537878784187</v>
      </c>
      <c r="J157" s="91">
        <v>260</v>
      </c>
      <c r="K157" s="91">
        <v>330</v>
      </c>
      <c r="L157" s="91">
        <v>299</v>
      </c>
      <c r="M157" s="91" t="s">
        <v>149</v>
      </c>
      <c r="N157" s="140" t="s">
        <v>165</v>
      </c>
    </row>
    <row r="158" spans="1:15" x14ac:dyDescent="0.25">
      <c r="A158" s="53" t="s">
        <v>78</v>
      </c>
      <c r="B158" s="89" t="s">
        <v>92</v>
      </c>
      <c r="C158" s="53">
        <v>38</v>
      </c>
      <c r="D158" s="53">
        <v>310</v>
      </c>
      <c r="E158" s="77">
        <v>41672.916666666664</v>
      </c>
      <c r="F158" s="77">
        <v>41673.267361111109</v>
      </c>
      <c r="G158" s="122">
        <f t="shared" si="38"/>
        <v>8.4166666666860692</v>
      </c>
      <c r="H158" s="363">
        <f t="shared" si="39"/>
        <v>2.2954545454598372</v>
      </c>
      <c r="I158" s="123">
        <f t="shared" si="40"/>
        <v>686.3409090924913</v>
      </c>
      <c r="J158" s="91">
        <v>240</v>
      </c>
      <c r="K158" s="91">
        <v>330</v>
      </c>
      <c r="L158" s="91">
        <v>299</v>
      </c>
      <c r="M158" s="91" t="s">
        <v>150</v>
      </c>
      <c r="N158" s="140" t="s">
        <v>256</v>
      </c>
    </row>
    <row r="159" spans="1:15" x14ac:dyDescent="0.25">
      <c r="A159" s="53" t="s">
        <v>78</v>
      </c>
      <c r="B159" s="53" t="s">
        <v>91</v>
      </c>
      <c r="C159" s="53">
        <v>39</v>
      </c>
      <c r="D159" s="53">
        <v>1700</v>
      </c>
      <c r="E159" s="77">
        <v>41673.34375</v>
      </c>
      <c r="F159" s="77">
        <v>41673.432638888888</v>
      </c>
      <c r="G159" s="83">
        <f t="shared" si="38"/>
        <v>2.1333333333022892</v>
      </c>
      <c r="H159" s="358">
        <f t="shared" si="39"/>
        <v>0.32323232322761958</v>
      </c>
      <c r="I159" s="78">
        <f t="shared" si="40"/>
        <v>96.646464645058259</v>
      </c>
      <c r="J159" s="91">
        <v>280</v>
      </c>
      <c r="K159" s="91">
        <v>330</v>
      </c>
      <c r="L159" s="91">
        <v>299</v>
      </c>
      <c r="M159" s="91" t="s">
        <v>170</v>
      </c>
      <c r="N159" s="140" t="s">
        <v>257</v>
      </c>
    </row>
    <row r="160" spans="1:15" x14ac:dyDescent="0.25">
      <c r="A160" s="53" t="s">
        <v>78</v>
      </c>
      <c r="B160" s="53" t="s">
        <v>91</v>
      </c>
      <c r="C160" s="53">
        <v>40</v>
      </c>
      <c r="D160" s="53">
        <v>1850</v>
      </c>
      <c r="E160" s="77">
        <v>41673.432638888888</v>
      </c>
      <c r="F160" s="77">
        <v>41673.878472222219</v>
      </c>
      <c r="G160" s="83">
        <f t="shared" si="38"/>
        <v>10.699999999953434</v>
      </c>
      <c r="H160" s="358">
        <f t="shared" si="39"/>
        <v>0.32424242424101313</v>
      </c>
      <c r="I160" s="78">
        <f t="shared" si="40"/>
        <v>96.948484848062918</v>
      </c>
      <c r="J160" s="91">
        <v>320</v>
      </c>
      <c r="K160" s="91">
        <v>330</v>
      </c>
      <c r="L160" s="91">
        <v>299</v>
      </c>
      <c r="M160" s="91" t="s">
        <v>149</v>
      </c>
      <c r="N160" s="140" t="s">
        <v>165</v>
      </c>
    </row>
    <row r="161" spans="1:14" s="52" customFormat="1" x14ac:dyDescent="0.25">
      <c r="A161" s="53" t="s">
        <v>78</v>
      </c>
      <c r="B161" s="89" t="s">
        <v>92</v>
      </c>
      <c r="C161" s="53">
        <v>41</v>
      </c>
      <c r="D161" s="53">
        <v>310</v>
      </c>
      <c r="E161" s="77">
        <v>41673.958333333336</v>
      </c>
      <c r="F161" s="77">
        <v>41674.177083333336</v>
      </c>
      <c r="G161" s="122">
        <f t="shared" si="38"/>
        <v>5.25</v>
      </c>
      <c r="H161" s="363">
        <f t="shared" si="39"/>
        <v>1.4318181818181819</v>
      </c>
      <c r="I161" s="123">
        <f t="shared" si="40"/>
        <v>428.11363636363637</v>
      </c>
      <c r="J161" s="91">
        <v>240</v>
      </c>
      <c r="K161" s="91">
        <v>330</v>
      </c>
      <c r="L161" s="91">
        <v>299</v>
      </c>
      <c r="M161" s="91" t="s">
        <v>150</v>
      </c>
      <c r="N161" s="140" t="s">
        <v>258</v>
      </c>
    </row>
    <row r="162" spans="1:14" s="52" customFormat="1" x14ac:dyDescent="0.25">
      <c r="A162" s="53" t="s">
        <v>78</v>
      </c>
      <c r="B162" s="89" t="s">
        <v>92</v>
      </c>
      <c r="C162" s="53">
        <v>42</v>
      </c>
      <c r="D162" s="53">
        <v>310</v>
      </c>
      <c r="E162" s="77">
        <v>41674.958333333336</v>
      </c>
      <c r="F162" s="77">
        <v>41675.197916666664</v>
      </c>
      <c r="G162" s="122">
        <f t="shared" si="38"/>
        <v>5.7499999998835847</v>
      </c>
      <c r="H162" s="363">
        <f t="shared" si="39"/>
        <v>1.5681818181500686</v>
      </c>
      <c r="I162" s="123">
        <f t="shared" si="40"/>
        <v>468.88636362687055</v>
      </c>
      <c r="J162" s="91">
        <v>240</v>
      </c>
      <c r="K162" s="91">
        <v>330</v>
      </c>
      <c r="L162" s="91">
        <v>299</v>
      </c>
      <c r="M162" s="91" t="s">
        <v>150</v>
      </c>
      <c r="N162" s="140" t="s">
        <v>259</v>
      </c>
    </row>
    <row r="163" spans="1:14" s="52" customFormat="1" x14ac:dyDescent="0.25">
      <c r="A163" s="53" t="s">
        <v>78</v>
      </c>
      <c r="B163" s="53" t="s">
        <v>91</v>
      </c>
      <c r="C163" s="53">
        <v>43</v>
      </c>
      <c r="D163" s="53">
        <v>250</v>
      </c>
      <c r="E163" s="77">
        <v>41675.161805555559</v>
      </c>
      <c r="F163" s="77">
        <v>41675.186805555553</v>
      </c>
      <c r="G163" s="83">
        <f t="shared" si="38"/>
        <v>0.59999999986030161</v>
      </c>
      <c r="H163" s="358">
        <f t="shared" si="39"/>
        <v>0.25454545448618854</v>
      </c>
      <c r="I163" s="78">
        <f t="shared" si="40"/>
        <v>76.109090891370371</v>
      </c>
      <c r="J163" s="91">
        <v>190</v>
      </c>
      <c r="K163" s="91">
        <v>330</v>
      </c>
      <c r="L163" s="91">
        <v>299</v>
      </c>
      <c r="M163" s="91" t="s">
        <v>147</v>
      </c>
      <c r="N163" s="140" t="s">
        <v>260</v>
      </c>
    </row>
    <row r="164" spans="1:14" s="52" customFormat="1" x14ac:dyDescent="0.25">
      <c r="A164" s="53" t="s">
        <v>78</v>
      </c>
      <c r="B164" s="53" t="s">
        <v>91</v>
      </c>
      <c r="C164" s="53">
        <v>44</v>
      </c>
      <c r="D164" s="53">
        <v>250</v>
      </c>
      <c r="E164" s="77">
        <v>41675.241666666669</v>
      </c>
      <c r="F164" s="77">
        <v>41675.330555555556</v>
      </c>
      <c r="G164" s="83">
        <f t="shared" si="38"/>
        <v>2.1333333333022892</v>
      </c>
      <c r="H164" s="358">
        <f t="shared" si="39"/>
        <v>0.5171717171641913</v>
      </c>
      <c r="I164" s="78">
        <f t="shared" si="40"/>
        <v>154.6343434320932</v>
      </c>
      <c r="J164" s="91">
        <v>250</v>
      </c>
      <c r="K164" s="91">
        <v>330</v>
      </c>
      <c r="L164" s="91">
        <v>299</v>
      </c>
      <c r="M164" s="91" t="s">
        <v>147</v>
      </c>
      <c r="N164" s="140" t="s">
        <v>261</v>
      </c>
    </row>
    <row r="165" spans="1:14" s="52" customFormat="1" x14ac:dyDescent="0.25">
      <c r="A165" s="53" t="s">
        <v>78</v>
      </c>
      <c r="B165" s="53" t="s">
        <v>91</v>
      </c>
      <c r="C165" s="53">
        <v>45</v>
      </c>
      <c r="D165" s="53">
        <v>1850</v>
      </c>
      <c r="E165" s="77">
        <v>41675.330555555556</v>
      </c>
      <c r="F165" s="77">
        <v>41675.404861111114</v>
      </c>
      <c r="G165" s="83">
        <f t="shared" si="38"/>
        <v>1.78333333338378</v>
      </c>
      <c r="H165" s="358">
        <f t="shared" si="39"/>
        <v>0.1351010101048318</v>
      </c>
      <c r="I165" s="78">
        <f t="shared" si="40"/>
        <v>40.395202021344708</v>
      </c>
      <c r="J165" s="91">
        <v>305</v>
      </c>
      <c r="K165" s="91">
        <v>330</v>
      </c>
      <c r="L165" s="91">
        <v>299</v>
      </c>
      <c r="M165" s="91" t="s">
        <v>149</v>
      </c>
      <c r="N165" s="140" t="s">
        <v>165</v>
      </c>
    </row>
    <row r="166" spans="1:14" s="52" customFormat="1" x14ac:dyDescent="0.25">
      <c r="A166" s="53" t="s">
        <v>78</v>
      </c>
      <c r="B166" s="53" t="s">
        <v>91</v>
      </c>
      <c r="C166" s="53">
        <v>46</v>
      </c>
      <c r="D166" s="53">
        <v>1850</v>
      </c>
      <c r="E166" s="77">
        <v>41675.404861111114</v>
      </c>
      <c r="F166" s="77">
        <v>41675.559027777781</v>
      </c>
      <c r="G166" s="83">
        <f t="shared" si="38"/>
        <v>3.7000000000116415</v>
      </c>
      <c r="H166" s="358">
        <f t="shared" si="39"/>
        <v>0.17939393939450382</v>
      </c>
      <c r="I166" s="78">
        <f t="shared" si="40"/>
        <v>53.638787878956641</v>
      </c>
      <c r="J166" s="91">
        <v>314</v>
      </c>
      <c r="K166" s="91">
        <v>330</v>
      </c>
      <c r="L166" s="91">
        <v>299</v>
      </c>
      <c r="M166" s="91" t="s">
        <v>149</v>
      </c>
      <c r="N166" s="140" t="s">
        <v>165</v>
      </c>
    </row>
    <row r="167" spans="1:14" s="52" customFormat="1" x14ac:dyDescent="0.25">
      <c r="A167" s="53" t="s">
        <v>78</v>
      </c>
      <c r="B167" s="408" t="s">
        <v>96</v>
      </c>
      <c r="C167" s="53">
        <v>47</v>
      </c>
      <c r="D167" s="53">
        <v>1160</v>
      </c>
      <c r="E167" s="77">
        <v>41677.958333333336</v>
      </c>
      <c r="F167" s="77">
        <v>41678.229166666664</v>
      </c>
      <c r="G167" s="409">
        <f t="shared" si="38"/>
        <v>6.4999999998835847</v>
      </c>
      <c r="H167" s="410"/>
      <c r="I167" s="411"/>
      <c r="J167" s="91">
        <v>0</v>
      </c>
      <c r="K167" s="91">
        <v>330</v>
      </c>
      <c r="L167" s="91">
        <v>299</v>
      </c>
      <c r="M167" s="91" t="s">
        <v>169</v>
      </c>
      <c r="N167" s="140" t="s">
        <v>247</v>
      </c>
    </row>
    <row r="168" spans="1:14" s="52" customFormat="1" x14ac:dyDescent="0.25">
      <c r="A168" s="53" t="s">
        <v>78</v>
      </c>
      <c r="B168" s="53" t="s">
        <v>91</v>
      </c>
      <c r="C168" s="53">
        <v>48</v>
      </c>
      <c r="D168" s="53">
        <v>1160</v>
      </c>
      <c r="E168" s="77">
        <v>41678.229166666664</v>
      </c>
      <c r="F168" s="77">
        <v>41678.315972222219</v>
      </c>
      <c r="G168" s="83">
        <f t="shared" si="38"/>
        <v>2.0833333333139308</v>
      </c>
      <c r="H168" s="358">
        <f t="shared" si="39"/>
        <v>1.1994949494837783</v>
      </c>
      <c r="I168" s="78">
        <f t="shared" si="40"/>
        <v>358.64898989564972</v>
      </c>
      <c r="J168" s="91">
        <v>140</v>
      </c>
      <c r="K168" s="91">
        <v>330</v>
      </c>
      <c r="L168" s="91">
        <v>299</v>
      </c>
      <c r="M168" s="91" t="s">
        <v>169</v>
      </c>
      <c r="N168" s="140" t="s">
        <v>172</v>
      </c>
    </row>
    <row r="169" spans="1:14" s="52" customFormat="1" x14ac:dyDescent="0.25">
      <c r="A169" s="53" t="s">
        <v>78</v>
      </c>
      <c r="B169" s="53" t="s">
        <v>91</v>
      </c>
      <c r="C169" s="53">
        <v>49</v>
      </c>
      <c r="D169" s="53">
        <v>1160</v>
      </c>
      <c r="E169" s="77">
        <v>41678.315972222219</v>
      </c>
      <c r="F169" s="77">
        <v>41678.394444444442</v>
      </c>
      <c r="G169" s="83">
        <f t="shared" si="38"/>
        <v>1.8833333333604969</v>
      </c>
      <c r="H169" s="358">
        <f t="shared" si="39"/>
        <v>0.51363636364377185</v>
      </c>
      <c r="I169" s="78">
        <f t="shared" si="40"/>
        <v>153.57727272948779</v>
      </c>
      <c r="J169" s="91">
        <v>240</v>
      </c>
      <c r="K169" s="91">
        <v>330</v>
      </c>
      <c r="L169" s="91">
        <v>299</v>
      </c>
      <c r="M169" s="91" t="s">
        <v>169</v>
      </c>
      <c r="N169" s="140" t="s">
        <v>246</v>
      </c>
    </row>
    <row r="170" spans="1:14" s="52" customFormat="1" x14ac:dyDescent="0.25">
      <c r="A170" s="53" t="s">
        <v>78</v>
      </c>
      <c r="B170" s="408" t="s">
        <v>96</v>
      </c>
      <c r="C170" s="53">
        <v>50</v>
      </c>
      <c r="D170" s="53">
        <v>1160</v>
      </c>
      <c r="E170" s="77">
        <v>41678.916666666664</v>
      </c>
      <c r="F170" s="77">
        <v>41679.166666666664</v>
      </c>
      <c r="G170" s="409">
        <f t="shared" si="38"/>
        <v>6</v>
      </c>
      <c r="H170" s="410"/>
      <c r="I170" s="411"/>
      <c r="J170" s="91">
        <v>0</v>
      </c>
      <c r="K170" s="91">
        <v>330</v>
      </c>
      <c r="L170" s="91">
        <v>299</v>
      </c>
      <c r="M170" s="91" t="s">
        <v>169</v>
      </c>
      <c r="N170" s="140" t="s">
        <v>247</v>
      </c>
    </row>
    <row r="171" spans="1:14" s="52" customFormat="1" x14ac:dyDescent="0.25">
      <c r="A171" s="53" t="s">
        <v>78</v>
      </c>
      <c r="B171" s="408" t="s">
        <v>96</v>
      </c>
      <c r="C171" s="53">
        <v>51</v>
      </c>
      <c r="D171" s="53">
        <v>1160</v>
      </c>
      <c r="E171" s="77">
        <v>41679.883333333331</v>
      </c>
      <c r="F171" s="77">
        <v>41680.136805555558</v>
      </c>
      <c r="G171" s="409">
        <f t="shared" si="38"/>
        <v>6.0833333334303461</v>
      </c>
      <c r="H171" s="410"/>
      <c r="I171" s="411"/>
      <c r="J171" s="91">
        <v>0</v>
      </c>
      <c r="K171" s="91">
        <v>330</v>
      </c>
      <c r="L171" s="91">
        <v>299</v>
      </c>
      <c r="M171" s="91" t="s">
        <v>169</v>
      </c>
      <c r="N171" s="140" t="s">
        <v>247</v>
      </c>
    </row>
    <row r="172" spans="1:14" s="52" customFormat="1" x14ac:dyDescent="0.25">
      <c r="A172" s="53" t="s">
        <v>78</v>
      </c>
      <c r="B172" s="408" t="s">
        <v>96</v>
      </c>
      <c r="C172" s="53">
        <v>52</v>
      </c>
      <c r="D172" s="53">
        <v>8460</v>
      </c>
      <c r="E172" s="77">
        <v>41681.333333333336</v>
      </c>
      <c r="F172" s="77">
        <v>41681.513888888891</v>
      </c>
      <c r="G172" s="409">
        <f t="shared" si="38"/>
        <v>4.3333333333139308</v>
      </c>
      <c r="H172" s="410"/>
      <c r="I172" s="411"/>
      <c r="J172" s="91">
        <v>0</v>
      </c>
      <c r="K172" s="91">
        <v>330</v>
      </c>
      <c r="L172" s="91">
        <v>299</v>
      </c>
      <c r="M172" s="91" t="s">
        <v>167</v>
      </c>
      <c r="N172" s="140" t="s">
        <v>262</v>
      </c>
    </row>
    <row r="173" spans="1:14" s="52" customFormat="1" x14ac:dyDescent="0.25">
      <c r="A173" s="53" t="s">
        <v>78</v>
      </c>
      <c r="B173" s="408" t="s">
        <v>96</v>
      </c>
      <c r="C173" s="53">
        <v>53</v>
      </c>
      <c r="D173" s="53">
        <v>1160</v>
      </c>
      <c r="E173" s="77">
        <v>41681.51458333333</v>
      </c>
      <c r="F173" s="77">
        <v>41681.6875</v>
      </c>
      <c r="G173" s="409">
        <f t="shared" si="38"/>
        <v>4.1500000000814907</v>
      </c>
      <c r="H173" s="410"/>
      <c r="I173" s="411"/>
      <c r="J173" s="91">
        <v>0</v>
      </c>
      <c r="K173" s="91">
        <v>330</v>
      </c>
      <c r="L173" s="91">
        <v>299</v>
      </c>
      <c r="M173" s="91" t="s">
        <v>169</v>
      </c>
      <c r="N173" s="140" t="s">
        <v>247</v>
      </c>
    </row>
    <row r="174" spans="1:14" s="52" customFormat="1" x14ac:dyDescent="0.25">
      <c r="A174" s="53" t="s">
        <v>78</v>
      </c>
      <c r="B174" s="408" t="s">
        <v>96</v>
      </c>
      <c r="C174" s="53">
        <v>54</v>
      </c>
      <c r="D174" s="53">
        <v>1160</v>
      </c>
      <c r="E174" s="77">
        <v>41682.916666666664</v>
      </c>
      <c r="F174" s="77">
        <v>41683.201388888891</v>
      </c>
      <c r="G174" s="409">
        <f t="shared" si="38"/>
        <v>6.8333333334303461</v>
      </c>
      <c r="H174" s="410"/>
      <c r="I174" s="411"/>
      <c r="J174" s="91">
        <v>0</v>
      </c>
      <c r="K174" s="91">
        <v>330</v>
      </c>
      <c r="L174" s="91">
        <v>299</v>
      </c>
      <c r="M174" s="91" t="s">
        <v>169</v>
      </c>
      <c r="N174" s="140" t="s">
        <v>247</v>
      </c>
    </row>
    <row r="175" spans="1:14" s="52" customFormat="1" x14ac:dyDescent="0.25">
      <c r="A175" s="53" t="s">
        <v>78</v>
      </c>
      <c r="B175" s="408" t="s">
        <v>96</v>
      </c>
      <c r="C175" s="53">
        <v>55</v>
      </c>
      <c r="D175" s="53">
        <v>8460</v>
      </c>
      <c r="E175" s="77">
        <v>41683.333333333336</v>
      </c>
      <c r="F175" s="77">
        <v>41683.549305555556</v>
      </c>
      <c r="G175" s="409">
        <f t="shared" si="38"/>
        <v>5.1833333332906477</v>
      </c>
      <c r="H175" s="410"/>
      <c r="I175" s="411"/>
      <c r="J175" s="91">
        <v>0</v>
      </c>
      <c r="K175" s="91">
        <v>330</v>
      </c>
      <c r="L175" s="91">
        <v>299</v>
      </c>
      <c r="M175" s="91" t="s">
        <v>167</v>
      </c>
      <c r="N175" s="140" t="s">
        <v>262</v>
      </c>
    </row>
    <row r="176" spans="1:14" s="52" customFormat="1" x14ac:dyDescent="0.25">
      <c r="A176" s="53" t="s">
        <v>78</v>
      </c>
      <c r="B176" s="53" t="s">
        <v>91</v>
      </c>
      <c r="C176" s="53">
        <v>56</v>
      </c>
      <c r="D176" s="53">
        <v>1160</v>
      </c>
      <c r="E176" s="77">
        <v>41684.475694444445</v>
      </c>
      <c r="F176" s="77">
        <v>41685.022222222222</v>
      </c>
      <c r="G176" s="83">
        <f t="shared" si="38"/>
        <v>13.116666666639503</v>
      </c>
      <c r="H176" s="358">
        <f t="shared" si="39"/>
        <v>2.1861111111065838</v>
      </c>
      <c r="I176" s="78">
        <f t="shared" si="40"/>
        <v>653.64722222086857</v>
      </c>
      <c r="J176" s="91">
        <v>275</v>
      </c>
      <c r="K176" s="91">
        <v>330</v>
      </c>
      <c r="L176" s="91">
        <v>299</v>
      </c>
      <c r="M176" s="91" t="s">
        <v>169</v>
      </c>
      <c r="N176" s="140" t="s">
        <v>246</v>
      </c>
    </row>
    <row r="177" spans="1:15" s="157" customFormat="1" x14ac:dyDescent="0.25">
      <c r="A177" s="67" t="s">
        <v>78</v>
      </c>
      <c r="B177" s="380" t="s">
        <v>95</v>
      </c>
      <c r="C177" s="67">
        <v>57</v>
      </c>
      <c r="D177" s="67">
        <v>1050</v>
      </c>
      <c r="E177" s="68">
        <v>41685.022222222222</v>
      </c>
      <c r="F177" s="407">
        <v>41687</v>
      </c>
      <c r="G177" s="381">
        <f t="shared" si="38"/>
        <v>47.466666666674428</v>
      </c>
      <c r="H177" s="382">
        <f t="shared" si="39"/>
        <v>47.466666666674428</v>
      </c>
      <c r="I177" s="383">
        <f t="shared" si="40"/>
        <v>14192.533333335654</v>
      </c>
      <c r="J177" s="384">
        <v>0</v>
      </c>
      <c r="K177" s="384">
        <v>330</v>
      </c>
      <c r="L177" s="384">
        <v>299</v>
      </c>
      <c r="M177" s="384" t="s">
        <v>163</v>
      </c>
      <c r="N177" s="139" t="s">
        <v>263</v>
      </c>
      <c r="O177" s="385"/>
    </row>
    <row r="178" spans="1:15" s="54" customFormat="1" x14ac:dyDescent="0.25">
      <c r="A178" s="114"/>
      <c r="B178" s="114"/>
      <c r="C178" s="114"/>
      <c r="D178" s="114"/>
      <c r="E178" s="115"/>
      <c r="F178" s="115"/>
      <c r="G178" s="116"/>
      <c r="H178" s="359"/>
      <c r="I178" s="117"/>
      <c r="J178" s="118"/>
      <c r="K178" s="412">
        <v>330</v>
      </c>
      <c r="L178" s="412">
        <v>299</v>
      </c>
      <c r="M178" s="118"/>
      <c r="N178" s="138"/>
      <c r="O178" s="92"/>
    </row>
    <row r="179" spans="1:15" s="104" customFormat="1" x14ac:dyDescent="0.25">
      <c r="A179" s="100" t="s">
        <v>78</v>
      </c>
      <c r="B179" s="100"/>
      <c r="C179" s="100"/>
      <c r="D179" s="100"/>
      <c r="E179" s="101"/>
      <c r="F179" s="101"/>
      <c r="G179" s="98">
        <f>SUM(G154:G178)</f>
        <v>166.48333333310438</v>
      </c>
      <c r="H179" s="360">
        <f>SUM(H154:H178)</f>
        <v>67.005656565556478</v>
      </c>
      <c r="I179" s="99">
        <f>SUM(I154:I178)</f>
        <v>20034.691313101386</v>
      </c>
      <c r="J179" s="102"/>
      <c r="K179" s="102"/>
      <c r="L179" s="102"/>
      <c r="M179" s="102"/>
      <c r="N179" s="139"/>
      <c r="O179" s="103"/>
    </row>
    <row r="180" spans="1:15" s="104" customFormat="1" x14ac:dyDescent="0.25">
      <c r="A180" s="100"/>
      <c r="B180" s="89" t="s">
        <v>92</v>
      </c>
      <c r="C180" s="100"/>
      <c r="D180" s="100"/>
      <c r="E180" s="101"/>
      <c r="F180" s="101"/>
      <c r="G180" s="122">
        <f>SUM(G158,G161:G162)</f>
        <v>19.416666666569654</v>
      </c>
      <c r="H180" s="363">
        <f t="shared" ref="H180:I180" si="41">SUM(H158,H161:H162)</f>
        <v>5.2954545454280879</v>
      </c>
      <c r="I180" s="123">
        <f t="shared" si="41"/>
        <v>1583.3409090829982</v>
      </c>
      <c r="J180" s="102"/>
      <c r="K180" s="102"/>
      <c r="L180" s="102"/>
      <c r="M180" s="102"/>
      <c r="N180" s="139"/>
      <c r="O180" s="103"/>
    </row>
    <row r="181" spans="1:15" s="104" customFormat="1" x14ac:dyDescent="0.25">
      <c r="A181" s="100"/>
      <c r="B181" s="372" t="s">
        <v>94</v>
      </c>
      <c r="C181" s="100"/>
      <c r="D181" s="100"/>
      <c r="E181" s="101"/>
      <c r="F181" s="101"/>
      <c r="G181" s="373"/>
      <c r="H181" s="374"/>
      <c r="I181" s="375"/>
      <c r="J181" s="102"/>
      <c r="K181" s="102"/>
      <c r="L181" s="102"/>
      <c r="M181" s="102"/>
      <c r="N181" s="139"/>
      <c r="O181" s="103"/>
    </row>
    <row r="183" spans="1:15" x14ac:dyDescent="0.25">
      <c r="A183" s="109"/>
      <c r="B183" s="109"/>
      <c r="C183" s="109"/>
      <c r="D183" s="109"/>
      <c r="E183" s="110"/>
      <c r="F183" s="110"/>
      <c r="G183" s="111"/>
      <c r="H183" s="357"/>
      <c r="I183" s="112"/>
      <c r="J183" s="113"/>
      <c r="K183" s="113"/>
      <c r="L183" s="113"/>
      <c r="M183" s="113"/>
      <c r="N183" s="137"/>
    </row>
    <row r="184" spans="1:15" x14ac:dyDescent="0.25">
      <c r="A184" s="53" t="s">
        <v>76</v>
      </c>
      <c r="B184" s="53" t="s">
        <v>91</v>
      </c>
      <c r="C184" s="53">
        <v>20</v>
      </c>
      <c r="D184" s="53">
        <v>250</v>
      </c>
      <c r="E184" s="77">
        <v>41677.751388888886</v>
      </c>
      <c r="F184" s="77">
        <v>41678.229166666664</v>
      </c>
      <c r="G184" s="83">
        <f t="shared" ref="G184:G191" si="42">(F184-E184)*24</f>
        <v>11.466666666674428</v>
      </c>
      <c r="H184" s="358">
        <f t="shared" ref="H184:H191" si="43">G184*(K184-J184)/K184</f>
        <v>2.6357030015815628</v>
      </c>
      <c r="I184" s="78">
        <f t="shared" ref="I184:I191" si="44">H184*L184</f>
        <v>1033.1955766199726</v>
      </c>
      <c r="J184" s="91">
        <v>325</v>
      </c>
      <c r="K184" s="91">
        <v>422</v>
      </c>
      <c r="L184" s="91">
        <v>392</v>
      </c>
      <c r="M184" s="91" t="s">
        <v>147</v>
      </c>
      <c r="N184" s="140" t="s">
        <v>264</v>
      </c>
    </row>
    <row r="185" spans="1:15" x14ac:dyDescent="0.25">
      <c r="A185" s="53" t="s">
        <v>76</v>
      </c>
      <c r="B185" s="53" t="s">
        <v>91</v>
      </c>
      <c r="C185" s="53">
        <v>21</v>
      </c>
      <c r="D185" s="53">
        <v>360</v>
      </c>
      <c r="E185" s="77">
        <v>41679.378472222219</v>
      </c>
      <c r="F185" s="77">
        <v>41679.434027777781</v>
      </c>
      <c r="G185" s="83">
        <f t="shared" si="42"/>
        <v>1.3333333334885538</v>
      </c>
      <c r="H185" s="358">
        <f t="shared" si="43"/>
        <v>0.2906793049311539</v>
      </c>
      <c r="I185" s="78">
        <f t="shared" si="44"/>
        <v>113.94628753301232</v>
      </c>
      <c r="J185" s="91">
        <v>330</v>
      </c>
      <c r="K185" s="91">
        <v>422</v>
      </c>
      <c r="L185" s="91">
        <v>392</v>
      </c>
      <c r="M185" s="91" t="s">
        <v>148</v>
      </c>
      <c r="N185" s="140" t="s">
        <v>173</v>
      </c>
    </row>
    <row r="186" spans="1:15" x14ac:dyDescent="0.25">
      <c r="A186" s="53" t="s">
        <v>76</v>
      </c>
      <c r="B186" s="53" t="s">
        <v>91</v>
      </c>
      <c r="C186" s="53">
        <v>22</v>
      </c>
      <c r="D186" s="53">
        <v>360</v>
      </c>
      <c r="E186" s="77">
        <v>41679.451388888891</v>
      </c>
      <c r="F186" s="77">
        <v>41679.691666666666</v>
      </c>
      <c r="G186" s="83">
        <f t="shared" si="42"/>
        <v>5.7666666666045785</v>
      </c>
      <c r="H186" s="358">
        <f t="shared" si="43"/>
        <v>1.2571879936673489</v>
      </c>
      <c r="I186" s="78">
        <f t="shared" si="44"/>
        <v>492.81769351760079</v>
      </c>
      <c r="J186" s="91">
        <v>330</v>
      </c>
      <c r="K186" s="91">
        <v>422</v>
      </c>
      <c r="L186" s="91">
        <v>392</v>
      </c>
      <c r="M186" s="91" t="s">
        <v>148</v>
      </c>
      <c r="N186" s="140" t="s">
        <v>265</v>
      </c>
    </row>
    <row r="187" spans="1:15" x14ac:dyDescent="0.25">
      <c r="A187" s="53" t="s">
        <v>76</v>
      </c>
      <c r="B187" s="53" t="s">
        <v>91</v>
      </c>
      <c r="C187" s="53">
        <v>23</v>
      </c>
      <c r="D187" s="53">
        <v>310</v>
      </c>
      <c r="E187" s="77">
        <v>41679.911111111112</v>
      </c>
      <c r="F187" s="77">
        <v>41680.331944444442</v>
      </c>
      <c r="G187" s="83">
        <f t="shared" si="42"/>
        <v>10.099999999918509</v>
      </c>
      <c r="H187" s="358">
        <f t="shared" si="43"/>
        <v>2.441232227468455</v>
      </c>
      <c r="I187" s="78">
        <f t="shared" si="44"/>
        <v>956.96303316763442</v>
      </c>
      <c r="J187" s="91">
        <v>320</v>
      </c>
      <c r="K187" s="91">
        <v>422</v>
      </c>
      <c r="L187" s="91">
        <v>392</v>
      </c>
      <c r="M187" s="91" t="s">
        <v>150</v>
      </c>
      <c r="N187" s="140" t="s">
        <v>266</v>
      </c>
    </row>
    <row r="188" spans="1:15" x14ac:dyDescent="0.25">
      <c r="A188" s="53" t="s">
        <v>76</v>
      </c>
      <c r="B188" s="89" t="s">
        <v>92</v>
      </c>
      <c r="C188" s="53">
        <v>24</v>
      </c>
      <c r="D188" s="53">
        <v>250</v>
      </c>
      <c r="E188" s="77">
        <v>41680.458333333336</v>
      </c>
      <c r="F188" s="77">
        <v>41680.670138888891</v>
      </c>
      <c r="G188" s="122">
        <f t="shared" si="42"/>
        <v>5.0833333333139308</v>
      </c>
      <c r="H188" s="363">
        <f t="shared" si="43"/>
        <v>1.1082148499167812</v>
      </c>
      <c r="I188" s="123">
        <f t="shared" si="44"/>
        <v>434.42022116737826</v>
      </c>
      <c r="J188" s="91">
        <v>330</v>
      </c>
      <c r="K188" s="91">
        <v>422</v>
      </c>
      <c r="L188" s="91">
        <v>392</v>
      </c>
      <c r="M188" s="91" t="s">
        <v>147</v>
      </c>
      <c r="N188" s="140" t="s">
        <v>267</v>
      </c>
    </row>
    <row r="189" spans="1:15" x14ac:dyDescent="0.25">
      <c r="A189" s="53" t="s">
        <v>76</v>
      </c>
      <c r="B189" s="53" t="s">
        <v>91</v>
      </c>
      <c r="C189" s="53">
        <v>25</v>
      </c>
      <c r="D189" s="53">
        <v>360</v>
      </c>
      <c r="E189" s="77">
        <v>41680.820833333331</v>
      </c>
      <c r="F189" s="77">
        <v>41680.831250000003</v>
      </c>
      <c r="G189" s="83">
        <f t="shared" si="42"/>
        <v>0.25000000011641532</v>
      </c>
      <c r="H189" s="358">
        <f t="shared" si="43"/>
        <v>6.0426540312498493E-2</v>
      </c>
      <c r="I189" s="78">
        <f t="shared" si="44"/>
        <v>23.687203802499408</v>
      </c>
      <c r="J189" s="91">
        <v>320</v>
      </c>
      <c r="K189" s="91">
        <v>422</v>
      </c>
      <c r="L189" s="91">
        <v>392</v>
      </c>
      <c r="M189" s="91" t="s">
        <v>148</v>
      </c>
      <c r="N189" s="140" t="s">
        <v>268</v>
      </c>
    </row>
    <row r="190" spans="1:15" x14ac:dyDescent="0.25">
      <c r="A190" s="53" t="s">
        <v>76</v>
      </c>
      <c r="B190" s="53" t="s">
        <v>91</v>
      </c>
      <c r="C190" s="53">
        <v>26</v>
      </c>
      <c r="D190" s="53">
        <v>360</v>
      </c>
      <c r="E190" s="77">
        <v>41685.46597222222</v>
      </c>
      <c r="F190" s="77">
        <v>41685.529861111114</v>
      </c>
      <c r="G190" s="83">
        <f t="shared" si="42"/>
        <v>1.5333333334419876</v>
      </c>
      <c r="H190" s="358">
        <f t="shared" si="43"/>
        <v>0.22527646131138207</v>
      </c>
      <c r="I190" s="78">
        <f t="shared" si="44"/>
        <v>88.308372834061771</v>
      </c>
      <c r="J190" s="91">
        <v>360</v>
      </c>
      <c r="K190" s="91">
        <v>422</v>
      </c>
      <c r="L190" s="91">
        <v>392</v>
      </c>
      <c r="M190" s="91" t="s">
        <v>148</v>
      </c>
      <c r="N190" s="140" t="s">
        <v>269</v>
      </c>
    </row>
    <row r="191" spans="1:15" x14ac:dyDescent="0.25">
      <c r="A191" s="53" t="s">
        <v>76</v>
      </c>
      <c r="B191" s="53" t="s">
        <v>91</v>
      </c>
      <c r="C191" s="53">
        <v>27</v>
      </c>
      <c r="D191" s="53">
        <v>360</v>
      </c>
      <c r="E191" s="77">
        <v>41685.561111111114</v>
      </c>
      <c r="F191" s="77">
        <v>41685.597222222219</v>
      </c>
      <c r="G191" s="83">
        <f t="shared" si="42"/>
        <v>0.86666666652308777</v>
      </c>
      <c r="H191" s="358">
        <f t="shared" si="43"/>
        <v>0.12733017375457686</v>
      </c>
      <c r="I191" s="78">
        <f t="shared" si="44"/>
        <v>49.913428111794133</v>
      </c>
      <c r="J191" s="91">
        <v>360</v>
      </c>
      <c r="K191" s="91">
        <v>422</v>
      </c>
      <c r="L191" s="91">
        <v>392</v>
      </c>
      <c r="M191" s="91" t="s">
        <v>148</v>
      </c>
      <c r="N191" s="140" t="s">
        <v>270</v>
      </c>
    </row>
    <row r="192" spans="1:15" s="54" customFormat="1" x14ac:dyDescent="0.25">
      <c r="A192" s="114"/>
      <c r="B192" s="114"/>
      <c r="C192" s="114"/>
      <c r="D192" s="114"/>
      <c r="E192" s="115"/>
      <c r="F192" s="115"/>
      <c r="G192" s="116"/>
      <c r="H192" s="359"/>
      <c r="I192" s="117"/>
      <c r="J192" s="118"/>
      <c r="K192" s="118"/>
      <c r="L192" s="118"/>
      <c r="M192" s="118"/>
      <c r="N192" s="138"/>
      <c r="O192" s="92"/>
    </row>
    <row r="193" spans="1:15" s="104" customFormat="1" x14ac:dyDescent="0.25">
      <c r="A193" s="100" t="s">
        <v>76</v>
      </c>
      <c r="B193" s="100"/>
      <c r="C193" s="100"/>
      <c r="D193" s="100"/>
      <c r="E193" s="101"/>
      <c r="F193" s="101"/>
      <c r="G193" s="98">
        <f>SUM(G183:G192)</f>
        <v>36.400000000081491</v>
      </c>
      <c r="H193" s="360">
        <f>SUM(H183:H192)</f>
        <v>8.1460505529437608</v>
      </c>
      <c r="I193" s="99">
        <f>SUM(I183:I192)</f>
        <v>3193.2518167539533</v>
      </c>
      <c r="J193" s="102"/>
      <c r="K193" s="102"/>
      <c r="L193" s="102"/>
      <c r="M193" s="102"/>
      <c r="N193" s="139"/>
      <c r="O193" s="103"/>
    </row>
    <row r="194" spans="1:15" s="104" customFormat="1" x14ac:dyDescent="0.25">
      <c r="A194" s="100"/>
      <c r="B194" s="89" t="s">
        <v>92</v>
      </c>
      <c r="C194" s="100"/>
      <c r="D194" s="100"/>
      <c r="E194" s="101"/>
      <c r="F194" s="101"/>
      <c r="G194" s="122">
        <f>SUM(G188)</f>
        <v>5.0833333333139308</v>
      </c>
      <c r="H194" s="363">
        <f t="shared" ref="H194:I194" si="45">SUM(H188)</f>
        <v>1.1082148499167812</v>
      </c>
      <c r="I194" s="123">
        <f t="shared" si="45"/>
        <v>434.42022116737826</v>
      </c>
      <c r="J194" s="102"/>
      <c r="K194" s="102"/>
      <c r="L194" s="102"/>
      <c r="M194" s="102"/>
      <c r="N194" s="139"/>
      <c r="O194" s="103"/>
    </row>
    <row r="195" spans="1:15" s="104" customFormat="1" x14ac:dyDescent="0.25">
      <c r="A195" s="100"/>
      <c r="B195" s="372" t="s">
        <v>94</v>
      </c>
      <c r="C195" s="100"/>
      <c r="D195" s="100"/>
      <c r="E195" s="101"/>
      <c r="F195" s="101"/>
      <c r="G195" s="373"/>
      <c r="H195" s="374"/>
      <c r="I195" s="375"/>
      <c r="J195" s="102"/>
      <c r="K195" s="102"/>
      <c r="L195" s="102"/>
      <c r="M195" s="102"/>
      <c r="N195" s="139"/>
      <c r="O195" s="103"/>
    </row>
    <row r="197" spans="1:15" x14ac:dyDescent="0.25">
      <c r="A197" s="109"/>
      <c r="B197" s="109"/>
      <c r="C197" s="109"/>
      <c r="D197" s="109"/>
      <c r="E197" s="110"/>
      <c r="F197" s="110"/>
      <c r="G197" s="111"/>
      <c r="H197" s="357"/>
      <c r="I197" s="112"/>
      <c r="J197" s="113"/>
      <c r="K197" s="113"/>
      <c r="L197" s="113"/>
      <c r="M197" s="113"/>
      <c r="N197" s="137"/>
      <c r="O197" s="52"/>
    </row>
    <row r="198" spans="1:15" x14ac:dyDescent="0.25">
      <c r="A198" s="53" t="s">
        <v>77</v>
      </c>
      <c r="B198" s="89" t="s">
        <v>92</v>
      </c>
      <c r="C198" s="53">
        <v>16</v>
      </c>
      <c r="D198" s="53">
        <v>310</v>
      </c>
      <c r="E198" s="77">
        <v>41672.958333333336</v>
      </c>
      <c r="F198" s="77">
        <v>41673.163194444445</v>
      </c>
      <c r="G198" s="122">
        <f t="shared" ref="G198:G203" si="46">(F198-E198)*24</f>
        <v>4.9166666666278616</v>
      </c>
      <c r="H198" s="363">
        <f t="shared" ref="H198:H202" si="47">G198*(K198-J198)/K198</f>
        <v>0.953134996793501</v>
      </c>
      <c r="I198" s="123">
        <f t="shared" ref="I198:I202" si="48">H198*L198</f>
        <v>458.45793345767396</v>
      </c>
      <c r="J198" s="91">
        <v>420</v>
      </c>
      <c r="K198" s="91">
        <v>521</v>
      </c>
      <c r="L198" s="91">
        <v>481</v>
      </c>
      <c r="M198" s="91" t="s">
        <v>150</v>
      </c>
      <c r="N198" s="140" t="s">
        <v>271</v>
      </c>
    </row>
    <row r="199" spans="1:15" x14ac:dyDescent="0.25">
      <c r="A199" s="53" t="s">
        <v>77</v>
      </c>
      <c r="B199" s="53" t="s">
        <v>91</v>
      </c>
      <c r="C199" s="53">
        <v>17</v>
      </c>
      <c r="D199" s="53">
        <v>360</v>
      </c>
      <c r="E199" s="77">
        <v>41673.163194444445</v>
      </c>
      <c r="F199" s="77">
        <v>41673.255555555559</v>
      </c>
      <c r="G199" s="83">
        <f t="shared" si="46"/>
        <v>2.2166666667326353</v>
      </c>
      <c r="H199" s="358">
        <f t="shared" si="47"/>
        <v>0.81263595651810627</v>
      </c>
      <c r="I199" s="78">
        <f t="shared" si="48"/>
        <v>390.8778950852091</v>
      </c>
      <c r="J199" s="91">
        <v>330</v>
      </c>
      <c r="K199" s="91">
        <v>521</v>
      </c>
      <c r="L199" s="91">
        <v>481</v>
      </c>
      <c r="M199" s="91" t="s">
        <v>148</v>
      </c>
      <c r="N199" s="140" t="s">
        <v>272</v>
      </c>
    </row>
    <row r="200" spans="1:15" x14ac:dyDescent="0.25">
      <c r="A200" s="53" t="s">
        <v>77</v>
      </c>
      <c r="B200" s="53" t="s">
        <v>91</v>
      </c>
      <c r="C200" s="53">
        <v>18</v>
      </c>
      <c r="D200" s="53">
        <v>1710</v>
      </c>
      <c r="E200" s="77">
        <v>41674.604166666664</v>
      </c>
      <c r="F200" s="405">
        <v>41687</v>
      </c>
      <c r="G200" s="83">
        <f t="shared" si="46"/>
        <v>297.50000000005821</v>
      </c>
      <c r="H200" s="358">
        <f t="shared" si="47"/>
        <v>1.7130518234168419</v>
      </c>
      <c r="I200" s="78">
        <f t="shared" si="48"/>
        <v>823.97792706350094</v>
      </c>
      <c r="J200" s="91">
        <v>518</v>
      </c>
      <c r="K200" s="91">
        <v>521</v>
      </c>
      <c r="L200" s="91">
        <v>481</v>
      </c>
      <c r="M200" s="91" t="s">
        <v>187</v>
      </c>
      <c r="N200" s="140" t="s">
        <v>273</v>
      </c>
    </row>
    <row r="201" spans="1:15" x14ac:dyDescent="0.25">
      <c r="A201" s="53" t="s">
        <v>77</v>
      </c>
      <c r="B201" s="53" t="s">
        <v>91</v>
      </c>
      <c r="C201" s="53">
        <v>19</v>
      </c>
      <c r="D201" s="53">
        <v>310</v>
      </c>
      <c r="E201" s="77">
        <v>41677.284722222219</v>
      </c>
      <c r="F201" s="77">
        <v>41677.295138888891</v>
      </c>
      <c r="G201" s="83">
        <f t="shared" si="46"/>
        <v>0.25000000011641532</v>
      </c>
      <c r="H201" s="358">
        <f t="shared" si="47"/>
        <v>2.9270633410943062E-2</v>
      </c>
      <c r="I201" s="78">
        <f t="shared" si="48"/>
        <v>14.079174670663612</v>
      </c>
      <c r="J201" s="91">
        <v>460</v>
      </c>
      <c r="K201" s="91">
        <v>521</v>
      </c>
      <c r="L201" s="91">
        <v>481</v>
      </c>
      <c r="M201" s="91" t="s">
        <v>150</v>
      </c>
      <c r="N201" s="140" t="s">
        <v>274</v>
      </c>
    </row>
    <row r="202" spans="1:15" x14ac:dyDescent="0.25">
      <c r="A202" s="53" t="s">
        <v>77</v>
      </c>
      <c r="B202" s="53" t="s">
        <v>91</v>
      </c>
      <c r="C202" s="53">
        <v>20</v>
      </c>
      <c r="D202" s="53">
        <v>250</v>
      </c>
      <c r="E202" s="77">
        <v>41681.381944444445</v>
      </c>
      <c r="F202" s="77">
        <v>41681.388888888891</v>
      </c>
      <c r="G202" s="83">
        <f t="shared" si="46"/>
        <v>0.16666666668606922</v>
      </c>
      <c r="H202" s="358">
        <f t="shared" si="47"/>
        <v>2.9110684584323032E-2</v>
      </c>
      <c r="I202" s="78">
        <f t="shared" si="48"/>
        <v>14.002239285059378</v>
      </c>
      <c r="J202" s="91">
        <v>430</v>
      </c>
      <c r="K202" s="91">
        <v>521</v>
      </c>
      <c r="L202" s="91">
        <v>481</v>
      </c>
      <c r="M202" s="91" t="s">
        <v>147</v>
      </c>
      <c r="N202" s="140" t="s">
        <v>275</v>
      </c>
    </row>
    <row r="203" spans="1:15" x14ac:dyDescent="0.25">
      <c r="A203" s="53" t="s">
        <v>77</v>
      </c>
      <c r="B203" s="408" t="s">
        <v>96</v>
      </c>
      <c r="C203" s="53">
        <v>21</v>
      </c>
      <c r="D203" s="53">
        <v>1160</v>
      </c>
      <c r="E203" s="77">
        <v>41682.999305555553</v>
      </c>
      <c r="F203" s="77">
        <v>41683.180555555555</v>
      </c>
      <c r="G203" s="409">
        <f t="shared" si="46"/>
        <v>4.3500000000349246</v>
      </c>
      <c r="H203" s="410"/>
      <c r="I203" s="411"/>
      <c r="J203" s="91">
        <v>0</v>
      </c>
      <c r="K203" s="91">
        <v>521</v>
      </c>
      <c r="L203" s="91">
        <v>481</v>
      </c>
      <c r="M203" s="91" t="s">
        <v>169</v>
      </c>
      <c r="N203" s="140" t="s">
        <v>247</v>
      </c>
    </row>
    <row r="204" spans="1:15" s="54" customFormat="1" x14ac:dyDescent="0.25">
      <c r="A204" s="114"/>
      <c r="B204" s="114"/>
      <c r="C204" s="114"/>
      <c r="D204" s="114"/>
      <c r="E204" s="115"/>
      <c r="F204" s="115"/>
      <c r="G204" s="116"/>
      <c r="H204" s="359"/>
      <c r="I204" s="117"/>
      <c r="J204" s="118"/>
      <c r="K204" s="118"/>
      <c r="L204" s="118"/>
      <c r="M204" s="118"/>
      <c r="N204" s="138"/>
      <c r="O204" s="92"/>
    </row>
    <row r="205" spans="1:15" s="104" customFormat="1" x14ac:dyDescent="0.25">
      <c r="A205" s="100" t="s">
        <v>77</v>
      </c>
      <c r="B205" s="100"/>
      <c r="C205" s="100"/>
      <c r="D205" s="100"/>
      <c r="E205" s="101"/>
      <c r="F205" s="101"/>
      <c r="G205" s="98">
        <f>SUM(G197:G204)</f>
        <v>309.40000000025611</v>
      </c>
      <c r="H205" s="360">
        <f>SUM(H197:H204)</f>
        <v>3.5372040947237156</v>
      </c>
      <c r="I205" s="99">
        <f>SUM(I197:I204)</f>
        <v>1701.395169562107</v>
      </c>
      <c r="J205" s="102"/>
      <c r="K205" s="102"/>
      <c r="L205" s="102"/>
      <c r="M205" s="102"/>
      <c r="N205" s="139"/>
      <c r="O205" s="103"/>
    </row>
    <row r="206" spans="1:15" s="104" customFormat="1" x14ac:dyDescent="0.25">
      <c r="A206" s="100"/>
      <c r="B206" s="89" t="s">
        <v>92</v>
      </c>
      <c r="C206" s="100"/>
      <c r="D206" s="100"/>
      <c r="E206" s="101"/>
      <c r="F206" s="101"/>
      <c r="G206" s="122">
        <f>SUM(G198)</f>
        <v>4.9166666666278616</v>
      </c>
      <c r="H206" s="363">
        <f t="shared" ref="H206:I206" si="49">SUM(H198)</f>
        <v>0.953134996793501</v>
      </c>
      <c r="I206" s="123">
        <f t="shared" si="49"/>
        <v>458.45793345767396</v>
      </c>
      <c r="J206" s="102"/>
      <c r="K206" s="102"/>
      <c r="L206" s="102"/>
      <c r="M206" s="102"/>
      <c r="N206" s="139"/>
      <c r="O206" s="103"/>
    </row>
    <row r="207" spans="1:15" s="104" customFormat="1" x14ac:dyDescent="0.25">
      <c r="A207" s="100"/>
      <c r="B207" s="124" t="s">
        <v>94</v>
      </c>
      <c r="C207" s="100"/>
      <c r="D207" s="100"/>
      <c r="E207" s="101"/>
      <c r="F207" s="101"/>
      <c r="G207" s="125"/>
      <c r="H207" s="361"/>
      <c r="I207" s="126"/>
      <c r="J207" s="102"/>
      <c r="K207" s="102"/>
      <c r="L207" s="102"/>
      <c r="M207" s="102"/>
      <c r="N207" s="139"/>
      <c r="O207" s="103"/>
    </row>
    <row r="209" spans="1:15" x14ac:dyDescent="0.25">
      <c r="A209" s="109"/>
      <c r="B209" s="109"/>
      <c r="C209" s="109"/>
      <c r="D209" s="109"/>
      <c r="E209" s="110"/>
      <c r="F209" s="110"/>
      <c r="G209" s="111"/>
      <c r="H209" s="357"/>
      <c r="I209" s="112"/>
      <c r="J209" s="113"/>
      <c r="K209" s="113"/>
      <c r="L209" s="113"/>
      <c r="M209" s="113"/>
      <c r="N209" s="137"/>
    </row>
    <row r="210" spans="1:15" x14ac:dyDescent="0.25">
      <c r="A210" s="53" t="s">
        <v>108</v>
      </c>
      <c r="B210" s="408" t="s">
        <v>96</v>
      </c>
      <c r="C210" s="53">
        <v>26</v>
      </c>
      <c r="D210" s="53">
        <v>9999</v>
      </c>
      <c r="E210" s="77">
        <v>41675.447916666664</v>
      </c>
      <c r="F210" s="77">
        <v>41675.68472222222</v>
      </c>
      <c r="G210" s="409">
        <f t="shared" ref="G210:G213" si="50">(F210-E210)*24</f>
        <v>5.6833333333488554</v>
      </c>
      <c r="H210" s="410"/>
      <c r="I210" s="411"/>
      <c r="J210" s="419">
        <f>0*75%</f>
        <v>0</v>
      </c>
      <c r="K210" s="419">
        <v>410</v>
      </c>
      <c r="L210" s="419">
        <v>383</v>
      </c>
      <c r="M210" s="91" t="s">
        <v>191</v>
      </c>
      <c r="N210" s="140" t="s">
        <v>277</v>
      </c>
    </row>
    <row r="211" spans="1:15" x14ac:dyDescent="0.25">
      <c r="A211" s="53" t="s">
        <v>108</v>
      </c>
      <c r="B211" s="53" t="s">
        <v>91</v>
      </c>
      <c r="C211" s="53">
        <v>27</v>
      </c>
      <c r="D211" s="53">
        <v>310</v>
      </c>
      <c r="E211" s="77">
        <v>41680.306944444441</v>
      </c>
      <c r="F211" s="77">
        <v>41680.322916666664</v>
      </c>
      <c r="G211" s="83">
        <f t="shared" si="50"/>
        <v>0.38333333336049691</v>
      </c>
      <c r="H211" s="358">
        <f t="shared" ref="H211:H213" si="51">G211*(K211-J211)/K211</f>
        <v>3.2723577238091196E-2</v>
      </c>
      <c r="I211" s="78">
        <f t="shared" ref="I211:I213" si="52">H211*L211</f>
        <v>12.533130082188928</v>
      </c>
      <c r="J211" s="419">
        <f>500*75%</f>
        <v>375</v>
      </c>
      <c r="K211" s="419">
        <v>410</v>
      </c>
      <c r="L211" s="419">
        <v>383</v>
      </c>
      <c r="M211" s="91" t="s">
        <v>150</v>
      </c>
      <c r="N211" s="140" t="s">
        <v>278</v>
      </c>
    </row>
    <row r="212" spans="1:15" x14ac:dyDescent="0.25">
      <c r="A212" s="53" t="s">
        <v>108</v>
      </c>
      <c r="B212" s="53" t="s">
        <v>91</v>
      </c>
      <c r="C212" s="53">
        <v>28</v>
      </c>
      <c r="D212" s="53">
        <v>310</v>
      </c>
      <c r="E212" s="77">
        <v>41680.416666666664</v>
      </c>
      <c r="F212" s="77">
        <v>41680.581944444442</v>
      </c>
      <c r="G212" s="83">
        <f t="shared" si="50"/>
        <v>3.9666666666744277</v>
      </c>
      <c r="H212" s="358">
        <f t="shared" si="51"/>
        <v>0.33861788617952432</v>
      </c>
      <c r="I212" s="78">
        <f t="shared" si="52"/>
        <v>129.69065040675781</v>
      </c>
      <c r="J212" s="419">
        <f t="shared" ref="J212:J213" si="53">500*75%</f>
        <v>375</v>
      </c>
      <c r="K212" s="419">
        <v>410</v>
      </c>
      <c r="L212" s="419">
        <v>383</v>
      </c>
      <c r="M212" s="91" t="s">
        <v>150</v>
      </c>
      <c r="N212" s="140" t="s">
        <v>279</v>
      </c>
    </row>
    <row r="213" spans="1:15" x14ac:dyDescent="0.25">
      <c r="A213" s="53" t="s">
        <v>108</v>
      </c>
      <c r="B213" s="53" t="s">
        <v>91</v>
      </c>
      <c r="C213" s="53">
        <v>29</v>
      </c>
      <c r="D213" s="53">
        <v>310</v>
      </c>
      <c r="E213" s="77">
        <v>41681.928472222222</v>
      </c>
      <c r="F213" s="77">
        <v>41681.979166666664</v>
      </c>
      <c r="G213" s="83">
        <f t="shared" si="50"/>
        <v>1.21666666661622</v>
      </c>
      <c r="H213" s="358">
        <f t="shared" si="51"/>
        <v>0.10386178861357975</v>
      </c>
      <c r="I213" s="78">
        <f t="shared" si="52"/>
        <v>39.779065039001047</v>
      </c>
      <c r="J213" s="419">
        <f t="shared" si="53"/>
        <v>375</v>
      </c>
      <c r="K213" s="419">
        <v>410</v>
      </c>
      <c r="L213" s="419">
        <v>383</v>
      </c>
      <c r="M213" s="91" t="s">
        <v>150</v>
      </c>
      <c r="N213" s="140" t="s">
        <v>280</v>
      </c>
    </row>
    <row r="214" spans="1:15" s="54" customFormat="1" x14ac:dyDescent="0.25">
      <c r="A214" s="114"/>
      <c r="B214" s="114"/>
      <c r="C214" s="114"/>
      <c r="D214" s="114"/>
      <c r="E214" s="115"/>
      <c r="F214" s="115"/>
      <c r="G214" s="116"/>
      <c r="H214" s="359"/>
      <c r="I214" s="117"/>
      <c r="J214" s="118"/>
      <c r="K214" s="412">
        <v>410</v>
      </c>
      <c r="L214" s="412">
        <v>383</v>
      </c>
      <c r="M214" s="118"/>
      <c r="N214" s="138"/>
      <c r="O214" s="92"/>
    </row>
    <row r="215" spans="1:15" s="104" customFormat="1" x14ac:dyDescent="0.25">
      <c r="A215" s="100" t="s">
        <v>108</v>
      </c>
      <c r="B215" s="100"/>
      <c r="C215" s="100"/>
      <c r="D215" s="100"/>
      <c r="E215" s="101"/>
      <c r="F215" s="101"/>
      <c r="G215" s="98">
        <f>SUM(G209:G214)</f>
        <v>11.25</v>
      </c>
      <c r="H215" s="360">
        <f>SUM(H209:H214)</f>
        <v>0.47520325203119529</v>
      </c>
      <c r="I215" s="99">
        <f>SUM(I209:I214)</f>
        <v>182.00284552794778</v>
      </c>
      <c r="J215" s="102"/>
      <c r="K215" s="102"/>
      <c r="L215" s="102"/>
      <c r="M215" s="102"/>
      <c r="N215" s="139"/>
      <c r="O215" s="103"/>
    </row>
    <row r="216" spans="1:15" s="104" customFormat="1" x14ac:dyDescent="0.25">
      <c r="A216" s="100"/>
      <c r="B216" s="89" t="s">
        <v>92</v>
      </c>
      <c r="C216" s="100"/>
      <c r="D216" s="100"/>
      <c r="E216" s="101"/>
      <c r="F216" s="101"/>
      <c r="G216" s="122"/>
      <c r="H216" s="363"/>
      <c r="I216" s="123"/>
      <c r="J216" s="102"/>
      <c r="K216" s="102"/>
      <c r="L216" s="102"/>
      <c r="M216" s="102"/>
      <c r="N216" s="139"/>
      <c r="O216" s="103"/>
    </row>
    <row r="217" spans="1:15" s="104" customFormat="1" x14ac:dyDescent="0.25">
      <c r="A217" s="100"/>
      <c r="B217" s="124" t="s">
        <v>94</v>
      </c>
      <c r="C217" s="100"/>
      <c r="D217" s="100"/>
      <c r="E217" s="101"/>
      <c r="F217" s="101"/>
      <c r="G217" s="125"/>
      <c r="H217" s="361"/>
      <c r="I217" s="126"/>
      <c r="J217" s="102"/>
      <c r="K217" s="102"/>
      <c r="L217" s="102"/>
      <c r="M217" s="102"/>
      <c r="N217" s="139"/>
      <c r="O217" s="103"/>
    </row>
    <row r="219" spans="1:15" x14ac:dyDescent="0.25">
      <c r="A219" s="109"/>
      <c r="B219" s="109"/>
      <c r="C219" s="109"/>
      <c r="D219" s="109"/>
      <c r="E219" s="110"/>
      <c r="F219" s="110"/>
      <c r="G219" s="111"/>
      <c r="H219" s="357"/>
      <c r="I219" s="112"/>
      <c r="J219" s="113"/>
      <c r="K219" s="113"/>
      <c r="L219" s="113"/>
      <c r="M219" s="113"/>
      <c r="N219" s="137"/>
    </row>
    <row r="220" spans="1:15" x14ac:dyDescent="0.25">
      <c r="A220" s="53" t="s">
        <v>85</v>
      </c>
      <c r="B220" s="408" t="s">
        <v>96</v>
      </c>
      <c r="C220" s="53">
        <v>16</v>
      </c>
      <c r="D220" s="53">
        <v>1190</v>
      </c>
      <c r="E220" s="77">
        <v>41671.000694444447</v>
      </c>
      <c r="F220" s="77">
        <v>41671.260416666664</v>
      </c>
      <c r="G220" s="409">
        <f t="shared" ref="G220:G223" si="54">(F220-E220)*24</f>
        <v>6.2333333332207985</v>
      </c>
      <c r="H220" s="410">
        <f t="shared" ref="H220:H223" si="55">G220*(K220-J220)/K220</f>
        <v>6.2333333332207985</v>
      </c>
      <c r="I220" s="411">
        <f t="shared" ref="I220:I223" si="56">H220*L220</f>
        <v>3552.9999999358552</v>
      </c>
      <c r="J220" s="419">
        <f>0*75%</f>
        <v>0</v>
      </c>
      <c r="K220" s="419">
        <v>607</v>
      </c>
      <c r="L220" s="419">
        <v>570</v>
      </c>
      <c r="M220" s="91" t="s">
        <v>156</v>
      </c>
      <c r="N220" s="140" t="s">
        <v>281</v>
      </c>
    </row>
    <row r="221" spans="1:15" x14ac:dyDescent="0.25">
      <c r="A221" s="53" t="s">
        <v>85</v>
      </c>
      <c r="B221" s="53" t="s">
        <v>91</v>
      </c>
      <c r="C221" s="53">
        <v>17</v>
      </c>
      <c r="D221" s="53">
        <v>310</v>
      </c>
      <c r="E221" s="77">
        <v>41672.6875</v>
      </c>
      <c r="F221" s="77">
        <v>41672.791666666664</v>
      </c>
      <c r="G221" s="83">
        <f t="shared" si="54"/>
        <v>2.4999999999417923</v>
      </c>
      <c r="H221" s="358">
        <f t="shared" si="55"/>
        <v>0.40259472816196079</v>
      </c>
      <c r="I221" s="78">
        <f t="shared" si="56"/>
        <v>229.47899505231766</v>
      </c>
      <c r="J221" s="419">
        <f>679*75%</f>
        <v>509.25</v>
      </c>
      <c r="K221" s="419">
        <v>607</v>
      </c>
      <c r="L221" s="419">
        <v>570</v>
      </c>
      <c r="M221" s="91" t="s">
        <v>150</v>
      </c>
      <c r="N221" s="140" t="s">
        <v>282</v>
      </c>
    </row>
    <row r="222" spans="1:15" x14ac:dyDescent="0.25">
      <c r="A222" s="53" t="s">
        <v>85</v>
      </c>
      <c r="B222" s="53" t="s">
        <v>91</v>
      </c>
      <c r="C222" s="53">
        <v>18</v>
      </c>
      <c r="D222" s="53">
        <v>1455</v>
      </c>
      <c r="E222" s="77">
        <v>41674.65625</v>
      </c>
      <c r="F222" s="77">
        <v>41674.677083333336</v>
      </c>
      <c r="G222" s="83">
        <f t="shared" si="54"/>
        <v>0.50000000005820766</v>
      </c>
      <c r="H222" s="358">
        <f t="shared" si="55"/>
        <v>1.5650741352728082E-2</v>
      </c>
      <c r="I222" s="78">
        <f t="shared" si="56"/>
        <v>8.9209225710550069</v>
      </c>
      <c r="J222" s="419">
        <f>784*75%</f>
        <v>588</v>
      </c>
      <c r="K222" s="419">
        <v>607</v>
      </c>
      <c r="L222" s="419">
        <v>570</v>
      </c>
      <c r="M222" s="91" t="s">
        <v>162</v>
      </c>
      <c r="N222" s="140" t="s">
        <v>283</v>
      </c>
    </row>
    <row r="223" spans="1:15" s="157" customFormat="1" x14ac:dyDescent="0.25">
      <c r="A223" s="67" t="s">
        <v>85</v>
      </c>
      <c r="B223" s="415" t="s">
        <v>107</v>
      </c>
      <c r="C223" s="67">
        <v>20</v>
      </c>
      <c r="D223" s="67">
        <v>360</v>
      </c>
      <c r="E223" s="68">
        <v>41678.13958333333</v>
      </c>
      <c r="F223" s="407">
        <v>41687</v>
      </c>
      <c r="G223" s="416">
        <f t="shared" si="54"/>
        <v>212.65000000008149</v>
      </c>
      <c r="H223" s="417">
        <f t="shared" si="55"/>
        <v>212.65000000008149</v>
      </c>
      <c r="I223" s="418">
        <f t="shared" si="56"/>
        <v>121210.50000004645</v>
      </c>
      <c r="J223" s="420">
        <f>0*75%</f>
        <v>0</v>
      </c>
      <c r="K223" s="420">
        <v>607</v>
      </c>
      <c r="L223" s="420">
        <v>570</v>
      </c>
      <c r="M223" s="384" t="s">
        <v>148</v>
      </c>
      <c r="N223" s="139" t="s">
        <v>284</v>
      </c>
      <c r="O223" s="385"/>
    </row>
    <row r="224" spans="1:15" s="54" customFormat="1" x14ac:dyDescent="0.25">
      <c r="A224" s="114"/>
      <c r="B224" s="114"/>
      <c r="C224" s="114"/>
      <c r="D224" s="114"/>
      <c r="E224" s="115"/>
      <c r="F224" s="115"/>
      <c r="G224" s="116"/>
      <c r="H224" s="359"/>
      <c r="I224" s="117"/>
      <c r="J224" s="118"/>
      <c r="K224" s="412">
        <v>607</v>
      </c>
      <c r="L224" s="412">
        <v>570</v>
      </c>
      <c r="M224" s="118"/>
      <c r="N224" s="138"/>
      <c r="O224" s="92"/>
    </row>
    <row r="225" spans="1:15" s="104" customFormat="1" x14ac:dyDescent="0.25">
      <c r="A225" s="100" t="s">
        <v>85</v>
      </c>
      <c r="B225" s="100"/>
      <c r="C225" s="100"/>
      <c r="D225" s="100"/>
      <c r="E225" s="101"/>
      <c r="F225" s="101"/>
      <c r="G225" s="98">
        <f>SUM(G219:G224)</f>
        <v>221.88333333330229</v>
      </c>
      <c r="H225" s="360">
        <f>SUM(H219:H224)</f>
        <v>219.30157880281698</v>
      </c>
      <c r="I225" s="99">
        <f>SUM(I219:I224)</f>
        <v>125001.89991760568</v>
      </c>
      <c r="J225" s="102"/>
      <c r="K225" s="102"/>
      <c r="L225" s="102"/>
      <c r="M225" s="102"/>
      <c r="N225" s="139"/>
      <c r="O225" s="103"/>
    </row>
    <row r="226" spans="1:15" s="104" customFormat="1" x14ac:dyDescent="0.25">
      <c r="A226" s="100"/>
      <c r="B226" s="89" t="s">
        <v>92</v>
      </c>
      <c r="C226" s="100"/>
      <c r="D226" s="100"/>
      <c r="E226" s="101"/>
      <c r="F226" s="101"/>
      <c r="G226" s="122"/>
      <c r="H226" s="363"/>
      <c r="I226" s="123"/>
      <c r="J226" s="102"/>
      <c r="K226" s="102"/>
      <c r="L226" s="102"/>
      <c r="M226" s="102"/>
      <c r="N226" s="139"/>
      <c r="O226" s="103"/>
    </row>
    <row r="227" spans="1:15" s="104" customFormat="1" x14ac:dyDescent="0.25">
      <c r="A227" s="100"/>
      <c r="B227" s="124" t="s">
        <v>94</v>
      </c>
      <c r="C227" s="100"/>
      <c r="D227" s="100"/>
      <c r="E227" s="101"/>
      <c r="F227" s="101"/>
      <c r="G227" s="125"/>
      <c r="H227" s="361"/>
      <c r="I227" s="126"/>
      <c r="J227" s="102"/>
      <c r="K227" s="102"/>
      <c r="L227" s="102"/>
      <c r="M227" s="102"/>
      <c r="N227" s="139"/>
      <c r="O227" s="103"/>
    </row>
    <row r="229" spans="1:15" ht="14.25" thickBot="1" x14ac:dyDescent="0.3">
      <c r="A229" s="93"/>
      <c r="B229" s="93"/>
      <c r="C229" s="93"/>
      <c r="D229" s="93"/>
      <c r="E229" s="94"/>
      <c r="F229" s="94"/>
      <c r="G229" s="95"/>
      <c r="H229" s="365"/>
      <c r="I229" s="96"/>
      <c r="J229" s="97"/>
      <c r="K229" s="97"/>
      <c r="L229" s="97"/>
      <c r="M229" s="97"/>
      <c r="N229" s="141"/>
    </row>
    <row r="230" spans="1:15" ht="14.25" thickTop="1" x14ac:dyDescent="0.25"/>
    <row r="232" spans="1:15" x14ac:dyDescent="0.25">
      <c r="A232" s="109"/>
      <c r="B232" s="109"/>
      <c r="C232" s="109"/>
      <c r="D232" s="109"/>
      <c r="E232" s="110"/>
      <c r="F232" s="110"/>
      <c r="G232" s="111"/>
      <c r="H232" s="357"/>
      <c r="I232" s="112"/>
      <c r="J232" s="113"/>
      <c r="K232" s="113"/>
      <c r="L232" s="113"/>
      <c r="M232" s="113"/>
      <c r="N232" s="137"/>
    </row>
    <row r="233" spans="1:15" x14ac:dyDescent="0.25">
      <c r="A233" s="109"/>
      <c r="B233" s="109"/>
      <c r="C233" s="109"/>
      <c r="D233" s="109"/>
      <c r="E233" s="110"/>
      <c r="F233" s="110"/>
      <c r="G233" s="111"/>
      <c r="H233" s="357"/>
      <c r="I233" s="112"/>
      <c r="J233" s="113"/>
      <c r="K233" s="412">
        <v>131</v>
      </c>
      <c r="L233" s="412">
        <v>130</v>
      </c>
      <c r="M233" s="113"/>
      <c r="N233" s="137"/>
    </row>
    <row r="234" spans="1:15" s="104" customFormat="1" x14ac:dyDescent="0.25">
      <c r="A234" s="100" t="s">
        <v>125</v>
      </c>
      <c r="B234" s="100"/>
      <c r="C234" s="100"/>
      <c r="D234" s="100"/>
      <c r="E234" s="101"/>
      <c r="F234" s="101"/>
      <c r="G234" s="98">
        <f>SUM(G232:G232)</f>
        <v>0</v>
      </c>
      <c r="H234" s="360">
        <f>SUM(H232:H232)</f>
        <v>0</v>
      </c>
      <c r="I234" s="99">
        <f>SUM(I232:I232)</f>
        <v>0</v>
      </c>
      <c r="J234" s="102"/>
      <c r="K234" s="102"/>
      <c r="L234" s="102"/>
      <c r="M234" s="102"/>
      <c r="N234" s="139"/>
      <c r="O234" s="103"/>
    </row>
    <row r="236" spans="1:15" x14ac:dyDescent="0.25">
      <c r="A236" s="109"/>
      <c r="B236" s="109"/>
      <c r="C236" s="109"/>
      <c r="D236" s="109"/>
      <c r="E236" s="110"/>
      <c r="F236" s="110"/>
      <c r="G236" s="111"/>
      <c r="H236" s="357"/>
      <c r="I236" s="112"/>
      <c r="J236" s="113"/>
      <c r="K236" s="113"/>
      <c r="L236" s="113"/>
      <c r="M236" s="113"/>
      <c r="N236" s="137"/>
    </row>
    <row r="237" spans="1:15" x14ac:dyDescent="0.25">
      <c r="A237" s="53" t="s">
        <v>111</v>
      </c>
      <c r="B237" s="376" t="s">
        <v>95</v>
      </c>
      <c r="C237" s="53">
        <v>10</v>
      </c>
      <c r="D237" s="53">
        <v>5048</v>
      </c>
      <c r="E237" s="77">
        <v>41674.270833333336</v>
      </c>
      <c r="F237" s="77">
        <v>41674.333333333336</v>
      </c>
      <c r="G237" s="377">
        <f>(F237-E237)*24</f>
        <v>1.5</v>
      </c>
      <c r="H237" s="378">
        <f>G237*(K237-J237)/K237</f>
        <v>1.5</v>
      </c>
      <c r="I237" s="379">
        <f>H237*L237</f>
        <v>256.5</v>
      </c>
      <c r="J237" s="91">
        <v>0</v>
      </c>
      <c r="K237" s="91">
        <v>172</v>
      </c>
      <c r="L237" s="91">
        <v>171</v>
      </c>
      <c r="M237" s="91" t="s">
        <v>154</v>
      </c>
      <c r="N237" s="140" t="s">
        <v>285</v>
      </c>
    </row>
    <row r="238" spans="1:15" s="54" customFormat="1" x14ac:dyDescent="0.25">
      <c r="A238" s="114"/>
      <c r="B238" s="114"/>
      <c r="C238" s="114"/>
      <c r="D238" s="114"/>
      <c r="E238" s="115"/>
      <c r="F238" s="115"/>
      <c r="G238" s="116"/>
      <c r="H238" s="359"/>
      <c r="I238" s="117"/>
      <c r="J238" s="118"/>
      <c r="K238" s="412">
        <v>172</v>
      </c>
      <c r="L238" s="412">
        <v>171</v>
      </c>
      <c r="M238" s="118"/>
      <c r="N238" s="138"/>
      <c r="O238" s="92"/>
    </row>
    <row r="239" spans="1:15" s="104" customFormat="1" x14ac:dyDescent="0.25">
      <c r="A239" s="100" t="s">
        <v>111</v>
      </c>
      <c r="B239" s="100"/>
      <c r="C239" s="100"/>
      <c r="D239" s="100"/>
      <c r="E239" s="101"/>
      <c r="F239" s="101"/>
      <c r="G239" s="98">
        <f>SUM(G236:G238)</f>
        <v>1.5</v>
      </c>
      <c r="H239" s="360">
        <f>SUM(H236:H238)</f>
        <v>1.5</v>
      </c>
      <c r="I239" s="99">
        <f>SUM(I236:I238)</f>
        <v>256.5</v>
      </c>
      <c r="J239" s="102"/>
      <c r="K239" s="102"/>
      <c r="L239" s="102"/>
      <c r="M239" s="102"/>
      <c r="N239" s="139"/>
      <c r="O239" s="103"/>
    </row>
    <row r="241" spans="1:15" x14ac:dyDescent="0.25">
      <c r="A241" s="109"/>
      <c r="B241" s="109"/>
      <c r="C241" s="109"/>
      <c r="D241" s="109"/>
      <c r="E241" s="110"/>
      <c r="F241" s="110"/>
      <c r="G241" s="111"/>
      <c r="H241" s="357"/>
      <c r="I241" s="112"/>
      <c r="J241" s="113"/>
      <c r="K241" s="113"/>
      <c r="L241" s="113"/>
      <c r="M241" s="113"/>
      <c r="N241" s="137"/>
    </row>
    <row r="242" spans="1:15" x14ac:dyDescent="0.25">
      <c r="A242" s="53" t="s">
        <v>130</v>
      </c>
      <c r="B242" s="390" t="s">
        <v>93</v>
      </c>
      <c r="C242" s="53">
        <v>12</v>
      </c>
      <c r="D242" s="53">
        <v>5049</v>
      </c>
      <c r="E242" s="77">
        <v>41680.718055555553</v>
      </c>
      <c r="F242" s="77">
        <v>41680.81527777778</v>
      </c>
      <c r="G242" s="391">
        <f>(F242-E242)*24</f>
        <v>2.3333333334303461</v>
      </c>
      <c r="H242" s="392">
        <f>G242*(K242-J242)/K242</f>
        <v>2.3333333334303461</v>
      </c>
      <c r="I242" s="393">
        <f>H242*L242</f>
        <v>399.00000001658918</v>
      </c>
      <c r="J242" s="91">
        <v>0</v>
      </c>
      <c r="K242" s="91">
        <v>172</v>
      </c>
      <c r="L242" s="91">
        <v>171</v>
      </c>
      <c r="M242" s="91" t="s">
        <v>195</v>
      </c>
      <c r="N242" s="140" t="s">
        <v>286</v>
      </c>
    </row>
    <row r="243" spans="1:15" s="54" customFormat="1" x14ac:dyDescent="0.25">
      <c r="A243" s="114"/>
      <c r="B243" s="114"/>
      <c r="C243" s="114"/>
      <c r="D243" s="114"/>
      <c r="E243" s="115"/>
      <c r="F243" s="115"/>
      <c r="G243" s="116"/>
      <c r="H243" s="359"/>
      <c r="I243" s="117"/>
      <c r="J243" s="118"/>
      <c r="K243" s="412">
        <v>172</v>
      </c>
      <c r="L243" s="412">
        <v>171</v>
      </c>
      <c r="M243" s="118"/>
      <c r="N243" s="138"/>
      <c r="O243" s="92"/>
    </row>
    <row r="244" spans="1:15" s="104" customFormat="1" x14ac:dyDescent="0.25">
      <c r="A244" s="100" t="s">
        <v>130</v>
      </c>
      <c r="B244" s="100"/>
      <c r="C244" s="100"/>
      <c r="D244" s="100"/>
      <c r="E244" s="101"/>
      <c r="F244" s="101"/>
      <c r="G244" s="98">
        <f>SUM(G241:G243)</f>
        <v>2.3333333334303461</v>
      </c>
      <c r="H244" s="360">
        <f>SUM(H241:H243)</f>
        <v>2.3333333334303461</v>
      </c>
      <c r="I244" s="99">
        <f>SUM(I241:I243)</f>
        <v>399.00000001658918</v>
      </c>
      <c r="J244" s="102"/>
      <c r="K244" s="102"/>
      <c r="L244" s="102"/>
      <c r="M244" s="102"/>
      <c r="N244" s="139"/>
      <c r="O244" s="103"/>
    </row>
    <row r="246" spans="1:15" x14ac:dyDescent="0.25">
      <c r="A246" s="109"/>
      <c r="B246" s="109"/>
      <c r="C246" s="109"/>
      <c r="D246" s="109"/>
      <c r="E246" s="110"/>
      <c r="F246" s="110"/>
      <c r="G246" s="111"/>
      <c r="H246" s="357"/>
      <c r="I246" s="112"/>
      <c r="J246" s="113"/>
      <c r="K246" s="113"/>
      <c r="L246" s="113"/>
      <c r="M246" s="113"/>
      <c r="N246" s="137"/>
    </row>
    <row r="247" spans="1:15" s="54" customFormat="1" x14ac:dyDescent="0.25">
      <c r="A247" s="114"/>
      <c r="B247" s="114"/>
      <c r="C247" s="114"/>
      <c r="D247" s="114"/>
      <c r="E247" s="115"/>
      <c r="F247" s="115"/>
      <c r="G247" s="116"/>
      <c r="H247" s="359"/>
      <c r="I247" s="117"/>
      <c r="J247" s="118"/>
      <c r="K247" s="412">
        <v>129</v>
      </c>
      <c r="L247" s="412">
        <v>128</v>
      </c>
      <c r="M247" s="118"/>
      <c r="N247" s="138"/>
      <c r="O247" s="92"/>
    </row>
    <row r="248" spans="1:15" s="104" customFormat="1" x14ac:dyDescent="0.25">
      <c r="A248" s="100" t="s">
        <v>120</v>
      </c>
      <c r="B248" s="100"/>
      <c r="C248" s="100"/>
      <c r="D248" s="100"/>
      <c r="E248" s="101"/>
      <c r="F248" s="101"/>
      <c r="G248" s="98">
        <f>SUM(G246:G247)</f>
        <v>0</v>
      </c>
      <c r="H248" s="360">
        <f>SUM(H246:H247)</f>
        <v>0</v>
      </c>
      <c r="I248" s="99">
        <f>SUM(I246:I247)</f>
        <v>0</v>
      </c>
      <c r="J248" s="102"/>
      <c r="K248" s="102"/>
      <c r="L248" s="102"/>
      <c r="M248" s="102"/>
      <c r="N248" s="139"/>
      <c r="O248" s="103"/>
    </row>
    <row r="250" spans="1:15" x14ac:dyDescent="0.25">
      <c r="A250" s="109"/>
      <c r="B250" s="109"/>
      <c r="C250" s="109"/>
      <c r="D250" s="109"/>
      <c r="E250" s="110"/>
      <c r="F250" s="110"/>
      <c r="G250" s="111"/>
      <c r="H250" s="357"/>
      <c r="I250" s="112"/>
      <c r="J250" s="113"/>
      <c r="K250" s="113"/>
      <c r="L250" s="113"/>
      <c r="M250" s="113"/>
      <c r="N250" s="137"/>
    </row>
    <row r="251" spans="1:15" s="54" customFormat="1" x14ac:dyDescent="0.25">
      <c r="A251" s="114"/>
      <c r="B251" s="114"/>
      <c r="C251" s="114"/>
      <c r="D251" s="114"/>
      <c r="E251" s="115"/>
      <c r="F251" s="115"/>
      <c r="G251" s="116"/>
      <c r="H251" s="359"/>
      <c r="I251" s="117"/>
      <c r="J251" s="118"/>
      <c r="K251" s="412">
        <v>139</v>
      </c>
      <c r="L251" s="412">
        <v>138</v>
      </c>
      <c r="M251" s="118"/>
      <c r="N251" s="138"/>
      <c r="O251" s="92"/>
    </row>
    <row r="252" spans="1:15" s="104" customFormat="1" x14ac:dyDescent="0.25">
      <c r="A252" s="100" t="s">
        <v>124</v>
      </c>
      <c r="B252" s="100"/>
      <c r="C252" s="100"/>
      <c r="D252" s="100"/>
      <c r="E252" s="101"/>
      <c r="F252" s="101"/>
      <c r="G252" s="98">
        <f>SUM(G250:G251)</f>
        <v>0</v>
      </c>
      <c r="H252" s="360">
        <f>SUM(H250:H251)</f>
        <v>0</v>
      </c>
      <c r="I252" s="99">
        <f>SUM(I250:I251)</f>
        <v>0</v>
      </c>
      <c r="J252" s="102"/>
      <c r="K252" s="102"/>
      <c r="L252" s="102"/>
      <c r="M252" s="102"/>
      <c r="N252" s="139"/>
      <c r="O252" s="103"/>
    </row>
    <row r="254" spans="1:15" x14ac:dyDescent="0.25">
      <c r="A254" s="109"/>
      <c r="B254" s="109"/>
      <c r="C254" s="109"/>
      <c r="D254" s="109"/>
      <c r="E254" s="110"/>
      <c r="F254" s="110"/>
      <c r="G254" s="111"/>
      <c r="H254" s="357"/>
      <c r="I254" s="112"/>
      <c r="J254" s="113"/>
      <c r="K254" s="113"/>
      <c r="L254" s="113"/>
      <c r="M254" s="113"/>
      <c r="N254" s="137"/>
    </row>
    <row r="255" spans="1:15" s="54" customFormat="1" x14ac:dyDescent="0.25">
      <c r="A255" s="114"/>
      <c r="B255" s="114"/>
      <c r="C255" s="114"/>
      <c r="D255" s="114"/>
      <c r="E255" s="115"/>
      <c r="F255" s="115"/>
      <c r="G255" s="116"/>
      <c r="H255" s="359"/>
      <c r="I255" s="117"/>
      <c r="J255" s="118"/>
      <c r="K255" s="412">
        <v>139</v>
      </c>
      <c r="L255" s="412">
        <v>138</v>
      </c>
      <c r="M255" s="118"/>
      <c r="N255" s="138"/>
      <c r="O255" s="92"/>
    </row>
    <row r="256" spans="1:15" s="104" customFormat="1" x14ac:dyDescent="0.25">
      <c r="A256" s="100" t="s">
        <v>131</v>
      </c>
      <c r="B256" s="100"/>
      <c r="C256" s="100"/>
      <c r="D256" s="100"/>
      <c r="E256" s="101"/>
      <c r="F256" s="101"/>
      <c r="G256" s="98">
        <f>SUM(G254:G255)</f>
        <v>0</v>
      </c>
      <c r="H256" s="360">
        <f>SUM(H254:H255)</f>
        <v>0</v>
      </c>
      <c r="I256" s="99">
        <f>SUM(I254:I255)</f>
        <v>0</v>
      </c>
      <c r="J256" s="102"/>
      <c r="K256" s="102"/>
      <c r="L256" s="102"/>
      <c r="M256" s="102"/>
      <c r="N256" s="139"/>
      <c r="O256" s="103"/>
    </row>
    <row r="258" spans="1:15" x14ac:dyDescent="0.25">
      <c r="A258" s="109"/>
      <c r="B258" s="109"/>
      <c r="C258" s="109"/>
      <c r="D258" s="109"/>
      <c r="E258" s="110"/>
      <c r="F258" s="110"/>
      <c r="G258" s="111"/>
      <c r="H258" s="357"/>
      <c r="I258" s="112"/>
      <c r="J258" s="113"/>
      <c r="K258" s="113"/>
      <c r="L258" s="113"/>
      <c r="M258" s="113"/>
      <c r="N258" s="137"/>
    </row>
    <row r="259" spans="1:15" s="54" customFormat="1" x14ac:dyDescent="0.25">
      <c r="A259" s="114"/>
      <c r="B259" s="114"/>
      <c r="C259" s="114"/>
      <c r="D259" s="114"/>
      <c r="E259" s="115"/>
      <c r="F259" s="115"/>
      <c r="G259" s="116"/>
      <c r="H259" s="359"/>
      <c r="I259" s="117"/>
      <c r="J259" s="118"/>
      <c r="K259" s="412">
        <v>129</v>
      </c>
      <c r="L259" s="412">
        <v>128</v>
      </c>
      <c r="M259" s="118"/>
      <c r="N259" s="138"/>
      <c r="O259" s="92"/>
    </row>
    <row r="260" spans="1:15" s="104" customFormat="1" x14ac:dyDescent="0.25">
      <c r="A260" s="100" t="s">
        <v>132</v>
      </c>
      <c r="B260" s="100"/>
      <c r="C260" s="100"/>
      <c r="D260" s="100"/>
      <c r="E260" s="101"/>
      <c r="F260" s="101"/>
      <c r="G260" s="98">
        <f>SUM(G258:G259)</f>
        <v>0</v>
      </c>
      <c r="H260" s="360">
        <f>SUM(H258:H259)</f>
        <v>0</v>
      </c>
      <c r="I260" s="99">
        <f>SUM(I258:I259)</f>
        <v>0</v>
      </c>
      <c r="J260" s="102"/>
      <c r="K260" s="102"/>
      <c r="L260" s="102"/>
      <c r="M260" s="102"/>
      <c r="N260" s="139"/>
      <c r="O260" s="103"/>
    </row>
    <row r="262" spans="1:15" x14ac:dyDescent="0.25">
      <c r="A262" s="109"/>
      <c r="B262" s="109"/>
      <c r="C262" s="109"/>
      <c r="D262" s="109"/>
      <c r="E262" s="110"/>
      <c r="F262" s="110"/>
      <c r="G262" s="111"/>
      <c r="H262" s="357"/>
      <c r="I262" s="112"/>
      <c r="J262" s="113"/>
      <c r="K262" s="113"/>
      <c r="L262" s="113"/>
      <c r="M262" s="113"/>
      <c r="N262" s="137"/>
    </row>
    <row r="263" spans="1:15" s="157" customFormat="1" x14ac:dyDescent="0.25">
      <c r="A263" s="67" t="s">
        <v>109</v>
      </c>
      <c r="B263" s="394" t="s">
        <v>93</v>
      </c>
      <c r="C263" s="67">
        <v>9</v>
      </c>
      <c r="D263" s="67">
        <v>3840</v>
      </c>
      <c r="E263" s="68">
        <v>41673.029166666667</v>
      </c>
      <c r="F263" s="68">
        <v>41673.400694444441</v>
      </c>
      <c r="G263" s="395">
        <f>(F263-E263)*24</f>
        <v>8.9166666665696539</v>
      </c>
      <c r="H263" s="396">
        <f>G263*(K263-J263)/K263</f>
        <v>8.9166666665696539</v>
      </c>
      <c r="I263" s="397">
        <f>H263*L263</f>
        <v>124.83333333197515</v>
      </c>
      <c r="J263" s="384">
        <v>0</v>
      </c>
      <c r="K263" s="384">
        <v>14</v>
      </c>
      <c r="L263" s="384">
        <v>14</v>
      </c>
      <c r="M263" s="384" t="s">
        <v>186</v>
      </c>
      <c r="N263" s="139" t="s">
        <v>287</v>
      </c>
      <c r="O263" s="385"/>
    </row>
    <row r="264" spans="1:15" s="54" customFormat="1" x14ac:dyDescent="0.25">
      <c r="A264" s="114"/>
      <c r="B264" s="114"/>
      <c r="C264" s="114"/>
      <c r="D264" s="114"/>
      <c r="E264" s="115"/>
      <c r="F264" s="115"/>
      <c r="G264" s="116"/>
      <c r="H264" s="359"/>
      <c r="I264" s="117"/>
      <c r="J264" s="118"/>
      <c r="K264" s="412">
        <v>14</v>
      </c>
      <c r="L264" s="412">
        <v>14</v>
      </c>
      <c r="M264" s="118"/>
      <c r="N264" s="138"/>
      <c r="O264" s="92"/>
    </row>
    <row r="265" spans="1:15" s="104" customFormat="1" x14ac:dyDescent="0.25">
      <c r="A265" s="100" t="s">
        <v>109</v>
      </c>
      <c r="B265" s="100"/>
      <c r="C265" s="100"/>
      <c r="D265" s="100"/>
      <c r="E265" s="101"/>
      <c r="F265" s="101"/>
      <c r="G265" s="98">
        <f>SUM(G262:G264)</f>
        <v>8.9166666665696539</v>
      </c>
      <c r="H265" s="360">
        <f>SUM(H262:H264)</f>
        <v>8.9166666665696539</v>
      </c>
      <c r="I265" s="99">
        <f>SUM(I262:I264)</f>
        <v>124.83333333197515</v>
      </c>
      <c r="J265" s="102"/>
      <c r="K265" s="102"/>
      <c r="L265" s="102"/>
      <c r="M265" s="102"/>
      <c r="N265" s="139"/>
      <c r="O265" s="103"/>
    </row>
    <row r="267" spans="1:15" x14ac:dyDescent="0.25">
      <c r="A267" s="109"/>
      <c r="B267" s="109"/>
      <c r="C267" s="109"/>
      <c r="D267" s="109"/>
      <c r="E267" s="110"/>
      <c r="F267" s="110"/>
      <c r="G267" s="111"/>
      <c r="H267" s="357"/>
      <c r="I267" s="112"/>
      <c r="J267" s="113"/>
      <c r="K267" s="113"/>
      <c r="L267" s="113"/>
      <c r="M267" s="113"/>
      <c r="N267" s="137"/>
    </row>
    <row r="268" spans="1:15" s="157" customFormat="1" x14ac:dyDescent="0.25">
      <c r="A268" s="67" t="s">
        <v>160</v>
      </c>
      <c r="B268" s="394" t="s">
        <v>93</v>
      </c>
      <c r="C268" s="67">
        <v>9</v>
      </c>
      <c r="D268" s="67">
        <v>3611</v>
      </c>
      <c r="E268" s="68">
        <v>41678.120138888888</v>
      </c>
      <c r="F268" s="68">
        <v>41678.795138888891</v>
      </c>
      <c r="G268" s="395">
        <f>(F268-E268)*24</f>
        <v>16.200000000069849</v>
      </c>
      <c r="H268" s="396">
        <f>G268*(K268-J268)/K268</f>
        <v>16.200000000069849</v>
      </c>
      <c r="I268" s="397">
        <f>H268*L268</f>
        <v>194.40000000083819</v>
      </c>
      <c r="J268" s="384">
        <v>0</v>
      </c>
      <c r="K268" s="384">
        <v>12</v>
      </c>
      <c r="L268" s="384">
        <v>12</v>
      </c>
      <c r="M268" s="384" t="s">
        <v>192</v>
      </c>
      <c r="N268" s="139" t="s">
        <v>241</v>
      </c>
      <c r="O268" s="385"/>
    </row>
    <row r="269" spans="1:15" s="54" customFormat="1" x14ac:dyDescent="0.25">
      <c r="A269" s="114"/>
      <c r="B269" s="114"/>
      <c r="C269" s="114"/>
      <c r="D269" s="114"/>
      <c r="E269" s="115"/>
      <c r="F269" s="115"/>
      <c r="G269" s="116"/>
      <c r="H269" s="359"/>
      <c r="I269" s="117"/>
      <c r="J269" s="118"/>
      <c r="K269" s="412">
        <v>12</v>
      </c>
      <c r="L269" s="412">
        <v>12</v>
      </c>
      <c r="M269" s="118"/>
      <c r="N269" s="138"/>
      <c r="O269" s="92"/>
    </row>
    <row r="270" spans="1:15" s="104" customFormat="1" x14ac:dyDescent="0.25">
      <c r="A270" s="100" t="s">
        <v>133</v>
      </c>
      <c r="B270" s="100"/>
      <c r="C270" s="100"/>
      <c r="D270" s="100"/>
      <c r="E270" s="101"/>
      <c r="F270" s="101"/>
      <c r="G270" s="98">
        <f>SUM(G267:G269)</f>
        <v>16.200000000069849</v>
      </c>
      <c r="H270" s="360">
        <f>SUM(H267:H269)</f>
        <v>16.200000000069849</v>
      </c>
      <c r="I270" s="99">
        <f>SUM(I267:I269)</f>
        <v>194.40000000083819</v>
      </c>
      <c r="J270" s="102"/>
      <c r="K270" s="102"/>
      <c r="L270" s="102"/>
      <c r="M270" s="102"/>
      <c r="N270" s="139"/>
      <c r="O270" s="103"/>
    </row>
    <row r="272" spans="1:15" x14ac:dyDescent="0.25">
      <c r="A272" s="109"/>
      <c r="B272" s="109"/>
      <c r="C272" s="109"/>
      <c r="D272" s="109"/>
      <c r="E272" s="110"/>
      <c r="F272" s="110"/>
      <c r="G272" s="111"/>
      <c r="H272" s="357"/>
      <c r="I272" s="112"/>
      <c r="J272" s="113"/>
      <c r="K272" s="113"/>
      <c r="L272" s="113"/>
      <c r="M272" s="113"/>
      <c r="N272" s="137"/>
    </row>
    <row r="273" spans="1:15" s="157" customFormat="1" x14ac:dyDescent="0.25">
      <c r="A273" s="67" t="s">
        <v>193</v>
      </c>
      <c r="B273" s="394" t="s">
        <v>93</v>
      </c>
      <c r="C273" s="67">
        <v>4</v>
      </c>
      <c r="D273" s="67">
        <v>3611</v>
      </c>
      <c r="E273" s="68">
        <v>41678.120138888888</v>
      </c>
      <c r="F273" s="68">
        <v>41678.795138888891</v>
      </c>
      <c r="G273" s="395">
        <f>(F273-E273)*24</f>
        <v>16.200000000069849</v>
      </c>
      <c r="H273" s="396">
        <f>G273*(K273-J273)/K273</f>
        <v>16.200000000069849</v>
      </c>
      <c r="I273" s="397">
        <f>H273*L273</f>
        <v>194.40000000083819</v>
      </c>
      <c r="J273" s="384">
        <v>0</v>
      </c>
      <c r="K273" s="384">
        <v>12</v>
      </c>
      <c r="L273" s="384">
        <v>12</v>
      </c>
      <c r="M273" s="384" t="s">
        <v>192</v>
      </c>
      <c r="N273" s="139" t="s">
        <v>242</v>
      </c>
      <c r="O273" s="385"/>
    </row>
    <row r="274" spans="1:15" s="54" customFormat="1" x14ac:dyDescent="0.25">
      <c r="A274" s="114"/>
      <c r="B274" s="114"/>
      <c r="C274" s="114"/>
      <c r="D274" s="114"/>
      <c r="E274" s="115"/>
      <c r="F274" s="115"/>
      <c r="G274" s="116"/>
      <c r="H274" s="359"/>
      <c r="I274" s="117"/>
      <c r="J274" s="118"/>
      <c r="K274" s="412">
        <v>12</v>
      </c>
      <c r="L274" s="412">
        <v>12</v>
      </c>
      <c r="M274" s="118"/>
      <c r="N274" s="138"/>
      <c r="O274" s="92"/>
    </row>
    <row r="275" spans="1:15" s="104" customFormat="1" x14ac:dyDescent="0.25">
      <c r="A275" s="100" t="s">
        <v>134</v>
      </c>
      <c r="B275" s="100"/>
      <c r="C275" s="100"/>
      <c r="D275" s="100"/>
      <c r="E275" s="101"/>
      <c r="F275" s="101"/>
      <c r="G275" s="98">
        <f>SUM(G272:G274)</f>
        <v>16.200000000069849</v>
      </c>
      <c r="H275" s="360">
        <f>SUM(H272:H274)</f>
        <v>16.200000000069849</v>
      </c>
      <c r="I275" s="99">
        <f>SUM(I272:I274)</f>
        <v>194.40000000083819</v>
      </c>
      <c r="J275" s="102"/>
      <c r="K275" s="102"/>
      <c r="L275" s="102"/>
      <c r="M275" s="102"/>
      <c r="N275" s="139"/>
      <c r="O275" s="103"/>
    </row>
    <row r="277" spans="1:15" x14ac:dyDescent="0.25">
      <c r="A277" s="109"/>
      <c r="B277" s="109"/>
      <c r="C277" s="109"/>
      <c r="D277" s="109"/>
      <c r="E277" s="110"/>
      <c r="F277" s="110"/>
      <c r="G277" s="111"/>
      <c r="H277" s="357"/>
      <c r="I277" s="112"/>
      <c r="J277" s="113"/>
      <c r="K277" s="113"/>
      <c r="L277" s="113"/>
      <c r="M277" s="113"/>
      <c r="N277" s="137"/>
    </row>
    <row r="278" spans="1:15" s="54" customFormat="1" x14ac:dyDescent="0.25">
      <c r="A278" s="114"/>
      <c r="B278" s="114"/>
      <c r="C278" s="114"/>
      <c r="D278" s="114"/>
      <c r="E278" s="115"/>
      <c r="F278" s="115"/>
      <c r="G278" s="116"/>
      <c r="H278" s="359"/>
      <c r="I278" s="117"/>
      <c r="J278" s="118"/>
      <c r="K278" s="412">
        <v>13</v>
      </c>
      <c r="L278" s="412">
        <v>13</v>
      </c>
      <c r="M278" s="118"/>
      <c r="N278" s="138"/>
      <c r="O278" s="92"/>
    </row>
    <row r="279" spans="1:15" s="104" customFormat="1" x14ac:dyDescent="0.25">
      <c r="A279" s="100" t="s">
        <v>117</v>
      </c>
      <c r="B279" s="100"/>
      <c r="C279" s="100"/>
      <c r="D279" s="100"/>
      <c r="E279" s="101"/>
      <c r="F279" s="101"/>
      <c r="G279" s="98">
        <f>SUM(G277:G278)</f>
        <v>0</v>
      </c>
      <c r="H279" s="360">
        <f>SUM(H277:H278)</f>
        <v>0</v>
      </c>
      <c r="I279" s="99">
        <f>SUM(I277:I278)</f>
        <v>0</v>
      </c>
      <c r="J279" s="102"/>
      <c r="K279" s="102"/>
      <c r="L279" s="102"/>
      <c r="M279" s="102"/>
      <c r="N279" s="139"/>
      <c r="O279" s="103"/>
    </row>
    <row r="281" spans="1:15" x14ac:dyDescent="0.25">
      <c r="A281" s="109"/>
      <c r="B281" s="109"/>
      <c r="C281" s="109"/>
      <c r="D281" s="109"/>
      <c r="E281" s="110"/>
      <c r="F281" s="110"/>
      <c r="G281" s="111"/>
      <c r="H281" s="357"/>
      <c r="I281" s="112"/>
      <c r="J281" s="113"/>
      <c r="K281" s="113"/>
      <c r="L281" s="113"/>
      <c r="M281" s="113"/>
      <c r="N281" s="137"/>
    </row>
    <row r="282" spans="1:15" s="54" customFormat="1" x14ac:dyDescent="0.25">
      <c r="A282" s="114"/>
      <c r="B282" s="114"/>
      <c r="C282" s="114"/>
      <c r="D282" s="114"/>
      <c r="E282" s="115"/>
      <c r="F282" s="115"/>
      <c r="G282" s="116"/>
      <c r="H282" s="359"/>
      <c r="I282" s="117"/>
      <c r="J282" s="118"/>
      <c r="K282" s="412">
        <v>28</v>
      </c>
      <c r="L282" s="412">
        <v>28</v>
      </c>
      <c r="M282" s="118"/>
      <c r="N282" s="138"/>
      <c r="O282" s="92"/>
    </row>
    <row r="283" spans="1:15" s="104" customFormat="1" x14ac:dyDescent="0.25">
      <c r="A283" s="100" t="s">
        <v>98</v>
      </c>
      <c r="B283" s="100"/>
      <c r="C283" s="100"/>
      <c r="D283" s="100"/>
      <c r="E283" s="101"/>
      <c r="F283" s="101"/>
      <c r="G283" s="98">
        <f>SUM(G281:G282)</f>
        <v>0</v>
      </c>
      <c r="H283" s="360">
        <f>SUM(H281:H282)</f>
        <v>0</v>
      </c>
      <c r="I283" s="99">
        <f>SUM(I281:I282)</f>
        <v>0</v>
      </c>
      <c r="J283" s="102"/>
      <c r="K283" s="102"/>
      <c r="L283" s="102"/>
      <c r="M283" s="102"/>
      <c r="N283" s="139"/>
      <c r="O283" s="103"/>
    </row>
    <row r="285" spans="1:15" x14ac:dyDescent="0.25">
      <c r="A285" s="109"/>
      <c r="B285" s="109"/>
      <c r="C285" s="109"/>
      <c r="D285" s="109"/>
      <c r="E285" s="110"/>
      <c r="F285" s="110"/>
      <c r="G285" s="111"/>
      <c r="H285" s="357"/>
      <c r="I285" s="112"/>
      <c r="J285" s="113"/>
      <c r="K285" s="113"/>
      <c r="L285" s="113"/>
      <c r="M285" s="113"/>
      <c r="N285" s="137"/>
    </row>
    <row r="286" spans="1:15" s="157" customFormat="1" x14ac:dyDescent="0.25">
      <c r="A286" s="67" t="s">
        <v>121</v>
      </c>
      <c r="B286" s="415" t="s">
        <v>107</v>
      </c>
      <c r="C286" s="67">
        <v>4</v>
      </c>
      <c r="D286" s="67">
        <v>4720</v>
      </c>
      <c r="E286" s="68">
        <v>41685.255555555559</v>
      </c>
      <c r="F286" s="407">
        <v>41687</v>
      </c>
      <c r="G286" s="416">
        <f>(F286-E286)*24</f>
        <v>41.866666666581295</v>
      </c>
      <c r="H286" s="417">
        <f>G286*(K286-J286)/K286</f>
        <v>41.866666666581295</v>
      </c>
      <c r="I286" s="418">
        <f>H286*L286</f>
        <v>7326.6666666517267</v>
      </c>
      <c r="J286" s="384">
        <v>0</v>
      </c>
      <c r="K286" s="384">
        <v>176</v>
      </c>
      <c r="L286" s="384">
        <v>175</v>
      </c>
      <c r="M286" s="384" t="s">
        <v>199</v>
      </c>
      <c r="N286" s="139" t="s">
        <v>276</v>
      </c>
      <c r="O286" s="385"/>
    </row>
    <row r="287" spans="1:15" s="54" customFormat="1" x14ac:dyDescent="0.25">
      <c r="A287" s="114"/>
      <c r="B287" s="114"/>
      <c r="C287" s="114"/>
      <c r="D287" s="114"/>
      <c r="E287" s="115"/>
      <c r="F287" s="115"/>
      <c r="G287" s="116"/>
      <c r="H287" s="359"/>
      <c r="I287" s="117"/>
      <c r="J287" s="118"/>
      <c r="K287" s="412">
        <v>176</v>
      </c>
      <c r="L287" s="412">
        <v>175</v>
      </c>
      <c r="M287" s="118"/>
      <c r="N287" s="138"/>
      <c r="O287" s="92"/>
    </row>
    <row r="288" spans="1:15" s="104" customFormat="1" x14ac:dyDescent="0.25">
      <c r="A288" s="100" t="s">
        <v>121</v>
      </c>
      <c r="B288" s="100"/>
      <c r="C288" s="100"/>
      <c r="D288" s="100"/>
      <c r="E288" s="101"/>
      <c r="F288" s="101"/>
      <c r="G288" s="98">
        <f>SUM(G285:G287)</f>
        <v>41.866666666581295</v>
      </c>
      <c r="H288" s="360">
        <f>SUM(H285:H287)</f>
        <v>41.866666666581295</v>
      </c>
      <c r="I288" s="99">
        <f>SUM(I285:I287)</f>
        <v>7326.6666666517267</v>
      </c>
      <c r="J288" s="102"/>
      <c r="K288" s="102"/>
      <c r="L288" s="102"/>
      <c r="M288" s="102"/>
      <c r="N288" s="139"/>
      <c r="O288" s="103"/>
    </row>
    <row r="290" spans="1:15" x14ac:dyDescent="0.25">
      <c r="A290" s="109"/>
      <c r="B290" s="109"/>
      <c r="C290" s="109"/>
      <c r="D290" s="109"/>
      <c r="E290" s="110"/>
      <c r="F290" s="110"/>
      <c r="G290" s="111"/>
      <c r="H290" s="357"/>
      <c r="I290" s="112"/>
      <c r="J290" s="113"/>
      <c r="K290" s="113"/>
      <c r="L290" s="113"/>
      <c r="M290" s="113"/>
      <c r="N290" s="137"/>
    </row>
    <row r="291" spans="1:15" x14ac:dyDescent="0.25">
      <c r="A291" s="53" t="s">
        <v>122</v>
      </c>
      <c r="B291" s="390" t="s">
        <v>93</v>
      </c>
      <c r="C291" s="53">
        <v>12</v>
      </c>
      <c r="D291" s="53">
        <v>5079</v>
      </c>
      <c r="E291" s="77">
        <v>41681.261111111111</v>
      </c>
      <c r="F291" s="77">
        <v>41681.357638888891</v>
      </c>
      <c r="G291" s="391">
        <f t="shared" ref="G291:G292" si="57">(F291-E291)*24</f>
        <v>2.3166666667093523</v>
      </c>
      <c r="H291" s="392">
        <f t="shared" ref="H291:H292" si="58">G291*(K291-J291)/K291</f>
        <v>2.3166666667093523</v>
      </c>
      <c r="I291" s="393">
        <f t="shared" ref="I291:I292" si="59">H291*L291</f>
        <v>407.733333340846</v>
      </c>
      <c r="J291" s="91">
        <v>0</v>
      </c>
      <c r="K291" s="91">
        <v>180</v>
      </c>
      <c r="L291" s="91">
        <v>176</v>
      </c>
      <c r="M291" s="91" t="s">
        <v>158</v>
      </c>
      <c r="N291" s="140" t="s">
        <v>288</v>
      </c>
    </row>
    <row r="292" spans="1:15" x14ac:dyDescent="0.25">
      <c r="A292" s="53" t="s">
        <v>122</v>
      </c>
      <c r="B292" s="390" t="s">
        <v>97</v>
      </c>
      <c r="C292" s="53">
        <v>14</v>
      </c>
      <c r="D292" s="53">
        <v>5130</v>
      </c>
      <c r="E292" s="77">
        <v>41687.269444444442</v>
      </c>
      <c r="F292" s="77">
        <v>41687.277777777781</v>
      </c>
      <c r="G292" s="391">
        <f t="shared" si="57"/>
        <v>0.20000000012805685</v>
      </c>
      <c r="H292" s="392">
        <f t="shared" si="58"/>
        <v>0.20000000012805685</v>
      </c>
      <c r="I292" s="393">
        <f t="shared" si="59"/>
        <v>35.200000022538006</v>
      </c>
      <c r="J292" s="91">
        <v>0</v>
      </c>
      <c r="K292" s="91">
        <v>180</v>
      </c>
      <c r="L292" s="91">
        <v>176</v>
      </c>
      <c r="M292" s="91" t="s">
        <v>153</v>
      </c>
      <c r="N292" s="140" t="s">
        <v>289</v>
      </c>
    </row>
    <row r="293" spans="1:15" s="54" customFormat="1" x14ac:dyDescent="0.25">
      <c r="A293" s="114"/>
      <c r="B293" s="114"/>
      <c r="C293" s="114"/>
      <c r="D293" s="114"/>
      <c r="E293" s="115"/>
      <c r="F293" s="115"/>
      <c r="G293" s="116"/>
      <c r="H293" s="359"/>
      <c r="I293" s="117"/>
      <c r="J293" s="118"/>
      <c r="K293" s="412">
        <v>180</v>
      </c>
      <c r="L293" s="412">
        <v>176</v>
      </c>
      <c r="M293" s="118"/>
      <c r="N293" s="138"/>
      <c r="O293" s="92"/>
    </row>
    <row r="294" spans="1:15" s="104" customFormat="1" x14ac:dyDescent="0.25">
      <c r="A294" s="100" t="s">
        <v>122</v>
      </c>
      <c r="B294" s="100"/>
      <c r="C294" s="100"/>
      <c r="D294" s="100"/>
      <c r="E294" s="101"/>
      <c r="F294" s="101"/>
      <c r="G294" s="98">
        <f>SUM(G290:G293)</f>
        <v>2.5166666668374091</v>
      </c>
      <c r="H294" s="360">
        <f>SUM(H290:H293)</f>
        <v>2.5166666668374091</v>
      </c>
      <c r="I294" s="99">
        <f>SUM(I290:I293)</f>
        <v>442.93333336338401</v>
      </c>
      <c r="J294" s="102"/>
      <c r="K294" s="102"/>
      <c r="L294" s="102"/>
      <c r="M294" s="102"/>
      <c r="N294" s="139"/>
      <c r="O294" s="103"/>
    </row>
    <row r="296" spans="1:15" x14ac:dyDescent="0.25">
      <c r="A296" s="109"/>
      <c r="B296" s="109"/>
      <c r="C296" s="109"/>
      <c r="D296" s="109"/>
      <c r="E296" s="110"/>
      <c r="F296" s="110"/>
      <c r="G296" s="111"/>
      <c r="H296" s="357"/>
      <c r="I296" s="112"/>
      <c r="J296" s="113"/>
      <c r="K296" s="113">
        <v>180</v>
      </c>
      <c r="L296" s="113">
        <v>176</v>
      </c>
      <c r="M296" s="113"/>
      <c r="N296" s="137"/>
    </row>
    <row r="297" spans="1:15" x14ac:dyDescent="0.25">
      <c r="A297" s="53" t="s">
        <v>123</v>
      </c>
      <c r="B297" s="376" t="s">
        <v>95</v>
      </c>
      <c r="C297" s="53">
        <v>30</v>
      </c>
      <c r="D297" s="53">
        <v>5041</v>
      </c>
      <c r="E297" s="77">
        <v>41674.481249999997</v>
      </c>
      <c r="F297" s="77">
        <v>41674.661111111112</v>
      </c>
      <c r="G297" s="377">
        <f t="shared" ref="G297:G299" si="60">(F297-E297)*24</f>
        <v>4.3166666667675599</v>
      </c>
      <c r="H297" s="378">
        <f t="shared" ref="H297:H299" si="61">G297*(K297-J297)/K297</f>
        <v>4.3166666667675599</v>
      </c>
      <c r="I297" s="379">
        <f t="shared" ref="I297:I299" si="62">H297*L297</f>
        <v>759.73333335109055</v>
      </c>
      <c r="J297" s="91">
        <v>0</v>
      </c>
      <c r="K297" s="91">
        <v>180</v>
      </c>
      <c r="L297" s="91">
        <v>176</v>
      </c>
      <c r="M297" s="91" t="s">
        <v>157</v>
      </c>
      <c r="N297" s="140" t="s">
        <v>290</v>
      </c>
    </row>
    <row r="298" spans="1:15" x14ac:dyDescent="0.25">
      <c r="A298" s="53" t="s">
        <v>123</v>
      </c>
      <c r="B298" s="390" t="s">
        <v>93</v>
      </c>
      <c r="C298" s="53">
        <v>33</v>
      </c>
      <c r="D298" s="53">
        <v>5079</v>
      </c>
      <c r="E298" s="77">
        <v>41681.261111111111</v>
      </c>
      <c r="F298" s="77">
        <v>41681.290277777778</v>
      </c>
      <c r="G298" s="391">
        <f t="shared" si="60"/>
        <v>0.70000000001164153</v>
      </c>
      <c r="H298" s="392">
        <f t="shared" si="61"/>
        <v>0.70000000001164153</v>
      </c>
      <c r="I298" s="393">
        <f t="shared" si="62"/>
        <v>123.20000000204891</v>
      </c>
      <c r="J298" s="91">
        <v>0</v>
      </c>
      <c r="K298" s="91">
        <v>180</v>
      </c>
      <c r="L298" s="91">
        <v>176</v>
      </c>
      <c r="M298" s="91" t="s">
        <v>158</v>
      </c>
      <c r="N298" s="140" t="s">
        <v>288</v>
      </c>
    </row>
    <row r="299" spans="1:15" x14ac:dyDescent="0.25">
      <c r="A299" s="53" t="s">
        <v>123</v>
      </c>
      <c r="B299" s="390" t="s">
        <v>93</v>
      </c>
      <c r="C299" s="53">
        <v>34</v>
      </c>
      <c r="D299" s="53">
        <v>5079</v>
      </c>
      <c r="E299" s="77">
        <v>41681.353472222225</v>
      </c>
      <c r="F299" s="77">
        <v>41681.40625</v>
      </c>
      <c r="G299" s="391">
        <f t="shared" si="60"/>
        <v>1.2666666666045785</v>
      </c>
      <c r="H299" s="392">
        <f t="shared" si="61"/>
        <v>1.2666666666045785</v>
      </c>
      <c r="I299" s="393">
        <f t="shared" si="62"/>
        <v>222.93333332240582</v>
      </c>
      <c r="J299" s="91">
        <v>0</v>
      </c>
      <c r="K299" s="91">
        <v>180</v>
      </c>
      <c r="L299" s="91">
        <v>176</v>
      </c>
      <c r="M299" s="91" t="s">
        <v>158</v>
      </c>
      <c r="N299" s="140" t="s">
        <v>288</v>
      </c>
    </row>
    <row r="300" spans="1:15" s="54" customFormat="1" x14ac:dyDescent="0.25">
      <c r="A300" s="114"/>
      <c r="B300" s="114"/>
      <c r="C300" s="114"/>
      <c r="D300" s="114"/>
      <c r="E300" s="115"/>
      <c r="F300" s="115"/>
      <c r="G300" s="116"/>
      <c r="H300" s="359"/>
      <c r="I300" s="117"/>
      <c r="J300" s="118"/>
      <c r="K300" s="412">
        <v>180</v>
      </c>
      <c r="L300" s="412">
        <v>176</v>
      </c>
      <c r="M300" s="118"/>
      <c r="N300" s="138"/>
      <c r="O300" s="92"/>
    </row>
    <row r="301" spans="1:15" s="104" customFormat="1" x14ac:dyDescent="0.25">
      <c r="A301" s="100" t="s">
        <v>123</v>
      </c>
      <c r="B301" s="100"/>
      <c r="C301" s="100"/>
      <c r="D301" s="100"/>
      <c r="E301" s="101"/>
      <c r="F301" s="101"/>
      <c r="G301" s="98">
        <f>SUM(G296:G300)</f>
        <v>6.28333333338378</v>
      </c>
      <c r="H301" s="360">
        <f>SUM(H296:H300)</f>
        <v>6.28333333338378</v>
      </c>
      <c r="I301" s="99">
        <f>SUM(I296:I300)</f>
        <v>1105.8666666755453</v>
      </c>
      <c r="J301" s="102"/>
      <c r="K301" s="102"/>
      <c r="L301" s="102"/>
      <c r="M301" s="102"/>
      <c r="N301" s="139"/>
      <c r="O301" s="103"/>
    </row>
    <row r="303" spans="1:15" x14ac:dyDescent="0.25">
      <c r="A303" s="109"/>
      <c r="B303" s="109"/>
      <c r="C303" s="109"/>
      <c r="D303" s="109"/>
      <c r="E303" s="110"/>
      <c r="F303" s="110"/>
      <c r="G303" s="111"/>
      <c r="H303" s="357"/>
      <c r="I303" s="112"/>
      <c r="J303" s="113"/>
      <c r="K303" s="113"/>
      <c r="L303" s="113"/>
      <c r="M303" s="113"/>
      <c r="N303" s="137"/>
    </row>
    <row r="304" spans="1:15" x14ac:dyDescent="0.25">
      <c r="A304" s="53" t="s">
        <v>126</v>
      </c>
      <c r="B304" s="390" t="s">
        <v>93</v>
      </c>
      <c r="C304" s="53">
        <v>8</v>
      </c>
      <c r="D304" s="53">
        <v>5160</v>
      </c>
      <c r="E304" s="77">
        <v>41675.668749999997</v>
      </c>
      <c r="F304" s="77">
        <v>41675.672222222223</v>
      </c>
      <c r="G304" s="391">
        <f t="shared" ref="G304:G305" si="63">(F304-E304)*24</f>
        <v>8.3333333430346102E-2</v>
      </c>
      <c r="H304" s="392">
        <f t="shared" ref="H304:H305" si="64">G304*(K304-J304)/K304</f>
        <v>8.3333333430346102E-2</v>
      </c>
      <c r="I304" s="393">
        <f t="shared" ref="I304:I305" si="65">H304*L304</f>
        <v>14.666666683740914</v>
      </c>
      <c r="J304" s="91">
        <v>0</v>
      </c>
      <c r="K304" s="91">
        <v>180</v>
      </c>
      <c r="L304" s="91">
        <v>176</v>
      </c>
      <c r="M304" s="91" t="s">
        <v>161</v>
      </c>
      <c r="N304" s="140" t="s">
        <v>291</v>
      </c>
    </row>
    <row r="305" spans="1:15" x14ac:dyDescent="0.25">
      <c r="A305" s="53" t="s">
        <v>126</v>
      </c>
      <c r="B305" s="390" t="s">
        <v>93</v>
      </c>
      <c r="C305" s="53">
        <v>9</v>
      </c>
      <c r="D305" s="53">
        <v>5160</v>
      </c>
      <c r="E305" s="77">
        <v>41675.67291666667</v>
      </c>
      <c r="F305" s="77">
        <v>41675.678472222222</v>
      </c>
      <c r="G305" s="391">
        <f t="shared" si="63"/>
        <v>0.13333333324408159</v>
      </c>
      <c r="H305" s="392">
        <f t="shared" si="64"/>
        <v>0.13333333324408159</v>
      </c>
      <c r="I305" s="393">
        <f t="shared" si="65"/>
        <v>23.466666650958359</v>
      </c>
      <c r="J305" s="91">
        <v>0</v>
      </c>
      <c r="K305" s="91">
        <v>180</v>
      </c>
      <c r="L305" s="91">
        <v>176</v>
      </c>
      <c r="M305" s="91" t="s">
        <v>161</v>
      </c>
      <c r="N305" s="140" t="s">
        <v>291</v>
      </c>
    </row>
    <row r="306" spans="1:15" s="54" customFormat="1" x14ac:dyDescent="0.25">
      <c r="A306" s="114"/>
      <c r="B306" s="114"/>
      <c r="C306" s="114"/>
      <c r="D306" s="114"/>
      <c r="E306" s="115"/>
      <c r="F306" s="115"/>
      <c r="G306" s="116"/>
      <c r="H306" s="359"/>
      <c r="I306" s="117"/>
      <c r="J306" s="118"/>
      <c r="K306" s="412">
        <v>180</v>
      </c>
      <c r="L306" s="412">
        <v>176</v>
      </c>
      <c r="M306" s="118"/>
      <c r="N306" s="138"/>
      <c r="O306" s="92"/>
    </row>
    <row r="307" spans="1:15" s="104" customFormat="1" x14ac:dyDescent="0.25">
      <c r="A307" s="100" t="s">
        <v>126</v>
      </c>
      <c r="B307" s="100"/>
      <c r="C307" s="100"/>
      <c r="D307" s="100"/>
      <c r="E307" s="101"/>
      <c r="F307" s="101"/>
      <c r="G307" s="98">
        <f>SUM(G303:G306)</f>
        <v>0.21666666667442769</v>
      </c>
      <c r="H307" s="360">
        <f>SUM(H303:H306)</f>
        <v>0.21666666667442769</v>
      </c>
      <c r="I307" s="99">
        <f>SUM(I303:I306)</f>
        <v>38.133333334699273</v>
      </c>
      <c r="J307" s="102"/>
      <c r="K307" s="102"/>
      <c r="L307" s="102"/>
      <c r="M307" s="102"/>
      <c r="N307" s="139"/>
      <c r="O307" s="103"/>
    </row>
    <row r="309" spans="1:15" x14ac:dyDescent="0.25">
      <c r="A309" s="109"/>
      <c r="B309" s="109"/>
      <c r="C309" s="109"/>
      <c r="D309" s="109"/>
      <c r="E309" s="110"/>
      <c r="F309" s="110"/>
      <c r="G309" s="111"/>
      <c r="H309" s="357"/>
      <c r="I309" s="112"/>
      <c r="J309" s="113"/>
      <c r="K309" s="113"/>
      <c r="L309" s="113"/>
      <c r="M309" s="113"/>
      <c r="N309" s="137"/>
    </row>
    <row r="310" spans="1:15" s="54" customFormat="1" x14ac:dyDescent="0.25">
      <c r="A310" s="114"/>
      <c r="B310" s="114"/>
      <c r="C310" s="114"/>
      <c r="D310" s="114"/>
      <c r="E310" s="115"/>
      <c r="F310" s="115"/>
      <c r="G310" s="116"/>
      <c r="H310" s="359"/>
      <c r="I310" s="117"/>
      <c r="J310" s="118"/>
      <c r="K310" s="412">
        <v>180</v>
      </c>
      <c r="L310" s="412">
        <v>176</v>
      </c>
      <c r="M310" s="118"/>
      <c r="N310" s="138"/>
      <c r="O310" s="92"/>
    </row>
    <row r="311" spans="1:15" s="104" customFormat="1" x14ac:dyDescent="0.25">
      <c r="A311" s="100" t="s">
        <v>135</v>
      </c>
      <c r="B311" s="100"/>
      <c r="C311" s="100"/>
      <c r="D311" s="100"/>
      <c r="E311" s="101"/>
      <c r="F311" s="101"/>
      <c r="G311" s="98">
        <f>SUM(G309:G310)</f>
        <v>0</v>
      </c>
      <c r="H311" s="360">
        <f>SUM(H309:H310)</f>
        <v>0</v>
      </c>
      <c r="I311" s="99">
        <f>SUM(I309:I310)</f>
        <v>0</v>
      </c>
      <c r="J311" s="102"/>
      <c r="K311" s="102"/>
      <c r="L311" s="102"/>
      <c r="M311" s="102"/>
      <c r="N311" s="139"/>
      <c r="O311" s="103"/>
    </row>
    <row r="313" spans="1:15" x14ac:dyDescent="0.25">
      <c r="A313" s="109"/>
      <c r="B313" s="109"/>
      <c r="C313" s="109"/>
      <c r="D313" s="109"/>
      <c r="E313" s="110"/>
      <c r="F313" s="110"/>
      <c r="G313" s="111"/>
      <c r="H313" s="357"/>
      <c r="I313" s="112"/>
      <c r="J313" s="113"/>
      <c r="K313" s="113"/>
      <c r="L313" s="113"/>
      <c r="M313" s="113"/>
      <c r="N313" s="137"/>
    </row>
    <row r="314" spans="1:15" x14ac:dyDescent="0.25">
      <c r="A314" s="53" t="s">
        <v>128</v>
      </c>
      <c r="B314" s="53" t="s">
        <v>91</v>
      </c>
      <c r="C314" s="53">
        <v>17</v>
      </c>
      <c r="D314" s="53">
        <v>5041</v>
      </c>
      <c r="E314" s="77">
        <v>41677.416666666664</v>
      </c>
      <c r="F314" s="77">
        <v>41677.526388888888</v>
      </c>
      <c r="G314" s="83">
        <f t="shared" ref="G314:G315" si="66">(F314-E314)*24</f>
        <v>2.6333333333604969</v>
      </c>
      <c r="H314" s="358">
        <f t="shared" ref="H314:H315" si="67">G314*(K314-J314)/K314</f>
        <v>1.4629629629780538</v>
      </c>
      <c r="I314" s="78">
        <f t="shared" ref="I314:I315" si="68">H314*L314</f>
        <v>257.48148148413748</v>
      </c>
      <c r="J314" s="91">
        <v>80</v>
      </c>
      <c r="K314" s="91">
        <v>180</v>
      </c>
      <c r="L314" s="91">
        <v>176</v>
      </c>
      <c r="M314" s="91" t="s">
        <v>157</v>
      </c>
      <c r="N314" s="140" t="s">
        <v>292</v>
      </c>
    </row>
    <row r="315" spans="1:15" x14ac:dyDescent="0.25">
      <c r="A315" s="53" t="s">
        <v>128</v>
      </c>
      <c r="B315" s="390" t="s">
        <v>93</v>
      </c>
      <c r="C315" s="53">
        <v>15</v>
      </c>
      <c r="D315" s="53">
        <v>5041</v>
      </c>
      <c r="E315" s="77">
        <v>41677.526388888888</v>
      </c>
      <c r="F315" s="77">
        <v>41677.649305555555</v>
      </c>
      <c r="G315" s="391">
        <f t="shared" si="66"/>
        <v>2.9500000000116415</v>
      </c>
      <c r="H315" s="392">
        <f t="shared" si="67"/>
        <v>2.9500000000116415</v>
      </c>
      <c r="I315" s="393">
        <f t="shared" si="68"/>
        <v>519.20000000204891</v>
      </c>
      <c r="J315" s="91">
        <v>0</v>
      </c>
      <c r="K315" s="91">
        <v>180</v>
      </c>
      <c r="L315" s="91">
        <v>176</v>
      </c>
      <c r="M315" s="91" t="s">
        <v>157</v>
      </c>
      <c r="N315" s="140" t="s">
        <v>293</v>
      </c>
    </row>
    <row r="316" spans="1:15" s="54" customFormat="1" x14ac:dyDescent="0.25">
      <c r="A316" s="114"/>
      <c r="B316" s="161"/>
      <c r="C316" s="114"/>
      <c r="D316" s="114"/>
      <c r="E316" s="115"/>
      <c r="F316" s="115"/>
      <c r="G316" s="116"/>
      <c r="H316" s="359"/>
      <c r="I316" s="117"/>
      <c r="J316" s="118"/>
      <c r="K316" s="412">
        <v>180</v>
      </c>
      <c r="L316" s="412">
        <v>176</v>
      </c>
      <c r="M316" s="118"/>
      <c r="N316" s="138"/>
      <c r="O316" s="92"/>
    </row>
    <row r="317" spans="1:15" s="104" customFormat="1" x14ac:dyDescent="0.25">
      <c r="A317" s="100" t="s">
        <v>128</v>
      </c>
      <c r="B317" s="100"/>
      <c r="C317" s="100"/>
      <c r="D317" s="100"/>
      <c r="E317" s="101"/>
      <c r="F317" s="101"/>
      <c r="G317" s="98">
        <f>SUM(G313:G316)</f>
        <v>5.5833333333721384</v>
      </c>
      <c r="H317" s="360">
        <f>SUM(H313:H316)</f>
        <v>4.4129629629896954</v>
      </c>
      <c r="I317" s="99">
        <f>SUM(I313:I316)</f>
        <v>776.68148148618639</v>
      </c>
      <c r="J317" s="102"/>
      <c r="K317" s="102"/>
      <c r="L317" s="102"/>
      <c r="M317" s="102"/>
      <c r="N317" s="139"/>
      <c r="O317" s="103"/>
    </row>
    <row r="319" spans="1:15" x14ac:dyDescent="0.25">
      <c r="A319" s="109"/>
      <c r="B319" s="109"/>
      <c r="C319" s="109"/>
      <c r="D319" s="109"/>
      <c r="E319" s="110"/>
      <c r="F319" s="110"/>
      <c r="G319" s="111"/>
      <c r="H319" s="357"/>
      <c r="I319" s="112"/>
      <c r="J319" s="113"/>
      <c r="K319" s="113"/>
      <c r="L319" s="113"/>
      <c r="M319" s="113"/>
      <c r="N319" s="137"/>
    </row>
    <row r="320" spans="1:15" s="54" customFormat="1" x14ac:dyDescent="0.25">
      <c r="A320" s="114"/>
      <c r="B320" s="114"/>
      <c r="C320" s="114"/>
      <c r="D320" s="114"/>
      <c r="E320" s="115"/>
      <c r="F320" s="115"/>
      <c r="G320" s="116"/>
      <c r="H320" s="359"/>
      <c r="I320" s="117"/>
      <c r="J320" s="118"/>
      <c r="K320" s="412">
        <v>180</v>
      </c>
      <c r="L320" s="412">
        <v>176</v>
      </c>
      <c r="M320" s="118"/>
      <c r="N320" s="138"/>
      <c r="O320" s="92"/>
    </row>
    <row r="321" spans="1:15" s="104" customFormat="1" x14ac:dyDescent="0.25">
      <c r="A321" s="100" t="s">
        <v>127</v>
      </c>
      <c r="B321" s="100"/>
      <c r="C321" s="100"/>
      <c r="D321" s="100"/>
      <c r="E321" s="101"/>
      <c r="F321" s="101"/>
      <c r="G321" s="98">
        <f>SUM(G319:G320)</f>
        <v>0</v>
      </c>
      <c r="H321" s="360">
        <f>SUM(H319:H320)</f>
        <v>0</v>
      </c>
      <c r="I321" s="99">
        <f>SUM(I319:I320)</f>
        <v>0</v>
      </c>
      <c r="J321" s="102"/>
      <c r="K321" s="102"/>
      <c r="L321" s="102"/>
      <c r="M321" s="102"/>
      <c r="N321" s="139"/>
      <c r="O321" s="103"/>
    </row>
    <row r="323" spans="1:15" x14ac:dyDescent="0.25">
      <c r="A323" s="109"/>
      <c r="B323" s="109"/>
      <c r="C323" s="109"/>
      <c r="D323" s="109"/>
      <c r="E323" s="110"/>
      <c r="F323" s="110"/>
      <c r="G323" s="111"/>
      <c r="H323" s="357"/>
      <c r="I323" s="112"/>
      <c r="J323" s="113"/>
      <c r="K323" s="113"/>
      <c r="L323" s="113"/>
      <c r="M323" s="113"/>
      <c r="N323" s="137"/>
    </row>
    <row r="324" spans="1:15" s="54" customFormat="1" x14ac:dyDescent="0.25">
      <c r="A324" s="114"/>
      <c r="B324" s="114"/>
      <c r="C324" s="114"/>
      <c r="D324" s="114"/>
      <c r="E324" s="115"/>
      <c r="F324" s="115"/>
      <c r="G324" s="116"/>
      <c r="H324" s="359"/>
      <c r="I324" s="117"/>
      <c r="J324" s="118"/>
      <c r="K324" s="412">
        <v>16</v>
      </c>
      <c r="L324" s="412">
        <v>16</v>
      </c>
      <c r="M324" s="118"/>
      <c r="N324" s="138"/>
      <c r="O324" s="92"/>
    </row>
    <row r="325" spans="1:15" s="104" customFormat="1" x14ac:dyDescent="0.25">
      <c r="A325" s="100" t="s">
        <v>136</v>
      </c>
      <c r="B325" s="100"/>
      <c r="C325" s="100"/>
      <c r="D325" s="100"/>
      <c r="E325" s="101"/>
      <c r="F325" s="101"/>
      <c r="G325" s="98">
        <f>SUM(G323:G324)</f>
        <v>0</v>
      </c>
      <c r="H325" s="360">
        <f>SUM(H323:H324)</f>
        <v>0</v>
      </c>
      <c r="I325" s="99">
        <f>SUM(I323:I324)</f>
        <v>0</v>
      </c>
      <c r="J325" s="102"/>
      <c r="K325" s="102"/>
      <c r="L325" s="102"/>
      <c r="M325" s="102"/>
      <c r="N325" s="139"/>
      <c r="O325" s="103"/>
    </row>
  </sheetData>
  <sortState ref="A197:O328">
    <sortCondition ref="A197"/>
  </sortState>
  <phoneticPr fontId="14" type="noConversion"/>
  <pageMargins left="0.25" right="0.25" top="0.5" bottom="0.5" header="0.25" footer="0.25"/>
  <pageSetup scale="73" fitToHeight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5"/>
  <sheetViews>
    <sheetView view="pageBreakPreview" zoomScaleNormal="90" zoomScaleSheetLayoutView="100" workbookViewId="0">
      <pane xSplit="2" ySplit="1" topLeftCell="J2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ColWidth="55.1640625" defaultRowHeight="13.5" x14ac:dyDescent="0.25"/>
  <cols>
    <col min="1" max="1" width="7.1640625" style="53" bestFit="1" customWidth="1"/>
    <col min="2" max="2" width="6.83203125" style="53" bestFit="1" customWidth="1"/>
    <col min="3" max="3" width="6.6640625" style="53" bestFit="1" customWidth="1"/>
    <col min="4" max="4" width="7.1640625" style="53" bestFit="1" customWidth="1"/>
    <col min="5" max="6" width="14.6640625" style="77" customWidth="1"/>
    <col min="7" max="7" width="13.1640625" style="83" bestFit="1" customWidth="1"/>
    <col min="8" max="8" width="10.1640625" style="358" bestFit="1" customWidth="1"/>
    <col min="9" max="9" width="10.1640625" style="78" bestFit="1" customWidth="1"/>
    <col min="10" max="10" width="5.6640625" style="91" bestFit="1" customWidth="1"/>
    <col min="11" max="11" width="5.83203125" style="91" bestFit="1" customWidth="1"/>
    <col min="12" max="12" width="5.6640625" style="91" bestFit="1" customWidth="1"/>
    <col min="13" max="13" width="31.6640625" style="91" customWidth="1"/>
    <col min="14" max="14" width="40.6640625" style="140" customWidth="1"/>
    <col min="15" max="15" width="45.6640625" style="79" customWidth="1"/>
    <col min="16" max="16384" width="55.1640625" style="52"/>
  </cols>
  <sheetData>
    <row r="1" spans="1:16" s="67" customFormat="1" x14ac:dyDescent="0.25">
      <c r="A1" s="67" t="s">
        <v>1</v>
      </c>
      <c r="B1" s="67" t="s">
        <v>47</v>
      </c>
      <c r="C1" s="67" t="s">
        <v>47</v>
      </c>
      <c r="D1" s="67" t="s">
        <v>43</v>
      </c>
      <c r="E1" s="68" t="s">
        <v>47</v>
      </c>
      <c r="F1" s="68" t="s">
        <v>47</v>
      </c>
      <c r="G1" s="80" t="s">
        <v>80</v>
      </c>
      <c r="H1" s="354" t="s">
        <v>60</v>
      </c>
      <c r="I1" s="69" t="s">
        <v>61</v>
      </c>
      <c r="J1" s="69"/>
      <c r="K1" s="69"/>
      <c r="L1" s="69"/>
      <c r="M1" s="67" t="s">
        <v>47</v>
      </c>
      <c r="N1" s="134" t="s">
        <v>47</v>
      </c>
    </row>
    <row r="2" spans="1:16" s="70" customFormat="1" x14ac:dyDescent="0.25">
      <c r="A2" s="70" t="s">
        <v>46</v>
      </c>
      <c r="B2" s="70" t="s">
        <v>48</v>
      </c>
      <c r="C2" s="70" t="s">
        <v>49</v>
      </c>
      <c r="D2" s="70" t="s">
        <v>50</v>
      </c>
      <c r="E2" s="71" t="s">
        <v>51</v>
      </c>
      <c r="F2" s="71" t="s">
        <v>52</v>
      </c>
      <c r="G2" s="81" t="s">
        <v>55</v>
      </c>
      <c r="H2" s="355" t="s">
        <v>62</v>
      </c>
      <c r="I2" s="72" t="s">
        <v>53</v>
      </c>
      <c r="J2" s="72" t="s">
        <v>44</v>
      </c>
      <c r="K2" s="72" t="s">
        <v>45</v>
      </c>
      <c r="L2" s="72" t="s">
        <v>56</v>
      </c>
      <c r="M2" s="70" t="s">
        <v>43</v>
      </c>
      <c r="N2" s="135" t="s">
        <v>54</v>
      </c>
    </row>
    <row r="3" spans="1:16" x14ac:dyDescent="0.25">
      <c r="A3" s="73"/>
      <c r="B3" s="73"/>
      <c r="C3" s="73"/>
      <c r="D3" s="73"/>
      <c r="E3" s="74"/>
      <c r="F3" s="74"/>
      <c r="G3" s="82"/>
      <c r="H3" s="356"/>
      <c r="I3" s="75"/>
      <c r="J3" s="90"/>
      <c r="K3" s="90"/>
      <c r="L3" s="90"/>
      <c r="M3" s="90"/>
      <c r="N3" s="136"/>
      <c r="O3" s="76"/>
    </row>
    <row r="4" spans="1:16" x14ac:dyDescent="0.25">
      <c r="A4" s="109"/>
      <c r="B4" s="109"/>
      <c r="C4" s="109"/>
      <c r="D4" s="109"/>
      <c r="E4" s="110"/>
      <c r="F4" s="110"/>
      <c r="G4" s="111"/>
      <c r="H4" s="357"/>
      <c r="I4" s="112"/>
      <c r="J4" s="113"/>
      <c r="K4" s="113"/>
      <c r="L4" s="113"/>
      <c r="M4" s="113"/>
      <c r="N4" s="137"/>
    </row>
    <row r="5" spans="1:16" x14ac:dyDescent="0.25">
      <c r="A5" s="67" t="s">
        <v>85</v>
      </c>
      <c r="B5" s="415" t="s">
        <v>107</v>
      </c>
      <c r="C5" s="67">
        <v>20</v>
      </c>
      <c r="D5" s="67">
        <v>360</v>
      </c>
      <c r="E5" s="68">
        <v>41678.13958333333</v>
      </c>
      <c r="F5" s="407">
        <v>41687</v>
      </c>
      <c r="G5" s="416">
        <f>(F5-E5)*24</f>
        <v>212.65000000008149</v>
      </c>
      <c r="H5" s="417">
        <f>G5*(K5-J5)/K5</f>
        <v>212.65000000008149</v>
      </c>
      <c r="I5" s="418">
        <f>H5*L5</f>
        <v>121210.50000004645</v>
      </c>
      <c r="J5" s="420">
        <f>0*75%</f>
        <v>0</v>
      </c>
      <c r="K5" s="420">
        <v>607</v>
      </c>
      <c r="L5" s="420">
        <v>570</v>
      </c>
      <c r="M5" s="384" t="s">
        <v>148</v>
      </c>
      <c r="N5" s="139" t="s">
        <v>284</v>
      </c>
      <c r="O5" s="385"/>
      <c r="P5" s="157"/>
    </row>
    <row r="6" spans="1:16" x14ac:dyDescent="0.25">
      <c r="A6" s="109"/>
      <c r="B6" s="109"/>
      <c r="C6" s="109"/>
      <c r="D6" s="109"/>
      <c r="E6" s="110"/>
      <c r="F6" s="110"/>
      <c r="G6" s="111"/>
      <c r="H6" s="357"/>
      <c r="I6" s="112"/>
      <c r="J6" s="113"/>
      <c r="K6" s="113"/>
      <c r="L6" s="113"/>
      <c r="M6" s="113"/>
      <c r="N6" s="137"/>
    </row>
    <row r="7" spans="1:16" x14ac:dyDescent="0.25">
      <c r="A7" s="67" t="s">
        <v>110</v>
      </c>
      <c r="B7" s="380" t="s">
        <v>95</v>
      </c>
      <c r="C7" s="67">
        <v>6</v>
      </c>
      <c r="D7" s="67">
        <v>1060</v>
      </c>
      <c r="E7" s="68">
        <v>41671.62777777778</v>
      </c>
      <c r="F7" s="68">
        <v>41673.060416666667</v>
      </c>
      <c r="G7" s="381">
        <f t="shared" ref="G7:G38" si="0">(F7-E7)*24</f>
        <v>34.383333333302289</v>
      </c>
      <c r="H7" s="382">
        <f t="shared" ref="H7:H38" si="1">G7*(K7-J7)/K7</f>
        <v>34.383333333302289</v>
      </c>
      <c r="I7" s="383">
        <f t="shared" ref="I7:I38" si="2">H7*L7</f>
        <v>16538.383333318401</v>
      </c>
      <c r="J7" s="384">
        <v>0</v>
      </c>
      <c r="K7" s="384">
        <v>517</v>
      </c>
      <c r="L7" s="384">
        <v>481</v>
      </c>
      <c r="M7" s="384" t="s">
        <v>183</v>
      </c>
      <c r="N7" s="139" t="s">
        <v>213</v>
      </c>
      <c r="O7" s="385"/>
      <c r="P7" s="157"/>
    </row>
    <row r="8" spans="1:16" s="157" customFormat="1" x14ac:dyDescent="0.25">
      <c r="A8" s="67" t="s">
        <v>78</v>
      </c>
      <c r="B8" s="380" t="s">
        <v>95</v>
      </c>
      <c r="C8" s="67">
        <v>57</v>
      </c>
      <c r="D8" s="67">
        <v>1050</v>
      </c>
      <c r="E8" s="68">
        <v>41685.022222222222</v>
      </c>
      <c r="F8" s="407">
        <v>41687</v>
      </c>
      <c r="G8" s="381">
        <f t="shared" si="0"/>
        <v>47.466666666674428</v>
      </c>
      <c r="H8" s="382">
        <f t="shared" si="1"/>
        <v>47.466666666674428</v>
      </c>
      <c r="I8" s="383">
        <f t="shared" si="2"/>
        <v>14192.533333335654</v>
      </c>
      <c r="J8" s="384">
        <v>0</v>
      </c>
      <c r="K8" s="384">
        <v>330</v>
      </c>
      <c r="L8" s="384">
        <v>299</v>
      </c>
      <c r="M8" s="384" t="s">
        <v>163</v>
      </c>
      <c r="N8" s="139" t="s">
        <v>263</v>
      </c>
      <c r="O8" s="385"/>
    </row>
    <row r="9" spans="1:16" x14ac:dyDescent="0.25">
      <c r="A9" s="394" t="s">
        <v>82</v>
      </c>
      <c r="B9" s="394" t="s">
        <v>93</v>
      </c>
      <c r="C9" s="67">
        <v>8</v>
      </c>
      <c r="D9" s="67">
        <v>339</v>
      </c>
      <c r="E9" s="406">
        <v>41671</v>
      </c>
      <c r="F9" s="68">
        <v>41671.670138888891</v>
      </c>
      <c r="G9" s="395">
        <f t="shared" si="0"/>
        <v>16.083333333372138</v>
      </c>
      <c r="H9" s="396">
        <f t="shared" si="1"/>
        <v>16.083333333372138</v>
      </c>
      <c r="I9" s="397">
        <f t="shared" si="2"/>
        <v>6658.5000000160653</v>
      </c>
      <c r="J9" s="384">
        <v>0</v>
      </c>
      <c r="K9" s="384">
        <v>457</v>
      </c>
      <c r="L9" s="384">
        <v>414</v>
      </c>
      <c r="M9" s="384" t="s">
        <v>295</v>
      </c>
      <c r="N9" s="139" t="s">
        <v>181</v>
      </c>
      <c r="O9" s="385"/>
      <c r="P9" s="157"/>
    </row>
    <row r="10" spans="1:16" x14ac:dyDescent="0.25">
      <c r="A10" s="394" t="s">
        <v>87</v>
      </c>
      <c r="B10" s="394" t="s">
        <v>155</v>
      </c>
      <c r="C10" s="67">
        <v>7</v>
      </c>
      <c r="D10" s="67">
        <v>1060</v>
      </c>
      <c r="E10" s="68">
        <v>41677.45208333333</v>
      </c>
      <c r="F10" s="68">
        <v>41679</v>
      </c>
      <c r="G10" s="395">
        <f t="shared" si="0"/>
        <v>37.150000000081491</v>
      </c>
      <c r="H10" s="396">
        <f t="shared" si="1"/>
        <v>37.150000000081491</v>
      </c>
      <c r="I10" s="397">
        <f t="shared" si="2"/>
        <v>6241.2000000136904</v>
      </c>
      <c r="J10" s="384">
        <v>0</v>
      </c>
      <c r="K10" s="384">
        <v>181</v>
      </c>
      <c r="L10" s="384">
        <v>168</v>
      </c>
      <c r="M10" s="384" t="s">
        <v>183</v>
      </c>
      <c r="N10" s="139" t="s">
        <v>206</v>
      </c>
      <c r="O10" s="385"/>
      <c r="P10" s="157"/>
    </row>
    <row r="11" spans="1:16" s="157" customFormat="1" x14ac:dyDescent="0.25">
      <c r="A11" s="67" t="s">
        <v>119</v>
      </c>
      <c r="B11" s="380" t="s">
        <v>95</v>
      </c>
      <c r="C11" s="67">
        <v>11</v>
      </c>
      <c r="D11" s="67">
        <v>1455</v>
      </c>
      <c r="E11" s="406">
        <v>41671</v>
      </c>
      <c r="F11" s="68">
        <v>41671.393055555556</v>
      </c>
      <c r="G11" s="381">
        <f t="shared" si="0"/>
        <v>9.4333333333488554</v>
      </c>
      <c r="H11" s="382">
        <f t="shared" si="1"/>
        <v>9.4333333333488554</v>
      </c>
      <c r="I11" s="383">
        <f t="shared" si="2"/>
        <v>4546.8666666741483</v>
      </c>
      <c r="J11" s="384">
        <v>0</v>
      </c>
      <c r="K11" s="384">
        <v>527</v>
      </c>
      <c r="L11" s="384">
        <v>482</v>
      </c>
      <c r="M11" s="384" t="s">
        <v>296</v>
      </c>
      <c r="N11" s="139" t="s">
        <v>223</v>
      </c>
      <c r="O11" s="385"/>
    </row>
    <row r="12" spans="1:16" x14ac:dyDescent="0.25">
      <c r="A12" s="53" t="s">
        <v>119</v>
      </c>
      <c r="B12" s="372" t="s">
        <v>94</v>
      </c>
      <c r="C12" s="53">
        <v>17</v>
      </c>
      <c r="D12" s="53">
        <v>9510</v>
      </c>
      <c r="E12" s="77">
        <v>41685.916666666664</v>
      </c>
      <c r="F12" s="77">
        <v>41686.544444444444</v>
      </c>
      <c r="G12" s="373">
        <f t="shared" si="0"/>
        <v>15.066666666709352</v>
      </c>
      <c r="H12" s="374">
        <f t="shared" si="1"/>
        <v>9.348766603442046</v>
      </c>
      <c r="I12" s="375">
        <f t="shared" si="2"/>
        <v>4506.1055028590663</v>
      </c>
      <c r="J12" s="91">
        <v>200</v>
      </c>
      <c r="K12" s="91">
        <v>527</v>
      </c>
      <c r="L12" s="91">
        <v>482</v>
      </c>
      <c r="M12" s="91" t="s">
        <v>297</v>
      </c>
      <c r="N12" s="140" t="s">
        <v>227</v>
      </c>
    </row>
    <row r="13" spans="1:16" x14ac:dyDescent="0.25">
      <c r="A13" s="394" t="s">
        <v>87</v>
      </c>
      <c r="B13" s="394" t="s">
        <v>97</v>
      </c>
      <c r="C13" s="67">
        <v>8</v>
      </c>
      <c r="D13" s="67">
        <v>8560</v>
      </c>
      <c r="E13" s="68">
        <v>41679</v>
      </c>
      <c r="F13" s="68">
        <v>41680.008333333331</v>
      </c>
      <c r="G13" s="395">
        <f t="shared" si="0"/>
        <v>24.199999999953434</v>
      </c>
      <c r="H13" s="396">
        <f t="shared" si="1"/>
        <v>24.199999999953434</v>
      </c>
      <c r="I13" s="397">
        <f t="shared" si="2"/>
        <v>4065.5999999921769</v>
      </c>
      <c r="J13" s="384">
        <v>0</v>
      </c>
      <c r="K13" s="384">
        <v>181</v>
      </c>
      <c r="L13" s="384">
        <v>168</v>
      </c>
      <c r="M13" s="384" t="s">
        <v>194</v>
      </c>
      <c r="N13" s="139" t="s">
        <v>203</v>
      </c>
      <c r="O13" s="385"/>
      <c r="P13" s="157"/>
    </row>
    <row r="14" spans="1:16" x14ac:dyDescent="0.25">
      <c r="A14" s="394" t="s">
        <v>81</v>
      </c>
      <c r="B14" s="394" t="s">
        <v>93</v>
      </c>
      <c r="C14" s="67">
        <v>27</v>
      </c>
      <c r="D14" s="67">
        <v>1050</v>
      </c>
      <c r="E14" s="68">
        <v>41677.195833333331</v>
      </c>
      <c r="F14" s="68">
        <v>41678.747916666667</v>
      </c>
      <c r="G14" s="395">
        <f t="shared" si="0"/>
        <v>37.250000000058208</v>
      </c>
      <c r="H14" s="396">
        <f t="shared" si="1"/>
        <v>37.250000000058208</v>
      </c>
      <c r="I14" s="397">
        <f t="shared" si="2"/>
        <v>3650.5000000057044</v>
      </c>
      <c r="J14" s="384">
        <v>0</v>
      </c>
      <c r="K14" s="384">
        <v>105</v>
      </c>
      <c r="L14" s="384">
        <v>98</v>
      </c>
      <c r="M14" s="384" t="s">
        <v>163</v>
      </c>
      <c r="N14" s="139" t="s">
        <v>239</v>
      </c>
      <c r="O14" s="385"/>
      <c r="P14" s="157"/>
    </row>
    <row r="15" spans="1:16" s="157" customFormat="1" x14ac:dyDescent="0.25">
      <c r="A15" s="53" t="s">
        <v>79</v>
      </c>
      <c r="B15" s="53" t="s">
        <v>91</v>
      </c>
      <c r="C15" s="53">
        <v>18</v>
      </c>
      <c r="D15" s="53">
        <v>4261</v>
      </c>
      <c r="E15" s="77">
        <v>41671.888888888891</v>
      </c>
      <c r="F15" s="77">
        <v>41672.368055555555</v>
      </c>
      <c r="G15" s="83">
        <f t="shared" si="0"/>
        <v>11.499999999941792</v>
      </c>
      <c r="H15" s="358">
        <f t="shared" si="1"/>
        <v>7.3181818181447769</v>
      </c>
      <c r="I15" s="78">
        <f t="shared" si="2"/>
        <v>2217.4090908978674</v>
      </c>
      <c r="J15" s="91">
        <v>120</v>
      </c>
      <c r="K15" s="91">
        <v>330</v>
      </c>
      <c r="L15" s="91">
        <v>303</v>
      </c>
      <c r="M15" s="91" t="s">
        <v>298</v>
      </c>
      <c r="N15" s="140" t="s">
        <v>294</v>
      </c>
      <c r="O15" s="79"/>
      <c r="P15" s="52"/>
    </row>
    <row r="16" spans="1:16" s="157" customFormat="1" x14ac:dyDescent="0.25">
      <c r="A16" s="394" t="s">
        <v>78</v>
      </c>
      <c r="B16" s="394" t="s">
        <v>93</v>
      </c>
      <c r="C16" s="67">
        <v>35</v>
      </c>
      <c r="D16" s="67">
        <v>3149</v>
      </c>
      <c r="E16" s="68">
        <v>41671.984027777777</v>
      </c>
      <c r="F16" s="68">
        <v>41672.274305555555</v>
      </c>
      <c r="G16" s="395">
        <f t="shared" si="0"/>
        <v>6.9666666666744277</v>
      </c>
      <c r="H16" s="396">
        <f t="shared" si="1"/>
        <v>6.9666666666744277</v>
      </c>
      <c r="I16" s="397">
        <f t="shared" si="2"/>
        <v>2083.0333333356539</v>
      </c>
      <c r="J16" s="384">
        <v>0</v>
      </c>
      <c r="K16" s="384">
        <v>330</v>
      </c>
      <c r="L16" s="384">
        <v>299</v>
      </c>
      <c r="M16" s="384" t="s">
        <v>185</v>
      </c>
      <c r="N16" s="139" t="s">
        <v>254</v>
      </c>
      <c r="O16" s="385"/>
    </row>
    <row r="17" spans="1:16" x14ac:dyDescent="0.25">
      <c r="A17" s="67" t="s">
        <v>83</v>
      </c>
      <c r="B17" s="380" t="s">
        <v>95</v>
      </c>
      <c r="C17" s="67">
        <v>9</v>
      </c>
      <c r="D17" s="67">
        <v>8100</v>
      </c>
      <c r="E17" s="68">
        <v>41686.479166666664</v>
      </c>
      <c r="F17" s="407">
        <v>41687</v>
      </c>
      <c r="G17" s="381">
        <f t="shared" si="0"/>
        <v>12.500000000058208</v>
      </c>
      <c r="H17" s="382">
        <f t="shared" si="1"/>
        <v>12.500000000058208</v>
      </c>
      <c r="I17" s="383">
        <f t="shared" si="2"/>
        <v>1937.5000000090222</v>
      </c>
      <c r="J17" s="384">
        <v>0</v>
      </c>
      <c r="K17" s="384">
        <v>168</v>
      </c>
      <c r="L17" s="384">
        <v>155</v>
      </c>
      <c r="M17" s="384" t="s">
        <v>299</v>
      </c>
      <c r="N17" s="139" t="s">
        <v>204</v>
      </c>
      <c r="O17" s="385"/>
      <c r="P17" s="157"/>
    </row>
    <row r="18" spans="1:16" x14ac:dyDescent="0.25">
      <c r="A18" s="53" t="s">
        <v>110</v>
      </c>
      <c r="B18" s="53" t="s">
        <v>91</v>
      </c>
      <c r="C18" s="53">
        <v>8</v>
      </c>
      <c r="D18" s="53">
        <v>250</v>
      </c>
      <c r="E18" s="77">
        <v>41679.680555555555</v>
      </c>
      <c r="F18" s="77">
        <v>41679.821527777778</v>
      </c>
      <c r="G18" s="83">
        <f t="shared" si="0"/>
        <v>3.3833333333604969</v>
      </c>
      <c r="H18" s="358">
        <f t="shared" si="1"/>
        <v>2.9448742746851519</v>
      </c>
      <c r="I18" s="78">
        <f t="shared" si="2"/>
        <v>1416.484526123558</v>
      </c>
      <c r="J18" s="91">
        <v>67</v>
      </c>
      <c r="K18" s="91">
        <v>517</v>
      </c>
      <c r="L18" s="91">
        <v>481</v>
      </c>
      <c r="M18" s="91" t="s">
        <v>147</v>
      </c>
      <c r="N18" s="140" t="s">
        <v>215</v>
      </c>
    </row>
    <row r="19" spans="1:16" x14ac:dyDescent="0.25">
      <c r="A19" s="53" t="s">
        <v>119</v>
      </c>
      <c r="B19" s="53" t="s">
        <v>91</v>
      </c>
      <c r="C19" s="53">
        <v>14</v>
      </c>
      <c r="D19" s="53">
        <v>9650</v>
      </c>
      <c r="E19" s="77">
        <v>41675.625</v>
      </c>
      <c r="F19" s="77">
        <v>41675.826388888891</v>
      </c>
      <c r="G19" s="83">
        <f t="shared" si="0"/>
        <v>4.8333333333721384</v>
      </c>
      <c r="H19" s="358">
        <f t="shared" si="1"/>
        <v>2.9256799494226038</v>
      </c>
      <c r="I19" s="78">
        <f t="shared" si="2"/>
        <v>1410.1777356216951</v>
      </c>
      <c r="J19" s="91">
        <v>208</v>
      </c>
      <c r="K19" s="91">
        <v>527</v>
      </c>
      <c r="L19" s="91">
        <v>482</v>
      </c>
      <c r="M19" s="91" t="s">
        <v>159</v>
      </c>
      <c r="N19" s="140" t="s">
        <v>225</v>
      </c>
    </row>
    <row r="20" spans="1:16" x14ac:dyDescent="0.25">
      <c r="A20" s="53" t="s">
        <v>76</v>
      </c>
      <c r="B20" s="53" t="s">
        <v>91</v>
      </c>
      <c r="C20" s="53">
        <v>20</v>
      </c>
      <c r="D20" s="53">
        <v>250</v>
      </c>
      <c r="E20" s="77">
        <v>41677.751388888886</v>
      </c>
      <c r="F20" s="77">
        <v>41678.229166666664</v>
      </c>
      <c r="G20" s="83">
        <f t="shared" si="0"/>
        <v>11.466666666674428</v>
      </c>
      <c r="H20" s="358">
        <f t="shared" si="1"/>
        <v>2.6357030015815628</v>
      </c>
      <c r="I20" s="78">
        <f t="shared" si="2"/>
        <v>1033.1955766199726</v>
      </c>
      <c r="J20" s="91">
        <v>325</v>
      </c>
      <c r="K20" s="91">
        <v>422</v>
      </c>
      <c r="L20" s="91">
        <v>392</v>
      </c>
      <c r="M20" s="91" t="s">
        <v>147</v>
      </c>
      <c r="N20" s="140" t="s">
        <v>264</v>
      </c>
    </row>
    <row r="21" spans="1:16" x14ac:dyDescent="0.25">
      <c r="A21" s="53" t="s">
        <v>119</v>
      </c>
      <c r="B21" s="53" t="s">
        <v>91</v>
      </c>
      <c r="C21" s="53">
        <v>16</v>
      </c>
      <c r="D21" s="53">
        <v>9650</v>
      </c>
      <c r="E21" s="77">
        <v>41685.473611111112</v>
      </c>
      <c r="F21" s="77">
        <v>41685.619444444441</v>
      </c>
      <c r="G21" s="83">
        <f t="shared" si="0"/>
        <v>3.4999999998835847</v>
      </c>
      <c r="H21" s="358">
        <f t="shared" si="1"/>
        <v>2.0721062617906609</v>
      </c>
      <c r="I21" s="78">
        <f t="shared" si="2"/>
        <v>998.75521818309858</v>
      </c>
      <c r="J21" s="91">
        <v>215</v>
      </c>
      <c r="K21" s="91">
        <v>527</v>
      </c>
      <c r="L21" s="91">
        <v>482</v>
      </c>
      <c r="M21" s="91" t="s">
        <v>159</v>
      </c>
      <c r="N21" s="140" t="s">
        <v>226</v>
      </c>
    </row>
    <row r="22" spans="1:16" x14ac:dyDescent="0.25">
      <c r="A22" s="53" t="s">
        <v>76</v>
      </c>
      <c r="B22" s="53" t="s">
        <v>91</v>
      </c>
      <c r="C22" s="53">
        <v>23</v>
      </c>
      <c r="D22" s="53">
        <v>310</v>
      </c>
      <c r="E22" s="77">
        <v>41679.911111111112</v>
      </c>
      <c r="F22" s="77">
        <v>41680.331944444442</v>
      </c>
      <c r="G22" s="83">
        <f t="shared" si="0"/>
        <v>10.099999999918509</v>
      </c>
      <c r="H22" s="358">
        <f t="shared" si="1"/>
        <v>2.441232227468455</v>
      </c>
      <c r="I22" s="78">
        <f t="shared" si="2"/>
        <v>956.96303316763442</v>
      </c>
      <c r="J22" s="91">
        <v>320</v>
      </c>
      <c r="K22" s="91">
        <v>422</v>
      </c>
      <c r="L22" s="91">
        <v>392</v>
      </c>
      <c r="M22" s="91" t="s">
        <v>150</v>
      </c>
      <c r="N22" s="140" t="s">
        <v>266</v>
      </c>
    </row>
    <row r="23" spans="1:16" x14ac:dyDescent="0.25">
      <c r="A23" s="53" t="s">
        <v>83</v>
      </c>
      <c r="B23" s="53" t="s">
        <v>91</v>
      </c>
      <c r="C23" s="53">
        <v>8</v>
      </c>
      <c r="D23" s="53">
        <v>8560</v>
      </c>
      <c r="E23" s="77">
        <v>41679</v>
      </c>
      <c r="F23" s="77">
        <v>41679.487500000003</v>
      </c>
      <c r="G23" s="83">
        <f t="shared" si="0"/>
        <v>11.700000000069849</v>
      </c>
      <c r="H23" s="358">
        <f t="shared" si="1"/>
        <v>6.1285714286080166</v>
      </c>
      <c r="I23" s="78">
        <f t="shared" si="2"/>
        <v>949.9285714342426</v>
      </c>
      <c r="J23" s="91">
        <v>80</v>
      </c>
      <c r="K23" s="91">
        <v>168</v>
      </c>
      <c r="L23" s="91">
        <v>155</v>
      </c>
      <c r="M23" s="91" t="s">
        <v>194</v>
      </c>
      <c r="N23" s="140" t="s">
        <v>203</v>
      </c>
    </row>
    <row r="24" spans="1:16" s="157" customFormat="1" x14ac:dyDescent="0.25">
      <c r="A24" s="53" t="s">
        <v>100</v>
      </c>
      <c r="B24" s="390" t="s">
        <v>93</v>
      </c>
      <c r="C24" s="53">
        <v>7</v>
      </c>
      <c r="D24" s="53">
        <v>250</v>
      </c>
      <c r="E24" s="77">
        <v>41679.160416666666</v>
      </c>
      <c r="F24" s="77">
        <v>41679.234722222223</v>
      </c>
      <c r="G24" s="391">
        <f t="shared" si="0"/>
        <v>1.78333333338378</v>
      </c>
      <c r="H24" s="392">
        <f t="shared" si="1"/>
        <v>1.78333333338378</v>
      </c>
      <c r="I24" s="393">
        <f t="shared" si="2"/>
        <v>875.61666669143597</v>
      </c>
      <c r="J24" s="91">
        <v>0</v>
      </c>
      <c r="K24" s="91">
        <v>534</v>
      </c>
      <c r="L24" s="91">
        <v>491</v>
      </c>
      <c r="M24" s="91" t="s">
        <v>147</v>
      </c>
      <c r="N24" s="140" t="s">
        <v>229</v>
      </c>
      <c r="O24" s="79"/>
      <c r="P24" s="52"/>
    </row>
    <row r="25" spans="1:16" x14ac:dyDescent="0.25">
      <c r="A25" s="53" t="s">
        <v>77</v>
      </c>
      <c r="B25" s="53" t="s">
        <v>91</v>
      </c>
      <c r="C25" s="53">
        <v>18</v>
      </c>
      <c r="D25" s="53">
        <v>1710</v>
      </c>
      <c r="E25" s="77">
        <v>41674.604166666664</v>
      </c>
      <c r="F25" s="405">
        <v>41687</v>
      </c>
      <c r="G25" s="83">
        <f t="shared" si="0"/>
        <v>297.50000000005821</v>
      </c>
      <c r="H25" s="358">
        <f t="shared" si="1"/>
        <v>1.7130518234168419</v>
      </c>
      <c r="I25" s="78">
        <f t="shared" si="2"/>
        <v>823.97792706350094</v>
      </c>
      <c r="J25" s="91">
        <v>518</v>
      </c>
      <c r="K25" s="91">
        <v>521</v>
      </c>
      <c r="L25" s="91">
        <v>481</v>
      </c>
      <c r="M25" s="91" t="s">
        <v>187</v>
      </c>
      <c r="N25" s="140" t="s">
        <v>273</v>
      </c>
    </row>
    <row r="26" spans="1:16" x14ac:dyDescent="0.25">
      <c r="A26" s="53" t="s">
        <v>78</v>
      </c>
      <c r="B26" s="89" t="s">
        <v>92</v>
      </c>
      <c r="C26" s="53">
        <v>38</v>
      </c>
      <c r="D26" s="53">
        <v>310</v>
      </c>
      <c r="E26" s="77">
        <v>41672.916666666664</v>
      </c>
      <c r="F26" s="77">
        <v>41673.267361111109</v>
      </c>
      <c r="G26" s="122">
        <f t="shared" si="0"/>
        <v>8.4166666666860692</v>
      </c>
      <c r="H26" s="363">
        <f t="shared" si="1"/>
        <v>2.2954545454598372</v>
      </c>
      <c r="I26" s="123">
        <f t="shared" si="2"/>
        <v>686.3409090924913</v>
      </c>
      <c r="J26" s="91">
        <v>240</v>
      </c>
      <c r="K26" s="91">
        <v>330</v>
      </c>
      <c r="L26" s="91">
        <v>299</v>
      </c>
      <c r="M26" s="91" t="s">
        <v>150</v>
      </c>
      <c r="N26" s="140" t="s">
        <v>256</v>
      </c>
    </row>
    <row r="27" spans="1:16" x14ac:dyDescent="0.25">
      <c r="A27" s="53" t="s">
        <v>78</v>
      </c>
      <c r="B27" s="53" t="s">
        <v>91</v>
      </c>
      <c r="C27" s="53">
        <v>56</v>
      </c>
      <c r="D27" s="53">
        <v>1160</v>
      </c>
      <c r="E27" s="77">
        <v>41684.475694444445</v>
      </c>
      <c r="F27" s="77">
        <v>41685.022222222222</v>
      </c>
      <c r="G27" s="83">
        <f t="shared" si="0"/>
        <v>13.116666666639503</v>
      </c>
      <c r="H27" s="358">
        <f t="shared" si="1"/>
        <v>2.1861111111065838</v>
      </c>
      <c r="I27" s="78">
        <f t="shared" si="2"/>
        <v>653.64722222086857</v>
      </c>
      <c r="J27" s="91">
        <v>275</v>
      </c>
      <c r="K27" s="91">
        <v>330</v>
      </c>
      <c r="L27" s="91">
        <v>299</v>
      </c>
      <c r="M27" s="91" t="s">
        <v>169</v>
      </c>
      <c r="N27" s="140" t="s">
        <v>246</v>
      </c>
      <c r="O27" s="52"/>
    </row>
    <row r="28" spans="1:16" x14ac:dyDescent="0.25">
      <c r="A28" s="53" t="s">
        <v>89</v>
      </c>
      <c r="B28" s="53" t="s">
        <v>91</v>
      </c>
      <c r="C28" s="53">
        <v>9</v>
      </c>
      <c r="D28" s="53">
        <v>8560</v>
      </c>
      <c r="E28" s="77">
        <v>41679</v>
      </c>
      <c r="F28" s="77">
        <v>41679.284722222219</v>
      </c>
      <c r="G28" s="83">
        <f t="shared" si="0"/>
        <v>6.8333333332557231</v>
      </c>
      <c r="H28" s="358">
        <f t="shared" si="1"/>
        <v>2.5134099616572776</v>
      </c>
      <c r="I28" s="78">
        <f t="shared" si="2"/>
        <v>603.21839079774668</v>
      </c>
      <c r="J28" s="91">
        <v>165</v>
      </c>
      <c r="K28" s="91">
        <v>261</v>
      </c>
      <c r="L28" s="91">
        <v>240</v>
      </c>
      <c r="M28" s="91" t="s">
        <v>194</v>
      </c>
      <c r="N28" s="140" t="s">
        <v>203</v>
      </c>
    </row>
    <row r="29" spans="1:16" x14ac:dyDescent="0.25">
      <c r="A29" s="53" t="s">
        <v>82</v>
      </c>
      <c r="B29" s="372" t="s">
        <v>94</v>
      </c>
      <c r="C29" s="53">
        <v>9</v>
      </c>
      <c r="D29" s="53">
        <v>3412</v>
      </c>
      <c r="E29" s="77">
        <v>41674.916666666664</v>
      </c>
      <c r="F29" s="77">
        <v>41675.077777777777</v>
      </c>
      <c r="G29" s="373">
        <f t="shared" si="0"/>
        <v>3.8666666666977108</v>
      </c>
      <c r="H29" s="374">
        <f t="shared" si="1"/>
        <v>1.2437636761587822</v>
      </c>
      <c r="I29" s="375">
        <f t="shared" si="2"/>
        <v>514.9181619297359</v>
      </c>
      <c r="J29" s="91">
        <v>310</v>
      </c>
      <c r="K29" s="91">
        <v>457</v>
      </c>
      <c r="L29" s="91">
        <v>414</v>
      </c>
      <c r="M29" s="91" t="s">
        <v>188</v>
      </c>
      <c r="N29" s="140" t="s">
        <v>189</v>
      </c>
    </row>
    <row r="30" spans="1:16" x14ac:dyDescent="0.25">
      <c r="A30" s="53" t="s">
        <v>76</v>
      </c>
      <c r="B30" s="53" t="s">
        <v>91</v>
      </c>
      <c r="C30" s="53">
        <v>22</v>
      </c>
      <c r="D30" s="53">
        <v>360</v>
      </c>
      <c r="E30" s="77">
        <v>41679.451388888891</v>
      </c>
      <c r="F30" s="77">
        <v>41679.691666666666</v>
      </c>
      <c r="G30" s="83">
        <f t="shared" si="0"/>
        <v>5.7666666666045785</v>
      </c>
      <c r="H30" s="358">
        <f t="shared" si="1"/>
        <v>1.2571879936673489</v>
      </c>
      <c r="I30" s="78">
        <f t="shared" si="2"/>
        <v>492.81769351760079</v>
      </c>
      <c r="J30" s="91">
        <v>330</v>
      </c>
      <c r="K30" s="91">
        <v>422</v>
      </c>
      <c r="L30" s="91">
        <v>392</v>
      </c>
      <c r="M30" s="91" t="s">
        <v>148</v>
      </c>
      <c r="N30" s="140" t="s">
        <v>265</v>
      </c>
    </row>
    <row r="31" spans="1:16" x14ac:dyDescent="0.25">
      <c r="A31" s="53" t="s">
        <v>78</v>
      </c>
      <c r="B31" s="53" t="s">
        <v>91</v>
      </c>
      <c r="C31" s="53">
        <v>37</v>
      </c>
      <c r="D31" s="53">
        <v>1850</v>
      </c>
      <c r="E31" s="77">
        <v>41672.59375</v>
      </c>
      <c r="F31" s="77">
        <v>41672.916666666664</v>
      </c>
      <c r="G31" s="83">
        <f t="shared" si="0"/>
        <v>7.7499999999417923</v>
      </c>
      <c r="H31" s="358">
        <f t="shared" si="1"/>
        <v>1.6439393939270468</v>
      </c>
      <c r="I31" s="78">
        <f t="shared" si="2"/>
        <v>491.537878784187</v>
      </c>
      <c r="J31" s="91">
        <v>260</v>
      </c>
      <c r="K31" s="91">
        <v>330</v>
      </c>
      <c r="L31" s="91">
        <v>299</v>
      </c>
      <c r="M31" s="91" t="s">
        <v>149</v>
      </c>
      <c r="N31" s="140" t="s">
        <v>165</v>
      </c>
    </row>
    <row r="32" spans="1:16" x14ac:dyDescent="0.25">
      <c r="A32" s="53" t="s">
        <v>79</v>
      </c>
      <c r="B32" s="53" t="s">
        <v>91</v>
      </c>
      <c r="C32" s="53">
        <v>23</v>
      </c>
      <c r="D32" s="53">
        <v>1160</v>
      </c>
      <c r="E32" s="77">
        <v>41678.352083333331</v>
      </c>
      <c r="F32" s="77">
        <v>41678.628472222219</v>
      </c>
      <c r="G32" s="83">
        <f t="shared" si="0"/>
        <v>6.6333333333022892</v>
      </c>
      <c r="H32" s="358">
        <f t="shared" si="1"/>
        <v>1.6080808080732822</v>
      </c>
      <c r="I32" s="78">
        <f t="shared" si="2"/>
        <v>487.24848484620452</v>
      </c>
      <c r="J32" s="91">
        <v>250</v>
      </c>
      <c r="K32" s="91">
        <v>330</v>
      </c>
      <c r="L32" s="91">
        <v>303</v>
      </c>
      <c r="M32" s="91" t="s">
        <v>169</v>
      </c>
      <c r="N32" s="140" t="s">
        <v>246</v>
      </c>
      <c r="O32" s="52"/>
    </row>
    <row r="33" spans="1:16" x14ac:dyDescent="0.25">
      <c r="A33" s="53" t="s">
        <v>78</v>
      </c>
      <c r="B33" s="89" t="s">
        <v>92</v>
      </c>
      <c r="C33" s="53">
        <v>42</v>
      </c>
      <c r="D33" s="53">
        <v>310</v>
      </c>
      <c r="E33" s="77">
        <v>41674.958333333336</v>
      </c>
      <c r="F33" s="77">
        <v>41675.197916666664</v>
      </c>
      <c r="G33" s="122">
        <f t="shared" si="0"/>
        <v>5.7499999998835847</v>
      </c>
      <c r="H33" s="363">
        <f t="shared" si="1"/>
        <v>1.5681818181500686</v>
      </c>
      <c r="I33" s="123">
        <f t="shared" si="2"/>
        <v>468.88636362687055</v>
      </c>
      <c r="J33" s="91">
        <v>240</v>
      </c>
      <c r="K33" s="91">
        <v>330</v>
      </c>
      <c r="L33" s="91">
        <v>299</v>
      </c>
      <c r="M33" s="91" t="s">
        <v>150</v>
      </c>
      <c r="N33" s="140" t="s">
        <v>259</v>
      </c>
      <c r="O33" s="52"/>
    </row>
    <row r="34" spans="1:16" s="157" customFormat="1" x14ac:dyDescent="0.25">
      <c r="A34" s="53" t="s">
        <v>77</v>
      </c>
      <c r="B34" s="89" t="s">
        <v>92</v>
      </c>
      <c r="C34" s="53">
        <v>16</v>
      </c>
      <c r="D34" s="53">
        <v>310</v>
      </c>
      <c r="E34" s="77">
        <v>41672.958333333336</v>
      </c>
      <c r="F34" s="77">
        <v>41673.163194444445</v>
      </c>
      <c r="G34" s="122">
        <f t="shared" si="0"/>
        <v>4.9166666666278616</v>
      </c>
      <c r="H34" s="363">
        <f t="shared" si="1"/>
        <v>0.953134996793501</v>
      </c>
      <c r="I34" s="123">
        <f t="shared" si="2"/>
        <v>458.45793345767396</v>
      </c>
      <c r="J34" s="91">
        <v>420</v>
      </c>
      <c r="K34" s="91">
        <v>521</v>
      </c>
      <c r="L34" s="91">
        <v>481</v>
      </c>
      <c r="M34" s="91" t="s">
        <v>150</v>
      </c>
      <c r="N34" s="140" t="s">
        <v>271</v>
      </c>
      <c r="O34" s="79"/>
      <c r="P34" s="52"/>
    </row>
    <row r="35" spans="1:16" x14ac:dyDescent="0.25">
      <c r="A35" s="53" t="s">
        <v>76</v>
      </c>
      <c r="B35" s="89" t="s">
        <v>92</v>
      </c>
      <c r="C35" s="53">
        <v>24</v>
      </c>
      <c r="D35" s="53">
        <v>250</v>
      </c>
      <c r="E35" s="77">
        <v>41680.458333333336</v>
      </c>
      <c r="F35" s="77">
        <v>41680.670138888891</v>
      </c>
      <c r="G35" s="122">
        <f t="shared" si="0"/>
        <v>5.0833333333139308</v>
      </c>
      <c r="H35" s="363">
        <f t="shared" si="1"/>
        <v>1.1082148499167812</v>
      </c>
      <c r="I35" s="123">
        <f t="shared" si="2"/>
        <v>434.42022116737826</v>
      </c>
      <c r="J35" s="91">
        <v>330</v>
      </c>
      <c r="K35" s="91">
        <v>422</v>
      </c>
      <c r="L35" s="91">
        <v>392</v>
      </c>
      <c r="M35" s="91" t="s">
        <v>147</v>
      </c>
      <c r="N35" s="140" t="s">
        <v>267</v>
      </c>
    </row>
    <row r="36" spans="1:16" x14ac:dyDescent="0.25">
      <c r="A36" s="53" t="s">
        <v>78</v>
      </c>
      <c r="B36" s="89" t="s">
        <v>92</v>
      </c>
      <c r="C36" s="53">
        <v>41</v>
      </c>
      <c r="D36" s="53">
        <v>310</v>
      </c>
      <c r="E36" s="77">
        <v>41673.958333333336</v>
      </c>
      <c r="F36" s="77">
        <v>41674.177083333336</v>
      </c>
      <c r="G36" s="122">
        <f t="shared" si="0"/>
        <v>5.25</v>
      </c>
      <c r="H36" s="363">
        <f t="shared" si="1"/>
        <v>1.4318181818181819</v>
      </c>
      <c r="I36" s="123">
        <f t="shared" si="2"/>
        <v>428.11363636363637</v>
      </c>
      <c r="J36" s="91">
        <v>240</v>
      </c>
      <c r="K36" s="91">
        <v>330</v>
      </c>
      <c r="L36" s="91">
        <v>299</v>
      </c>
      <c r="M36" s="91" t="s">
        <v>150</v>
      </c>
      <c r="N36" s="140" t="s">
        <v>258</v>
      </c>
      <c r="O36" s="52"/>
    </row>
    <row r="37" spans="1:16" x14ac:dyDescent="0.25">
      <c r="A37" s="53" t="s">
        <v>79</v>
      </c>
      <c r="B37" s="89" t="s">
        <v>92</v>
      </c>
      <c r="C37" s="53">
        <v>34</v>
      </c>
      <c r="D37" s="53">
        <v>310</v>
      </c>
      <c r="E37" s="77">
        <v>41683.916666666664</v>
      </c>
      <c r="F37" s="77">
        <v>41684.125</v>
      </c>
      <c r="G37" s="122">
        <f t="shared" si="0"/>
        <v>5.0000000000582077</v>
      </c>
      <c r="H37" s="363">
        <f t="shared" si="1"/>
        <v>1.3636363636522384</v>
      </c>
      <c r="I37" s="123">
        <f t="shared" si="2"/>
        <v>413.18181818662822</v>
      </c>
      <c r="J37" s="91">
        <v>240</v>
      </c>
      <c r="K37" s="91">
        <v>330</v>
      </c>
      <c r="L37" s="91">
        <v>303</v>
      </c>
      <c r="M37" s="91" t="s">
        <v>150</v>
      </c>
      <c r="N37" s="140" t="s">
        <v>171</v>
      </c>
      <c r="O37" s="52"/>
    </row>
    <row r="38" spans="1:16" x14ac:dyDescent="0.25">
      <c r="A38" s="53" t="s">
        <v>110</v>
      </c>
      <c r="B38" s="372" t="s">
        <v>94</v>
      </c>
      <c r="C38" s="53">
        <v>9</v>
      </c>
      <c r="D38" s="53">
        <v>250</v>
      </c>
      <c r="E38" s="77">
        <v>41680.375</v>
      </c>
      <c r="F38" s="77">
        <v>41680.647916666669</v>
      </c>
      <c r="G38" s="373">
        <f t="shared" si="0"/>
        <v>6.5500000000465661</v>
      </c>
      <c r="H38" s="374">
        <f t="shared" si="1"/>
        <v>0.84883945841996122</v>
      </c>
      <c r="I38" s="375">
        <f t="shared" si="2"/>
        <v>408.29177950000133</v>
      </c>
      <c r="J38" s="91">
        <v>450</v>
      </c>
      <c r="K38" s="91">
        <v>517</v>
      </c>
      <c r="L38" s="91">
        <v>481</v>
      </c>
      <c r="M38" s="91" t="s">
        <v>147</v>
      </c>
      <c r="N38" s="140" t="s">
        <v>216</v>
      </c>
    </row>
    <row r="39" spans="1:16" x14ac:dyDescent="0.25">
      <c r="A39" s="53" t="s">
        <v>77</v>
      </c>
      <c r="B39" s="53" t="s">
        <v>91</v>
      </c>
      <c r="C39" s="53">
        <v>17</v>
      </c>
      <c r="D39" s="53">
        <v>360</v>
      </c>
      <c r="E39" s="77">
        <v>41673.163194444445</v>
      </c>
      <c r="F39" s="77">
        <v>41673.255555555559</v>
      </c>
      <c r="G39" s="83">
        <f t="shared" ref="G39:G70" si="3">(F39-E39)*24</f>
        <v>2.2166666667326353</v>
      </c>
      <c r="H39" s="358">
        <f t="shared" ref="H39:H70" si="4">G39*(K39-J39)/K39</f>
        <v>0.81263595651810627</v>
      </c>
      <c r="I39" s="78">
        <f t="shared" ref="I39:I70" si="5">H39*L39</f>
        <v>390.8778950852091</v>
      </c>
      <c r="J39" s="91">
        <v>330</v>
      </c>
      <c r="K39" s="91">
        <v>521</v>
      </c>
      <c r="L39" s="91">
        <v>481</v>
      </c>
      <c r="M39" s="91" t="s">
        <v>148</v>
      </c>
      <c r="N39" s="140" t="s">
        <v>272</v>
      </c>
    </row>
    <row r="40" spans="1:16" x14ac:dyDescent="0.25">
      <c r="A40" s="53" t="s">
        <v>78</v>
      </c>
      <c r="B40" s="53" t="s">
        <v>91</v>
      </c>
      <c r="C40" s="53">
        <v>48</v>
      </c>
      <c r="D40" s="53">
        <v>1160</v>
      </c>
      <c r="E40" s="77">
        <v>41678.229166666664</v>
      </c>
      <c r="F40" s="77">
        <v>41678.315972222219</v>
      </c>
      <c r="G40" s="83">
        <f t="shared" si="3"/>
        <v>2.0833333333139308</v>
      </c>
      <c r="H40" s="358">
        <f t="shared" si="4"/>
        <v>1.1994949494837783</v>
      </c>
      <c r="I40" s="78">
        <f t="shared" si="5"/>
        <v>358.64898989564972</v>
      </c>
      <c r="J40" s="91">
        <v>140</v>
      </c>
      <c r="K40" s="91">
        <v>330</v>
      </c>
      <c r="L40" s="91">
        <v>299</v>
      </c>
      <c r="M40" s="91" t="s">
        <v>169</v>
      </c>
      <c r="N40" s="140" t="s">
        <v>172</v>
      </c>
      <c r="O40" s="52"/>
    </row>
    <row r="41" spans="1:16" x14ac:dyDescent="0.25">
      <c r="A41" s="53" t="s">
        <v>89</v>
      </c>
      <c r="B41" s="53" t="s">
        <v>91</v>
      </c>
      <c r="C41" s="53">
        <v>12</v>
      </c>
      <c r="D41" s="53">
        <v>250</v>
      </c>
      <c r="E41" s="77">
        <v>41686.20416666667</v>
      </c>
      <c r="F41" s="77">
        <v>41686.511805555558</v>
      </c>
      <c r="G41" s="83">
        <f t="shared" si="3"/>
        <v>7.3833333333022892</v>
      </c>
      <c r="H41" s="358">
        <f t="shared" si="4"/>
        <v>1.442720306507344</v>
      </c>
      <c r="I41" s="78">
        <f t="shared" si="5"/>
        <v>346.25287356176256</v>
      </c>
      <c r="J41" s="91">
        <v>210</v>
      </c>
      <c r="K41" s="91">
        <v>261</v>
      </c>
      <c r="L41" s="91">
        <v>240</v>
      </c>
      <c r="M41" s="91" t="s">
        <v>147</v>
      </c>
      <c r="N41" s="140" t="s">
        <v>212</v>
      </c>
    </row>
    <row r="42" spans="1:16" x14ac:dyDescent="0.25">
      <c r="A42" s="53" t="s">
        <v>81</v>
      </c>
      <c r="B42" s="53" t="s">
        <v>91</v>
      </c>
      <c r="C42" s="53">
        <v>26</v>
      </c>
      <c r="D42" s="53">
        <v>338</v>
      </c>
      <c r="E42" s="77">
        <v>41674.926388888889</v>
      </c>
      <c r="F42" s="77">
        <v>41675.496527777781</v>
      </c>
      <c r="G42" s="83">
        <f t="shared" si="3"/>
        <v>13.683333333407063</v>
      </c>
      <c r="H42" s="358">
        <f t="shared" si="4"/>
        <v>3.2579365079540628</v>
      </c>
      <c r="I42" s="78">
        <f t="shared" si="5"/>
        <v>319.27777777949814</v>
      </c>
      <c r="J42" s="91">
        <v>80</v>
      </c>
      <c r="K42" s="91">
        <v>105</v>
      </c>
      <c r="L42" s="91">
        <v>98</v>
      </c>
      <c r="M42" s="91" t="s">
        <v>190</v>
      </c>
      <c r="N42" s="140" t="s">
        <v>238</v>
      </c>
    </row>
    <row r="43" spans="1:16" x14ac:dyDescent="0.25">
      <c r="A43" s="53" t="s">
        <v>87</v>
      </c>
      <c r="B43" s="89" t="s">
        <v>92</v>
      </c>
      <c r="C43" s="53">
        <v>6</v>
      </c>
      <c r="D43" s="53">
        <v>344</v>
      </c>
      <c r="E43" s="77">
        <v>41674.958333333336</v>
      </c>
      <c r="F43" s="77">
        <v>41675.208333333336</v>
      </c>
      <c r="G43" s="122">
        <f t="shared" si="3"/>
        <v>6</v>
      </c>
      <c r="H43" s="363">
        <f t="shared" si="4"/>
        <v>1.8563535911602209</v>
      </c>
      <c r="I43" s="123">
        <f t="shared" si="5"/>
        <v>311.86740331491711</v>
      </c>
      <c r="J43" s="91">
        <v>125</v>
      </c>
      <c r="K43" s="91">
        <v>181</v>
      </c>
      <c r="L43" s="91">
        <v>168</v>
      </c>
      <c r="M43" s="91" t="s">
        <v>166</v>
      </c>
      <c r="N43" s="140" t="s">
        <v>205</v>
      </c>
    </row>
    <row r="44" spans="1:16" x14ac:dyDescent="0.25">
      <c r="A44" s="53" t="s">
        <v>118</v>
      </c>
      <c r="B44" s="53" t="s">
        <v>91</v>
      </c>
      <c r="C44" s="53">
        <v>10</v>
      </c>
      <c r="D44" s="53">
        <v>250</v>
      </c>
      <c r="E44" s="77">
        <v>41685.138888888891</v>
      </c>
      <c r="F44" s="77">
        <v>41685.416666666664</v>
      </c>
      <c r="G44" s="83">
        <f t="shared" si="3"/>
        <v>6.6666666665696539</v>
      </c>
      <c r="H44" s="358">
        <f t="shared" si="4"/>
        <v>0.64178127045562483</v>
      </c>
      <c r="I44" s="78">
        <f t="shared" si="5"/>
        <v>306.12966600733307</v>
      </c>
      <c r="J44" s="91">
        <v>460</v>
      </c>
      <c r="K44" s="91">
        <v>509</v>
      </c>
      <c r="L44" s="91">
        <v>477</v>
      </c>
      <c r="M44" s="91" t="s">
        <v>147</v>
      </c>
      <c r="N44" s="140" t="s">
        <v>222</v>
      </c>
    </row>
    <row r="45" spans="1:16" x14ac:dyDescent="0.25">
      <c r="A45" s="53" t="s">
        <v>87</v>
      </c>
      <c r="B45" s="89" t="s">
        <v>92</v>
      </c>
      <c r="C45" s="53">
        <v>4</v>
      </c>
      <c r="D45" s="53">
        <v>344</v>
      </c>
      <c r="E45" s="77">
        <v>41672.958333333336</v>
      </c>
      <c r="F45" s="77">
        <v>41673.201388888891</v>
      </c>
      <c r="G45" s="122">
        <f t="shared" si="3"/>
        <v>5.8333333333139308</v>
      </c>
      <c r="H45" s="363">
        <f t="shared" si="4"/>
        <v>1.8047882136219897</v>
      </c>
      <c r="I45" s="123">
        <f t="shared" si="5"/>
        <v>303.20441988849427</v>
      </c>
      <c r="J45" s="91">
        <v>125</v>
      </c>
      <c r="K45" s="91">
        <v>181</v>
      </c>
      <c r="L45" s="91">
        <v>168</v>
      </c>
      <c r="M45" s="91" t="s">
        <v>166</v>
      </c>
      <c r="N45" s="140" t="s">
        <v>205</v>
      </c>
    </row>
    <row r="46" spans="1:16" x14ac:dyDescent="0.25">
      <c r="A46" s="53" t="s">
        <v>99</v>
      </c>
      <c r="B46" s="53" t="s">
        <v>91</v>
      </c>
      <c r="C46" s="53">
        <v>4</v>
      </c>
      <c r="D46" s="53">
        <v>310</v>
      </c>
      <c r="E46" s="77">
        <v>41681.836111111108</v>
      </c>
      <c r="F46" s="77">
        <v>41682.095138888886</v>
      </c>
      <c r="G46" s="83">
        <f t="shared" si="3"/>
        <v>6.2166666666744277</v>
      </c>
      <c r="H46" s="358">
        <f t="shared" si="4"/>
        <v>1.7268518518540077</v>
      </c>
      <c r="I46" s="78">
        <f t="shared" si="5"/>
        <v>290.11111111147329</v>
      </c>
      <c r="J46" s="91">
        <v>130</v>
      </c>
      <c r="K46" s="91">
        <v>180</v>
      </c>
      <c r="L46" s="91">
        <v>168</v>
      </c>
      <c r="M46" s="91" t="s">
        <v>150</v>
      </c>
      <c r="N46" s="140" t="s">
        <v>198</v>
      </c>
    </row>
    <row r="47" spans="1:16" x14ac:dyDescent="0.25">
      <c r="A47" s="53" t="s">
        <v>100</v>
      </c>
      <c r="B47" s="372" t="s">
        <v>94</v>
      </c>
      <c r="C47" s="53">
        <v>6</v>
      </c>
      <c r="D47" s="53">
        <v>3416</v>
      </c>
      <c r="E47" s="77">
        <v>41678.958333333336</v>
      </c>
      <c r="F47" s="77">
        <v>41679.013888888891</v>
      </c>
      <c r="G47" s="373">
        <f t="shared" si="3"/>
        <v>1.3333333333139308</v>
      </c>
      <c r="H47" s="374">
        <f t="shared" si="4"/>
        <v>0.5842696629128461</v>
      </c>
      <c r="I47" s="375">
        <f t="shared" si="5"/>
        <v>286.87640449020745</v>
      </c>
      <c r="J47" s="91">
        <v>300</v>
      </c>
      <c r="K47" s="91">
        <v>534</v>
      </c>
      <c r="L47" s="91">
        <v>491</v>
      </c>
      <c r="M47" s="91" t="s">
        <v>174</v>
      </c>
      <c r="N47" s="140" t="s">
        <v>228</v>
      </c>
    </row>
    <row r="48" spans="1:16" x14ac:dyDescent="0.25">
      <c r="A48" s="53" t="s">
        <v>119</v>
      </c>
      <c r="B48" s="53" t="s">
        <v>91</v>
      </c>
      <c r="C48" s="53">
        <v>15</v>
      </c>
      <c r="D48" s="53">
        <v>9650</v>
      </c>
      <c r="E48" s="77">
        <v>41685.195138888892</v>
      </c>
      <c r="F48" s="77">
        <v>41685.296527777777</v>
      </c>
      <c r="G48" s="83">
        <f t="shared" si="3"/>
        <v>2.4333333332324401</v>
      </c>
      <c r="H48" s="358">
        <f t="shared" si="4"/>
        <v>0.58640101199339634</v>
      </c>
      <c r="I48" s="78">
        <f t="shared" si="5"/>
        <v>282.64528778081706</v>
      </c>
      <c r="J48" s="91">
        <v>400</v>
      </c>
      <c r="K48" s="91">
        <v>527</v>
      </c>
      <c r="L48" s="91">
        <v>482</v>
      </c>
      <c r="M48" s="91" t="s">
        <v>159</v>
      </c>
      <c r="N48" s="140" t="s">
        <v>225</v>
      </c>
    </row>
    <row r="49" spans="1:16" x14ac:dyDescent="0.25">
      <c r="A49" s="53" t="s">
        <v>99</v>
      </c>
      <c r="B49" s="53" t="s">
        <v>91</v>
      </c>
      <c r="C49" s="53">
        <v>5</v>
      </c>
      <c r="D49" s="53">
        <v>310</v>
      </c>
      <c r="E49" s="77">
        <v>41686.747916666667</v>
      </c>
      <c r="F49" s="405">
        <v>41687</v>
      </c>
      <c r="G49" s="83">
        <f t="shared" si="3"/>
        <v>6.0499999999883585</v>
      </c>
      <c r="H49" s="358">
        <f t="shared" si="4"/>
        <v>1.6805555555523217</v>
      </c>
      <c r="I49" s="78">
        <f t="shared" si="5"/>
        <v>282.33333333279006</v>
      </c>
      <c r="J49" s="91">
        <v>130</v>
      </c>
      <c r="K49" s="91">
        <v>180</v>
      </c>
      <c r="L49" s="91">
        <v>168</v>
      </c>
      <c r="M49" s="91" t="s">
        <v>150</v>
      </c>
      <c r="N49" s="140" t="s">
        <v>202</v>
      </c>
    </row>
    <row r="50" spans="1:16" x14ac:dyDescent="0.25">
      <c r="A50" s="53" t="s">
        <v>87</v>
      </c>
      <c r="B50" s="89" t="s">
        <v>92</v>
      </c>
      <c r="C50" s="53">
        <v>5</v>
      </c>
      <c r="D50" s="53">
        <v>344</v>
      </c>
      <c r="E50" s="77">
        <v>41673.958333333336</v>
      </c>
      <c r="F50" s="77">
        <v>41674.204861111109</v>
      </c>
      <c r="G50" s="122">
        <f t="shared" si="3"/>
        <v>5.9166666665696539</v>
      </c>
      <c r="H50" s="363">
        <f t="shared" si="4"/>
        <v>1.6671270717958693</v>
      </c>
      <c r="I50" s="123">
        <f t="shared" si="5"/>
        <v>280.07734806170606</v>
      </c>
      <c r="J50" s="91">
        <v>130</v>
      </c>
      <c r="K50" s="91">
        <v>181</v>
      </c>
      <c r="L50" s="91">
        <v>168</v>
      </c>
      <c r="M50" s="91" t="s">
        <v>166</v>
      </c>
      <c r="N50" s="140" t="s">
        <v>205</v>
      </c>
    </row>
    <row r="51" spans="1:16" x14ac:dyDescent="0.25">
      <c r="A51" s="53" t="s">
        <v>79</v>
      </c>
      <c r="B51" s="89" t="s">
        <v>92</v>
      </c>
      <c r="C51" s="53">
        <v>21</v>
      </c>
      <c r="D51" s="53">
        <v>250</v>
      </c>
      <c r="E51" s="77">
        <v>41676</v>
      </c>
      <c r="F51" s="77">
        <v>41676.133333333331</v>
      </c>
      <c r="G51" s="122">
        <f t="shared" si="3"/>
        <v>3.1999999999534339</v>
      </c>
      <c r="H51" s="363">
        <f t="shared" si="4"/>
        <v>0.87272727271457284</v>
      </c>
      <c r="I51" s="123">
        <f t="shared" si="5"/>
        <v>264.43636363251557</v>
      </c>
      <c r="J51" s="91">
        <v>240</v>
      </c>
      <c r="K51" s="91">
        <v>330</v>
      </c>
      <c r="L51" s="91">
        <v>303</v>
      </c>
      <c r="M51" s="91" t="s">
        <v>147</v>
      </c>
      <c r="N51" s="140" t="s">
        <v>245</v>
      </c>
      <c r="O51" s="52"/>
    </row>
    <row r="52" spans="1:16" x14ac:dyDescent="0.25">
      <c r="A52" s="53" t="s">
        <v>79</v>
      </c>
      <c r="B52" s="53" t="s">
        <v>91</v>
      </c>
      <c r="C52" s="53">
        <v>37</v>
      </c>
      <c r="D52" s="53">
        <v>250</v>
      </c>
      <c r="E52" s="77">
        <v>41684.284722222219</v>
      </c>
      <c r="F52" s="77">
        <v>41684.5</v>
      </c>
      <c r="G52" s="83">
        <f t="shared" si="3"/>
        <v>5.1666666667442769</v>
      </c>
      <c r="H52" s="358">
        <f t="shared" si="4"/>
        <v>0.78282828284004191</v>
      </c>
      <c r="I52" s="78">
        <f t="shared" si="5"/>
        <v>237.19696970053269</v>
      </c>
      <c r="J52" s="91">
        <v>280</v>
      </c>
      <c r="K52" s="91">
        <v>330</v>
      </c>
      <c r="L52" s="91">
        <v>303</v>
      </c>
      <c r="M52" s="91" t="s">
        <v>147</v>
      </c>
      <c r="N52" s="140" t="s">
        <v>253</v>
      </c>
    </row>
    <row r="53" spans="1:16" x14ac:dyDescent="0.25">
      <c r="A53" s="53" t="s">
        <v>85</v>
      </c>
      <c r="B53" s="53" t="s">
        <v>91</v>
      </c>
      <c r="C53" s="53">
        <v>17</v>
      </c>
      <c r="D53" s="53">
        <v>310</v>
      </c>
      <c r="E53" s="77">
        <v>41672.6875</v>
      </c>
      <c r="F53" s="77">
        <v>41672.791666666664</v>
      </c>
      <c r="G53" s="83">
        <f t="shared" si="3"/>
        <v>2.4999999999417923</v>
      </c>
      <c r="H53" s="358">
        <f t="shared" si="4"/>
        <v>0.40259472816196079</v>
      </c>
      <c r="I53" s="78">
        <f t="shared" si="5"/>
        <v>229.47899505231766</v>
      </c>
      <c r="J53" s="419">
        <f>679*75%</f>
        <v>509.25</v>
      </c>
      <c r="K53" s="419">
        <v>607</v>
      </c>
      <c r="L53" s="419">
        <v>570</v>
      </c>
      <c r="M53" s="91" t="s">
        <v>150</v>
      </c>
      <c r="N53" s="140" t="s">
        <v>282</v>
      </c>
    </row>
    <row r="54" spans="1:16" s="157" customFormat="1" x14ac:dyDescent="0.25">
      <c r="A54" s="53" t="s">
        <v>89</v>
      </c>
      <c r="B54" s="53" t="s">
        <v>91</v>
      </c>
      <c r="C54" s="53">
        <v>11</v>
      </c>
      <c r="D54" s="53">
        <v>4240</v>
      </c>
      <c r="E54" s="77">
        <v>41681.333333333336</v>
      </c>
      <c r="F54" s="77">
        <v>41681.583333333336</v>
      </c>
      <c r="G54" s="83">
        <f t="shared" si="3"/>
        <v>6</v>
      </c>
      <c r="H54" s="358">
        <f t="shared" si="4"/>
        <v>0.94252873563218387</v>
      </c>
      <c r="I54" s="78">
        <f t="shared" si="5"/>
        <v>226.20689655172413</v>
      </c>
      <c r="J54" s="91">
        <v>220</v>
      </c>
      <c r="K54" s="91">
        <v>261</v>
      </c>
      <c r="L54" s="91">
        <v>240</v>
      </c>
      <c r="M54" s="91" t="s">
        <v>197</v>
      </c>
      <c r="N54" s="140" t="s">
        <v>211</v>
      </c>
      <c r="O54" s="79"/>
      <c r="P54" s="52"/>
    </row>
    <row r="55" spans="1:16" x14ac:dyDescent="0.25">
      <c r="A55" s="53" t="s">
        <v>81</v>
      </c>
      <c r="B55" s="53" t="s">
        <v>91</v>
      </c>
      <c r="C55" s="53">
        <v>24</v>
      </c>
      <c r="D55" s="53">
        <v>8551</v>
      </c>
      <c r="E55" s="406">
        <v>41671</v>
      </c>
      <c r="F55" s="77">
        <v>41675.496527777781</v>
      </c>
      <c r="G55" s="83">
        <f t="shared" si="3"/>
        <v>107.91666666674428</v>
      </c>
      <c r="H55" s="358">
        <f t="shared" si="4"/>
        <v>2.0555555555570337</v>
      </c>
      <c r="I55" s="78">
        <f t="shared" si="5"/>
        <v>201.44444444458929</v>
      </c>
      <c r="J55" s="91">
        <v>103</v>
      </c>
      <c r="K55" s="91">
        <v>105</v>
      </c>
      <c r="L55" s="91">
        <v>98</v>
      </c>
      <c r="M55" s="91" t="s">
        <v>164</v>
      </c>
      <c r="N55" s="140" t="s">
        <v>175</v>
      </c>
    </row>
    <row r="56" spans="1:16" x14ac:dyDescent="0.25">
      <c r="A56" s="53" t="s">
        <v>79</v>
      </c>
      <c r="B56" s="53" t="s">
        <v>91</v>
      </c>
      <c r="C56" s="53">
        <v>35</v>
      </c>
      <c r="D56" s="53">
        <v>250</v>
      </c>
      <c r="E56" s="77">
        <v>41684.125</v>
      </c>
      <c r="F56" s="77">
        <v>41684.211805555555</v>
      </c>
      <c r="G56" s="83">
        <f t="shared" si="3"/>
        <v>2.0833333333139308</v>
      </c>
      <c r="H56" s="358">
        <f t="shared" si="4"/>
        <v>0.56818181817652658</v>
      </c>
      <c r="I56" s="78">
        <f t="shared" si="5"/>
        <v>172.15909090748755</v>
      </c>
      <c r="J56" s="91">
        <v>240</v>
      </c>
      <c r="K56" s="91">
        <v>330</v>
      </c>
      <c r="L56" s="91">
        <v>303</v>
      </c>
      <c r="M56" s="91" t="s">
        <v>147</v>
      </c>
      <c r="N56" s="140" t="s">
        <v>252</v>
      </c>
      <c r="O56" s="52"/>
    </row>
    <row r="57" spans="1:16" x14ac:dyDescent="0.25">
      <c r="A57" s="53" t="s">
        <v>79</v>
      </c>
      <c r="B57" s="53" t="s">
        <v>91</v>
      </c>
      <c r="C57" s="53">
        <v>39</v>
      </c>
      <c r="D57" s="53">
        <v>1488</v>
      </c>
      <c r="E57" s="77">
        <v>41686.263888888891</v>
      </c>
      <c r="F57" s="405">
        <v>41687</v>
      </c>
      <c r="G57" s="83">
        <f t="shared" si="3"/>
        <v>17.666666666627862</v>
      </c>
      <c r="H57" s="358">
        <f t="shared" si="4"/>
        <v>0.53535353535235941</v>
      </c>
      <c r="I57" s="78">
        <f t="shared" si="5"/>
        <v>162.2121212117649</v>
      </c>
      <c r="J57" s="91">
        <v>320</v>
      </c>
      <c r="K57" s="91">
        <v>330</v>
      </c>
      <c r="L57" s="91">
        <v>303</v>
      </c>
      <c r="M57" s="91" t="s">
        <v>196</v>
      </c>
      <c r="N57" s="140" t="s">
        <v>249</v>
      </c>
    </row>
    <row r="58" spans="1:16" x14ac:dyDescent="0.25">
      <c r="A58" s="53" t="s">
        <v>79</v>
      </c>
      <c r="B58" s="53" t="s">
        <v>91</v>
      </c>
      <c r="C58" s="53">
        <v>31</v>
      </c>
      <c r="D58" s="53">
        <v>1488</v>
      </c>
      <c r="E58" s="77">
        <v>41682.947916666664</v>
      </c>
      <c r="F58" s="77">
        <v>41683.30972222222</v>
      </c>
      <c r="G58" s="83">
        <f t="shared" si="3"/>
        <v>8.6833333333488554</v>
      </c>
      <c r="H58" s="358">
        <f t="shared" si="4"/>
        <v>0.52626262626356701</v>
      </c>
      <c r="I58" s="78">
        <f t="shared" si="5"/>
        <v>159.45757575786081</v>
      </c>
      <c r="J58" s="91">
        <v>310</v>
      </c>
      <c r="K58" s="91">
        <v>330</v>
      </c>
      <c r="L58" s="91">
        <v>303</v>
      </c>
      <c r="M58" s="91" t="s">
        <v>196</v>
      </c>
      <c r="N58" s="140" t="s">
        <v>249</v>
      </c>
      <c r="O58" s="52"/>
    </row>
    <row r="59" spans="1:16" x14ac:dyDescent="0.25">
      <c r="A59" s="53" t="s">
        <v>78</v>
      </c>
      <c r="B59" s="53" t="s">
        <v>91</v>
      </c>
      <c r="C59" s="53">
        <v>44</v>
      </c>
      <c r="D59" s="53">
        <v>250</v>
      </c>
      <c r="E59" s="77">
        <v>41675.241666666669</v>
      </c>
      <c r="F59" s="77">
        <v>41675.330555555556</v>
      </c>
      <c r="G59" s="83">
        <f t="shared" si="3"/>
        <v>2.1333333333022892</v>
      </c>
      <c r="H59" s="358">
        <f t="shared" si="4"/>
        <v>0.5171717171641913</v>
      </c>
      <c r="I59" s="78">
        <f t="shared" si="5"/>
        <v>154.6343434320932</v>
      </c>
      <c r="J59" s="91">
        <v>250</v>
      </c>
      <c r="K59" s="91">
        <v>330</v>
      </c>
      <c r="L59" s="91">
        <v>299</v>
      </c>
      <c r="M59" s="91" t="s">
        <v>147</v>
      </c>
      <c r="N59" s="140" t="s">
        <v>261</v>
      </c>
      <c r="O59" s="52"/>
    </row>
    <row r="60" spans="1:16" x14ac:dyDescent="0.25">
      <c r="A60" s="53" t="s">
        <v>78</v>
      </c>
      <c r="B60" s="53" t="s">
        <v>91</v>
      </c>
      <c r="C60" s="53">
        <v>49</v>
      </c>
      <c r="D60" s="53">
        <v>1160</v>
      </c>
      <c r="E60" s="77">
        <v>41678.315972222219</v>
      </c>
      <c r="F60" s="77">
        <v>41678.394444444442</v>
      </c>
      <c r="G60" s="83">
        <f t="shared" si="3"/>
        <v>1.8833333333604969</v>
      </c>
      <c r="H60" s="358">
        <f t="shared" si="4"/>
        <v>0.51363636364377185</v>
      </c>
      <c r="I60" s="78">
        <f t="shared" si="5"/>
        <v>153.57727272948779</v>
      </c>
      <c r="J60" s="91">
        <v>240</v>
      </c>
      <c r="K60" s="91">
        <v>330</v>
      </c>
      <c r="L60" s="91">
        <v>299</v>
      </c>
      <c r="M60" s="91" t="s">
        <v>169</v>
      </c>
      <c r="N60" s="140" t="s">
        <v>246</v>
      </c>
      <c r="O60" s="52"/>
    </row>
    <row r="61" spans="1:16" x14ac:dyDescent="0.25">
      <c r="A61" s="53" t="s">
        <v>118</v>
      </c>
      <c r="B61" s="372" t="s">
        <v>94</v>
      </c>
      <c r="C61" s="53">
        <v>8</v>
      </c>
      <c r="D61" s="53">
        <v>340</v>
      </c>
      <c r="E61" s="77">
        <v>41683.958333333336</v>
      </c>
      <c r="F61" s="77">
        <v>41684.09097222222</v>
      </c>
      <c r="G61" s="373">
        <f t="shared" si="3"/>
        <v>3.1833333332324401</v>
      </c>
      <c r="H61" s="374">
        <f t="shared" si="4"/>
        <v>0.30645055663730758</v>
      </c>
      <c r="I61" s="375">
        <f t="shared" si="5"/>
        <v>146.17691551599572</v>
      </c>
      <c r="J61" s="91">
        <v>460</v>
      </c>
      <c r="K61" s="91">
        <v>509</v>
      </c>
      <c r="L61" s="91">
        <v>477</v>
      </c>
      <c r="M61" s="91" t="s">
        <v>168</v>
      </c>
      <c r="N61" s="140" t="s">
        <v>220</v>
      </c>
    </row>
    <row r="62" spans="1:16" x14ac:dyDescent="0.25">
      <c r="A62" s="53" t="s">
        <v>79</v>
      </c>
      <c r="B62" s="53" t="s">
        <v>91</v>
      </c>
      <c r="C62" s="53">
        <v>27</v>
      </c>
      <c r="D62" s="53">
        <v>1488</v>
      </c>
      <c r="E62" s="77">
        <v>41681.416666666664</v>
      </c>
      <c r="F62" s="77">
        <v>41682.4375</v>
      </c>
      <c r="G62" s="83">
        <f t="shared" si="3"/>
        <v>24.500000000058208</v>
      </c>
      <c r="H62" s="358">
        <f t="shared" si="4"/>
        <v>0.44545454545560376</v>
      </c>
      <c r="I62" s="78">
        <f t="shared" si="5"/>
        <v>134.97272727304795</v>
      </c>
      <c r="J62" s="91">
        <v>324</v>
      </c>
      <c r="K62" s="91">
        <v>330</v>
      </c>
      <c r="L62" s="91">
        <v>303</v>
      </c>
      <c r="M62" s="91" t="s">
        <v>196</v>
      </c>
      <c r="N62" s="140" t="s">
        <v>249</v>
      </c>
      <c r="O62" s="52"/>
    </row>
    <row r="63" spans="1:16" x14ac:dyDescent="0.25">
      <c r="A63" s="53" t="s">
        <v>119</v>
      </c>
      <c r="B63" s="53" t="s">
        <v>91</v>
      </c>
      <c r="C63" s="53">
        <v>13</v>
      </c>
      <c r="D63" s="53">
        <v>9650</v>
      </c>
      <c r="E63" s="77">
        <v>41675.590277777781</v>
      </c>
      <c r="F63" s="77">
        <v>41675.625</v>
      </c>
      <c r="G63" s="83">
        <f t="shared" si="3"/>
        <v>0.83333333325572312</v>
      </c>
      <c r="H63" s="358">
        <f t="shared" si="4"/>
        <v>0.27988614798152373</v>
      </c>
      <c r="I63" s="78">
        <f t="shared" si="5"/>
        <v>134.90512332709443</v>
      </c>
      <c r="J63" s="91">
        <v>350</v>
      </c>
      <c r="K63" s="91">
        <v>527</v>
      </c>
      <c r="L63" s="91">
        <v>482</v>
      </c>
      <c r="M63" s="91" t="s">
        <v>159</v>
      </c>
      <c r="N63" s="140" t="s">
        <v>225</v>
      </c>
    </row>
    <row r="64" spans="1:16" x14ac:dyDescent="0.25">
      <c r="A64" s="53" t="s">
        <v>108</v>
      </c>
      <c r="B64" s="53" t="s">
        <v>91</v>
      </c>
      <c r="C64" s="53">
        <v>28</v>
      </c>
      <c r="D64" s="53">
        <v>310</v>
      </c>
      <c r="E64" s="77">
        <v>41680.416666666664</v>
      </c>
      <c r="F64" s="77">
        <v>41680.581944444442</v>
      </c>
      <c r="G64" s="83">
        <f t="shared" si="3"/>
        <v>3.9666666666744277</v>
      </c>
      <c r="H64" s="358">
        <f t="shared" si="4"/>
        <v>0.33861788617952432</v>
      </c>
      <c r="I64" s="78">
        <f t="shared" si="5"/>
        <v>129.69065040675781</v>
      </c>
      <c r="J64" s="419">
        <f>500*75%</f>
        <v>375</v>
      </c>
      <c r="K64" s="419">
        <v>410</v>
      </c>
      <c r="L64" s="419">
        <v>383</v>
      </c>
      <c r="M64" s="91" t="s">
        <v>150</v>
      </c>
      <c r="N64" s="140" t="s">
        <v>279</v>
      </c>
    </row>
    <row r="65" spans="1:16" x14ac:dyDescent="0.25">
      <c r="A65" s="53" t="s">
        <v>79</v>
      </c>
      <c r="B65" s="53" t="s">
        <v>91</v>
      </c>
      <c r="C65" s="53">
        <v>36</v>
      </c>
      <c r="D65" s="53">
        <v>250</v>
      </c>
      <c r="E65" s="77">
        <v>41684.211805555555</v>
      </c>
      <c r="F65" s="77">
        <v>41684.284722222219</v>
      </c>
      <c r="G65" s="83">
        <f t="shared" si="3"/>
        <v>1.7499999999417923</v>
      </c>
      <c r="H65" s="358">
        <f t="shared" si="4"/>
        <v>0.42424242422831332</v>
      </c>
      <c r="I65" s="78">
        <f t="shared" si="5"/>
        <v>128.54545454117894</v>
      </c>
      <c r="J65" s="91">
        <v>250</v>
      </c>
      <c r="K65" s="91">
        <v>330</v>
      </c>
      <c r="L65" s="91">
        <v>303</v>
      </c>
      <c r="M65" s="91" t="s">
        <v>147</v>
      </c>
      <c r="N65" s="140" t="s">
        <v>252</v>
      </c>
    </row>
    <row r="66" spans="1:16" x14ac:dyDescent="0.25">
      <c r="A66" s="53" t="s">
        <v>79</v>
      </c>
      <c r="B66" s="53" t="s">
        <v>91</v>
      </c>
      <c r="C66" s="53">
        <v>20</v>
      </c>
      <c r="D66" s="53">
        <v>250</v>
      </c>
      <c r="E66" s="77">
        <v>41675.311111111114</v>
      </c>
      <c r="F66" s="77">
        <v>41675.395833333336</v>
      </c>
      <c r="G66" s="83">
        <f t="shared" si="3"/>
        <v>2.0333333333255723</v>
      </c>
      <c r="H66" s="358">
        <f t="shared" si="4"/>
        <v>0.40050505050352181</v>
      </c>
      <c r="I66" s="78">
        <f t="shared" si="5"/>
        <v>121.35303030256711</v>
      </c>
      <c r="J66" s="91">
        <v>265</v>
      </c>
      <c r="K66" s="91">
        <v>330</v>
      </c>
      <c r="L66" s="91">
        <v>303</v>
      </c>
      <c r="M66" s="91" t="s">
        <v>147</v>
      </c>
      <c r="N66" s="140" t="s">
        <v>244</v>
      </c>
      <c r="O66" s="52"/>
    </row>
    <row r="67" spans="1:16" x14ac:dyDescent="0.25">
      <c r="A67" s="53" t="s">
        <v>100</v>
      </c>
      <c r="B67" s="53" t="s">
        <v>91</v>
      </c>
      <c r="C67" s="53">
        <v>5</v>
      </c>
      <c r="D67" s="53">
        <v>9650</v>
      </c>
      <c r="E67" s="77">
        <v>41673.034722222219</v>
      </c>
      <c r="F67" s="77">
        <v>41673.074999999997</v>
      </c>
      <c r="G67" s="83">
        <f t="shared" si="3"/>
        <v>0.96666666667442769</v>
      </c>
      <c r="H67" s="358">
        <f t="shared" si="4"/>
        <v>0.24257178527036199</v>
      </c>
      <c r="I67" s="78">
        <f t="shared" si="5"/>
        <v>119.10274656774774</v>
      </c>
      <c r="J67" s="91">
        <v>400</v>
      </c>
      <c r="K67" s="91">
        <v>534</v>
      </c>
      <c r="L67" s="91">
        <v>491</v>
      </c>
      <c r="M67" s="91" t="s">
        <v>159</v>
      </c>
      <c r="N67" s="140" t="s">
        <v>225</v>
      </c>
    </row>
    <row r="68" spans="1:16" x14ac:dyDescent="0.25">
      <c r="A68" s="53" t="s">
        <v>76</v>
      </c>
      <c r="B68" s="53" t="s">
        <v>91</v>
      </c>
      <c r="C68" s="53">
        <v>21</v>
      </c>
      <c r="D68" s="53">
        <v>360</v>
      </c>
      <c r="E68" s="77">
        <v>41679.378472222219</v>
      </c>
      <c r="F68" s="77">
        <v>41679.434027777781</v>
      </c>
      <c r="G68" s="83">
        <f t="shared" si="3"/>
        <v>1.3333333334885538</v>
      </c>
      <c r="H68" s="358">
        <f t="shared" si="4"/>
        <v>0.2906793049311539</v>
      </c>
      <c r="I68" s="78">
        <f t="shared" si="5"/>
        <v>113.94628753301232</v>
      </c>
      <c r="J68" s="91">
        <v>330</v>
      </c>
      <c r="K68" s="91">
        <v>422</v>
      </c>
      <c r="L68" s="91">
        <v>392</v>
      </c>
      <c r="M68" s="91" t="s">
        <v>148</v>
      </c>
      <c r="N68" s="140" t="s">
        <v>173</v>
      </c>
    </row>
    <row r="69" spans="1:16" x14ac:dyDescent="0.25">
      <c r="A69" s="53" t="s">
        <v>79</v>
      </c>
      <c r="B69" s="53" t="s">
        <v>91</v>
      </c>
      <c r="C69" s="53">
        <v>30</v>
      </c>
      <c r="D69" s="53">
        <v>1488</v>
      </c>
      <c r="E69" s="77">
        <v>41682.4375</v>
      </c>
      <c r="F69" s="77">
        <v>41682.947916666664</v>
      </c>
      <c r="G69" s="83">
        <f t="shared" si="3"/>
        <v>12.249999999941792</v>
      </c>
      <c r="H69" s="358">
        <f t="shared" si="4"/>
        <v>0.37121212121035735</v>
      </c>
      <c r="I69" s="78">
        <f t="shared" si="5"/>
        <v>112.47727272673828</v>
      </c>
      <c r="J69" s="91">
        <v>320</v>
      </c>
      <c r="K69" s="91">
        <v>330</v>
      </c>
      <c r="L69" s="91">
        <v>303</v>
      </c>
      <c r="M69" s="91" t="s">
        <v>196</v>
      </c>
      <c r="N69" s="140" t="s">
        <v>251</v>
      </c>
      <c r="O69" s="52"/>
    </row>
    <row r="70" spans="1:16" x14ac:dyDescent="0.25">
      <c r="A70" s="53" t="s">
        <v>118</v>
      </c>
      <c r="B70" s="372" t="s">
        <v>94</v>
      </c>
      <c r="C70" s="53">
        <v>7</v>
      </c>
      <c r="D70" s="53">
        <v>344</v>
      </c>
      <c r="E70" s="77">
        <v>41676.958333333336</v>
      </c>
      <c r="F70" s="77">
        <v>41677.058333333334</v>
      </c>
      <c r="G70" s="373">
        <f t="shared" si="3"/>
        <v>2.3999999999650754</v>
      </c>
      <c r="H70" s="374">
        <f t="shared" si="4"/>
        <v>0.23104125736402495</v>
      </c>
      <c r="I70" s="375">
        <f t="shared" si="5"/>
        <v>110.20667976263989</v>
      </c>
      <c r="J70" s="91">
        <v>460</v>
      </c>
      <c r="K70" s="91">
        <v>509</v>
      </c>
      <c r="L70" s="91">
        <v>477</v>
      </c>
      <c r="M70" s="91" t="s">
        <v>166</v>
      </c>
      <c r="N70" s="140" t="s">
        <v>219</v>
      </c>
    </row>
    <row r="71" spans="1:16" x14ac:dyDescent="0.25">
      <c r="A71" s="53" t="s">
        <v>79</v>
      </c>
      <c r="B71" s="53" t="s">
        <v>91</v>
      </c>
      <c r="C71" s="53">
        <v>38</v>
      </c>
      <c r="D71" s="53">
        <v>1488</v>
      </c>
      <c r="E71" s="77">
        <v>41685.287499999999</v>
      </c>
      <c r="F71" s="77">
        <v>41686.263888888891</v>
      </c>
      <c r="G71" s="83">
        <f t="shared" ref="G71:G102" si="6">(F71-E71)*24</f>
        <v>23.433333333407063</v>
      </c>
      <c r="H71" s="358">
        <f t="shared" ref="H71:H102" si="7">G71*(K71-J71)/K71</f>
        <v>0.35505050505162217</v>
      </c>
      <c r="I71" s="78">
        <f t="shared" ref="I71:I102" si="8">H71*L71</f>
        <v>107.58030303064152</v>
      </c>
      <c r="J71" s="91">
        <v>325</v>
      </c>
      <c r="K71" s="91">
        <v>330</v>
      </c>
      <c r="L71" s="91">
        <v>303</v>
      </c>
      <c r="M71" s="91" t="s">
        <v>196</v>
      </c>
      <c r="N71" s="140" t="s">
        <v>249</v>
      </c>
    </row>
    <row r="72" spans="1:16" x14ac:dyDescent="0.25">
      <c r="A72" s="53" t="s">
        <v>78</v>
      </c>
      <c r="B72" s="53" t="s">
        <v>91</v>
      </c>
      <c r="C72" s="53">
        <v>40</v>
      </c>
      <c r="D72" s="53">
        <v>1850</v>
      </c>
      <c r="E72" s="77">
        <v>41673.432638888888</v>
      </c>
      <c r="F72" s="77">
        <v>41673.878472222219</v>
      </c>
      <c r="G72" s="83">
        <f t="shared" si="6"/>
        <v>10.699999999953434</v>
      </c>
      <c r="H72" s="358">
        <f t="shared" si="7"/>
        <v>0.32424242424101313</v>
      </c>
      <c r="I72" s="78">
        <f t="shared" si="8"/>
        <v>96.948484848062918</v>
      </c>
      <c r="J72" s="91">
        <v>320</v>
      </c>
      <c r="K72" s="91">
        <v>330</v>
      </c>
      <c r="L72" s="91">
        <v>299</v>
      </c>
      <c r="M72" s="91" t="s">
        <v>149</v>
      </c>
      <c r="N72" s="140" t="s">
        <v>165</v>
      </c>
    </row>
    <row r="73" spans="1:16" x14ac:dyDescent="0.25">
      <c r="A73" s="53" t="s">
        <v>78</v>
      </c>
      <c r="B73" s="53" t="s">
        <v>91</v>
      </c>
      <c r="C73" s="53">
        <v>39</v>
      </c>
      <c r="D73" s="53">
        <v>1700</v>
      </c>
      <c r="E73" s="77">
        <v>41673.34375</v>
      </c>
      <c r="F73" s="77">
        <v>41673.432638888888</v>
      </c>
      <c r="G73" s="83">
        <f t="shared" si="6"/>
        <v>2.1333333333022892</v>
      </c>
      <c r="H73" s="358">
        <f t="shared" si="7"/>
        <v>0.32323232322761958</v>
      </c>
      <c r="I73" s="78">
        <f t="shared" si="8"/>
        <v>96.646464645058259</v>
      </c>
      <c r="J73" s="91">
        <v>280</v>
      </c>
      <c r="K73" s="91">
        <v>330</v>
      </c>
      <c r="L73" s="91">
        <v>299</v>
      </c>
      <c r="M73" s="91" t="s">
        <v>170</v>
      </c>
      <c r="N73" s="140" t="s">
        <v>257</v>
      </c>
    </row>
    <row r="74" spans="1:16" x14ac:dyDescent="0.25">
      <c r="A74" s="53" t="s">
        <v>118</v>
      </c>
      <c r="B74" s="53" t="s">
        <v>91</v>
      </c>
      <c r="C74" s="53">
        <v>6</v>
      </c>
      <c r="D74" s="53">
        <v>312</v>
      </c>
      <c r="E74" s="77">
        <v>41671.611111111109</v>
      </c>
      <c r="F74" s="77">
        <v>41671.75</v>
      </c>
      <c r="G74" s="83">
        <f t="shared" si="6"/>
        <v>3.3333333333721384</v>
      </c>
      <c r="H74" s="358">
        <f t="shared" si="7"/>
        <v>0.18991486575204719</v>
      </c>
      <c r="I74" s="78">
        <f t="shared" si="8"/>
        <v>90.589390963726515</v>
      </c>
      <c r="J74" s="91">
        <v>480</v>
      </c>
      <c r="K74" s="91">
        <v>509</v>
      </c>
      <c r="L74" s="91">
        <v>477</v>
      </c>
      <c r="M74" s="91" t="s">
        <v>182</v>
      </c>
      <c r="N74" s="140" t="s">
        <v>218</v>
      </c>
    </row>
    <row r="75" spans="1:16" x14ac:dyDescent="0.25">
      <c r="A75" s="53" t="s">
        <v>76</v>
      </c>
      <c r="B75" s="53" t="s">
        <v>91</v>
      </c>
      <c r="C75" s="53">
        <v>26</v>
      </c>
      <c r="D75" s="53">
        <v>360</v>
      </c>
      <c r="E75" s="77">
        <v>41685.46597222222</v>
      </c>
      <c r="F75" s="77">
        <v>41685.529861111114</v>
      </c>
      <c r="G75" s="83">
        <f t="shared" si="6"/>
        <v>1.5333333334419876</v>
      </c>
      <c r="H75" s="358">
        <f t="shared" si="7"/>
        <v>0.22527646131138207</v>
      </c>
      <c r="I75" s="78">
        <f t="shared" si="8"/>
        <v>88.308372834061771</v>
      </c>
      <c r="J75" s="91">
        <v>360</v>
      </c>
      <c r="K75" s="91">
        <v>422</v>
      </c>
      <c r="L75" s="91">
        <v>392</v>
      </c>
      <c r="M75" s="91" t="s">
        <v>148</v>
      </c>
      <c r="N75" s="140" t="s">
        <v>269</v>
      </c>
    </row>
    <row r="76" spans="1:16" x14ac:dyDescent="0.25">
      <c r="A76" s="53" t="s">
        <v>79</v>
      </c>
      <c r="B76" s="53" t="s">
        <v>91</v>
      </c>
      <c r="C76" s="53">
        <v>32</v>
      </c>
      <c r="D76" s="53">
        <v>1488</v>
      </c>
      <c r="E76" s="77">
        <v>41683.30972222222</v>
      </c>
      <c r="F76" s="77">
        <v>41683.916666666664</v>
      </c>
      <c r="G76" s="83">
        <f t="shared" si="6"/>
        <v>14.566666666651145</v>
      </c>
      <c r="H76" s="358">
        <f t="shared" si="7"/>
        <v>0.26484848484820261</v>
      </c>
      <c r="I76" s="78">
        <f t="shared" si="8"/>
        <v>80.249090909005389</v>
      </c>
      <c r="J76" s="91">
        <v>324</v>
      </c>
      <c r="K76" s="91">
        <v>330</v>
      </c>
      <c r="L76" s="91">
        <v>303</v>
      </c>
      <c r="M76" s="91" t="s">
        <v>196</v>
      </c>
      <c r="N76" s="140" t="s">
        <v>249</v>
      </c>
      <c r="O76" s="52"/>
    </row>
    <row r="77" spans="1:16" x14ac:dyDescent="0.25">
      <c r="A77" s="53" t="s">
        <v>78</v>
      </c>
      <c r="B77" s="53" t="s">
        <v>91</v>
      </c>
      <c r="C77" s="53">
        <v>43</v>
      </c>
      <c r="D77" s="53">
        <v>250</v>
      </c>
      <c r="E77" s="77">
        <v>41675.161805555559</v>
      </c>
      <c r="F77" s="77">
        <v>41675.186805555553</v>
      </c>
      <c r="G77" s="83">
        <f t="shared" si="6"/>
        <v>0.59999999986030161</v>
      </c>
      <c r="H77" s="358">
        <f t="shared" si="7"/>
        <v>0.25454545448618854</v>
      </c>
      <c r="I77" s="78">
        <f t="shared" si="8"/>
        <v>76.109090891370371</v>
      </c>
      <c r="J77" s="91">
        <v>190</v>
      </c>
      <c r="K77" s="91">
        <v>330</v>
      </c>
      <c r="L77" s="91">
        <v>299</v>
      </c>
      <c r="M77" s="91" t="s">
        <v>147</v>
      </c>
      <c r="N77" s="140" t="s">
        <v>260</v>
      </c>
      <c r="O77" s="52"/>
    </row>
    <row r="78" spans="1:16" s="157" customFormat="1" x14ac:dyDescent="0.25">
      <c r="A78" s="53" t="s">
        <v>119</v>
      </c>
      <c r="B78" s="53" t="s">
        <v>91</v>
      </c>
      <c r="C78" s="53">
        <v>12</v>
      </c>
      <c r="D78" s="53">
        <v>9650</v>
      </c>
      <c r="E78" s="77">
        <v>41672.840277777781</v>
      </c>
      <c r="F78" s="77">
        <v>41672.864583333336</v>
      </c>
      <c r="G78" s="83">
        <f t="shared" si="6"/>
        <v>0.58333333331393078</v>
      </c>
      <c r="H78" s="358">
        <f t="shared" si="7"/>
        <v>0.140575585068063</v>
      </c>
      <c r="I78" s="78">
        <f t="shared" si="8"/>
        <v>67.757432002806368</v>
      </c>
      <c r="J78" s="91">
        <v>400</v>
      </c>
      <c r="K78" s="91">
        <v>527</v>
      </c>
      <c r="L78" s="91">
        <v>482</v>
      </c>
      <c r="M78" s="91" t="s">
        <v>159</v>
      </c>
      <c r="N78" s="140" t="s">
        <v>224</v>
      </c>
      <c r="O78" s="79"/>
      <c r="P78" s="52"/>
    </row>
    <row r="79" spans="1:16" x14ac:dyDescent="0.25">
      <c r="A79" s="53" t="s">
        <v>118</v>
      </c>
      <c r="B79" s="372" t="s">
        <v>94</v>
      </c>
      <c r="C79" s="53">
        <v>9</v>
      </c>
      <c r="D79" s="53">
        <v>340</v>
      </c>
      <c r="E79" s="77">
        <v>41684.09097222222</v>
      </c>
      <c r="F79" s="77">
        <v>41684.152083333334</v>
      </c>
      <c r="G79" s="373">
        <f t="shared" si="6"/>
        <v>1.4666666667326353</v>
      </c>
      <c r="H79" s="374">
        <f t="shared" si="7"/>
        <v>0.1411918795086427</v>
      </c>
      <c r="I79" s="375">
        <f t="shared" si="8"/>
        <v>67.348526525622574</v>
      </c>
      <c r="J79" s="91">
        <v>460</v>
      </c>
      <c r="K79" s="91">
        <v>509</v>
      </c>
      <c r="L79" s="91">
        <v>477</v>
      </c>
      <c r="M79" s="91" t="s">
        <v>168</v>
      </c>
      <c r="N79" s="140" t="s">
        <v>221</v>
      </c>
    </row>
    <row r="80" spans="1:16" x14ac:dyDescent="0.25">
      <c r="A80" s="53" t="s">
        <v>110</v>
      </c>
      <c r="B80" s="53" t="s">
        <v>91</v>
      </c>
      <c r="C80" s="53">
        <v>7</v>
      </c>
      <c r="D80" s="53">
        <v>250</v>
      </c>
      <c r="E80" s="77">
        <v>41677.524305555555</v>
      </c>
      <c r="F80" s="77">
        <v>41677.572916666664</v>
      </c>
      <c r="G80" s="83">
        <f t="shared" si="6"/>
        <v>1.1666666666278616</v>
      </c>
      <c r="H80" s="358">
        <f t="shared" si="7"/>
        <v>0.12862669245220137</v>
      </c>
      <c r="I80" s="78">
        <f t="shared" si="8"/>
        <v>61.869439069508864</v>
      </c>
      <c r="J80" s="91">
        <v>460</v>
      </c>
      <c r="K80" s="91">
        <v>517</v>
      </c>
      <c r="L80" s="91">
        <v>481</v>
      </c>
      <c r="M80" s="91" t="s">
        <v>147</v>
      </c>
      <c r="N80" s="140" t="s">
        <v>214</v>
      </c>
    </row>
    <row r="81" spans="1:15" x14ac:dyDescent="0.25">
      <c r="A81" s="53" t="s">
        <v>88</v>
      </c>
      <c r="B81" s="53" t="s">
        <v>91</v>
      </c>
      <c r="C81" s="53">
        <v>6</v>
      </c>
      <c r="D81" s="53">
        <v>9630</v>
      </c>
      <c r="E81" s="77">
        <v>41681.402777777781</v>
      </c>
      <c r="F81" s="77">
        <v>41681.550694444442</v>
      </c>
      <c r="G81" s="83">
        <f t="shared" si="6"/>
        <v>3.5499999998719431</v>
      </c>
      <c r="H81" s="358">
        <f t="shared" si="7"/>
        <v>0.80466666663764042</v>
      </c>
      <c r="I81" s="78">
        <f t="shared" si="8"/>
        <v>57.131333331272472</v>
      </c>
      <c r="J81" s="91">
        <v>58</v>
      </c>
      <c r="K81" s="91">
        <v>75</v>
      </c>
      <c r="L81" s="91">
        <v>71</v>
      </c>
      <c r="M81" s="91" t="s">
        <v>152</v>
      </c>
      <c r="N81" s="140" t="s">
        <v>232</v>
      </c>
    </row>
    <row r="82" spans="1:15" x14ac:dyDescent="0.25">
      <c r="A82" s="53" t="s">
        <v>89</v>
      </c>
      <c r="B82" s="53" t="s">
        <v>91</v>
      </c>
      <c r="C82" s="53">
        <v>7</v>
      </c>
      <c r="D82" s="53">
        <v>250</v>
      </c>
      <c r="E82" s="77">
        <v>41677.050000000003</v>
      </c>
      <c r="F82" s="77">
        <v>41677.090277777781</v>
      </c>
      <c r="G82" s="83">
        <f t="shared" si="6"/>
        <v>0.96666666667442769</v>
      </c>
      <c r="H82" s="358">
        <f t="shared" si="7"/>
        <v>0.2259259259277398</v>
      </c>
      <c r="I82" s="78">
        <f t="shared" si="8"/>
        <v>54.22222222265755</v>
      </c>
      <c r="J82" s="91">
        <v>200</v>
      </c>
      <c r="K82" s="91">
        <v>261</v>
      </c>
      <c r="L82" s="91">
        <v>240</v>
      </c>
      <c r="M82" s="91" t="s">
        <v>147</v>
      </c>
      <c r="N82" s="140" t="s">
        <v>208</v>
      </c>
    </row>
    <row r="83" spans="1:15" x14ac:dyDescent="0.25">
      <c r="A83" s="53" t="s">
        <v>78</v>
      </c>
      <c r="B83" s="53" t="s">
        <v>91</v>
      </c>
      <c r="C83" s="53">
        <v>46</v>
      </c>
      <c r="D83" s="53">
        <v>1850</v>
      </c>
      <c r="E83" s="77">
        <v>41675.404861111114</v>
      </c>
      <c r="F83" s="77">
        <v>41675.559027777781</v>
      </c>
      <c r="G83" s="83">
        <f t="shared" si="6"/>
        <v>3.7000000000116415</v>
      </c>
      <c r="H83" s="358">
        <f t="shared" si="7"/>
        <v>0.17939393939450382</v>
      </c>
      <c r="I83" s="78">
        <f t="shared" si="8"/>
        <v>53.638787878956641</v>
      </c>
      <c r="J83" s="91">
        <v>314</v>
      </c>
      <c r="K83" s="91">
        <v>330</v>
      </c>
      <c r="L83" s="91">
        <v>299</v>
      </c>
      <c r="M83" s="91" t="s">
        <v>149</v>
      </c>
      <c r="N83" s="140" t="s">
        <v>165</v>
      </c>
      <c r="O83" s="52"/>
    </row>
    <row r="84" spans="1:15" x14ac:dyDescent="0.25">
      <c r="A84" s="53" t="s">
        <v>89</v>
      </c>
      <c r="B84" s="53" t="s">
        <v>91</v>
      </c>
      <c r="C84" s="53">
        <v>8</v>
      </c>
      <c r="D84" s="53">
        <v>250</v>
      </c>
      <c r="E84" s="77">
        <v>41678.003472222219</v>
      </c>
      <c r="F84" s="77">
        <v>41678.050694444442</v>
      </c>
      <c r="G84" s="83">
        <f t="shared" si="6"/>
        <v>1.1333333333604969</v>
      </c>
      <c r="H84" s="358">
        <f t="shared" si="7"/>
        <v>0.22145593870262584</v>
      </c>
      <c r="I84" s="78">
        <f t="shared" si="8"/>
        <v>53.149425288630198</v>
      </c>
      <c r="J84" s="91">
        <v>210</v>
      </c>
      <c r="K84" s="91">
        <v>261</v>
      </c>
      <c r="L84" s="91">
        <v>240</v>
      </c>
      <c r="M84" s="91" t="s">
        <v>147</v>
      </c>
      <c r="N84" s="140" t="s">
        <v>209</v>
      </c>
    </row>
    <row r="85" spans="1:15" x14ac:dyDescent="0.25">
      <c r="A85" s="53" t="s">
        <v>76</v>
      </c>
      <c r="B85" s="53" t="s">
        <v>91</v>
      </c>
      <c r="C85" s="53">
        <v>27</v>
      </c>
      <c r="D85" s="53">
        <v>360</v>
      </c>
      <c r="E85" s="77">
        <v>41685.561111111114</v>
      </c>
      <c r="F85" s="77">
        <v>41685.597222222219</v>
      </c>
      <c r="G85" s="83">
        <f t="shared" si="6"/>
        <v>0.86666666652308777</v>
      </c>
      <c r="H85" s="358">
        <f t="shared" si="7"/>
        <v>0.12733017375457686</v>
      </c>
      <c r="I85" s="78">
        <f t="shared" si="8"/>
        <v>49.913428111794133</v>
      </c>
      <c r="J85" s="91">
        <v>360</v>
      </c>
      <c r="K85" s="91">
        <v>422</v>
      </c>
      <c r="L85" s="91">
        <v>392</v>
      </c>
      <c r="M85" s="91" t="s">
        <v>148</v>
      </c>
      <c r="N85" s="140" t="s">
        <v>270</v>
      </c>
    </row>
    <row r="86" spans="1:15" x14ac:dyDescent="0.25">
      <c r="A86" s="53" t="s">
        <v>79</v>
      </c>
      <c r="B86" s="53" t="s">
        <v>91</v>
      </c>
      <c r="C86" s="53">
        <v>25</v>
      </c>
      <c r="D86" s="53">
        <v>1488</v>
      </c>
      <c r="E86" s="77">
        <v>41680.961805555555</v>
      </c>
      <c r="F86" s="77">
        <v>41681.267361111109</v>
      </c>
      <c r="G86" s="83">
        <f t="shared" si="6"/>
        <v>7.3333333333139308</v>
      </c>
      <c r="H86" s="358">
        <f t="shared" si="7"/>
        <v>0.155555555555144</v>
      </c>
      <c r="I86" s="78">
        <f t="shared" si="8"/>
        <v>47.133333333208633</v>
      </c>
      <c r="J86" s="91">
        <v>323</v>
      </c>
      <c r="K86" s="91">
        <v>330</v>
      </c>
      <c r="L86" s="91">
        <v>303</v>
      </c>
      <c r="M86" s="91" t="s">
        <v>196</v>
      </c>
      <c r="N86" s="140" t="s">
        <v>248</v>
      </c>
      <c r="O86" s="52"/>
    </row>
    <row r="87" spans="1:15" x14ac:dyDescent="0.25">
      <c r="A87" s="53" t="s">
        <v>110</v>
      </c>
      <c r="B87" s="53" t="s">
        <v>91</v>
      </c>
      <c r="C87" s="53">
        <v>10</v>
      </c>
      <c r="D87" s="53">
        <v>9650</v>
      </c>
      <c r="E87" s="77">
        <v>41683.307638888888</v>
      </c>
      <c r="F87" s="77">
        <v>41683.380555555559</v>
      </c>
      <c r="G87" s="83">
        <f t="shared" si="6"/>
        <v>1.7500000001164153</v>
      </c>
      <c r="H87" s="358">
        <f t="shared" si="7"/>
        <v>9.1392649909367921E-2</v>
      </c>
      <c r="I87" s="78">
        <f t="shared" si="8"/>
        <v>43.959864606405972</v>
      </c>
      <c r="J87" s="91">
        <v>490</v>
      </c>
      <c r="K87" s="91">
        <v>517</v>
      </c>
      <c r="L87" s="91">
        <v>481</v>
      </c>
      <c r="M87" s="91" t="s">
        <v>159</v>
      </c>
      <c r="N87" s="140" t="s">
        <v>217</v>
      </c>
    </row>
    <row r="88" spans="1:15" x14ac:dyDescent="0.25">
      <c r="A88" s="53" t="s">
        <v>78</v>
      </c>
      <c r="B88" s="53" t="s">
        <v>91</v>
      </c>
      <c r="C88" s="53">
        <v>45</v>
      </c>
      <c r="D88" s="53">
        <v>1850</v>
      </c>
      <c r="E88" s="77">
        <v>41675.330555555556</v>
      </c>
      <c r="F88" s="77">
        <v>41675.404861111114</v>
      </c>
      <c r="G88" s="83">
        <f t="shared" si="6"/>
        <v>1.78333333338378</v>
      </c>
      <c r="H88" s="358">
        <f t="shared" si="7"/>
        <v>0.1351010101048318</v>
      </c>
      <c r="I88" s="78">
        <f t="shared" si="8"/>
        <v>40.395202021344708</v>
      </c>
      <c r="J88" s="91">
        <v>305</v>
      </c>
      <c r="K88" s="91">
        <v>330</v>
      </c>
      <c r="L88" s="91">
        <v>299</v>
      </c>
      <c r="M88" s="91" t="s">
        <v>149</v>
      </c>
      <c r="N88" s="140" t="s">
        <v>165</v>
      </c>
      <c r="O88" s="52"/>
    </row>
    <row r="89" spans="1:15" x14ac:dyDescent="0.25">
      <c r="A89" s="53" t="s">
        <v>108</v>
      </c>
      <c r="B89" s="53" t="s">
        <v>91</v>
      </c>
      <c r="C89" s="53">
        <v>29</v>
      </c>
      <c r="D89" s="53">
        <v>310</v>
      </c>
      <c r="E89" s="77">
        <v>41681.928472222222</v>
      </c>
      <c r="F89" s="77">
        <v>41681.979166666664</v>
      </c>
      <c r="G89" s="83">
        <f t="shared" si="6"/>
        <v>1.21666666661622</v>
      </c>
      <c r="H89" s="358">
        <f t="shared" si="7"/>
        <v>0.10386178861357975</v>
      </c>
      <c r="I89" s="78">
        <f t="shared" si="8"/>
        <v>39.779065039001047</v>
      </c>
      <c r="J89" s="419">
        <f>500*75%</f>
        <v>375</v>
      </c>
      <c r="K89" s="419">
        <v>410</v>
      </c>
      <c r="L89" s="419">
        <v>383</v>
      </c>
      <c r="M89" s="91" t="s">
        <v>150</v>
      </c>
      <c r="N89" s="140" t="s">
        <v>280</v>
      </c>
    </row>
    <row r="90" spans="1:15" x14ac:dyDescent="0.25">
      <c r="A90" s="53" t="s">
        <v>89</v>
      </c>
      <c r="B90" s="53" t="s">
        <v>91</v>
      </c>
      <c r="C90" s="53">
        <v>10</v>
      </c>
      <c r="D90" s="53">
        <v>340</v>
      </c>
      <c r="E90" s="77">
        <v>41679.284722222219</v>
      </c>
      <c r="F90" s="77">
        <v>41679.302083333336</v>
      </c>
      <c r="G90" s="83">
        <f t="shared" si="6"/>
        <v>0.41666666680248454</v>
      </c>
      <c r="H90" s="358">
        <f t="shared" si="7"/>
        <v>0.15325670503079891</v>
      </c>
      <c r="I90" s="78">
        <f t="shared" si="8"/>
        <v>36.781609207391739</v>
      </c>
      <c r="J90" s="91">
        <v>165</v>
      </c>
      <c r="K90" s="91">
        <v>261</v>
      </c>
      <c r="L90" s="91">
        <v>240</v>
      </c>
      <c r="M90" s="91" t="s">
        <v>168</v>
      </c>
      <c r="N90" s="140" t="s">
        <v>210</v>
      </c>
    </row>
    <row r="91" spans="1:15" x14ac:dyDescent="0.25">
      <c r="A91" s="53" t="s">
        <v>79</v>
      </c>
      <c r="B91" s="53" t="s">
        <v>91</v>
      </c>
      <c r="C91" s="53">
        <v>22</v>
      </c>
      <c r="D91" s="53">
        <v>1160</v>
      </c>
      <c r="E91" s="77">
        <v>41678.302083333336</v>
      </c>
      <c r="F91" s="77">
        <v>41678.352083333331</v>
      </c>
      <c r="G91" s="83">
        <f t="shared" si="6"/>
        <v>1.1999999998952262</v>
      </c>
      <c r="H91" s="358">
        <f t="shared" si="7"/>
        <v>0.1090909090813842</v>
      </c>
      <c r="I91" s="78">
        <f t="shared" si="8"/>
        <v>33.054545451659415</v>
      </c>
      <c r="J91" s="91">
        <v>300</v>
      </c>
      <c r="K91" s="91">
        <v>330</v>
      </c>
      <c r="L91" s="91">
        <v>303</v>
      </c>
      <c r="M91" s="91" t="s">
        <v>169</v>
      </c>
      <c r="N91" s="140" t="s">
        <v>246</v>
      </c>
      <c r="O91" s="52"/>
    </row>
    <row r="92" spans="1:15" x14ac:dyDescent="0.25">
      <c r="A92" s="53" t="s">
        <v>79</v>
      </c>
      <c r="B92" s="53" t="s">
        <v>91</v>
      </c>
      <c r="C92" s="53">
        <v>26</v>
      </c>
      <c r="D92" s="53">
        <v>1488</v>
      </c>
      <c r="E92" s="77">
        <v>41681.267361111109</v>
      </c>
      <c r="F92" s="77">
        <v>41681.416666666664</v>
      </c>
      <c r="G92" s="83">
        <f t="shared" si="6"/>
        <v>3.5833333333139308</v>
      </c>
      <c r="H92" s="358">
        <f t="shared" si="7"/>
        <v>0.10858585858527063</v>
      </c>
      <c r="I92" s="78">
        <f t="shared" si="8"/>
        <v>32.901515151337001</v>
      </c>
      <c r="J92" s="91">
        <v>320</v>
      </c>
      <c r="K92" s="91">
        <v>330</v>
      </c>
      <c r="L92" s="91">
        <v>303</v>
      </c>
      <c r="M92" s="91" t="s">
        <v>196</v>
      </c>
      <c r="N92" s="140" t="s">
        <v>248</v>
      </c>
      <c r="O92" s="52"/>
    </row>
    <row r="93" spans="1:15" x14ac:dyDescent="0.25">
      <c r="A93" s="53" t="s">
        <v>88</v>
      </c>
      <c r="B93" s="53" t="s">
        <v>91</v>
      </c>
      <c r="C93" s="53">
        <v>7</v>
      </c>
      <c r="D93" s="53">
        <v>9630</v>
      </c>
      <c r="E93" s="77">
        <v>41681.550694444442</v>
      </c>
      <c r="F93" s="77">
        <v>41681.722222222219</v>
      </c>
      <c r="G93" s="83">
        <f t="shared" si="6"/>
        <v>4.1166666666395031</v>
      </c>
      <c r="H93" s="358">
        <f t="shared" si="7"/>
        <v>0.38422222221968694</v>
      </c>
      <c r="I93" s="78">
        <f t="shared" si="8"/>
        <v>27.279777777597772</v>
      </c>
      <c r="J93" s="91">
        <v>68</v>
      </c>
      <c r="K93" s="91">
        <v>75</v>
      </c>
      <c r="L93" s="91">
        <v>71</v>
      </c>
      <c r="M93" s="91" t="s">
        <v>152</v>
      </c>
      <c r="N93" s="140" t="s">
        <v>233</v>
      </c>
    </row>
    <row r="94" spans="1:15" x14ac:dyDescent="0.25">
      <c r="A94" s="53" t="s">
        <v>81</v>
      </c>
      <c r="B94" s="53" t="s">
        <v>91</v>
      </c>
      <c r="C94" s="53">
        <v>25</v>
      </c>
      <c r="D94" s="53">
        <v>263</v>
      </c>
      <c r="E94" s="77">
        <v>41671.901388888888</v>
      </c>
      <c r="F94" s="77">
        <v>41671.949999999997</v>
      </c>
      <c r="G94" s="83">
        <f t="shared" si="6"/>
        <v>1.1666666666278616</v>
      </c>
      <c r="H94" s="358">
        <f t="shared" si="7"/>
        <v>0.27777777776853846</v>
      </c>
      <c r="I94" s="78">
        <f t="shared" si="8"/>
        <v>27.22222222131677</v>
      </c>
      <c r="J94" s="91">
        <v>80</v>
      </c>
      <c r="K94" s="91">
        <v>105</v>
      </c>
      <c r="L94" s="91">
        <v>98</v>
      </c>
      <c r="M94" s="91" t="s">
        <v>184</v>
      </c>
      <c r="N94" s="140" t="s">
        <v>237</v>
      </c>
    </row>
    <row r="95" spans="1:15" x14ac:dyDescent="0.25">
      <c r="A95" s="53" t="s">
        <v>76</v>
      </c>
      <c r="B95" s="53" t="s">
        <v>91</v>
      </c>
      <c r="C95" s="53">
        <v>25</v>
      </c>
      <c r="D95" s="53">
        <v>360</v>
      </c>
      <c r="E95" s="77">
        <v>41680.820833333331</v>
      </c>
      <c r="F95" s="77">
        <v>41680.831250000003</v>
      </c>
      <c r="G95" s="83">
        <f t="shared" si="6"/>
        <v>0.25000000011641532</v>
      </c>
      <c r="H95" s="358">
        <f t="shared" si="7"/>
        <v>6.0426540312498493E-2</v>
      </c>
      <c r="I95" s="78">
        <f t="shared" si="8"/>
        <v>23.687203802499408</v>
      </c>
      <c r="J95" s="91">
        <v>320</v>
      </c>
      <c r="K95" s="91">
        <v>422</v>
      </c>
      <c r="L95" s="91">
        <v>392</v>
      </c>
      <c r="M95" s="91" t="s">
        <v>148</v>
      </c>
      <c r="N95" s="140" t="s">
        <v>268</v>
      </c>
    </row>
    <row r="96" spans="1:15" x14ac:dyDescent="0.25">
      <c r="A96" s="53" t="s">
        <v>81</v>
      </c>
      <c r="B96" s="53" t="s">
        <v>91</v>
      </c>
      <c r="C96" s="53">
        <v>28</v>
      </c>
      <c r="D96" s="53">
        <v>9630</v>
      </c>
      <c r="E96" s="77">
        <v>41683.611805555556</v>
      </c>
      <c r="F96" s="77">
        <v>41683.686111111114</v>
      </c>
      <c r="G96" s="83">
        <f t="shared" si="6"/>
        <v>1.78333333338378</v>
      </c>
      <c r="H96" s="358">
        <f t="shared" si="7"/>
        <v>0.16984126984607428</v>
      </c>
      <c r="I96" s="78">
        <f t="shared" si="8"/>
        <v>16.64444444491528</v>
      </c>
      <c r="J96" s="91">
        <v>95</v>
      </c>
      <c r="K96" s="91">
        <v>105</v>
      </c>
      <c r="L96" s="91">
        <v>98</v>
      </c>
      <c r="M96" s="91" t="s">
        <v>152</v>
      </c>
      <c r="N96" s="140" t="s">
        <v>240</v>
      </c>
    </row>
    <row r="97" spans="1:16" x14ac:dyDescent="0.25">
      <c r="A97" s="53" t="s">
        <v>77</v>
      </c>
      <c r="B97" s="53" t="s">
        <v>91</v>
      </c>
      <c r="C97" s="53">
        <v>19</v>
      </c>
      <c r="D97" s="53">
        <v>310</v>
      </c>
      <c r="E97" s="77">
        <v>41677.284722222219</v>
      </c>
      <c r="F97" s="77">
        <v>41677.295138888891</v>
      </c>
      <c r="G97" s="83">
        <f t="shared" si="6"/>
        <v>0.25000000011641532</v>
      </c>
      <c r="H97" s="358">
        <f t="shared" si="7"/>
        <v>2.9270633410943062E-2</v>
      </c>
      <c r="I97" s="78">
        <f t="shared" si="8"/>
        <v>14.079174670663612</v>
      </c>
      <c r="J97" s="91">
        <v>460</v>
      </c>
      <c r="K97" s="91">
        <v>521</v>
      </c>
      <c r="L97" s="91">
        <v>481</v>
      </c>
      <c r="M97" s="91" t="s">
        <v>150</v>
      </c>
      <c r="N97" s="140" t="s">
        <v>274</v>
      </c>
    </row>
    <row r="98" spans="1:16" x14ac:dyDescent="0.25">
      <c r="A98" s="53" t="s">
        <v>77</v>
      </c>
      <c r="B98" s="53" t="s">
        <v>91</v>
      </c>
      <c r="C98" s="53">
        <v>20</v>
      </c>
      <c r="D98" s="53">
        <v>250</v>
      </c>
      <c r="E98" s="77">
        <v>41681.381944444445</v>
      </c>
      <c r="F98" s="77">
        <v>41681.388888888891</v>
      </c>
      <c r="G98" s="83">
        <f t="shared" si="6"/>
        <v>0.16666666668606922</v>
      </c>
      <c r="H98" s="358">
        <f t="shared" si="7"/>
        <v>2.9110684584323032E-2</v>
      </c>
      <c r="I98" s="78">
        <f t="shared" si="8"/>
        <v>14.002239285059378</v>
      </c>
      <c r="J98" s="91">
        <v>430</v>
      </c>
      <c r="K98" s="91">
        <v>521</v>
      </c>
      <c r="L98" s="91">
        <v>481</v>
      </c>
      <c r="M98" s="91" t="s">
        <v>147</v>
      </c>
      <c r="N98" s="140" t="s">
        <v>275</v>
      </c>
    </row>
    <row r="99" spans="1:16" x14ac:dyDescent="0.25">
      <c r="A99" s="53" t="s">
        <v>108</v>
      </c>
      <c r="B99" s="53" t="s">
        <v>91</v>
      </c>
      <c r="C99" s="53">
        <v>27</v>
      </c>
      <c r="D99" s="53">
        <v>310</v>
      </c>
      <c r="E99" s="77">
        <v>41680.306944444441</v>
      </c>
      <c r="F99" s="77">
        <v>41680.322916666664</v>
      </c>
      <c r="G99" s="83">
        <f t="shared" si="6"/>
        <v>0.38333333336049691</v>
      </c>
      <c r="H99" s="358">
        <f t="shared" si="7"/>
        <v>3.2723577238091196E-2</v>
      </c>
      <c r="I99" s="78">
        <f t="shared" si="8"/>
        <v>12.533130082188928</v>
      </c>
      <c r="J99" s="419">
        <f>500*75%</f>
        <v>375</v>
      </c>
      <c r="K99" s="419">
        <v>410</v>
      </c>
      <c r="L99" s="419">
        <v>383</v>
      </c>
      <c r="M99" s="91" t="s">
        <v>150</v>
      </c>
      <c r="N99" s="140" t="s">
        <v>278</v>
      </c>
    </row>
    <row r="100" spans="1:16" s="157" customFormat="1" x14ac:dyDescent="0.25">
      <c r="A100" s="53" t="s">
        <v>85</v>
      </c>
      <c r="B100" s="53" t="s">
        <v>91</v>
      </c>
      <c r="C100" s="53">
        <v>18</v>
      </c>
      <c r="D100" s="53">
        <v>1455</v>
      </c>
      <c r="E100" s="77">
        <v>41674.65625</v>
      </c>
      <c r="F100" s="77">
        <v>41674.677083333336</v>
      </c>
      <c r="G100" s="83">
        <f t="shared" si="6"/>
        <v>0.50000000005820766</v>
      </c>
      <c r="H100" s="358">
        <f t="shared" si="7"/>
        <v>1.5650741352728082E-2</v>
      </c>
      <c r="I100" s="78">
        <f t="shared" si="8"/>
        <v>8.9209225710550069</v>
      </c>
      <c r="J100" s="419">
        <f>784*75%</f>
        <v>588</v>
      </c>
      <c r="K100" s="419">
        <v>607</v>
      </c>
      <c r="L100" s="419">
        <v>570</v>
      </c>
      <c r="M100" s="91" t="s">
        <v>162</v>
      </c>
      <c r="N100" s="140" t="s">
        <v>283</v>
      </c>
      <c r="O100" s="79"/>
      <c r="P100" s="52"/>
    </row>
    <row r="101" spans="1:16" x14ac:dyDescent="0.25">
      <c r="A101" s="53" t="s">
        <v>88</v>
      </c>
      <c r="B101" s="53" t="s">
        <v>91</v>
      </c>
      <c r="C101" s="53">
        <v>4</v>
      </c>
      <c r="D101" s="53">
        <v>9630</v>
      </c>
      <c r="E101" s="77">
        <v>41681.345138888886</v>
      </c>
      <c r="F101" s="77">
        <v>41681.387499999997</v>
      </c>
      <c r="G101" s="83">
        <f t="shared" si="6"/>
        <v>1.0166666666627862</v>
      </c>
      <c r="H101" s="358">
        <f t="shared" si="7"/>
        <v>9.4888888888526701E-2</v>
      </c>
      <c r="I101" s="78">
        <f t="shared" si="8"/>
        <v>6.7371111110853956</v>
      </c>
      <c r="J101" s="91">
        <v>68</v>
      </c>
      <c r="K101" s="91">
        <v>75</v>
      </c>
      <c r="L101" s="91">
        <v>71</v>
      </c>
      <c r="M101" s="91" t="s">
        <v>152</v>
      </c>
      <c r="N101" s="140" t="s">
        <v>230</v>
      </c>
    </row>
    <row r="102" spans="1:16" x14ac:dyDescent="0.25">
      <c r="A102" s="53" t="s">
        <v>88</v>
      </c>
      <c r="B102" s="53" t="s">
        <v>91</v>
      </c>
      <c r="C102" s="53">
        <v>9</v>
      </c>
      <c r="D102" s="53">
        <v>9630</v>
      </c>
      <c r="E102" s="77">
        <v>41682.347222222219</v>
      </c>
      <c r="F102" s="77">
        <v>41682.395833333336</v>
      </c>
      <c r="G102" s="83">
        <f t="shared" si="6"/>
        <v>1.1666666668024845</v>
      </c>
      <c r="H102" s="358">
        <f t="shared" si="7"/>
        <v>9.3333333344198757E-2</v>
      </c>
      <c r="I102" s="78">
        <f t="shared" si="8"/>
        <v>6.6266666674381121</v>
      </c>
      <c r="J102" s="91">
        <v>69</v>
      </c>
      <c r="K102" s="91">
        <v>75</v>
      </c>
      <c r="L102" s="91">
        <v>71</v>
      </c>
      <c r="M102" s="91" t="s">
        <v>152</v>
      </c>
      <c r="N102" s="140" t="s">
        <v>235</v>
      </c>
    </row>
    <row r="103" spans="1:16" x14ac:dyDescent="0.25">
      <c r="A103" s="53" t="s">
        <v>88</v>
      </c>
      <c r="B103" s="53" t="s">
        <v>91</v>
      </c>
      <c r="C103" s="53">
        <v>10</v>
      </c>
      <c r="D103" s="53">
        <v>9630</v>
      </c>
      <c r="E103" s="77">
        <v>41682.395833333336</v>
      </c>
      <c r="F103" s="77">
        <v>41682.458333333336</v>
      </c>
      <c r="G103" s="83">
        <f t="shared" ref="G103:G122" si="9">(F103-E103)*24</f>
        <v>1.5</v>
      </c>
      <c r="H103" s="358">
        <f t="shared" ref="H103:H105" si="10">G103*(K103-J103)/K103</f>
        <v>0.08</v>
      </c>
      <c r="I103" s="78">
        <f t="shared" ref="I103:I105" si="11">H103*L103</f>
        <v>5.68</v>
      </c>
      <c r="J103" s="91">
        <v>71</v>
      </c>
      <c r="K103" s="91">
        <v>75</v>
      </c>
      <c r="L103" s="91">
        <v>71</v>
      </c>
      <c r="M103" s="91" t="s">
        <v>152</v>
      </c>
      <c r="N103" s="140" t="s">
        <v>236</v>
      </c>
    </row>
    <row r="104" spans="1:16" x14ac:dyDescent="0.25">
      <c r="A104" s="53" t="s">
        <v>88</v>
      </c>
      <c r="B104" s="53" t="s">
        <v>91</v>
      </c>
      <c r="C104" s="53">
        <v>8</v>
      </c>
      <c r="D104" s="53">
        <v>9630</v>
      </c>
      <c r="E104" s="77">
        <v>41682.319444444445</v>
      </c>
      <c r="F104" s="77">
        <v>41682.347222222219</v>
      </c>
      <c r="G104" s="83">
        <f t="shared" si="9"/>
        <v>0.6666666665696539</v>
      </c>
      <c r="H104" s="358">
        <f t="shared" si="10"/>
        <v>7.9999999988358467E-2</v>
      </c>
      <c r="I104" s="78">
        <f t="shared" si="11"/>
        <v>5.6799999991734511</v>
      </c>
      <c r="J104" s="91">
        <v>66</v>
      </c>
      <c r="K104" s="91">
        <v>75</v>
      </c>
      <c r="L104" s="91">
        <v>71</v>
      </c>
      <c r="M104" s="91" t="s">
        <v>152</v>
      </c>
      <c r="N104" s="140" t="s">
        <v>234</v>
      </c>
    </row>
    <row r="105" spans="1:16" x14ac:dyDescent="0.25">
      <c r="A105" s="53" t="s">
        <v>88</v>
      </c>
      <c r="B105" s="53" t="s">
        <v>91</v>
      </c>
      <c r="C105" s="53">
        <v>5</v>
      </c>
      <c r="D105" s="53">
        <v>9630</v>
      </c>
      <c r="E105" s="77">
        <v>41681.387499999997</v>
      </c>
      <c r="F105" s="77">
        <v>41681.402777777781</v>
      </c>
      <c r="G105" s="83">
        <f t="shared" si="9"/>
        <v>0.36666666681412607</v>
      </c>
      <c r="H105" s="358">
        <f t="shared" si="10"/>
        <v>2.4444444454275072E-2</v>
      </c>
      <c r="I105" s="78">
        <f t="shared" si="11"/>
        <v>1.7355555562535301</v>
      </c>
      <c r="J105" s="91">
        <v>70</v>
      </c>
      <c r="K105" s="91">
        <v>75</v>
      </c>
      <c r="L105" s="91">
        <v>71</v>
      </c>
      <c r="M105" s="91" t="s">
        <v>152</v>
      </c>
      <c r="N105" s="140" t="s">
        <v>231</v>
      </c>
    </row>
    <row r="106" spans="1:16" x14ac:dyDescent="0.25">
      <c r="A106" s="53" t="s">
        <v>79</v>
      </c>
      <c r="B106" s="408" t="s">
        <v>96</v>
      </c>
      <c r="C106" s="53">
        <v>29</v>
      </c>
      <c r="D106" s="53">
        <v>8460</v>
      </c>
      <c r="E106" s="77">
        <v>41682.291666666664</v>
      </c>
      <c r="F106" s="77">
        <v>41682.947916666664</v>
      </c>
      <c r="G106" s="409">
        <f t="shared" si="9"/>
        <v>15.75</v>
      </c>
      <c r="H106" s="410"/>
      <c r="I106" s="411"/>
      <c r="J106" s="91">
        <v>0</v>
      </c>
      <c r="K106" s="91">
        <v>330</v>
      </c>
      <c r="L106" s="91">
        <v>303</v>
      </c>
      <c r="M106" s="91" t="s">
        <v>167</v>
      </c>
      <c r="N106" s="140" t="s">
        <v>250</v>
      </c>
      <c r="O106" s="52"/>
    </row>
    <row r="107" spans="1:16" x14ac:dyDescent="0.25">
      <c r="A107" s="53" t="s">
        <v>79</v>
      </c>
      <c r="B107" s="408" t="s">
        <v>96</v>
      </c>
      <c r="C107" s="53">
        <v>33</v>
      </c>
      <c r="D107" s="53">
        <v>8460</v>
      </c>
      <c r="E107" s="77">
        <v>41683.569444444445</v>
      </c>
      <c r="F107" s="77">
        <v>41683.916666666664</v>
      </c>
      <c r="G107" s="409">
        <f t="shared" si="9"/>
        <v>8.3333333332557231</v>
      </c>
      <c r="H107" s="410"/>
      <c r="I107" s="411"/>
      <c r="J107" s="91">
        <v>0</v>
      </c>
      <c r="K107" s="91">
        <v>330</v>
      </c>
      <c r="L107" s="91">
        <v>303</v>
      </c>
      <c r="M107" s="91" t="s">
        <v>167</v>
      </c>
      <c r="N107" s="140" t="s">
        <v>250</v>
      </c>
      <c r="O107" s="52"/>
    </row>
    <row r="108" spans="1:16" x14ac:dyDescent="0.25">
      <c r="A108" s="53" t="s">
        <v>78</v>
      </c>
      <c r="B108" s="408" t="s">
        <v>96</v>
      </c>
      <c r="C108" s="53">
        <v>36</v>
      </c>
      <c r="D108" s="53">
        <v>1850</v>
      </c>
      <c r="E108" s="77">
        <v>41672.274305555555</v>
      </c>
      <c r="F108" s="77">
        <v>41672.59375</v>
      </c>
      <c r="G108" s="409">
        <f t="shared" si="9"/>
        <v>7.6666666666860692</v>
      </c>
      <c r="H108" s="410"/>
      <c r="I108" s="411"/>
      <c r="J108" s="91">
        <v>0</v>
      </c>
      <c r="K108" s="91">
        <v>330</v>
      </c>
      <c r="L108" s="91">
        <v>299</v>
      </c>
      <c r="M108" s="91" t="s">
        <v>149</v>
      </c>
      <c r="N108" s="140" t="s">
        <v>255</v>
      </c>
    </row>
    <row r="109" spans="1:16" x14ac:dyDescent="0.25">
      <c r="A109" s="53" t="s">
        <v>78</v>
      </c>
      <c r="B109" s="408" t="s">
        <v>96</v>
      </c>
      <c r="C109" s="53">
        <v>54</v>
      </c>
      <c r="D109" s="53">
        <v>1160</v>
      </c>
      <c r="E109" s="77">
        <v>41682.916666666664</v>
      </c>
      <c r="F109" s="77">
        <v>41683.201388888891</v>
      </c>
      <c r="G109" s="409">
        <f t="shared" si="9"/>
        <v>6.8333333334303461</v>
      </c>
      <c r="H109" s="410"/>
      <c r="I109" s="411"/>
      <c r="J109" s="91">
        <v>0</v>
      </c>
      <c r="K109" s="91">
        <v>330</v>
      </c>
      <c r="L109" s="91">
        <v>299</v>
      </c>
      <c r="M109" s="91" t="s">
        <v>169</v>
      </c>
      <c r="N109" s="140" t="s">
        <v>247</v>
      </c>
      <c r="O109" s="52"/>
    </row>
    <row r="110" spans="1:16" x14ac:dyDescent="0.25">
      <c r="A110" s="53" t="s">
        <v>78</v>
      </c>
      <c r="B110" s="408" t="s">
        <v>96</v>
      </c>
      <c r="C110" s="53">
        <v>47</v>
      </c>
      <c r="D110" s="53">
        <v>1160</v>
      </c>
      <c r="E110" s="77">
        <v>41677.958333333336</v>
      </c>
      <c r="F110" s="77">
        <v>41678.229166666664</v>
      </c>
      <c r="G110" s="409">
        <f t="shared" si="9"/>
        <v>6.4999999998835847</v>
      </c>
      <c r="H110" s="410"/>
      <c r="I110" s="411"/>
      <c r="J110" s="91">
        <v>0</v>
      </c>
      <c r="K110" s="91">
        <v>330</v>
      </c>
      <c r="L110" s="91">
        <v>299</v>
      </c>
      <c r="M110" s="91" t="s">
        <v>169</v>
      </c>
      <c r="N110" s="140" t="s">
        <v>247</v>
      </c>
      <c r="O110" s="52"/>
    </row>
    <row r="111" spans="1:16" x14ac:dyDescent="0.25">
      <c r="A111" s="53" t="s">
        <v>85</v>
      </c>
      <c r="B111" s="408" t="s">
        <v>96</v>
      </c>
      <c r="C111" s="53">
        <v>16</v>
      </c>
      <c r="D111" s="53">
        <v>1190</v>
      </c>
      <c r="E111" s="77">
        <v>41671.000694444447</v>
      </c>
      <c r="F111" s="77">
        <v>41671.260416666664</v>
      </c>
      <c r="G111" s="409">
        <f t="shared" si="9"/>
        <v>6.2333333332207985</v>
      </c>
      <c r="H111" s="410"/>
      <c r="I111" s="411"/>
      <c r="J111" s="419">
        <f>0*75%</f>
        <v>0</v>
      </c>
      <c r="K111" s="419">
        <v>607</v>
      </c>
      <c r="L111" s="419">
        <v>570</v>
      </c>
      <c r="M111" s="91" t="s">
        <v>156</v>
      </c>
      <c r="N111" s="140" t="s">
        <v>281</v>
      </c>
    </row>
    <row r="112" spans="1:16" x14ac:dyDescent="0.25">
      <c r="A112" s="53" t="s">
        <v>78</v>
      </c>
      <c r="B112" s="408" t="s">
        <v>96</v>
      </c>
      <c r="C112" s="53">
        <v>51</v>
      </c>
      <c r="D112" s="53">
        <v>1160</v>
      </c>
      <c r="E112" s="77">
        <v>41679.883333333331</v>
      </c>
      <c r="F112" s="77">
        <v>41680.136805555558</v>
      </c>
      <c r="G112" s="409">
        <f t="shared" si="9"/>
        <v>6.0833333334303461</v>
      </c>
      <c r="H112" s="410"/>
      <c r="I112" s="411"/>
      <c r="J112" s="91">
        <v>0</v>
      </c>
      <c r="K112" s="91">
        <v>330</v>
      </c>
      <c r="L112" s="91">
        <v>299</v>
      </c>
      <c r="M112" s="91" t="s">
        <v>169</v>
      </c>
      <c r="N112" s="140" t="s">
        <v>247</v>
      </c>
      <c r="O112" s="52"/>
    </row>
    <row r="113" spans="1:16" x14ac:dyDescent="0.25">
      <c r="A113" s="53" t="s">
        <v>79</v>
      </c>
      <c r="B113" s="408" t="s">
        <v>96</v>
      </c>
      <c r="C113" s="53">
        <v>24</v>
      </c>
      <c r="D113" s="53">
        <v>1160</v>
      </c>
      <c r="E113" s="77">
        <v>41678.916666666664</v>
      </c>
      <c r="F113" s="77">
        <v>41679.166666666664</v>
      </c>
      <c r="G113" s="409">
        <f t="shared" si="9"/>
        <v>6</v>
      </c>
      <c r="H113" s="410"/>
      <c r="I113" s="411"/>
      <c r="J113" s="91">
        <v>0</v>
      </c>
      <c r="K113" s="91">
        <v>330</v>
      </c>
      <c r="L113" s="91">
        <v>303</v>
      </c>
      <c r="M113" s="91" t="s">
        <v>169</v>
      </c>
      <c r="N113" s="140" t="s">
        <v>247</v>
      </c>
      <c r="O113" s="52"/>
    </row>
    <row r="114" spans="1:16" x14ac:dyDescent="0.25">
      <c r="A114" s="53" t="s">
        <v>78</v>
      </c>
      <c r="B114" s="408" t="s">
        <v>96</v>
      </c>
      <c r="C114" s="53">
        <v>50</v>
      </c>
      <c r="D114" s="53">
        <v>1160</v>
      </c>
      <c r="E114" s="77">
        <v>41678.916666666664</v>
      </c>
      <c r="F114" s="77">
        <v>41679.166666666664</v>
      </c>
      <c r="G114" s="409">
        <f t="shared" si="9"/>
        <v>6</v>
      </c>
      <c r="H114" s="410"/>
      <c r="I114" s="411"/>
      <c r="J114" s="91">
        <v>0</v>
      </c>
      <c r="K114" s="91">
        <v>330</v>
      </c>
      <c r="L114" s="91">
        <v>299</v>
      </c>
      <c r="M114" s="91" t="s">
        <v>169</v>
      </c>
      <c r="N114" s="140" t="s">
        <v>247</v>
      </c>
      <c r="O114" s="52"/>
    </row>
    <row r="115" spans="1:16" x14ac:dyDescent="0.25">
      <c r="A115" s="53" t="s">
        <v>108</v>
      </c>
      <c r="B115" s="408" t="s">
        <v>96</v>
      </c>
      <c r="C115" s="53">
        <v>26</v>
      </c>
      <c r="D115" s="53">
        <v>9999</v>
      </c>
      <c r="E115" s="77">
        <v>41675.447916666664</v>
      </c>
      <c r="F115" s="77">
        <v>41675.68472222222</v>
      </c>
      <c r="G115" s="409">
        <f t="shared" si="9"/>
        <v>5.6833333333488554</v>
      </c>
      <c r="H115" s="410"/>
      <c r="I115" s="411"/>
      <c r="J115" s="419">
        <f>0*75%</f>
        <v>0</v>
      </c>
      <c r="K115" s="419">
        <v>410</v>
      </c>
      <c r="L115" s="419">
        <v>383</v>
      </c>
      <c r="M115" s="91" t="s">
        <v>191</v>
      </c>
      <c r="N115" s="140" t="s">
        <v>277</v>
      </c>
    </row>
    <row r="116" spans="1:16" x14ac:dyDescent="0.25">
      <c r="A116" s="53" t="s">
        <v>79</v>
      </c>
      <c r="B116" s="408" t="s">
        <v>96</v>
      </c>
      <c r="C116" s="53">
        <v>19</v>
      </c>
      <c r="D116" s="53">
        <v>1160</v>
      </c>
      <c r="E116" s="77">
        <v>41674.958333333336</v>
      </c>
      <c r="F116" s="77">
        <v>41675.177083333336</v>
      </c>
      <c r="G116" s="409">
        <f t="shared" si="9"/>
        <v>5.25</v>
      </c>
      <c r="H116" s="410"/>
      <c r="I116" s="411"/>
      <c r="J116" s="91">
        <v>0</v>
      </c>
      <c r="K116" s="91">
        <v>330</v>
      </c>
      <c r="L116" s="91">
        <v>303</v>
      </c>
      <c r="M116" s="91" t="s">
        <v>169</v>
      </c>
      <c r="N116" s="140" t="s">
        <v>243</v>
      </c>
    </row>
    <row r="117" spans="1:16" x14ac:dyDescent="0.25">
      <c r="A117" s="53" t="s">
        <v>78</v>
      </c>
      <c r="B117" s="408" t="s">
        <v>96</v>
      </c>
      <c r="C117" s="53">
        <v>55</v>
      </c>
      <c r="D117" s="53">
        <v>8460</v>
      </c>
      <c r="E117" s="77">
        <v>41683.333333333336</v>
      </c>
      <c r="F117" s="77">
        <v>41683.549305555556</v>
      </c>
      <c r="G117" s="409">
        <f t="shared" si="9"/>
        <v>5.1833333332906477</v>
      </c>
      <c r="H117" s="410"/>
      <c r="I117" s="411"/>
      <c r="J117" s="91">
        <v>0</v>
      </c>
      <c r="K117" s="91">
        <v>330</v>
      </c>
      <c r="L117" s="91">
        <v>299</v>
      </c>
      <c r="M117" s="91" t="s">
        <v>167</v>
      </c>
      <c r="N117" s="140" t="s">
        <v>262</v>
      </c>
      <c r="O117" s="52"/>
    </row>
    <row r="118" spans="1:16" x14ac:dyDescent="0.25">
      <c r="A118" s="53" t="s">
        <v>77</v>
      </c>
      <c r="B118" s="408" t="s">
        <v>96</v>
      </c>
      <c r="C118" s="53">
        <v>21</v>
      </c>
      <c r="D118" s="53">
        <v>1160</v>
      </c>
      <c r="E118" s="77">
        <v>41682.999305555553</v>
      </c>
      <c r="F118" s="77">
        <v>41683.180555555555</v>
      </c>
      <c r="G118" s="409">
        <f t="shared" si="9"/>
        <v>4.3500000000349246</v>
      </c>
      <c r="H118" s="410"/>
      <c r="I118" s="411"/>
      <c r="J118" s="91">
        <v>0</v>
      </c>
      <c r="K118" s="91">
        <v>521</v>
      </c>
      <c r="L118" s="91">
        <v>481</v>
      </c>
      <c r="M118" s="91" t="s">
        <v>169</v>
      </c>
      <c r="N118" s="140" t="s">
        <v>247</v>
      </c>
    </row>
    <row r="119" spans="1:16" x14ac:dyDescent="0.25">
      <c r="A119" s="53" t="s">
        <v>78</v>
      </c>
      <c r="B119" s="408" t="s">
        <v>96</v>
      </c>
      <c r="C119" s="53">
        <v>52</v>
      </c>
      <c r="D119" s="53">
        <v>8460</v>
      </c>
      <c r="E119" s="77">
        <v>41681.333333333336</v>
      </c>
      <c r="F119" s="77">
        <v>41681.513888888891</v>
      </c>
      <c r="G119" s="409">
        <f t="shared" si="9"/>
        <v>4.3333333333139308</v>
      </c>
      <c r="H119" s="410"/>
      <c r="I119" s="411"/>
      <c r="J119" s="91">
        <v>0</v>
      </c>
      <c r="K119" s="91">
        <v>330</v>
      </c>
      <c r="L119" s="91">
        <v>299</v>
      </c>
      <c r="M119" s="91" t="s">
        <v>167</v>
      </c>
      <c r="N119" s="140" t="s">
        <v>262</v>
      </c>
      <c r="O119" s="52"/>
    </row>
    <row r="120" spans="1:16" x14ac:dyDescent="0.25">
      <c r="A120" s="53" t="s">
        <v>78</v>
      </c>
      <c r="B120" s="408" t="s">
        <v>96</v>
      </c>
      <c r="C120" s="53">
        <v>53</v>
      </c>
      <c r="D120" s="53">
        <v>1160</v>
      </c>
      <c r="E120" s="77">
        <v>41681.51458333333</v>
      </c>
      <c r="F120" s="77">
        <v>41681.6875</v>
      </c>
      <c r="G120" s="409">
        <f t="shared" si="9"/>
        <v>4.1500000000814907</v>
      </c>
      <c r="H120" s="410"/>
      <c r="I120" s="411"/>
      <c r="J120" s="91">
        <v>0</v>
      </c>
      <c r="K120" s="91">
        <v>330</v>
      </c>
      <c r="L120" s="91">
        <v>299</v>
      </c>
      <c r="M120" s="91" t="s">
        <v>169</v>
      </c>
      <c r="N120" s="140" t="s">
        <v>247</v>
      </c>
      <c r="O120" s="52"/>
    </row>
    <row r="121" spans="1:16" x14ac:dyDescent="0.25">
      <c r="A121" s="53" t="s">
        <v>87</v>
      </c>
      <c r="B121" s="408" t="s">
        <v>96</v>
      </c>
      <c r="C121" s="53">
        <v>9</v>
      </c>
      <c r="D121" s="53">
        <v>9999</v>
      </c>
      <c r="E121" s="77">
        <v>41683.416666666664</v>
      </c>
      <c r="F121" s="77">
        <v>41683.583333333336</v>
      </c>
      <c r="G121" s="409">
        <f t="shared" si="9"/>
        <v>4.0000000001164153</v>
      </c>
      <c r="H121" s="410"/>
      <c r="I121" s="411"/>
      <c r="J121" s="91">
        <v>0</v>
      </c>
      <c r="K121" s="91">
        <v>181</v>
      </c>
      <c r="L121" s="91">
        <v>168</v>
      </c>
      <c r="M121" s="91" t="s">
        <v>191</v>
      </c>
      <c r="N121" s="140" t="s">
        <v>207</v>
      </c>
    </row>
    <row r="122" spans="1:16" s="157" customFormat="1" x14ac:dyDescent="0.25">
      <c r="A122" s="53" t="s">
        <v>79</v>
      </c>
      <c r="B122" s="408" t="s">
        <v>96</v>
      </c>
      <c r="C122" s="53">
        <v>28</v>
      </c>
      <c r="D122" s="53">
        <v>8460</v>
      </c>
      <c r="E122" s="77">
        <v>41681.53125</v>
      </c>
      <c r="F122" s="77">
        <v>41681.666666666664</v>
      </c>
      <c r="G122" s="409">
        <f t="shared" si="9"/>
        <v>3.2499999999417923</v>
      </c>
      <c r="H122" s="410"/>
      <c r="I122" s="411"/>
      <c r="J122" s="91">
        <v>0</v>
      </c>
      <c r="K122" s="91">
        <v>330</v>
      </c>
      <c r="L122" s="91">
        <v>303</v>
      </c>
      <c r="M122" s="91" t="s">
        <v>167</v>
      </c>
      <c r="N122" s="140" t="s">
        <v>250</v>
      </c>
      <c r="O122" s="52"/>
      <c r="P122" s="52"/>
    </row>
    <row r="123" spans="1:16" s="54" customFormat="1" x14ac:dyDescent="0.25">
      <c r="A123" s="114"/>
      <c r="B123" s="114"/>
      <c r="C123" s="114"/>
      <c r="D123" s="114"/>
      <c r="E123" s="115"/>
      <c r="F123" s="115"/>
      <c r="G123" s="116"/>
      <c r="H123" s="359"/>
      <c r="I123" s="117"/>
      <c r="J123" s="118"/>
      <c r="K123" s="412">
        <v>607</v>
      </c>
      <c r="L123" s="412">
        <v>570</v>
      </c>
      <c r="M123" s="118"/>
      <c r="N123" s="138"/>
      <c r="O123" s="92"/>
    </row>
    <row r="125" spans="1:16" ht="14.25" thickBot="1" x14ac:dyDescent="0.3">
      <c r="A125" s="93"/>
      <c r="B125" s="93"/>
      <c r="C125" s="93"/>
      <c r="D125" s="93"/>
      <c r="E125" s="94"/>
      <c r="F125" s="94"/>
      <c r="G125" s="95"/>
      <c r="H125" s="365"/>
      <c r="I125" s="96"/>
      <c r="J125" s="97"/>
      <c r="K125" s="97"/>
      <c r="L125" s="97"/>
      <c r="M125" s="97"/>
      <c r="N125" s="141"/>
    </row>
    <row r="126" spans="1:16" ht="14.25" thickTop="1" x14ac:dyDescent="0.25"/>
    <row r="128" spans="1:16" x14ac:dyDescent="0.25">
      <c r="A128" s="109"/>
      <c r="B128" s="109"/>
      <c r="C128" s="109"/>
      <c r="D128" s="109"/>
      <c r="E128" s="110"/>
      <c r="F128" s="110"/>
      <c r="G128" s="111"/>
      <c r="H128" s="357"/>
      <c r="I128" s="112"/>
      <c r="J128" s="113"/>
      <c r="K128" s="113"/>
      <c r="L128" s="113"/>
      <c r="M128" s="113"/>
      <c r="N128" s="137"/>
    </row>
    <row r="129" spans="1:16" x14ac:dyDescent="0.25">
      <c r="A129" s="67" t="s">
        <v>121</v>
      </c>
      <c r="B129" s="415" t="s">
        <v>107</v>
      </c>
      <c r="C129" s="67">
        <v>4</v>
      </c>
      <c r="D129" s="67">
        <v>4720</v>
      </c>
      <c r="E129" s="68">
        <v>41685.255555555559</v>
      </c>
      <c r="F129" s="407">
        <v>41687</v>
      </c>
      <c r="G129" s="416">
        <f>(F129-E129)*24</f>
        <v>41.866666666581295</v>
      </c>
      <c r="H129" s="417">
        <f>G129*(K129-J129)/K129</f>
        <v>41.866666666581295</v>
      </c>
      <c r="I129" s="418">
        <f>H129*L129</f>
        <v>7326.6666666517267</v>
      </c>
      <c r="J129" s="384">
        <v>0</v>
      </c>
      <c r="K129" s="384">
        <v>176</v>
      </c>
      <c r="L129" s="384">
        <v>175</v>
      </c>
      <c r="M129" s="384" t="s">
        <v>199</v>
      </c>
      <c r="N129" s="139" t="s">
        <v>276</v>
      </c>
      <c r="O129" s="385"/>
      <c r="P129" s="157"/>
    </row>
    <row r="130" spans="1:16" x14ac:dyDescent="0.25">
      <c r="A130" s="109"/>
      <c r="B130" s="109"/>
      <c r="C130" s="109"/>
      <c r="D130" s="109"/>
      <c r="E130" s="110"/>
      <c r="F130" s="110"/>
      <c r="G130" s="111"/>
      <c r="H130" s="357"/>
      <c r="I130" s="112"/>
      <c r="J130" s="113"/>
      <c r="K130" s="113"/>
      <c r="L130" s="113"/>
      <c r="M130" s="113"/>
      <c r="N130" s="137"/>
    </row>
    <row r="131" spans="1:16" x14ac:dyDescent="0.25">
      <c r="A131" s="53" t="s">
        <v>123</v>
      </c>
      <c r="B131" s="376" t="s">
        <v>95</v>
      </c>
      <c r="C131" s="53">
        <v>30</v>
      </c>
      <c r="D131" s="53">
        <v>5041</v>
      </c>
      <c r="E131" s="77">
        <v>41674.481249999997</v>
      </c>
      <c r="F131" s="77">
        <v>41674.661111111112</v>
      </c>
      <c r="G131" s="377">
        <f t="shared" ref="G131:G144" si="12">(F131-E131)*24</f>
        <v>4.3166666667675599</v>
      </c>
      <c r="H131" s="378">
        <f t="shared" ref="H131:H144" si="13">G131*(K131-J131)/K131</f>
        <v>4.3166666667675599</v>
      </c>
      <c r="I131" s="379">
        <f t="shared" ref="I131:I144" si="14">H131*L131</f>
        <v>759.73333335109055</v>
      </c>
      <c r="J131" s="91">
        <v>0</v>
      </c>
      <c r="K131" s="91">
        <v>180</v>
      </c>
      <c r="L131" s="91">
        <v>176</v>
      </c>
      <c r="M131" s="91" t="s">
        <v>157</v>
      </c>
      <c r="N131" s="140" t="s">
        <v>290</v>
      </c>
    </row>
    <row r="132" spans="1:16" s="157" customFormat="1" x14ac:dyDescent="0.25">
      <c r="A132" s="53" t="s">
        <v>128</v>
      </c>
      <c r="B132" s="390" t="s">
        <v>93</v>
      </c>
      <c r="C132" s="53">
        <v>15</v>
      </c>
      <c r="D132" s="53">
        <v>5041</v>
      </c>
      <c r="E132" s="77">
        <v>41677.526388888888</v>
      </c>
      <c r="F132" s="77">
        <v>41677.649305555555</v>
      </c>
      <c r="G132" s="391">
        <f t="shared" si="12"/>
        <v>2.9500000000116415</v>
      </c>
      <c r="H132" s="392">
        <f t="shared" si="13"/>
        <v>2.9500000000116415</v>
      </c>
      <c r="I132" s="393">
        <f t="shared" si="14"/>
        <v>519.20000000204891</v>
      </c>
      <c r="J132" s="91">
        <v>0</v>
      </c>
      <c r="K132" s="91">
        <v>180</v>
      </c>
      <c r="L132" s="91">
        <v>176</v>
      </c>
      <c r="M132" s="91" t="s">
        <v>157</v>
      </c>
      <c r="N132" s="140" t="s">
        <v>293</v>
      </c>
      <c r="O132" s="79"/>
      <c r="P132" s="52"/>
    </row>
    <row r="133" spans="1:16" s="157" customFormat="1" x14ac:dyDescent="0.25">
      <c r="A133" s="53" t="s">
        <v>122</v>
      </c>
      <c r="B133" s="390" t="s">
        <v>93</v>
      </c>
      <c r="C133" s="53">
        <v>12</v>
      </c>
      <c r="D133" s="53">
        <v>5079</v>
      </c>
      <c r="E133" s="77">
        <v>41681.261111111111</v>
      </c>
      <c r="F133" s="77">
        <v>41681.357638888891</v>
      </c>
      <c r="G133" s="391">
        <f t="shared" si="12"/>
        <v>2.3166666667093523</v>
      </c>
      <c r="H133" s="392">
        <f t="shared" si="13"/>
        <v>2.3166666667093523</v>
      </c>
      <c r="I133" s="393">
        <f t="shared" si="14"/>
        <v>407.733333340846</v>
      </c>
      <c r="J133" s="91">
        <v>0</v>
      </c>
      <c r="K133" s="91">
        <v>180</v>
      </c>
      <c r="L133" s="91">
        <v>176</v>
      </c>
      <c r="M133" s="91" t="s">
        <v>158</v>
      </c>
      <c r="N133" s="140" t="s">
        <v>288</v>
      </c>
      <c r="O133" s="79"/>
      <c r="P133" s="52"/>
    </row>
    <row r="134" spans="1:16" s="157" customFormat="1" x14ac:dyDescent="0.25">
      <c r="A134" s="53" t="s">
        <v>130</v>
      </c>
      <c r="B134" s="390" t="s">
        <v>93</v>
      </c>
      <c r="C134" s="53">
        <v>12</v>
      </c>
      <c r="D134" s="53">
        <v>5049</v>
      </c>
      <c r="E134" s="77">
        <v>41680.718055555553</v>
      </c>
      <c r="F134" s="77">
        <v>41680.81527777778</v>
      </c>
      <c r="G134" s="391">
        <f t="shared" si="12"/>
        <v>2.3333333334303461</v>
      </c>
      <c r="H134" s="392">
        <f t="shared" si="13"/>
        <v>2.3333333334303461</v>
      </c>
      <c r="I134" s="393">
        <f t="shared" si="14"/>
        <v>399.00000001658918</v>
      </c>
      <c r="J134" s="91">
        <v>0</v>
      </c>
      <c r="K134" s="91">
        <v>172</v>
      </c>
      <c r="L134" s="91">
        <v>171</v>
      </c>
      <c r="M134" s="91" t="s">
        <v>195</v>
      </c>
      <c r="N134" s="140" t="s">
        <v>286</v>
      </c>
      <c r="O134" s="79"/>
      <c r="P134" s="52"/>
    </row>
    <row r="135" spans="1:16" s="157" customFormat="1" x14ac:dyDescent="0.25">
      <c r="A135" s="53" t="s">
        <v>128</v>
      </c>
      <c r="B135" s="53" t="s">
        <v>91</v>
      </c>
      <c r="C135" s="53">
        <v>17</v>
      </c>
      <c r="D135" s="53">
        <v>5041</v>
      </c>
      <c r="E135" s="77">
        <v>41677.416666666664</v>
      </c>
      <c r="F135" s="77">
        <v>41677.526388888888</v>
      </c>
      <c r="G135" s="83">
        <f t="shared" si="12"/>
        <v>2.6333333333604969</v>
      </c>
      <c r="H135" s="358">
        <f t="shared" si="13"/>
        <v>1.4629629629780538</v>
      </c>
      <c r="I135" s="78">
        <f t="shared" si="14"/>
        <v>257.48148148413748</v>
      </c>
      <c r="J135" s="91">
        <v>80</v>
      </c>
      <c r="K135" s="91">
        <v>180</v>
      </c>
      <c r="L135" s="91">
        <v>176</v>
      </c>
      <c r="M135" s="91" t="s">
        <v>157</v>
      </c>
      <c r="N135" s="140" t="s">
        <v>292</v>
      </c>
      <c r="O135" s="79"/>
      <c r="P135" s="52"/>
    </row>
    <row r="136" spans="1:16" x14ac:dyDescent="0.25">
      <c r="A136" s="53" t="s">
        <v>111</v>
      </c>
      <c r="B136" s="376" t="s">
        <v>95</v>
      </c>
      <c r="C136" s="53">
        <v>10</v>
      </c>
      <c r="D136" s="53">
        <v>5048</v>
      </c>
      <c r="E136" s="77">
        <v>41674.270833333336</v>
      </c>
      <c r="F136" s="77">
        <v>41674.333333333336</v>
      </c>
      <c r="G136" s="377">
        <f t="shared" si="12"/>
        <v>1.5</v>
      </c>
      <c r="H136" s="378">
        <f t="shared" si="13"/>
        <v>1.5</v>
      </c>
      <c r="I136" s="379">
        <f t="shared" si="14"/>
        <v>256.5</v>
      </c>
      <c r="J136" s="91">
        <v>0</v>
      </c>
      <c r="K136" s="91">
        <v>172</v>
      </c>
      <c r="L136" s="91">
        <v>171</v>
      </c>
      <c r="M136" s="91" t="s">
        <v>154</v>
      </c>
      <c r="N136" s="140" t="s">
        <v>285</v>
      </c>
    </row>
    <row r="137" spans="1:16" x14ac:dyDescent="0.25">
      <c r="A137" s="53" t="s">
        <v>123</v>
      </c>
      <c r="B137" s="390" t="s">
        <v>93</v>
      </c>
      <c r="C137" s="53">
        <v>34</v>
      </c>
      <c r="D137" s="53">
        <v>5079</v>
      </c>
      <c r="E137" s="77">
        <v>41681.353472222225</v>
      </c>
      <c r="F137" s="77">
        <v>41681.40625</v>
      </c>
      <c r="G137" s="391">
        <f t="shared" si="12"/>
        <v>1.2666666666045785</v>
      </c>
      <c r="H137" s="392">
        <f t="shared" si="13"/>
        <v>1.2666666666045785</v>
      </c>
      <c r="I137" s="393">
        <f t="shared" si="14"/>
        <v>222.93333332240582</v>
      </c>
      <c r="J137" s="91">
        <v>0</v>
      </c>
      <c r="K137" s="91">
        <v>180</v>
      </c>
      <c r="L137" s="91">
        <v>176</v>
      </c>
      <c r="M137" s="91" t="s">
        <v>158</v>
      </c>
      <c r="N137" s="140" t="s">
        <v>288</v>
      </c>
    </row>
    <row r="138" spans="1:16" x14ac:dyDescent="0.25">
      <c r="A138" s="67" t="s">
        <v>160</v>
      </c>
      <c r="B138" s="394" t="s">
        <v>93</v>
      </c>
      <c r="C138" s="67">
        <v>9</v>
      </c>
      <c r="D138" s="67">
        <v>3611</v>
      </c>
      <c r="E138" s="68">
        <v>41678.120138888888</v>
      </c>
      <c r="F138" s="68">
        <v>41678.795138888891</v>
      </c>
      <c r="G138" s="395">
        <f t="shared" si="12"/>
        <v>16.200000000069849</v>
      </c>
      <c r="H138" s="396">
        <f t="shared" si="13"/>
        <v>16.200000000069849</v>
      </c>
      <c r="I138" s="397">
        <f t="shared" si="14"/>
        <v>194.40000000083819</v>
      </c>
      <c r="J138" s="384">
        <v>0</v>
      </c>
      <c r="K138" s="384">
        <v>12</v>
      </c>
      <c r="L138" s="384">
        <v>12</v>
      </c>
      <c r="M138" s="384" t="s">
        <v>192</v>
      </c>
      <c r="N138" s="139" t="s">
        <v>241</v>
      </c>
      <c r="O138" s="385"/>
      <c r="P138" s="157"/>
    </row>
    <row r="139" spans="1:16" x14ac:dyDescent="0.25">
      <c r="A139" s="67" t="s">
        <v>193</v>
      </c>
      <c r="B139" s="394" t="s">
        <v>93</v>
      </c>
      <c r="C139" s="67">
        <v>4</v>
      </c>
      <c r="D139" s="67">
        <v>3611</v>
      </c>
      <c r="E139" s="68">
        <v>41678.120138888888</v>
      </c>
      <c r="F139" s="68">
        <v>41678.795138888891</v>
      </c>
      <c r="G139" s="395">
        <f t="shared" si="12"/>
        <v>16.200000000069849</v>
      </c>
      <c r="H139" s="396">
        <f t="shared" si="13"/>
        <v>16.200000000069849</v>
      </c>
      <c r="I139" s="397">
        <f t="shared" si="14"/>
        <v>194.40000000083819</v>
      </c>
      <c r="J139" s="384">
        <v>0</v>
      </c>
      <c r="K139" s="384">
        <v>12</v>
      </c>
      <c r="L139" s="384">
        <v>12</v>
      </c>
      <c r="M139" s="384" t="s">
        <v>192</v>
      </c>
      <c r="N139" s="139" t="s">
        <v>242</v>
      </c>
      <c r="O139" s="385"/>
      <c r="P139" s="157"/>
    </row>
    <row r="140" spans="1:16" x14ac:dyDescent="0.25">
      <c r="A140" s="67" t="s">
        <v>109</v>
      </c>
      <c r="B140" s="394" t="s">
        <v>93</v>
      </c>
      <c r="C140" s="67">
        <v>9</v>
      </c>
      <c r="D140" s="67">
        <v>3840</v>
      </c>
      <c r="E140" s="68">
        <v>41673.029166666667</v>
      </c>
      <c r="F140" s="68">
        <v>41673.400694444441</v>
      </c>
      <c r="G140" s="395">
        <f t="shared" si="12"/>
        <v>8.9166666665696539</v>
      </c>
      <c r="H140" s="396">
        <f t="shared" si="13"/>
        <v>8.9166666665696539</v>
      </c>
      <c r="I140" s="397">
        <f t="shared" si="14"/>
        <v>124.83333333197515</v>
      </c>
      <c r="J140" s="384">
        <v>0</v>
      </c>
      <c r="K140" s="384">
        <v>14</v>
      </c>
      <c r="L140" s="384">
        <v>14</v>
      </c>
      <c r="M140" s="384" t="s">
        <v>186</v>
      </c>
      <c r="N140" s="139" t="s">
        <v>287</v>
      </c>
      <c r="O140" s="385"/>
      <c r="P140" s="157"/>
    </row>
    <row r="141" spans="1:16" x14ac:dyDescent="0.25">
      <c r="A141" s="53" t="s">
        <v>123</v>
      </c>
      <c r="B141" s="390" t="s">
        <v>93</v>
      </c>
      <c r="C141" s="53">
        <v>33</v>
      </c>
      <c r="D141" s="53">
        <v>5079</v>
      </c>
      <c r="E141" s="77">
        <v>41681.261111111111</v>
      </c>
      <c r="F141" s="77">
        <v>41681.290277777778</v>
      </c>
      <c r="G141" s="391">
        <f t="shared" si="12"/>
        <v>0.70000000001164153</v>
      </c>
      <c r="H141" s="392">
        <f t="shared" si="13"/>
        <v>0.70000000001164153</v>
      </c>
      <c r="I141" s="393">
        <f t="shared" si="14"/>
        <v>123.20000000204891</v>
      </c>
      <c r="J141" s="91">
        <v>0</v>
      </c>
      <c r="K141" s="91">
        <v>180</v>
      </c>
      <c r="L141" s="91">
        <v>176</v>
      </c>
      <c r="M141" s="91" t="s">
        <v>158</v>
      </c>
      <c r="N141" s="140" t="s">
        <v>288</v>
      </c>
    </row>
    <row r="142" spans="1:16" x14ac:dyDescent="0.25">
      <c r="A142" s="53" t="s">
        <v>122</v>
      </c>
      <c r="B142" s="390" t="s">
        <v>97</v>
      </c>
      <c r="C142" s="53">
        <v>14</v>
      </c>
      <c r="D142" s="53">
        <v>5130</v>
      </c>
      <c r="E142" s="77">
        <v>41687.269444444442</v>
      </c>
      <c r="F142" s="77">
        <v>41687.277777777781</v>
      </c>
      <c r="G142" s="391">
        <f t="shared" si="12"/>
        <v>0.20000000012805685</v>
      </c>
      <c r="H142" s="392">
        <f t="shared" si="13"/>
        <v>0.20000000012805685</v>
      </c>
      <c r="I142" s="393">
        <f t="shared" si="14"/>
        <v>35.200000022538006</v>
      </c>
      <c r="J142" s="91">
        <v>0</v>
      </c>
      <c r="K142" s="91">
        <v>180</v>
      </c>
      <c r="L142" s="91">
        <v>176</v>
      </c>
      <c r="M142" s="91" t="s">
        <v>153</v>
      </c>
      <c r="N142" s="140" t="s">
        <v>289</v>
      </c>
    </row>
    <row r="143" spans="1:16" x14ac:dyDescent="0.25">
      <c r="A143" s="53" t="s">
        <v>126</v>
      </c>
      <c r="B143" s="390" t="s">
        <v>93</v>
      </c>
      <c r="C143" s="53">
        <v>9</v>
      </c>
      <c r="D143" s="53">
        <v>5160</v>
      </c>
      <c r="E143" s="77">
        <v>41675.67291666667</v>
      </c>
      <c r="F143" s="77">
        <v>41675.678472222222</v>
      </c>
      <c r="G143" s="391">
        <f t="shared" si="12"/>
        <v>0.13333333324408159</v>
      </c>
      <c r="H143" s="392">
        <f t="shared" si="13"/>
        <v>0.13333333324408159</v>
      </c>
      <c r="I143" s="393">
        <f t="shared" si="14"/>
        <v>23.466666650958359</v>
      </c>
      <c r="J143" s="91">
        <v>0</v>
      </c>
      <c r="K143" s="91">
        <v>180</v>
      </c>
      <c r="L143" s="91">
        <v>176</v>
      </c>
      <c r="M143" s="91" t="s">
        <v>161</v>
      </c>
      <c r="N143" s="140" t="s">
        <v>291</v>
      </c>
    </row>
    <row r="144" spans="1:16" x14ac:dyDescent="0.25">
      <c r="A144" s="53" t="s">
        <v>126</v>
      </c>
      <c r="B144" s="390" t="s">
        <v>93</v>
      </c>
      <c r="C144" s="53">
        <v>8</v>
      </c>
      <c r="D144" s="53">
        <v>5160</v>
      </c>
      <c r="E144" s="77">
        <v>41675.668749999997</v>
      </c>
      <c r="F144" s="77">
        <v>41675.672222222223</v>
      </c>
      <c r="G144" s="391">
        <f t="shared" si="12"/>
        <v>8.3333333430346102E-2</v>
      </c>
      <c r="H144" s="392">
        <f t="shared" si="13"/>
        <v>8.3333333430346102E-2</v>
      </c>
      <c r="I144" s="393">
        <f t="shared" si="14"/>
        <v>14.666666683740914</v>
      </c>
      <c r="J144" s="91">
        <v>0</v>
      </c>
      <c r="K144" s="91">
        <v>180</v>
      </c>
      <c r="L144" s="91">
        <v>176</v>
      </c>
      <c r="M144" s="91" t="s">
        <v>161</v>
      </c>
      <c r="N144" s="140" t="s">
        <v>291</v>
      </c>
    </row>
    <row r="145" spans="1:15" s="54" customFormat="1" x14ac:dyDescent="0.25">
      <c r="A145" s="114"/>
      <c r="B145" s="114"/>
      <c r="C145" s="114"/>
      <c r="D145" s="114"/>
      <c r="E145" s="115"/>
      <c r="F145" s="115"/>
      <c r="G145" s="116"/>
      <c r="H145" s="359"/>
      <c r="I145" s="117"/>
      <c r="J145" s="118"/>
      <c r="K145" s="412">
        <v>180</v>
      </c>
      <c r="L145" s="412">
        <v>176</v>
      </c>
      <c r="M145" s="118"/>
      <c r="N145" s="138"/>
      <c r="O145" s="92"/>
    </row>
  </sheetData>
  <sortState ref="A12:P122">
    <sortCondition descending="1" ref="I12:I122"/>
    <sortCondition descending="1" ref="G12:G122"/>
  </sortState>
  <pageMargins left="0.25" right="0.25" top="0.25" bottom="0.25" header="0.3" footer="0.3"/>
  <pageSetup scale="73" fitToHeight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0"/>
  <sheetViews>
    <sheetView showGridLines="0" zoomScaleNormal="100" workbookViewId="0">
      <selection activeCell="H17" sqref="H17"/>
    </sheetView>
  </sheetViews>
  <sheetFormatPr defaultColWidth="9.33203125" defaultRowHeight="14.25" x14ac:dyDescent="0.2"/>
  <cols>
    <col min="1" max="1" width="13.6640625" style="84" bestFit="1" customWidth="1"/>
    <col min="2" max="2" width="1.83203125" style="84" customWidth="1"/>
    <col min="3" max="3" width="10.6640625" style="84" bestFit="1" customWidth="1"/>
    <col min="4" max="4" width="10.6640625" style="159" customWidth="1"/>
    <col min="5" max="5" width="10.6640625" style="84" customWidth="1"/>
    <col min="6" max="6" width="11.6640625" style="84" customWidth="1"/>
    <col min="7" max="7" width="1.83203125" style="84" customWidth="1"/>
    <col min="8" max="8" width="10.6640625" style="84" customWidth="1"/>
    <col min="9" max="9" width="10.6640625" style="159" customWidth="1"/>
    <col min="10" max="10" width="10.6640625" style="84" customWidth="1"/>
    <col min="11" max="11" width="11.6640625" style="84" customWidth="1"/>
    <col min="12" max="16384" width="9.33203125" style="84"/>
  </cols>
  <sheetData>
    <row r="2" spans="1:11" ht="16.5" x14ac:dyDescent="0.3">
      <c r="C2" s="441" t="s">
        <v>113</v>
      </c>
      <c r="D2" s="441"/>
      <c r="E2" s="441"/>
      <c r="F2" s="441"/>
      <c r="H2" s="441" t="s">
        <v>114</v>
      </c>
      <c r="I2" s="441"/>
      <c r="J2" s="441"/>
      <c r="K2" s="441"/>
    </row>
    <row r="3" spans="1:11" s="85" customFormat="1" ht="15" x14ac:dyDescent="0.25">
      <c r="C3" s="85" t="s">
        <v>57</v>
      </c>
      <c r="D3" s="158" t="s">
        <v>58</v>
      </c>
      <c r="E3" s="85" t="s">
        <v>65</v>
      </c>
      <c r="F3" s="85" t="s">
        <v>59</v>
      </c>
      <c r="H3" s="85" t="s">
        <v>57</v>
      </c>
      <c r="I3" s="158" t="s">
        <v>58</v>
      </c>
      <c r="J3" s="85" t="s">
        <v>65</v>
      </c>
      <c r="K3" s="85" t="s">
        <v>59</v>
      </c>
    </row>
    <row r="4" spans="1:11" x14ac:dyDescent="0.2">
      <c r="A4" s="84" t="s">
        <v>19</v>
      </c>
      <c r="C4" s="163">
        <f>'Interim Report'!R19</f>
        <v>2.7329531023221349E-2</v>
      </c>
      <c r="D4" s="120">
        <v>7.2990784477608706E-2</v>
      </c>
      <c r="E4" s="120">
        <f>C4-D4</f>
        <v>-4.566125345438736E-2</v>
      </c>
      <c r="F4" s="127">
        <f t="shared" ref="F4:F8" si="0">E4/D4</f>
        <v>-0.62557559534648932</v>
      </c>
      <c r="H4" s="163">
        <f t="shared" ref="H4:H10" si="1">C14</f>
        <v>2.7329531023221349E-2</v>
      </c>
      <c r="I4" s="120">
        <f>D14</f>
        <v>0.10055562667628418</v>
      </c>
      <c r="J4" s="120">
        <f>H4-I4</f>
        <v>-7.3226095653062831E-2</v>
      </c>
      <c r="K4" s="127">
        <f>J4/I4</f>
        <v>-0.7282148008365309</v>
      </c>
    </row>
    <row r="5" spans="1:11" x14ac:dyDescent="0.2">
      <c r="A5" s="84" t="s">
        <v>16</v>
      </c>
      <c r="C5" s="163">
        <f>'Interim Report'!R26</f>
        <v>5.8699140508132484E-2</v>
      </c>
      <c r="D5" s="120">
        <v>7.1005141252922399E-2</v>
      </c>
      <c r="E5" s="120">
        <f t="shared" ref="E5:E8" si="2">C5-D5</f>
        <v>-1.2306000744789915E-2</v>
      </c>
      <c r="F5" s="127">
        <f t="shared" si="0"/>
        <v>-0.17331140432430911</v>
      </c>
      <c r="H5" s="163">
        <f t="shared" si="1"/>
        <v>7.098145728637846E-2</v>
      </c>
      <c r="I5" s="120">
        <f t="shared" ref="I5:I10" si="3">D15</f>
        <v>9.6135263290947168E-2</v>
      </c>
      <c r="J5" s="120">
        <f t="shared" ref="J5:J8" si="4">H5-I5</f>
        <v>-2.5153806004568707E-2</v>
      </c>
      <c r="K5" s="127">
        <f t="shared" ref="K5:K8" si="5">J5/I5</f>
        <v>-0.26165014941959785</v>
      </c>
    </row>
    <row r="6" spans="1:11" x14ac:dyDescent="0.2">
      <c r="A6" s="84" t="s">
        <v>17</v>
      </c>
      <c r="C6" s="163">
        <f>'Interim Report'!R33</f>
        <v>8.0625364233310858E-3</v>
      </c>
      <c r="D6" s="120">
        <v>4.9995145141750921E-2</v>
      </c>
      <c r="E6" s="120">
        <f t="shared" si="2"/>
        <v>-4.1932608718419834E-2</v>
      </c>
      <c r="F6" s="129">
        <f t="shared" si="0"/>
        <v>-0.83873361302439609</v>
      </c>
      <c r="H6" s="163">
        <f t="shared" si="1"/>
        <v>5.6977978513162657E-2</v>
      </c>
      <c r="I6" s="120">
        <f t="shared" si="3"/>
        <v>7.0791523184615665E-2</v>
      </c>
      <c r="J6" s="120">
        <f t="shared" si="4"/>
        <v>-1.3813544671453008E-2</v>
      </c>
      <c r="K6" s="127">
        <f t="shared" si="5"/>
        <v>-0.19512992587303096</v>
      </c>
    </row>
    <row r="7" spans="1:11" x14ac:dyDescent="0.2">
      <c r="A7" s="84" t="s">
        <v>18</v>
      </c>
      <c r="C7" s="119">
        <f>'Interim Report'!R38</f>
        <v>6.6232834072976587E-2</v>
      </c>
      <c r="D7" s="120">
        <v>5.6007838099362967E-2</v>
      </c>
      <c r="E7" s="120">
        <f t="shared" si="2"/>
        <v>1.0224995973613621E-2</v>
      </c>
      <c r="F7" s="129">
        <f t="shared" si="0"/>
        <v>0.18256366109817618</v>
      </c>
      <c r="H7" s="163">
        <f t="shared" si="1"/>
        <v>6.6232834072976587E-2</v>
      </c>
      <c r="I7" s="120">
        <f t="shared" si="3"/>
        <v>7.9786221414482508E-2</v>
      </c>
      <c r="J7" s="120">
        <f t="shared" si="4"/>
        <v>-1.3553387341505921E-2</v>
      </c>
      <c r="K7" s="130">
        <f t="shared" si="5"/>
        <v>-0.16987127728605228</v>
      </c>
    </row>
    <row r="8" spans="1:11" x14ac:dyDescent="0.2">
      <c r="A8" s="84" t="s">
        <v>14</v>
      </c>
      <c r="C8" s="163">
        <f>'Interim Report'!R50</f>
        <v>2.4498884804769111E-2</v>
      </c>
      <c r="D8" s="120">
        <v>4.9969069230823511E-2</v>
      </c>
      <c r="E8" s="120">
        <f t="shared" si="2"/>
        <v>-2.54701844260544E-2</v>
      </c>
      <c r="F8" s="130">
        <f t="shared" si="0"/>
        <v>-0.50971900854104901</v>
      </c>
      <c r="H8" s="163">
        <f t="shared" si="1"/>
        <v>5.4080297273253149E-2</v>
      </c>
      <c r="I8" s="120">
        <f t="shared" si="3"/>
        <v>7.0757530891679216E-2</v>
      </c>
      <c r="J8" s="120">
        <f t="shared" si="4"/>
        <v>-1.6677233618426067E-2</v>
      </c>
      <c r="K8" s="130">
        <f t="shared" si="5"/>
        <v>-0.23569552821107892</v>
      </c>
    </row>
    <row r="9" spans="1:11" s="86" customFormat="1" x14ac:dyDescent="0.2">
      <c r="A9" s="86" t="s">
        <v>116</v>
      </c>
      <c r="C9" s="423">
        <f>'Interim Report'!R67</f>
        <v>1.7168522706610182E-3</v>
      </c>
      <c r="D9" s="121">
        <v>3.898673099151196E-2</v>
      </c>
      <c r="E9" s="121">
        <f>C9-D9</f>
        <v>-3.7269878720850941E-2</v>
      </c>
      <c r="F9" s="128">
        <f>E9/D9</f>
        <v>-0.95596316421002814</v>
      </c>
      <c r="H9" s="423">
        <f t="shared" si="1"/>
        <v>1.7168522706610182E-3</v>
      </c>
      <c r="I9" s="121">
        <f t="shared" si="3"/>
        <v>5.9519668290895104E-2</v>
      </c>
      <c r="J9" s="121">
        <f>H9-I9</f>
        <v>-5.7802816020234085E-2</v>
      </c>
      <c r="K9" s="128">
        <f>J9/I9</f>
        <v>-0.97115487501929421</v>
      </c>
    </row>
    <row r="10" spans="1:11" ht="16.5" x14ac:dyDescent="0.3">
      <c r="A10" s="108" t="s">
        <v>129</v>
      </c>
      <c r="C10" s="368">
        <f>'Interim Report'!R89</f>
        <v>2.1285406265126042E-2</v>
      </c>
      <c r="D10" s="105">
        <v>5.1400845583132945E-2</v>
      </c>
      <c r="E10" s="105">
        <f>C10-D10</f>
        <v>-3.0115439318006903E-2</v>
      </c>
      <c r="F10" s="162">
        <f>E10/D10</f>
        <v>-0.58589385011769546</v>
      </c>
      <c r="H10" s="133">
        <f t="shared" si="1"/>
        <v>4.7839132001385447E-2</v>
      </c>
      <c r="I10" s="105">
        <f t="shared" si="3"/>
        <v>7.3047015827974002E-2</v>
      </c>
      <c r="J10" s="105">
        <f>H10-I10</f>
        <v>-2.5207883826588555E-2</v>
      </c>
      <c r="K10" s="106">
        <f>J10/I10</f>
        <v>-0.34509122023483091</v>
      </c>
    </row>
    <row r="12" spans="1:11" ht="16.5" x14ac:dyDescent="0.3">
      <c r="C12" s="441" t="s">
        <v>114</v>
      </c>
      <c r="D12" s="441"/>
      <c r="E12" s="441"/>
      <c r="F12" s="441"/>
    </row>
    <row r="13" spans="1:11" ht="15" x14ac:dyDescent="0.25">
      <c r="A13" s="85"/>
      <c r="C13" s="85" t="s">
        <v>57</v>
      </c>
      <c r="D13" s="158" t="s">
        <v>58</v>
      </c>
      <c r="E13" s="85" t="s">
        <v>65</v>
      </c>
      <c r="F13" s="85" t="s">
        <v>59</v>
      </c>
    </row>
    <row r="14" spans="1:11" x14ac:dyDescent="0.2">
      <c r="A14" s="84" t="s">
        <v>19</v>
      </c>
      <c r="C14" s="163">
        <f>'Interim Report'!W19</f>
        <v>2.7329531023221349E-2</v>
      </c>
      <c r="D14" s="120">
        <v>0.10055562667628418</v>
      </c>
      <c r="E14" s="87">
        <f>C14-D14</f>
        <v>-7.3226095653062831E-2</v>
      </c>
      <c r="F14" s="127">
        <f>E14/D14</f>
        <v>-0.7282148008365309</v>
      </c>
    </row>
    <row r="15" spans="1:11" x14ac:dyDescent="0.2">
      <c r="A15" s="84" t="s">
        <v>16</v>
      </c>
      <c r="C15" s="163">
        <f>'Interim Report'!W26</f>
        <v>7.098145728637846E-2</v>
      </c>
      <c r="D15" s="120">
        <v>9.6135263290947168E-2</v>
      </c>
      <c r="E15" s="87">
        <f t="shared" ref="E15:E18" si="6">C15-D15</f>
        <v>-2.5153806004568707E-2</v>
      </c>
      <c r="F15" s="127">
        <f t="shared" ref="F15:F18" si="7">E15/D15</f>
        <v>-0.26165014941959785</v>
      </c>
    </row>
    <row r="16" spans="1:11" x14ac:dyDescent="0.2">
      <c r="A16" s="84" t="s">
        <v>17</v>
      </c>
      <c r="C16" s="163">
        <f>'Interim Report'!W33</f>
        <v>5.6977978513162657E-2</v>
      </c>
      <c r="D16" s="120">
        <v>7.0791523184615665E-2</v>
      </c>
      <c r="E16" s="87">
        <f t="shared" si="6"/>
        <v>-1.3813544671453008E-2</v>
      </c>
      <c r="F16" s="127">
        <f t="shared" si="7"/>
        <v>-0.19512992587303096</v>
      </c>
    </row>
    <row r="17" spans="1:9" x14ac:dyDescent="0.2">
      <c r="A17" s="84" t="s">
        <v>18</v>
      </c>
      <c r="C17" s="163">
        <f>'Interim Report'!W38</f>
        <v>6.6232834072976587E-2</v>
      </c>
      <c r="D17" s="120">
        <v>7.9786221414482508E-2</v>
      </c>
      <c r="E17" s="87">
        <f t="shared" si="6"/>
        <v>-1.3553387341505921E-2</v>
      </c>
      <c r="F17" s="130">
        <f t="shared" si="7"/>
        <v>-0.16987127728605228</v>
      </c>
    </row>
    <row r="18" spans="1:9" x14ac:dyDescent="0.2">
      <c r="A18" s="84" t="s">
        <v>14</v>
      </c>
      <c r="C18" s="163">
        <f>'Interim Report'!W50</f>
        <v>5.4080297273253149E-2</v>
      </c>
      <c r="D18" s="120">
        <v>7.0757530891679216E-2</v>
      </c>
      <c r="E18" s="87">
        <f t="shared" si="6"/>
        <v>-1.6677233618426067E-2</v>
      </c>
      <c r="F18" s="130">
        <f t="shared" si="7"/>
        <v>-0.23569552821107892</v>
      </c>
    </row>
    <row r="19" spans="1:9" s="86" customFormat="1" x14ac:dyDescent="0.2">
      <c r="A19" s="86" t="s">
        <v>116</v>
      </c>
      <c r="C19" s="423">
        <f>'Interim Report'!W67</f>
        <v>1.7168522706610182E-3</v>
      </c>
      <c r="D19" s="121">
        <v>5.9519668290895104E-2</v>
      </c>
      <c r="E19" s="88">
        <f>C19-D19</f>
        <v>-5.7802816020234085E-2</v>
      </c>
      <c r="F19" s="128">
        <f>E19/D19</f>
        <v>-0.97115487501929421</v>
      </c>
      <c r="I19" s="160"/>
    </row>
    <row r="20" spans="1:9" ht="16.5" x14ac:dyDescent="0.3">
      <c r="A20" s="108" t="s">
        <v>129</v>
      </c>
      <c r="C20" s="133">
        <f>'Interim Report'!W89</f>
        <v>4.7839132001385447E-2</v>
      </c>
      <c r="D20" s="105">
        <v>7.3047015827974002E-2</v>
      </c>
      <c r="E20" s="107">
        <f>C20-D20</f>
        <v>-2.5207883826588555E-2</v>
      </c>
      <c r="F20" s="106">
        <f>E20/D20</f>
        <v>-0.34509122023483091</v>
      </c>
    </row>
    <row r="22" spans="1:9" ht="16.5" x14ac:dyDescent="0.3">
      <c r="C22" s="441" t="s">
        <v>115</v>
      </c>
      <c r="D22" s="441"/>
      <c r="E22" s="441"/>
      <c r="F22" s="441"/>
    </row>
    <row r="23" spans="1:9" ht="15" x14ac:dyDescent="0.25">
      <c r="A23" s="85"/>
      <c r="C23" s="85" t="s">
        <v>57</v>
      </c>
      <c r="D23" s="158" t="s">
        <v>58</v>
      </c>
      <c r="E23" s="85" t="s">
        <v>65</v>
      </c>
      <c r="F23" s="85" t="s">
        <v>59</v>
      </c>
    </row>
    <row r="24" spans="1:9" x14ac:dyDescent="0.2">
      <c r="A24" s="84" t="s">
        <v>19</v>
      </c>
      <c r="C24" s="163">
        <f>'Interim Report'!AB19</f>
        <v>0.97267046897677789</v>
      </c>
      <c r="D24" s="120">
        <v>0.93101460681948844</v>
      </c>
      <c r="E24" s="87">
        <f>C24-D24</f>
        <v>4.1655862157289447E-2</v>
      </c>
      <c r="F24" s="130">
        <f>E24/D24</f>
        <v>4.4742436748219538E-2</v>
      </c>
    </row>
    <row r="25" spans="1:9" x14ac:dyDescent="0.2">
      <c r="A25" s="84" t="s">
        <v>16</v>
      </c>
      <c r="C25" s="163">
        <f>'Interim Report'!AB26</f>
        <v>0.93286497650236821</v>
      </c>
      <c r="D25" s="120">
        <v>0.92230253672310059</v>
      </c>
      <c r="E25" s="87">
        <f t="shared" ref="E25:E28" si="8">C25-D25</f>
        <v>1.0562439779267629E-2</v>
      </c>
      <c r="F25" s="131">
        <f t="shared" ref="F25:F30" si="9">E25/D25</f>
        <v>1.145225059967362E-2</v>
      </c>
    </row>
    <row r="26" spans="1:9" x14ac:dyDescent="0.2">
      <c r="A26" s="84" t="s">
        <v>17</v>
      </c>
      <c r="C26" s="163">
        <f>'Interim Report'!AB33</f>
        <v>0.96373137029604694</v>
      </c>
      <c r="D26" s="120">
        <v>0.87298954118400351</v>
      </c>
      <c r="E26" s="87">
        <f t="shared" si="8"/>
        <v>9.0741829112043426E-2</v>
      </c>
      <c r="F26" s="129">
        <f t="shared" si="9"/>
        <v>0.10394377576273552</v>
      </c>
    </row>
    <row r="27" spans="1:9" x14ac:dyDescent="0.2">
      <c r="A27" s="84" t="s">
        <v>18</v>
      </c>
      <c r="C27" s="163">
        <f>'Interim Report'!AB38</f>
        <v>0.93376716592702169</v>
      </c>
      <c r="D27" s="120">
        <v>0.93097870049994746</v>
      </c>
      <c r="E27" s="87">
        <f t="shared" si="8"/>
        <v>2.7884654270742271E-3</v>
      </c>
      <c r="F27" s="129">
        <f t="shared" si="9"/>
        <v>2.9951978767900765E-3</v>
      </c>
    </row>
    <row r="28" spans="1:9" x14ac:dyDescent="0.2">
      <c r="A28" s="84" t="s">
        <v>14</v>
      </c>
      <c r="C28" s="163">
        <f>'Interim Report'!AB50</f>
        <v>0.95117335280308146</v>
      </c>
      <c r="D28" s="120">
        <v>0.92911880032672678</v>
      </c>
      <c r="E28" s="87">
        <f t="shared" si="8"/>
        <v>2.2054552476354683E-2</v>
      </c>
      <c r="F28" s="129">
        <f t="shared" si="9"/>
        <v>2.3737064053164298E-2</v>
      </c>
    </row>
    <row r="29" spans="1:9" s="86" customFormat="1" x14ac:dyDescent="0.2">
      <c r="A29" s="86" t="s">
        <v>116</v>
      </c>
      <c r="C29" s="423">
        <f>'Interim Report'!AB67</f>
        <v>0.66763213481549488</v>
      </c>
      <c r="D29" s="121">
        <v>0.40694910808757534</v>
      </c>
      <c r="E29" s="88">
        <f>C29-D29</f>
        <v>0.26068302672791954</v>
      </c>
      <c r="F29" s="132">
        <f t="shared" si="9"/>
        <v>0.64057893615488803</v>
      </c>
      <c r="I29" s="160"/>
    </row>
    <row r="30" spans="1:9" ht="16.5" x14ac:dyDescent="0.3">
      <c r="A30" s="108" t="s">
        <v>129</v>
      </c>
      <c r="B30" s="108"/>
      <c r="C30" s="133">
        <f>'Interim Report'!AB89</f>
        <v>0.90894024456756517</v>
      </c>
      <c r="D30" s="105">
        <v>0.82454950611230371</v>
      </c>
      <c r="E30" s="107">
        <f>C30-D30</f>
        <v>8.439073845526146E-2</v>
      </c>
      <c r="F30" s="133">
        <f t="shared" si="9"/>
        <v>0.10234769147235101</v>
      </c>
    </row>
  </sheetData>
  <mergeCells count="4">
    <mergeCell ref="C2:F2"/>
    <mergeCell ref="C12:F12"/>
    <mergeCell ref="C22:F22"/>
    <mergeCell ref="H2:K2"/>
  </mergeCells>
  <phoneticPr fontId="14" type="noConversion"/>
  <conditionalFormatting sqref="F14:F20 F4:F10">
    <cfRule type="cellIs" dxfId="5" priority="20" stopIfTrue="1" operator="lessThanOrEqual">
      <formula>0</formula>
    </cfRule>
    <cfRule type="cellIs" dxfId="4" priority="21" stopIfTrue="1" operator="greaterThan">
      <formula>0</formula>
    </cfRule>
  </conditionalFormatting>
  <conditionalFormatting sqref="F24:F30">
    <cfRule type="cellIs" dxfId="3" priority="9" stopIfTrue="1" operator="lessThanOrEqual">
      <formula>0</formula>
    </cfRule>
    <cfRule type="cellIs" dxfId="2" priority="10" stopIfTrue="1" operator="greaterThan">
      <formula>0</formula>
    </cfRule>
  </conditionalFormatting>
  <conditionalFormatting sqref="K4:K10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view="pageBreakPreview" zoomScale="75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33203125" defaultRowHeight="12.75" x14ac:dyDescent="0.2"/>
  <cols>
    <col min="1" max="1" width="15.6640625" style="15" bestFit="1" customWidth="1"/>
    <col min="2" max="2" width="15.6640625" style="15" customWidth="1"/>
    <col min="3" max="4" width="3.83203125" style="37" customWidth="1"/>
    <col min="5" max="5" width="3.83203125" style="38" customWidth="1"/>
    <col min="6" max="8" width="3.83203125" style="15" customWidth="1"/>
    <col min="9" max="9" width="14" style="15" bestFit="1" customWidth="1"/>
    <col min="10" max="10" width="3.83203125" style="15" customWidth="1"/>
    <col min="11" max="11" width="22.5" style="15" bestFit="1" customWidth="1"/>
    <col min="12" max="12" width="3.83203125" style="15" customWidth="1"/>
    <col min="13" max="13" width="21.1640625" style="15" bestFit="1" customWidth="1"/>
    <col min="14" max="16384" width="9.33203125" style="15"/>
  </cols>
  <sheetData>
    <row r="1" spans="1:21" s="1" customFormat="1" x14ac:dyDescent="0.2">
      <c r="A1" s="442" t="s">
        <v>40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21" s="1" customFormat="1" x14ac:dyDescent="0.2">
      <c r="A2" s="442" t="s">
        <v>28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21" s="1" customFormat="1" ht="13.5" x14ac:dyDescent="0.25">
      <c r="C3" s="3"/>
      <c r="D3" s="17"/>
      <c r="E3" s="3"/>
      <c r="F3" s="18"/>
      <c r="G3" s="18"/>
      <c r="H3" s="3"/>
      <c r="I3" s="19"/>
      <c r="J3" s="3"/>
      <c r="K3" s="17"/>
      <c r="L3" s="3"/>
      <c r="M3" s="17"/>
      <c r="N3" s="3"/>
      <c r="O3" s="17"/>
    </row>
    <row r="4" spans="1:21" s="1" customFormat="1" ht="16.5" x14ac:dyDescent="0.25">
      <c r="C4" s="3"/>
      <c r="D4" s="4"/>
      <c r="E4" s="3"/>
      <c r="F4" s="5"/>
      <c r="G4" s="11"/>
      <c r="H4" s="9" t="str">
        <f>'Interim Report'!J4</f>
        <v>FEBRUARY</v>
      </c>
      <c r="I4" s="10" t="s">
        <v>41</v>
      </c>
      <c r="J4" s="443" t="s">
        <v>35</v>
      </c>
      <c r="K4" s="444"/>
      <c r="M4" s="12">
        <f>'Interim Report'!N4</f>
        <v>16</v>
      </c>
      <c r="N4" s="20" t="s">
        <v>36</v>
      </c>
      <c r="O4" s="6"/>
      <c r="Q4" s="6"/>
      <c r="R4" s="8"/>
      <c r="S4" s="8"/>
      <c r="T4" s="6"/>
      <c r="U4" s="7"/>
    </row>
    <row r="5" spans="1:21" x14ac:dyDescent="0.2">
      <c r="C5" s="15"/>
      <c r="D5" s="15"/>
      <c r="E5" s="15"/>
      <c r="F5" s="22"/>
      <c r="G5" s="22"/>
      <c r="I5" s="29"/>
    </row>
    <row r="6" spans="1:21" x14ac:dyDescent="0.2">
      <c r="C6" s="15"/>
      <c r="D6" s="15"/>
      <c r="E6" s="15"/>
      <c r="F6" s="22"/>
      <c r="G6" s="22"/>
      <c r="I6" s="29"/>
    </row>
    <row r="7" spans="1:21" x14ac:dyDescent="0.2">
      <c r="A7" s="1" t="s">
        <v>39</v>
      </c>
      <c r="B7" s="1"/>
      <c r="C7" s="15"/>
      <c r="D7" s="15"/>
      <c r="E7" s="15"/>
      <c r="F7" s="22"/>
      <c r="G7" s="22"/>
      <c r="I7" s="29"/>
    </row>
    <row r="8" spans="1:21" x14ac:dyDescent="0.2">
      <c r="C8" s="15"/>
      <c r="D8" s="15"/>
      <c r="E8" s="15"/>
      <c r="F8" s="22"/>
      <c r="G8" s="22"/>
      <c r="I8" s="29"/>
    </row>
    <row r="9" spans="1:21" ht="13.5" x14ac:dyDescent="0.25">
      <c r="A9" s="16" t="s">
        <v>0</v>
      </c>
      <c r="B9" s="16"/>
      <c r="C9" s="15"/>
      <c r="D9" s="15"/>
      <c r="E9" s="15"/>
      <c r="F9" s="22"/>
      <c r="G9" s="22"/>
      <c r="I9" s="25" t="s">
        <v>32</v>
      </c>
      <c r="J9" s="24"/>
      <c r="K9" s="26" t="s">
        <v>42</v>
      </c>
      <c r="M9" s="33" t="s">
        <v>38</v>
      </c>
      <c r="O9" s="28"/>
    </row>
    <row r="10" spans="1:21" ht="13.5" x14ac:dyDescent="0.25">
      <c r="C10" s="14"/>
      <c r="D10" s="21"/>
      <c r="E10" s="14"/>
      <c r="F10" s="22"/>
      <c r="G10" s="22"/>
      <c r="H10" s="14"/>
      <c r="I10" s="23"/>
      <c r="J10" s="14"/>
      <c r="K10" s="27"/>
      <c r="L10" s="14"/>
      <c r="M10" s="27"/>
      <c r="N10" s="14"/>
      <c r="O10" s="28"/>
    </row>
    <row r="11" spans="1:21" s="39" customFormat="1" x14ac:dyDescent="0.2">
      <c r="A11" s="34"/>
      <c r="B11" s="34"/>
      <c r="F11" s="40"/>
      <c r="G11" s="40"/>
      <c r="I11" s="41"/>
      <c r="J11" s="34"/>
      <c r="K11" s="44"/>
      <c r="L11" s="34"/>
      <c r="M11" s="44">
        <f>K11/'EAF &amp; EFOR Contributors'!$L$25</f>
        <v>0</v>
      </c>
    </row>
    <row r="12" spans="1:21" ht="13.5" x14ac:dyDescent="0.25">
      <c r="A12" s="13"/>
      <c r="B12" s="13"/>
      <c r="C12" s="14"/>
      <c r="D12" s="21"/>
      <c r="E12" s="14"/>
      <c r="F12" s="22"/>
      <c r="G12" s="22"/>
      <c r="H12" s="14"/>
      <c r="I12" s="23"/>
      <c r="J12" s="13"/>
      <c r="K12" s="27"/>
      <c r="L12" s="13"/>
      <c r="M12" s="27"/>
      <c r="O12" s="36"/>
    </row>
    <row r="13" spans="1:21" s="39" customFormat="1" x14ac:dyDescent="0.2">
      <c r="A13" s="34"/>
      <c r="B13" s="34"/>
      <c r="F13" s="40"/>
      <c r="G13" s="40"/>
      <c r="I13" s="41"/>
      <c r="J13" s="34"/>
      <c r="K13" s="44"/>
      <c r="L13" s="34"/>
      <c r="M13" s="44">
        <f>K13/'EAF &amp; EFOR Contributors'!$L$25</f>
        <v>0</v>
      </c>
    </row>
    <row r="14" spans="1:21" s="39" customFormat="1" ht="13.5" x14ac:dyDescent="0.25">
      <c r="A14" s="34"/>
      <c r="B14" s="34"/>
      <c r="C14" s="42"/>
      <c r="D14" s="45"/>
      <c r="E14" s="42"/>
      <c r="F14" s="40"/>
      <c r="G14" s="40"/>
      <c r="H14" s="42"/>
      <c r="I14" s="41"/>
      <c r="J14" s="34"/>
      <c r="K14" s="43"/>
      <c r="L14" s="34"/>
      <c r="M14" s="43"/>
      <c r="O14" s="46"/>
    </row>
    <row r="15" spans="1:21" s="39" customFormat="1" x14ac:dyDescent="0.2">
      <c r="A15" s="34"/>
      <c r="B15" s="34"/>
      <c r="F15" s="40"/>
      <c r="G15" s="40"/>
      <c r="I15" s="41"/>
      <c r="J15" s="34"/>
      <c r="K15" s="44"/>
      <c r="L15" s="34"/>
      <c r="M15" s="44"/>
    </row>
    <row r="16" spans="1:21" s="39" customFormat="1" x14ac:dyDescent="0.2">
      <c r="A16" s="34"/>
      <c r="B16" s="34"/>
      <c r="F16" s="40"/>
      <c r="G16" s="40"/>
      <c r="I16" s="41"/>
      <c r="J16" s="34"/>
      <c r="K16" s="43"/>
      <c r="L16" s="34"/>
      <c r="M16" s="43"/>
    </row>
    <row r="17" spans="1:15" s="39" customFormat="1" x14ac:dyDescent="0.2">
      <c r="A17" s="34"/>
      <c r="B17" s="34"/>
      <c r="F17" s="40"/>
      <c r="G17" s="40"/>
      <c r="I17" s="41"/>
      <c r="J17" s="34"/>
      <c r="K17" s="44"/>
      <c r="L17" s="34"/>
      <c r="M17" s="44"/>
    </row>
    <row r="18" spans="1:15" ht="13.5" x14ac:dyDescent="0.25">
      <c r="A18" s="13"/>
      <c r="B18" s="13"/>
      <c r="C18" s="14"/>
      <c r="D18" s="21"/>
      <c r="E18" s="14"/>
      <c r="F18" s="22"/>
      <c r="G18" s="22"/>
      <c r="H18" s="14"/>
      <c r="I18" s="23"/>
      <c r="J18" s="13"/>
      <c r="K18" s="27"/>
      <c r="L18" s="13"/>
      <c r="M18" s="27"/>
      <c r="O18" s="36"/>
    </row>
    <row r="19" spans="1:15" s="39" customFormat="1" x14ac:dyDescent="0.2">
      <c r="A19" s="34"/>
      <c r="B19" s="34"/>
      <c r="F19" s="40"/>
      <c r="G19" s="40"/>
      <c r="I19" s="41"/>
      <c r="J19" s="34"/>
      <c r="K19" s="44"/>
      <c r="L19" s="34"/>
      <c r="M19" s="44"/>
    </row>
    <row r="20" spans="1:15" ht="13.5" x14ac:dyDescent="0.25">
      <c r="A20" s="13"/>
      <c r="B20" s="13"/>
      <c r="C20" s="14"/>
      <c r="D20" s="21"/>
      <c r="E20" s="14"/>
      <c r="F20" s="22"/>
      <c r="G20" s="22"/>
      <c r="H20" s="14"/>
      <c r="I20" s="23"/>
      <c r="J20" s="13"/>
      <c r="K20" s="27"/>
      <c r="L20" s="13"/>
      <c r="M20" s="27"/>
      <c r="O20" s="36"/>
    </row>
    <row r="21" spans="1:15" x14ac:dyDescent="0.2">
      <c r="A21" s="34"/>
      <c r="B21" s="34"/>
      <c r="C21" s="15"/>
      <c r="D21" s="15"/>
      <c r="E21" s="15"/>
      <c r="F21" s="22"/>
      <c r="G21" s="22"/>
      <c r="I21" s="23"/>
      <c r="J21" s="13"/>
      <c r="K21" s="27"/>
      <c r="L21" s="13"/>
      <c r="M21" s="35"/>
    </row>
    <row r="22" spans="1:15" x14ac:dyDescent="0.2">
      <c r="C22" s="15"/>
      <c r="D22" s="21"/>
      <c r="E22" s="15"/>
      <c r="F22" s="22"/>
      <c r="G22" s="22"/>
      <c r="I22" s="23"/>
      <c r="J22" s="13"/>
      <c r="K22" s="27"/>
      <c r="L22" s="13"/>
      <c r="M22" s="27"/>
    </row>
    <row r="23" spans="1:15" ht="13.5" thickBot="1" x14ac:dyDescent="0.25">
      <c r="C23" s="15"/>
      <c r="D23" s="15"/>
      <c r="E23" s="15"/>
      <c r="F23" s="22"/>
      <c r="G23" s="22"/>
      <c r="I23" s="47"/>
      <c r="J23" s="13"/>
      <c r="K23" s="50"/>
      <c r="L23" s="13"/>
      <c r="M23" s="50"/>
    </row>
    <row r="24" spans="1:15" x14ac:dyDescent="0.2">
      <c r="C24" s="15"/>
      <c r="D24" s="15"/>
      <c r="E24" s="15"/>
      <c r="F24" s="22"/>
      <c r="G24" s="22"/>
      <c r="I24" s="48"/>
      <c r="J24" s="13"/>
      <c r="K24" s="51"/>
      <c r="L24" s="13"/>
      <c r="M24" s="51"/>
    </row>
    <row r="25" spans="1:15" x14ac:dyDescent="0.2">
      <c r="C25" s="15"/>
      <c r="D25" s="15"/>
      <c r="E25" s="15"/>
      <c r="F25" s="22"/>
      <c r="G25" s="22"/>
      <c r="I25" s="30">
        <f>SUM(I10:I23)</f>
        <v>0</v>
      </c>
      <c r="J25" s="2"/>
      <c r="K25" s="31">
        <f>SUM(K10:K23)</f>
        <v>0</v>
      </c>
      <c r="L25" s="2"/>
      <c r="M25" s="31">
        <f>SUM(M10:M23)</f>
        <v>0</v>
      </c>
    </row>
    <row r="26" spans="1:15" ht="13.5" thickBot="1" x14ac:dyDescent="0.25">
      <c r="C26" s="15"/>
      <c r="D26" s="15"/>
      <c r="E26" s="15"/>
      <c r="F26" s="22"/>
      <c r="G26" s="22"/>
      <c r="I26" s="49"/>
      <c r="K26" s="32"/>
      <c r="M26" s="32"/>
    </row>
    <row r="27" spans="1:15" x14ac:dyDescent="0.2">
      <c r="C27" s="15"/>
      <c r="D27" s="15"/>
      <c r="E27" s="15"/>
      <c r="F27" s="22"/>
      <c r="G27" s="22"/>
      <c r="I27" s="29"/>
    </row>
  </sheetData>
  <mergeCells count="3">
    <mergeCell ref="A1:O1"/>
    <mergeCell ref="A2:O2"/>
    <mergeCell ref="J4:K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8" sqref="A18:XFD18"/>
    </sheetView>
  </sheetViews>
  <sheetFormatPr defaultRowHeight="12.75" x14ac:dyDescent="0.2"/>
  <cols>
    <col min="1" max="1" width="11.33203125" customWidth="1"/>
    <col min="2" max="2" width="15.5" bestFit="1" customWidth="1"/>
    <col min="3" max="3" width="16.83203125" bestFit="1" customWidth="1"/>
  </cols>
  <sheetData>
    <row r="1" spans="1:3" x14ac:dyDescent="0.2">
      <c r="A1" s="59" t="s">
        <v>106</v>
      </c>
    </row>
    <row r="3" spans="1:3" x14ac:dyDescent="0.2">
      <c r="A3" t="s">
        <v>112</v>
      </c>
      <c r="B3" t="s">
        <v>101</v>
      </c>
      <c r="C3" t="s">
        <v>102</v>
      </c>
    </row>
    <row r="4" spans="1:3" x14ac:dyDescent="0.2">
      <c r="A4" s="61" t="s">
        <v>91</v>
      </c>
      <c r="B4" s="58">
        <v>40817</v>
      </c>
      <c r="C4" s="66">
        <v>40833</v>
      </c>
    </row>
    <row r="5" spans="1:3" x14ac:dyDescent="0.2">
      <c r="A5" s="61" t="s">
        <v>105</v>
      </c>
      <c r="C5" s="65">
        <v>40848</v>
      </c>
    </row>
    <row r="6" spans="1:3" x14ac:dyDescent="0.2">
      <c r="A6" s="89" t="s">
        <v>92</v>
      </c>
    </row>
    <row r="7" spans="1:3" x14ac:dyDescent="0.2">
      <c r="A7" s="64" t="s">
        <v>90</v>
      </c>
    </row>
    <row r="8" spans="1:3" x14ac:dyDescent="0.2">
      <c r="A8" s="63" t="s">
        <v>104</v>
      </c>
    </row>
    <row r="9" spans="1:3" x14ac:dyDescent="0.2">
      <c r="A9" s="62" t="s">
        <v>95</v>
      </c>
    </row>
    <row r="10" spans="1:3" x14ac:dyDescent="0.2">
      <c r="A10" s="57" t="s">
        <v>96</v>
      </c>
    </row>
    <row r="11" spans="1:3" x14ac:dyDescent="0.2">
      <c r="A11" s="56" t="s">
        <v>94</v>
      </c>
    </row>
    <row r="12" spans="1:3" x14ac:dyDescent="0.2">
      <c r="A12" s="60" t="s">
        <v>107</v>
      </c>
    </row>
    <row r="13" spans="1:3" x14ac:dyDescent="0.2">
      <c r="A13" s="55" t="s">
        <v>97</v>
      </c>
    </row>
    <row r="14" spans="1:3" x14ac:dyDescent="0.2">
      <c r="A14" s="55" t="s">
        <v>93</v>
      </c>
    </row>
    <row r="15" spans="1:3" x14ac:dyDescent="0.2">
      <c r="A15" s="55" t="s">
        <v>103</v>
      </c>
    </row>
  </sheetData>
  <sortState ref="A4:A15">
    <sortCondition ref="A4:A1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048576"/>
    </sheetView>
  </sheetViews>
  <sheetFormatPr defaultColWidth="9" defaultRowHeight="12.75" x14ac:dyDescent="0.2"/>
  <cols>
    <col min="1" max="1" width="9" style="349"/>
    <col min="2" max="3" width="9" style="348"/>
    <col min="4" max="4" width="9" style="349"/>
    <col min="5" max="5" width="9" style="350"/>
    <col min="6" max="16384" width="9" style="349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Interim Report</vt:lpstr>
      <vt:lpstr>EAF &amp; EFOR Contributors</vt:lpstr>
      <vt:lpstr>Event List By Unit</vt:lpstr>
      <vt:lpstr>Event List By Impact</vt:lpstr>
      <vt:lpstr>e-mail table</vt:lpstr>
      <vt:lpstr>EFOR Contribution By Station</vt:lpstr>
      <vt:lpstr>Notes</vt:lpstr>
      <vt:lpstr>Sheet1</vt:lpstr>
      <vt:lpstr>'EAF &amp; EFOR Contributors'!Print_Area</vt:lpstr>
      <vt:lpstr>'EFOR Contribution By Station'!Print_Area</vt:lpstr>
      <vt:lpstr>'Event List By Unit'!Print_Area</vt:lpstr>
      <vt:lpstr>'Interim Report'!Print_Area</vt:lpstr>
      <vt:lpstr>'Event List By Unit'!Print_Titles</vt:lpstr>
      <vt:lpstr>'Interim Report'!Print_Titles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2015-01-22T00:35:51Z</dcterms:created>
  <dcterms:modified xsi:type="dcterms:W3CDTF">2015-01-22T00:39:33Z</dcterms:modified>
</cp:coreProperties>
</file>