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5488" windowWidth="14940" windowHeight="9156" activeTab="1"/>
  </bookViews>
  <sheets>
    <sheet name="2017-2018 Parameters" sheetId="1" r:id="rId1"/>
    <sheet name="Net CONE" sheetId="2" r:id="rId2"/>
    <sheet name="Key Transmission Upgrades" sheetId="3" r:id="rId3"/>
    <sheet name="DR Rel Targets" sheetId="4" r:id="rId4"/>
    <sheet name="Cap Import Limits" sheetId="5" r:id="rId5"/>
  </sheets>
  <definedNames>
    <definedName name="_xlnm.Print_Area" localSheetId="0">'2017-2018 Parameters'!$A$1:$N$82</definedName>
    <definedName name="_xlnm.Print_Area" localSheetId="4">'Cap Import Limits'!$A$1:$G$7</definedName>
    <definedName name="_xlnm.Print_Area" localSheetId="3">'DR Rel Targets'!$A$1:$N$22</definedName>
    <definedName name="_xlnm.Print_Area" localSheetId="2">'Key Transmission Upgrades'!#REF!</definedName>
    <definedName name="_xlnm.Print_Area" localSheetId="1">'Net CONE'!$A$1:$H$26</definedName>
  </definedNames>
  <calcPr fullCalcOnLoad="1"/>
</workbook>
</file>

<file path=xl/sharedStrings.xml><?xml version="1.0" encoding="utf-8"?>
<sst xmlns="http://schemas.openxmlformats.org/spreadsheetml/2006/main" count="443" uniqueCount="211">
  <si>
    <t>APS</t>
  </si>
  <si>
    <t>DPL</t>
  </si>
  <si>
    <t>AE</t>
  </si>
  <si>
    <t>BGE</t>
  </si>
  <si>
    <t>DLCO</t>
  </si>
  <si>
    <t>JCPL</t>
  </si>
  <si>
    <t>PECO</t>
  </si>
  <si>
    <t>PEPCO</t>
  </si>
  <si>
    <t>PS</t>
  </si>
  <si>
    <t>CETO</t>
  </si>
  <si>
    <t>Reliability Requirement</t>
  </si>
  <si>
    <t>CETL</t>
  </si>
  <si>
    <t xml:space="preserve"> </t>
  </si>
  <si>
    <t>RTO</t>
  </si>
  <si>
    <t>SWMAAC</t>
  </si>
  <si>
    <t>Western MAAC</t>
  </si>
  <si>
    <t>EMAAC</t>
  </si>
  <si>
    <t>MAAC</t>
  </si>
  <si>
    <t>COMED</t>
  </si>
  <si>
    <t>DAYTON</t>
  </si>
  <si>
    <t>DOM</t>
  </si>
  <si>
    <t>METED</t>
  </si>
  <si>
    <t>PENLC</t>
  </si>
  <si>
    <t>DPLSOUTH</t>
  </si>
  <si>
    <t>NA</t>
  </si>
  <si>
    <t>Point (a) UCAP Price, $/MW-Day</t>
  </si>
  <si>
    <t>Point (b) UCAP Price, $/MW-Day</t>
  </si>
  <si>
    <t>Point (c) UCAP Price, $/MW-Day</t>
  </si>
  <si>
    <t>Point (a) UCAP Level, MW</t>
  </si>
  <si>
    <t>Point (b) UCAP Level, MW</t>
  </si>
  <si>
    <t>Point (c) UCAP Level, MW</t>
  </si>
  <si>
    <t>Preliminary Zonal Peak Load Forecast</t>
  </si>
  <si>
    <t>Base Zonal FRR Scaling Factor</t>
  </si>
  <si>
    <t>PL (incl. UGI)</t>
  </si>
  <si>
    <t>Western PJM</t>
  </si>
  <si>
    <t xml:space="preserve">Installed Reserve Margin (IRM) </t>
  </si>
  <si>
    <t>Pool-Wide Average EFORd</t>
  </si>
  <si>
    <t>Forecast Pool Requirement (FPR)</t>
  </si>
  <si>
    <t>Preliminary Forecast Peak Load</t>
  </si>
  <si>
    <t>LDA/Zone</t>
  </si>
  <si>
    <t>RECO</t>
  </si>
  <si>
    <t>Pre-Clearing BRA Credit Rate, $/MW</t>
  </si>
  <si>
    <t>Notes:</t>
  </si>
  <si>
    <t>Demand Resource (DR) Factor</t>
  </si>
  <si>
    <t>Short-Term Resource Procurement Target</t>
  </si>
  <si>
    <t>PS NORTH</t>
  </si>
  <si>
    <t>DPL SOUTH</t>
  </si>
  <si>
    <t>Preliminary FRR Obligation</t>
  </si>
  <si>
    <t>Total Peak Load of FRR Entities</t>
  </si>
  <si>
    <t>Reliability Requirement adjusted for FRR</t>
  </si>
  <si>
    <t>Net CONE, $/MW-Day (UCAP Price)</t>
  </si>
  <si>
    <t>Variable Resource Requirement Curve:</t>
  </si>
  <si>
    <t>&gt; 115%</t>
  </si>
  <si>
    <t>Participant-Funded ICTRs Awarded</t>
  </si>
  <si>
    <t>ATSI</t>
  </si>
  <si>
    <t>LOCATIONAL DELIVERABILITY AREA (LDA)</t>
  </si>
  <si>
    <t>UCAP Price = ICAP Price/(1 - Pool-Wide Average EFORd)</t>
  </si>
  <si>
    <t>CONE Area 1</t>
  </si>
  <si>
    <t>CONE Area 2</t>
  </si>
  <si>
    <t>CONE Area 3</t>
  </si>
  <si>
    <t>CONE Area 4</t>
  </si>
  <si>
    <t>CONE Area 5</t>
  </si>
  <si>
    <t>Ancillary Services Offset, $/MW-Year per Tariff</t>
  </si>
  <si>
    <t>BGE Zonal LMP</t>
  </si>
  <si>
    <t>ComEd Zonal LMP</t>
  </si>
  <si>
    <t>MetEd Zonal LMP</t>
  </si>
  <si>
    <t>Dominion Zonal LMP</t>
  </si>
  <si>
    <t>Net CONE, $/MW-Day, ICAP Price</t>
  </si>
  <si>
    <t>Net CONE, $/MW-Day, UCAP Price</t>
  </si>
  <si>
    <t>CONE Area 1: AE, DPL, JCPL, PECO, PS, RECO</t>
  </si>
  <si>
    <t>CONE Area 2: BGE, PEPCO</t>
  </si>
  <si>
    <t>CONE Area 4: MetEd, Penelec, PPL</t>
  </si>
  <si>
    <t>CONE Area 5: Dominion</t>
  </si>
  <si>
    <t>North Atlantic</t>
  </si>
  <si>
    <t>North Central</t>
  </si>
  <si>
    <t>South Atlantic</t>
  </si>
  <si>
    <t>ICAP to UCAP Conversion Factor:</t>
  </si>
  <si>
    <t>Upgrade ID</t>
  </si>
  <si>
    <t>Description</t>
  </si>
  <si>
    <t>Transmission Owner</t>
  </si>
  <si>
    <t>AE Zonal LMP</t>
  </si>
  <si>
    <t xml:space="preserve">FRR Portion of the Preliminary Peak Load Forecast       </t>
  </si>
  <si>
    <t>AEP</t>
  </si>
  <si>
    <t>Forecast Pool Requirement</t>
  </si>
  <si>
    <t>Demand Resource Factor</t>
  </si>
  <si>
    <t>PJM Region</t>
  </si>
  <si>
    <t>Preliminary Peak Load Forecast</t>
  </si>
  <si>
    <t>FRR Peak Load</t>
  </si>
  <si>
    <t>Peak Load Forecast adjusted for FRR</t>
  </si>
  <si>
    <t>Percent of Preliminary Forecast Peak Load</t>
  </si>
  <si>
    <t>Unforced Capacity, MW</t>
  </si>
  <si>
    <t>MAAC: Used   Area 2 CONE</t>
  </si>
  <si>
    <t>** Used to allocate Short-Term Resource Procurement Target to Zones.</t>
  </si>
  <si>
    <t>Region basis for the Handy Whitman Index</t>
  </si>
  <si>
    <t>Post-Clearing BRA Credit Rate (LMT), $/MW</t>
  </si>
  <si>
    <t>Post-Clearing BRA Credit Rate (ES), $/MW</t>
  </si>
  <si>
    <t>Post-Clearing BRA Credit Rate (ANL), $/MW</t>
  </si>
  <si>
    <t>DEOK</t>
  </si>
  <si>
    <t>Dominion</t>
  </si>
  <si>
    <t>MAAC CONE used is the lowest of the three CONE Areas 1, 2, and 4.</t>
  </si>
  <si>
    <t>Zonal LMP used for Net Energy Offset Calculation</t>
  </si>
  <si>
    <t>PJM Average LMP</t>
  </si>
  <si>
    <t>PPL</t>
  </si>
  <si>
    <t>b1251</t>
  </si>
  <si>
    <t>Rebuild the existing Bagley - Raphael Rd. 230 kV line to double circuit 230 kV line</t>
  </si>
  <si>
    <t>ComEd</t>
  </si>
  <si>
    <t>Limiting conditions at the CETL for modeled LDAs:</t>
  </si>
  <si>
    <t>Preliminary Zonal Peak Load Forecast less FRR load**</t>
  </si>
  <si>
    <t>PSNORTH</t>
  </si>
  <si>
    <t>ATSI-CLEVELAND</t>
  </si>
  <si>
    <t>CONE Area 3: AEP, APS, ATSI, ComEd, Dayton, DEOK, Duquesne (DLCo), EKPC</t>
  </si>
  <si>
    <t>EKPC</t>
  </si>
  <si>
    <t>Violation/Limiting Facility</t>
  </si>
  <si>
    <t>b0497</t>
  </si>
  <si>
    <t>Install a second Conastone - Graceton 230 kV circuit and replace Conastone 230 kV breaker 2323/2302</t>
  </si>
  <si>
    <t>b1016</t>
  </si>
  <si>
    <t>Rebuild Graceton - Bagley 230 kV as double circuit line using 1590 ACSR. Terminate new line at Graceton with a new circuit breaker.</t>
  </si>
  <si>
    <t>ATSI-Cleveland</t>
  </si>
  <si>
    <t>*</t>
  </si>
  <si>
    <t>Limited Demand Resource Reliability Target</t>
  </si>
  <si>
    <t>Quantities are in Unforced Capacity Megawatts</t>
  </si>
  <si>
    <t>North</t>
  </si>
  <si>
    <t>West 1</t>
  </si>
  <si>
    <t>West 2</t>
  </si>
  <si>
    <t>South 1</t>
  </si>
  <si>
    <t>South 2</t>
  </si>
  <si>
    <t>Simultaneous</t>
  </si>
  <si>
    <t xml:space="preserve">Benchmark CONE (2016/2017 BRA Value): Levelized Revenue Requirement, $/MW-Year </t>
  </si>
  <si>
    <t>12 Months Handy Whitman Index (July 1, 2013)</t>
  </si>
  <si>
    <t>2017/2018 BRA CONE, escalated by Handy Whitman Index, $/MW-Year</t>
  </si>
  <si>
    <t xml:space="preserve">Pool-Wide Average EFORd for 2017/2018 = </t>
  </si>
  <si>
    <t>RPM CONE and E&amp;AS Values for 2017/2018 Base Residual Auction</t>
  </si>
  <si>
    <t>Historic (2011-2013) Net Energy Revenue Offset, $/MW-Year</t>
  </si>
  <si>
    <t>1. Load data: from 2014 Load Report with adjustments due to load served outside PJM.</t>
  </si>
  <si>
    <t>2. Fixed Resource Requrement (FRR) load adjustments are not made yet.</t>
  </si>
  <si>
    <t>3. See "Net CONE" worksheet for Net CONE calculations.</t>
  </si>
  <si>
    <t>Gross CONE, $/MW-Day, UCAP Price</t>
  </si>
  <si>
    <t>VRR Curve Point (a) UCAP Price, $/MW-Day *</t>
  </si>
  <si>
    <t>* VRR Curve Point (a) UCAP Price is the higher of 1.5 Net CONE or Gross CONE.</t>
  </si>
  <si>
    <t>&gt; 1449</t>
  </si>
  <si>
    <t>&gt; 4301</t>
  </si>
  <si>
    <t>&gt; 1116</t>
  </si>
  <si>
    <t>&gt; 1748</t>
  </si>
  <si>
    <t>&gt; 1127</t>
  </si>
  <si>
    <t>&gt; 288</t>
  </si>
  <si>
    <t>&gt; 3876</t>
  </si>
  <si>
    <t>&gt; 3749</t>
  </si>
  <si>
    <t>&gt; 690</t>
  </si>
  <si>
    <t>&gt; 9442</t>
  </si>
  <si>
    <t>2013 Zonal W/N Coincident Peak Loads</t>
  </si>
  <si>
    <t>2017/2018 Capacity Import Limits in Megawatts</t>
  </si>
  <si>
    <t xml:space="preserve">  Voltage / Voltage collapse for the loss of the Keeney - Rock Springs 500 kV circuit.</t>
  </si>
  <si>
    <t xml:space="preserve">  Voltage / Voltage collapse for the loss of Burches Hill - Possum Point 500 kV circuit.</t>
  </si>
  <si>
    <t xml:space="preserve">  Thermal/Easton - Trappe Tap 69 kV circuit.</t>
  </si>
  <si>
    <t xml:space="preserve">  Thermal / South Canton - Harmon 345 kV circuit.</t>
  </si>
  <si>
    <t xml:space="preserve">  Thermal / Riverside 115 kV bus section.</t>
  </si>
  <si>
    <t>CETL to CETO Ratio %</t>
  </si>
  <si>
    <t xml:space="preserve">  Thermal / Brister - Ox 500 kV circuit</t>
  </si>
  <si>
    <t>PL</t>
  </si>
  <si>
    <t>&gt; 4324</t>
  </si>
  <si>
    <t xml:space="preserve">  Thermal / Roseland - Wilpipe 230 kV circuit.</t>
  </si>
  <si>
    <t xml:space="preserve">  Thermal / University Park - East Frankfort 345 kV circuit.</t>
  </si>
  <si>
    <t xml:space="preserve">  Thermal / Wescosville 500/138 kV transformer.</t>
  </si>
  <si>
    <t>External Source Zone *</t>
  </si>
  <si>
    <t>Capacity Import Limit (CIL) **</t>
  </si>
  <si>
    <t>Network External Designated Transmission Service (NEDTS) (1/29/14) ***</t>
  </si>
  <si>
    <t>Minimum Internal Resource Requirement</t>
  </si>
  <si>
    <t>FRR Load Requirement (% Obligation):</t>
  </si>
  <si>
    <t>&gt; 1300.0</t>
  </si>
  <si>
    <t>&gt; 1484.0</t>
  </si>
  <si>
    <t xml:space="preserve">LDA      </t>
  </si>
  <si>
    <t xml:space="preserve">2017/2018 Demand Rresource Constraints </t>
  </si>
  <si>
    <t>2017-2018 RPM Base Residual Auction Planning Parameters</t>
  </si>
  <si>
    <t>New Key Transmission Upgrades included for 2017/2018 model</t>
  </si>
  <si>
    <t>b1251.1</t>
  </si>
  <si>
    <t>Reconfigure Raphael Rd. to terminate new circuit</t>
  </si>
  <si>
    <t>b1813.6</t>
  </si>
  <si>
    <t>Build approximately 14 miles new 230 kV Jenkins-Acahela 230 kV Line</t>
  </si>
  <si>
    <t>b2015</t>
  </si>
  <si>
    <t>Build a new 230 kV circuit from Larrabee to Oceanview</t>
  </si>
  <si>
    <t>b2136</t>
  </si>
  <si>
    <t>Reconductor the Morgantown - V3-017 230 kV '23086' circuit and replace terminal equipments at Morgantown</t>
  </si>
  <si>
    <t>b2137</t>
  </si>
  <si>
    <t>Reconductor the Morgantown - Talbert 230 kV '23085' circuit and replace terminal equipments at Morgantown</t>
  </si>
  <si>
    <t>b2228</t>
  </si>
  <si>
    <t>+150/-100 MVAR SVC at Cedar 230 kV</t>
  </si>
  <si>
    <t>AEC</t>
  </si>
  <si>
    <t>b2360</t>
  </si>
  <si>
    <t>Build a new 39 mile 230 kV transmission line from Dooms - Lexington on existing right-of-way</t>
  </si>
  <si>
    <t>b2361</t>
  </si>
  <si>
    <t>Construct 230 kV OH line along existing Line #2035 corridor, approx. 2.4 miles from Idylwood - Dulles Toll Road (DTR) and 2.1 miles on new right-of-way along DTR to new Scott's Run Substation</t>
  </si>
  <si>
    <t>b2362</t>
  </si>
  <si>
    <t>Install a 250 MVAR SVC at Squab Hollow 230 kV</t>
  </si>
  <si>
    <t>b2364</t>
  </si>
  <si>
    <t>Install a new 230/138kV transformer at Squab Hollow 230kV substation. Loop the Forest - Elko 230 kV line into Squab Hollow.  Loop the Brookville - Elko 138 kV line into Squab Hollow.</t>
  </si>
  <si>
    <t>Key Transmission Upgrades included for 2016/2017 model but not included for 2017/2018 model</t>
  </si>
  <si>
    <t>None</t>
  </si>
  <si>
    <t>Sub-Annual Resource Reliability Target</t>
  </si>
  <si>
    <t>b2141</t>
  </si>
  <si>
    <t>Construct a new Byron to Wayne 345 kV circuit</t>
  </si>
  <si>
    <t>b2449</t>
  </si>
  <si>
    <t>Rebuild the 7-mile 345 kV line between Meadow Lake and Reynolds 345 kV stations</t>
  </si>
  <si>
    <t>777383-v2A</t>
  </si>
  <si>
    <t xml:space="preserve">    *  LDA has adequate internal resources to meet the reliability criterion.</t>
  </si>
  <si>
    <t xml:space="preserve"> ** Capacity Import Limits may be adjusted to account for Exceptions granted prior to the auction. </t>
  </si>
  <si>
    <t xml:space="preserve">*** Confirmed NEDTS numbers as of 1/29/2014 is subject to change. </t>
  </si>
  <si>
    <t>LDA CETO/CETL Data; Zonal Peak Loads, Base Zonal FRR Scaling Factors, and Zonal Short-Term Resource Procurement Target</t>
  </si>
  <si>
    <t xml:space="preserve">DR Constraints for FRR Load (ICAP as % of peak load) </t>
  </si>
  <si>
    <t xml:space="preserve">Limited Resource Constraint  </t>
  </si>
  <si>
    <t xml:space="preserve">Sub-Annual Resource Constraint </t>
  </si>
  <si>
    <t xml:space="preserve">   * Implementation of Capacity Import Limits in the auction is subject to approval of FERC filing, Docket No. ER14-503.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</si>
</sst>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"/>
    <numFmt numFmtId="178" formatCode="[$-409]dddd\,\ mmmm\ dd\,\ yyyy"/>
    <numFmt numFmtId="179" formatCode="[$-409]h:mm:ss\ AM/PM"/>
    <numFmt numFmtId="180" formatCode="&quot;$&quot;#,##0.0"/>
    <numFmt numFmtId="181" formatCode="_(* #,##0.0_);_(* \(#,##0.0\);_(* &quot;-&quot;?_);_(@_)"/>
    <numFmt numFmtId="182" formatCode="_(* #,##0.0_);_(* \(#,##0.0\);_(* &quot;-&quot;??_);_(@_)"/>
    <numFmt numFmtId="183" formatCode="_(* #,##0.00000_);_(* \(#,##0.00000\);_(* &quot;-&quot;??_);_(@_)"/>
    <numFmt numFmtId="184" formatCode="_(* #,##0.0000_);_(* \(#,##0.0000\);_(* &quot;-&quot;????_);_(@_)"/>
    <numFmt numFmtId="185" formatCode="#,##0.000"/>
    <numFmt numFmtId="186" formatCode="0.0000000"/>
    <numFmt numFmtId="187" formatCode="0.000000"/>
    <numFmt numFmtId="188" formatCode="&quot;$&quot;#,##0.0_);[Red]\(&quot;$&quot;#,##0.0\)"/>
    <numFmt numFmtId="189" formatCode="&quot;$&quot;#,##0.000_);[Red]\(&quot;$&quot;#,##0.000\)"/>
    <numFmt numFmtId="190" formatCode="_(* #,##0.00000_);_(* \(#,##0.00000\);_(* &quot;-&quot;?????_);_(@_)"/>
    <numFmt numFmtId="191" formatCode="_(* #,##0_);_(* \(#,##0\);_(* &quot;-&quot;??_);_(@_)"/>
    <numFmt numFmtId="192" formatCode="0.000%"/>
    <numFmt numFmtId="193" formatCode="_(* #,##0.000_);_(* \(#,##0.000\);_(* &quot;-&quot;??_);_(@_)"/>
    <numFmt numFmtId="194" formatCode="_(* #,##0.0000_);_(* \(#,##0.0000\);_(* &quot;-&quot;??_);_(@_)"/>
    <numFmt numFmtId="195" formatCode="_(* #,##0.000000_);_(* \(#,##0.000000\);_(* &quot;-&quot;??_);_(@_)"/>
    <numFmt numFmtId="196" formatCode="m/d/yy\ h:mm;@"/>
    <numFmt numFmtId="197" formatCode="m/d/yy\ hhmm;@"/>
    <numFmt numFmtId="198" formatCode="&quot;$&quot;#,##0.000"/>
    <numFmt numFmtId="199" formatCode="&quot;$&quot;#,##0.000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2"/>
      <color indexed="8"/>
      <name val="Symbol"/>
      <family val="1"/>
    </font>
    <font>
      <sz val="12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sz val="12"/>
      <color rgb="FF000000"/>
      <name val="Symbol"/>
      <family val="1"/>
    </font>
    <font>
      <sz val="12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174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Border="1" applyAlignment="1">
      <alignment wrapText="1"/>
    </xf>
    <xf numFmtId="15" fontId="52" fillId="0" borderId="0" xfId="0" applyNumberFormat="1" applyFont="1" applyAlignment="1">
      <alignment horizontal="center"/>
    </xf>
    <xf numFmtId="0" fontId="6" fillId="12" borderId="10" xfId="0" applyFont="1" applyFill="1" applyBorder="1" applyAlignment="1">
      <alignment wrapText="1"/>
    </xf>
    <xf numFmtId="0" fontId="7" fillId="0" borderId="10" xfId="0" applyFont="1" applyBorder="1" applyAlignment="1">
      <alignment vertical="center" wrapText="1"/>
    </xf>
    <xf numFmtId="6" fontId="7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82" fontId="2" fillId="0" borderId="0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10" fontId="6" fillId="0" borderId="10" xfId="0" applyNumberFormat="1" applyFont="1" applyBorder="1" applyAlignment="1">
      <alignment horizontal="center" vertical="center" wrapText="1"/>
    </xf>
    <xf numFmtId="171" fontId="7" fillId="0" borderId="10" xfId="64" applyNumberFormat="1" applyFont="1" applyBorder="1" applyAlignment="1">
      <alignment horizontal="right" vertical="center"/>
    </xf>
    <xf numFmtId="171" fontId="7" fillId="0" borderId="10" xfId="0" applyNumberFormat="1" applyFont="1" applyBorder="1" applyAlignment="1">
      <alignment horizontal="right" vertical="center"/>
    </xf>
    <xf numFmtId="173" fontId="7" fillId="0" borderId="10" xfId="0" applyNumberFormat="1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171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71" fontId="7" fillId="0" borderId="10" xfId="64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4" fontId="5" fillId="0" borderId="11" xfId="0" applyNumberFormat="1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 vertical="center" wrapText="1"/>
    </xf>
    <xf numFmtId="174" fontId="7" fillId="0" borderId="10" xfId="64" applyNumberFormat="1" applyFont="1" applyBorder="1" applyAlignment="1">
      <alignment horizontal="right" vertical="center"/>
    </xf>
    <xf numFmtId="173" fontId="7" fillId="0" borderId="10" xfId="45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9" fillId="0" borderId="17" xfId="58" applyFont="1" applyBorder="1" applyAlignment="1">
      <alignment vertical="center"/>
      <protection/>
    </xf>
    <xf numFmtId="0" fontId="9" fillId="0" borderId="18" xfId="58" applyFont="1" applyBorder="1" applyAlignment="1">
      <alignment horizontal="center" vertical="center"/>
      <protection/>
    </xf>
    <xf numFmtId="0" fontId="51" fillId="0" borderId="19" xfId="0" applyFont="1" applyFill="1" applyBorder="1" applyAlignment="1">
      <alignment/>
    </xf>
    <xf numFmtId="0" fontId="54" fillId="0" borderId="0" xfId="0" applyFont="1" applyAlignment="1">
      <alignment horizontal="left" indent="4"/>
    </xf>
    <xf numFmtId="191" fontId="0" fillId="0" borderId="0" xfId="0" applyNumberFormat="1" applyFont="1" applyAlignment="1">
      <alignment/>
    </xf>
    <xf numFmtId="0" fontId="0" fillId="0" borderId="0" xfId="0" applyFill="1" applyAlignment="1">
      <alignment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172" fontId="7" fillId="0" borderId="10" xfId="0" applyNumberFormat="1" applyFont="1" applyBorder="1" applyAlignment="1">
      <alignment horizontal="right" vertical="center" wrapText="1"/>
    </xf>
    <xf numFmtId="175" fontId="7" fillId="0" borderId="10" xfId="64" applyNumberFormat="1" applyFont="1" applyBorder="1" applyAlignment="1">
      <alignment horizontal="right" vertical="center"/>
    </xf>
    <xf numFmtId="174" fontId="7" fillId="0" borderId="10" xfId="64" applyNumberFormat="1" applyFont="1" applyFill="1" applyBorder="1" applyAlignment="1">
      <alignment horizontal="right" vertical="center"/>
    </xf>
    <xf numFmtId="172" fontId="7" fillId="0" borderId="10" xfId="64" applyNumberFormat="1" applyFont="1" applyBorder="1" applyAlignment="1">
      <alignment horizontal="right" vertical="center"/>
    </xf>
    <xf numFmtId="9" fontId="7" fillId="0" borderId="10" xfId="64" applyFont="1" applyFill="1" applyBorder="1" applyAlignment="1">
      <alignment horizontal="right" vertical="center"/>
    </xf>
    <xf numFmtId="9" fontId="7" fillId="0" borderId="10" xfId="64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1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4" fontId="7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right" vertical="center" wrapText="1"/>
    </xf>
    <xf numFmtId="174" fontId="6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Fill="1" applyBorder="1" applyAlignment="1">
      <alignment horizontal="right" vertical="center"/>
    </xf>
    <xf numFmtId="174" fontId="6" fillId="0" borderId="10" xfId="42" applyNumberFormat="1" applyFont="1" applyBorder="1" applyAlignment="1">
      <alignment horizontal="right" vertical="center"/>
    </xf>
    <xf numFmtId="174" fontId="7" fillId="0" borderId="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74" fontId="7" fillId="0" borderId="10" xfId="42" applyNumberFormat="1" applyFont="1" applyFill="1" applyBorder="1" applyAlignment="1">
      <alignment horizontal="right" vertical="center"/>
    </xf>
    <xf numFmtId="171" fontId="6" fillId="0" borderId="10" xfId="64" applyNumberFormat="1" applyFont="1" applyFill="1" applyBorder="1" applyAlignment="1">
      <alignment horizontal="right" vertical="center"/>
    </xf>
    <xf numFmtId="174" fontId="55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1" fontId="7" fillId="0" borderId="0" xfId="64" applyNumberFormat="1" applyFont="1" applyBorder="1" applyAlignment="1">
      <alignment/>
    </xf>
    <xf numFmtId="0" fontId="7" fillId="0" borderId="20" xfId="0" applyFont="1" applyFill="1" applyBorder="1" applyAlignment="1">
      <alignment horizontal="right" vertical="center"/>
    </xf>
    <xf numFmtId="171" fontId="51" fillId="0" borderId="0" xfId="64" applyNumberFormat="1" applyFont="1" applyBorder="1" applyAlignment="1">
      <alignment horizontal="right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1" fontId="6" fillId="0" borderId="13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/>
    </xf>
    <xf numFmtId="174" fontId="7" fillId="2" borderId="10" xfId="42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horizontal="right" vertical="center"/>
    </xf>
    <xf numFmtId="0" fontId="7" fillId="7" borderId="10" xfId="0" applyFont="1" applyFill="1" applyBorder="1" applyAlignment="1">
      <alignment vertical="center"/>
    </xf>
    <xf numFmtId="171" fontId="6" fillId="7" borderId="10" xfId="64" applyNumberFormat="1" applyFont="1" applyFill="1" applyBorder="1" applyAlignment="1">
      <alignment horizontal="right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left" vertical="center"/>
    </xf>
    <xf numFmtId="0" fontId="7" fillId="6" borderId="21" xfId="0" applyFont="1" applyFill="1" applyBorder="1" applyAlignment="1">
      <alignment horizontal="right" vertical="center"/>
    </xf>
    <xf numFmtId="0" fontId="6" fillId="4" borderId="10" xfId="0" applyFont="1" applyFill="1" applyBorder="1" applyAlignment="1">
      <alignment vertical="center"/>
    </xf>
    <xf numFmtId="191" fontId="7" fillId="4" borderId="10" xfId="42" applyNumberFormat="1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191" fontId="7" fillId="7" borderId="10" xfId="42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/>
    </xf>
    <xf numFmtId="0" fontId="9" fillId="0" borderId="22" xfId="58" applyFont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vertical="top"/>
      <protection/>
    </xf>
    <xf numFmtId="0" fontId="0" fillId="0" borderId="24" xfId="61" applyFont="1" applyFill="1" applyBorder="1" applyAlignment="1">
      <alignment vertical="top" wrapText="1"/>
      <protection/>
    </xf>
    <xf numFmtId="0" fontId="0" fillId="0" borderId="25" xfId="61" applyFont="1" applyFill="1" applyBorder="1" applyAlignment="1">
      <alignment horizontal="center" vertical="top"/>
      <protection/>
    </xf>
    <xf numFmtId="0" fontId="0" fillId="0" borderId="17" xfId="61" applyFont="1" applyFill="1" applyBorder="1" applyAlignment="1">
      <alignment vertical="top"/>
      <protection/>
    </xf>
    <xf numFmtId="0" fontId="0" fillId="0" borderId="18" xfId="61" applyFont="1" applyFill="1" applyBorder="1" applyAlignment="1">
      <alignment vertical="top" wrapText="1"/>
      <protection/>
    </xf>
    <xf numFmtId="0" fontId="0" fillId="0" borderId="22" xfId="61" applyFont="1" applyFill="1" applyBorder="1" applyAlignment="1">
      <alignment horizontal="center" vertical="top"/>
      <protection/>
    </xf>
    <xf numFmtId="0" fontId="6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174" fontId="8" fillId="0" borderId="21" xfId="64" applyNumberFormat="1" applyFont="1" applyBorder="1" applyAlignment="1">
      <alignment horizontal="center" vertical="center" wrapText="1"/>
    </xf>
    <xf numFmtId="174" fontId="8" fillId="0" borderId="31" xfId="0" applyNumberFormat="1" applyFont="1" applyBorder="1" applyAlignment="1">
      <alignment horizontal="center" vertical="center" wrapText="1"/>
    </xf>
    <xf numFmtId="174" fontId="8" fillId="0" borderId="1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36" xfId="0" applyBorder="1" applyAlignment="1">
      <alignment horizontal="left"/>
    </xf>
    <xf numFmtId="0" fontId="6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5" xfId="60" applyFont="1" applyFill="1" applyBorder="1" applyAlignment="1">
      <alignment vertical="center"/>
      <protection/>
    </xf>
    <xf numFmtId="0" fontId="7" fillId="0" borderId="27" xfId="60" applyFont="1" applyFill="1" applyBorder="1" applyAlignment="1">
      <alignment vertical="center"/>
      <protection/>
    </xf>
    <xf numFmtId="0" fontId="7" fillId="0" borderId="28" xfId="60" applyFont="1" applyFill="1" applyBorder="1" applyAlignment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2" fillId="0" borderId="0" xfId="0" applyFont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5" fillId="0" borderId="0" xfId="58" applyFont="1" applyBorder="1" applyAlignment="1">
      <alignment horizontal="center" vertical="center"/>
      <protection/>
    </xf>
    <xf numFmtId="0" fontId="5" fillId="0" borderId="39" xfId="59" applyFont="1" applyFill="1" applyBorder="1" applyAlignment="1">
      <alignment horizontal="center" vertical="center"/>
      <protection/>
    </xf>
    <xf numFmtId="0" fontId="5" fillId="0" borderId="40" xfId="59" applyFont="1" applyFill="1" applyBorder="1" applyAlignment="1">
      <alignment horizontal="center" vertical="center"/>
      <protection/>
    </xf>
    <xf numFmtId="0" fontId="5" fillId="0" borderId="41" xfId="59" applyFont="1" applyFill="1" applyBorder="1" applyAlignment="1">
      <alignment horizontal="center" vertical="center"/>
      <protection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4 3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zoomScaleSheetLayoutView="75" workbookViewId="0" topLeftCell="A1">
      <selection activeCell="A2" sqref="A2"/>
    </sheetView>
  </sheetViews>
  <sheetFormatPr defaultColWidth="30.7109375" defaultRowHeight="12.75"/>
  <cols>
    <col min="1" max="1" width="48.8515625" style="0" customWidth="1"/>
    <col min="2" max="7" width="16.7109375" style="1" customWidth="1"/>
    <col min="8" max="8" width="16.7109375" style="0" customWidth="1"/>
    <col min="9" max="9" width="17.7109375" style="0" customWidth="1"/>
    <col min="10" max="14" width="18.7109375" style="0" customWidth="1"/>
    <col min="15" max="15" width="41.28125" style="0" bestFit="1" customWidth="1"/>
  </cols>
  <sheetData>
    <row r="1" spans="1:9" ht="24.75" customHeight="1" thickBot="1">
      <c r="A1" s="155" t="s">
        <v>172</v>
      </c>
      <c r="B1" s="156"/>
      <c r="C1" s="156"/>
      <c r="D1" s="156"/>
      <c r="E1" s="156"/>
      <c r="F1" s="157"/>
      <c r="G1" s="57">
        <v>41670</v>
      </c>
      <c r="H1" s="77" t="s">
        <v>202</v>
      </c>
      <c r="I1" s="42" t="s">
        <v>12</v>
      </c>
    </row>
    <row r="2" spans="1:9" ht="17.25">
      <c r="A2" s="73" t="s">
        <v>12</v>
      </c>
      <c r="B2" s="43"/>
      <c r="C2" s="43"/>
      <c r="D2" s="43"/>
      <c r="E2" s="44"/>
      <c r="F2" s="44"/>
      <c r="G2" s="45"/>
      <c r="H2" s="42"/>
      <c r="I2" s="42"/>
    </row>
    <row r="3" spans="1:11" ht="19.5" customHeight="1">
      <c r="A3" s="46"/>
      <c r="B3" s="47" t="s">
        <v>13</v>
      </c>
      <c r="C3" s="169" t="s">
        <v>42</v>
      </c>
      <c r="D3" s="169"/>
      <c r="E3" s="169"/>
      <c r="F3" s="169"/>
      <c r="G3" s="169"/>
      <c r="H3" s="169"/>
      <c r="I3" s="95"/>
      <c r="J3" s="95"/>
      <c r="K3" s="95"/>
    </row>
    <row r="4" spans="1:11" ht="19.5" customHeight="1">
      <c r="A4" s="48" t="s">
        <v>35</v>
      </c>
      <c r="B4" s="49">
        <v>0.157</v>
      </c>
      <c r="C4" s="170" t="s">
        <v>133</v>
      </c>
      <c r="D4" s="170"/>
      <c r="E4" s="170"/>
      <c r="F4" s="170"/>
      <c r="G4" s="170"/>
      <c r="H4" s="170"/>
      <c r="I4" s="96"/>
      <c r="J4" s="116" t="s">
        <v>12</v>
      </c>
      <c r="K4" s="96"/>
    </row>
    <row r="5" spans="1:11" ht="19.5" customHeight="1">
      <c r="A5" s="48" t="s">
        <v>36</v>
      </c>
      <c r="B5" s="50">
        <v>0.0565</v>
      </c>
      <c r="C5" s="170" t="s">
        <v>134</v>
      </c>
      <c r="D5" s="170"/>
      <c r="E5" s="170"/>
      <c r="F5" s="170"/>
      <c r="G5" s="170"/>
      <c r="H5" s="170"/>
      <c r="I5" s="96"/>
      <c r="J5" s="116" t="s">
        <v>12</v>
      </c>
      <c r="K5" s="96"/>
    </row>
    <row r="6" spans="1:11" ht="19.5" customHeight="1">
      <c r="A6" s="48" t="s">
        <v>37</v>
      </c>
      <c r="B6" s="51">
        <v>1.0916</v>
      </c>
      <c r="C6" s="171" t="s">
        <v>135</v>
      </c>
      <c r="D6" s="171"/>
      <c r="E6" s="171"/>
      <c r="F6" s="171"/>
      <c r="G6" s="171"/>
      <c r="H6" s="171"/>
      <c r="I6" s="97"/>
      <c r="J6" s="117" t="s">
        <v>12</v>
      </c>
      <c r="K6" s="97"/>
    </row>
    <row r="7" spans="1:11" ht="19.5" customHeight="1">
      <c r="A7" s="48" t="s">
        <v>43</v>
      </c>
      <c r="B7" s="52">
        <v>0.953</v>
      </c>
      <c r="C7" s="171" t="s">
        <v>12</v>
      </c>
      <c r="D7" s="171"/>
      <c r="E7" s="171"/>
      <c r="F7" s="171"/>
      <c r="G7" s="171"/>
      <c r="H7" s="171"/>
      <c r="I7" s="97"/>
      <c r="J7" s="97"/>
      <c r="K7" s="97"/>
    </row>
    <row r="8" spans="1:11" ht="19.5" customHeight="1">
      <c r="A8" s="48" t="s">
        <v>38</v>
      </c>
      <c r="B8" s="102">
        <f>F38</f>
        <v>164717.8</v>
      </c>
      <c r="C8" s="171" t="s">
        <v>12</v>
      </c>
      <c r="D8" s="171"/>
      <c r="E8" s="171"/>
      <c r="F8" s="171"/>
      <c r="G8" s="171"/>
      <c r="H8" s="171"/>
      <c r="I8" s="97"/>
      <c r="J8" s="107" t="s">
        <v>12</v>
      </c>
      <c r="K8" s="97"/>
    </row>
    <row r="9" spans="1:11" ht="19.5" customHeight="1">
      <c r="A9" s="48" t="s">
        <v>44</v>
      </c>
      <c r="B9" s="53">
        <v>0.025</v>
      </c>
      <c r="C9" s="170" t="s">
        <v>12</v>
      </c>
      <c r="D9" s="170"/>
      <c r="E9" s="170"/>
      <c r="F9" s="170"/>
      <c r="G9" s="170"/>
      <c r="H9" s="170"/>
      <c r="I9" s="96"/>
      <c r="J9" s="96"/>
      <c r="K9" s="96"/>
    </row>
    <row r="10" spans="1:11" ht="19.5" customHeight="1">
      <c r="A10" s="48" t="s">
        <v>41</v>
      </c>
      <c r="B10" s="63">
        <f>ROUND(MAX(B20*0.3,20)*365,2)</f>
        <v>38477.21</v>
      </c>
      <c r="C10" s="181" t="s">
        <v>12</v>
      </c>
      <c r="D10" s="181"/>
      <c r="E10" s="181"/>
      <c r="F10" s="181"/>
      <c r="G10" s="181"/>
      <c r="H10" s="181"/>
      <c r="I10" s="96"/>
      <c r="J10" s="96"/>
      <c r="K10" s="96"/>
    </row>
    <row r="11" spans="1:14" ht="19.5" customHeight="1">
      <c r="A11" s="48"/>
      <c r="B11" s="64" t="s">
        <v>12</v>
      </c>
      <c r="C11" s="150" t="s">
        <v>55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5" ht="30" customHeight="1">
      <c r="A12" s="62" t="s">
        <v>12</v>
      </c>
      <c r="B12" s="59" t="s">
        <v>13</v>
      </c>
      <c r="C12" s="59" t="s">
        <v>17</v>
      </c>
      <c r="D12" s="59" t="s">
        <v>16</v>
      </c>
      <c r="E12" s="59" t="s">
        <v>14</v>
      </c>
      <c r="F12" s="59" t="s">
        <v>8</v>
      </c>
      <c r="G12" s="59" t="s">
        <v>45</v>
      </c>
      <c r="H12" s="59" t="s">
        <v>46</v>
      </c>
      <c r="I12" s="59" t="s">
        <v>7</v>
      </c>
      <c r="J12" s="54" t="s">
        <v>54</v>
      </c>
      <c r="K12" s="54" t="s">
        <v>117</v>
      </c>
      <c r="L12" s="108" t="s">
        <v>18</v>
      </c>
      <c r="M12" s="108" t="s">
        <v>3</v>
      </c>
      <c r="N12" s="108" t="s">
        <v>158</v>
      </c>
      <c r="O12" s="112" t="s">
        <v>12</v>
      </c>
    </row>
    <row r="13" spans="1:14" ht="19.5" customHeight="1">
      <c r="A13" s="60" t="s">
        <v>9</v>
      </c>
      <c r="B13" s="34" t="s">
        <v>24</v>
      </c>
      <c r="C13" s="34">
        <f>B65</f>
        <v>4690</v>
      </c>
      <c r="D13" s="36">
        <f>B62</f>
        <v>6140</v>
      </c>
      <c r="E13" s="36">
        <f>B63</f>
        <v>6140</v>
      </c>
      <c r="F13" s="36">
        <f>B59</f>
        <v>6080</v>
      </c>
      <c r="G13" s="36">
        <f>B60</f>
        <v>2370</v>
      </c>
      <c r="H13" s="36">
        <f>B51</f>
        <v>1440</v>
      </c>
      <c r="I13" s="36">
        <f>B57</f>
        <v>3740</v>
      </c>
      <c r="J13" s="36">
        <f>B42</f>
        <v>4970</v>
      </c>
      <c r="K13" s="36">
        <f>B43</f>
        <v>3350</v>
      </c>
      <c r="L13" s="36">
        <f>B45</f>
        <v>2290</v>
      </c>
      <c r="M13" s="36">
        <f>B44</f>
        <v>4610</v>
      </c>
      <c r="N13" s="36">
        <f>B58</f>
        <v>1310</v>
      </c>
    </row>
    <row r="14" spans="1:14" ht="19.5" customHeight="1">
      <c r="A14" s="60" t="s">
        <v>11</v>
      </c>
      <c r="B14" s="34" t="s">
        <v>24</v>
      </c>
      <c r="C14" s="34">
        <f>C65</f>
        <v>7261</v>
      </c>
      <c r="D14" s="36">
        <f>C62</f>
        <v>9315</v>
      </c>
      <c r="E14" s="36">
        <f>C63</f>
        <v>8029</v>
      </c>
      <c r="F14" s="36">
        <f>C59</f>
        <v>6700</v>
      </c>
      <c r="G14" s="36">
        <f>C60</f>
        <v>2795</v>
      </c>
      <c r="H14" s="36">
        <f>C51</f>
        <v>1869</v>
      </c>
      <c r="I14" s="36">
        <f>C57</f>
        <v>5208</v>
      </c>
      <c r="J14" s="36">
        <f>C42</f>
        <v>8470</v>
      </c>
      <c r="K14" s="36">
        <f>C43</f>
        <v>4940</v>
      </c>
      <c r="L14" s="36">
        <f>C45</f>
        <v>7020</v>
      </c>
      <c r="M14" s="36">
        <f>C44</f>
        <v>6086</v>
      </c>
      <c r="N14" s="36">
        <f>C58</f>
        <v>4336</v>
      </c>
    </row>
    <row r="15" spans="1:14" ht="19.5" customHeight="1">
      <c r="A15" s="61" t="s">
        <v>10</v>
      </c>
      <c r="B15" s="34">
        <f>ROUND((B8*B6),1)</f>
        <v>179806</v>
      </c>
      <c r="C15" s="34">
        <v>71804</v>
      </c>
      <c r="D15" s="75">
        <v>39371</v>
      </c>
      <c r="E15" s="75">
        <v>17195</v>
      </c>
      <c r="F15" s="75">
        <v>12759</v>
      </c>
      <c r="G15" s="75">
        <v>6465</v>
      </c>
      <c r="H15" s="75">
        <v>3215</v>
      </c>
      <c r="I15" s="75">
        <v>8715</v>
      </c>
      <c r="J15" s="75">
        <v>16009</v>
      </c>
      <c r="K15" s="75">
        <v>6250</v>
      </c>
      <c r="L15" s="75">
        <v>28991</v>
      </c>
      <c r="M15" s="75">
        <v>8961</v>
      </c>
      <c r="N15" s="75">
        <v>10813</v>
      </c>
    </row>
    <row r="16" spans="1:14" ht="19.5" customHeight="1">
      <c r="A16" s="60" t="s">
        <v>48</v>
      </c>
      <c r="B16" s="36">
        <f>I38</f>
        <v>0</v>
      </c>
      <c r="C16" s="36">
        <f>I65</f>
        <v>0</v>
      </c>
      <c r="D16" s="36">
        <f>I62</f>
        <v>0</v>
      </c>
      <c r="E16" s="36">
        <f>I63</f>
        <v>0</v>
      </c>
      <c r="F16" s="36">
        <f>I59</f>
        <v>0</v>
      </c>
      <c r="G16" s="36">
        <f>I60</f>
        <v>0</v>
      </c>
      <c r="H16" s="36">
        <f>I51</f>
        <v>0</v>
      </c>
      <c r="I16" s="36">
        <f>I57</f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</row>
    <row r="17" spans="1:14" ht="19.5" customHeight="1">
      <c r="A17" s="60" t="s">
        <v>47</v>
      </c>
      <c r="B17" s="36">
        <f>ROUND(B16*$B$6,1)</f>
        <v>0</v>
      </c>
      <c r="C17" s="36">
        <f aca="true" t="shared" si="0" ref="C17:I17">ROUND(C16*$B$6,1)</f>
        <v>0</v>
      </c>
      <c r="D17" s="36">
        <f t="shared" si="0"/>
        <v>0</v>
      </c>
      <c r="E17" s="36">
        <f t="shared" si="0"/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>ROUND(J16*$B$6,1)</f>
        <v>0</v>
      </c>
      <c r="K17" s="36">
        <f>ROUND(K16*$B$6,1)</f>
        <v>0</v>
      </c>
      <c r="L17" s="36">
        <f>ROUND(L16*$B$6,1)</f>
        <v>0</v>
      </c>
      <c r="M17" s="36">
        <f>ROUND(M16*$B$6,1)</f>
        <v>0</v>
      </c>
      <c r="N17" s="36">
        <f>ROUND(N16*$B$6,1)</f>
        <v>0</v>
      </c>
    </row>
    <row r="18" spans="1:14" ht="24.75" customHeight="1">
      <c r="A18" s="118" t="s">
        <v>49</v>
      </c>
      <c r="B18" s="103">
        <f>B15-B17</f>
        <v>179806</v>
      </c>
      <c r="C18" s="103">
        <f aca="true" t="shared" si="1" ref="C18:I18">C15-C17</f>
        <v>71804</v>
      </c>
      <c r="D18" s="103">
        <f t="shared" si="1"/>
        <v>39371</v>
      </c>
      <c r="E18" s="103">
        <f t="shared" si="1"/>
        <v>17195</v>
      </c>
      <c r="F18" s="103">
        <f t="shared" si="1"/>
        <v>12759</v>
      </c>
      <c r="G18" s="103">
        <f t="shared" si="1"/>
        <v>6465</v>
      </c>
      <c r="H18" s="103">
        <f t="shared" si="1"/>
        <v>3215</v>
      </c>
      <c r="I18" s="103">
        <f t="shared" si="1"/>
        <v>8715</v>
      </c>
      <c r="J18" s="103">
        <f>J15-J17</f>
        <v>16009</v>
      </c>
      <c r="K18" s="103">
        <f>K15-K17</f>
        <v>6250</v>
      </c>
      <c r="L18" s="103">
        <f>L15-L17</f>
        <v>28991</v>
      </c>
      <c r="M18" s="103">
        <f>M15-M17</f>
        <v>8961</v>
      </c>
      <c r="N18" s="103">
        <f>N15-N17</f>
        <v>10813</v>
      </c>
    </row>
    <row r="19" spans="1:14" ht="19.5" customHeight="1">
      <c r="A19" s="61" t="s">
        <v>44</v>
      </c>
      <c r="B19" s="34">
        <f>ROUND((B18*B9),1)</f>
        <v>4495.2</v>
      </c>
      <c r="C19" s="34">
        <f>H65</f>
        <v>1661.7070407691217</v>
      </c>
      <c r="D19" s="36">
        <f>H62</f>
        <v>902.4087159979068</v>
      </c>
      <c r="E19" s="36">
        <f>H63</f>
        <v>388.06822334926767</v>
      </c>
      <c r="F19" s="36">
        <f>H59</f>
        <v>285.72955685420766</v>
      </c>
      <c r="G19" s="36">
        <f>H60</f>
        <v>138.5788350742907</v>
      </c>
      <c r="H19" s="36">
        <f>H51</f>
        <v>66.11176100700712</v>
      </c>
      <c r="I19" s="36">
        <f>H57</f>
        <v>183.63650315873574</v>
      </c>
      <c r="J19" s="36">
        <f>H42</f>
        <v>357.03913966796546</v>
      </c>
      <c r="K19" s="36">
        <f>H43</f>
        <v>122.52258055899243</v>
      </c>
      <c r="L19" s="36">
        <f>H45</f>
        <v>639.8759235492461</v>
      </c>
      <c r="M19" s="36">
        <f>H44</f>
        <v>204.4317201905319</v>
      </c>
      <c r="N19" s="36">
        <f>H58</f>
        <v>205.14126827823102</v>
      </c>
    </row>
    <row r="20" spans="1:14" ht="19.5" customHeight="1">
      <c r="A20" s="119" t="s">
        <v>50</v>
      </c>
      <c r="B20" s="38">
        <f>'Net CONE'!H24</f>
        <v>351.39</v>
      </c>
      <c r="C20" s="38">
        <f>'Net CONE'!G24</f>
        <v>313</v>
      </c>
      <c r="D20" s="38">
        <f>'Net CONE'!B24</f>
        <v>365.87</v>
      </c>
      <c r="E20" s="38">
        <f>'Net CONE'!C24</f>
        <v>313</v>
      </c>
      <c r="F20" s="38">
        <f>'Net CONE'!B24</f>
        <v>365.87</v>
      </c>
      <c r="G20" s="38">
        <f>'Net CONE'!B24</f>
        <v>365.87</v>
      </c>
      <c r="H20" s="38">
        <f>'Net CONE'!B24</f>
        <v>365.87</v>
      </c>
      <c r="I20" s="38">
        <f>'Net CONE'!C24</f>
        <v>313</v>
      </c>
      <c r="J20" s="38">
        <f>'Net CONE'!D24</f>
        <v>373.75</v>
      </c>
      <c r="K20" s="38">
        <f>'Net CONE'!D24</f>
        <v>373.75</v>
      </c>
      <c r="L20" s="38">
        <f>'Net CONE'!D24</f>
        <v>373.75</v>
      </c>
      <c r="M20" s="38">
        <f>'Net CONE'!C24</f>
        <v>313</v>
      </c>
      <c r="N20" s="38">
        <f>'Net CONE'!E24</f>
        <v>354.46</v>
      </c>
    </row>
    <row r="21" spans="1:14" ht="19.5" customHeight="1">
      <c r="A21" s="151" t="s">
        <v>51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ht="19.5" customHeight="1">
      <c r="A22" s="120" t="s">
        <v>25</v>
      </c>
      <c r="B22" s="33">
        <f>'Net CONE'!H25</f>
        <v>527.085</v>
      </c>
      <c r="C22" s="33">
        <f>'Net CONE'!G25</f>
        <v>469.5</v>
      </c>
      <c r="D22" s="33">
        <f>'Net CONE'!B25</f>
        <v>548.8050000000001</v>
      </c>
      <c r="E22" s="33">
        <f>'Net CONE'!C25</f>
        <v>469.5</v>
      </c>
      <c r="F22" s="33">
        <f>'Net CONE'!B25</f>
        <v>548.8050000000001</v>
      </c>
      <c r="G22" s="33">
        <f>'Net CONE'!B25</f>
        <v>548.8050000000001</v>
      </c>
      <c r="H22" s="33">
        <f>'Net CONE'!B25</f>
        <v>548.8050000000001</v>
      </c>
      <c r="I22" s="33">
        <f>'Net CONE'!C25</f>
        <v>469.5</v>
      </c>
      <c r="J22" s="33">
        <f>'Net CONE'!D25</f>
        <v>560.625</v>
      </c>
      <c r="K22" s="33">
        <f>'Net CONE'!D25</f>
        <v>560.625</v>
      </c>
      <c r="L22" s="33">
        <f>'Net CONE'!D25</f>
        <v>560.625</v>
      </c>
      <c r="M22" s="33">
        <f>'Net CONE'!C25</f>
        <v>469.5</v>
      </c>
      <c r="N22" s="33">
        <f>'Net CONE'!E25</f>
        <v>531.6899999999999</v>
      </c>
    </row>
    <row r="23" spans="1:14" ht="19.5" customHeight="1">
      <c r="A23" s="60" t="s">
        <v>26</v>
      </c>
      <c r="B23" s="33">
        <f>ROUND(B$20,2)</f>
        <v>351.39</v>
      </c>
      <c r="C23" s="33">
        <f aca="true" t="shared" si="2" ref="C23:H23">ROUND(C$20,2)</f>
        <v>313</v>
      </c>
      <c r="D23" s="33">
        <f t="shared" si="2"/>
        <v>365.87</v>
      </c>
      <c r="E23" s="33">
        <f t="shared" si="2"/>
        <v>313</v>
      </c>
      <c r="F23" s="33">
        <f t="shared" si="2"/>
        <v>365.87</v>
      </c>
      <c r="G23" s="33">
        <f t="shared" si="2"/>
        <v>365.87</v>
      </c>
      <c r="H23" s="33">
        <f t="shared" si="2"/>
        <v>365.87</v>
      </c>
      <c r="I23" s="33">
        <f aca="true" t="shared" si="3" ref="I23:N23">ROUND(I$20,2)</f>
        <v>313</v>
      </c>
      <c r="J23" s="33">
        <f t="shared" si="3"/>
        <v>373.75</v>
      </c>
      <c r="K23" s="33">
        <f t="shared" si="3"/>
        <v>373.75</v>
      </c>
      <c r="L23" s="33">
        <f t="shared" si="3"/>
        <v>373.75</v>
      </c>
      <c r="M23" s="33">
        <f t="shared" si="3"/>
        <v>313</v>
      </c>
      <c r="N23" s="33">
        <f t="shared" si="3"/>
        <v>354.46</v>
      </c>
    </row>
    <row r="24" spans="1:14" ht="19.5" customHeight="1">
      <c r="A24" s="60" t="s">
        <v>27</v>
      </c>
      <c r="B24" s="33">
        <f>ROUND(B$20*0.2,2)</f>
        <v>70.28</v>
      </c>
      <c r="C24" s="33">
        <f aca="true" t="shared" si="4" ref="C24:H24">ROUND(C$20*0.2,2)</f>
        <v>62.6</v>
      </c>
      <c r="D24" s="33">
        <f t="shared" si="4"/>
        <v>73.17</v>
      </c>
      <c r="E24" s="33">
        <f t="shared" si="4"/>
        <v>62.6</v>
      </c>
      <c r="F24" s="33">
        <f t="shared" si="4"/>
        <v>73.17</v>
      </c>
      <c r="G24" s="33">
        <f t="shared" si="4"/>
        <v>73.17</v>
      </c>
      <c r="H24" s="33">
        <f t="shared" si="4"/>
        <v>73.17</v>
      </c>
      <c r="I24" s="33">
        <f aca="true" t="shared" si="5" ref="I24:N24">ROUND(I$20*0.2,2)</f>
        <v>62.6</v>
      </c>
      <c r="J24" s="33">
        <f t="shared" si="5"/>
        <v>74.75</v>
      </c>
      <c r="K24" s="33">
        <f t="shared" si="5"/>
        <v>74.75</v>
      </c>
      <c r="L24" s="33">
        <f t="shared" si="5"/>
        <v>74.75</v>
      </c>
      <c r="M24" s="33">
        <f t="shared" si="5"/>
        <v>62.6</v>
      </c>
      <c r="N24" s="33">
        <f t="shared" si="5"/>
        <v>70.89</v>
      </c>
    </row>
    <row r="25" spans="1:14" ht="19.5" customHeight="1">
      <c r="A25" s="60" t="s">
        <v>28</v>
      </c>
      <c r="B25" s="34">
        <f aca="true" t="shared" si="6" ref="B25:I25">ROUND(B$18*(1+$B$4-3%)/(1+$B$4)-B19,1)</f>
        <v>170648.6</v>
      </c>
      <c r="C25" s="34">
        <f t="shared" si="6"/>
        <v>68280.5</v>
      </c>
      <c r="D25" s="34">
        <f t="shared" si="6"/>
        <v>37447.7</v>
      </c>
      <c r="E25" s="34">
        <f t="shared" si="6"/>
        <v>16361.1</v>
      </c>
      <c r="F25" s="34">
        <f t="shared" si="6"/>
        <v>12142.4</v>
      </c>
      <c r="G25" s="34">
        <f t="shared" si="6"/>
        <v>6158.8</v>
      </c>
      <c r="H25" s="34">
        <f t="shared" si="6"/>
        <v>3065.5</v>
      </c>
      <c r="I25" s="34">
        <f t="shared" si="6"/>
        <v>8305.4</v>
      </c>
      <c r="J25" s="34">
        <f>ROUND(J$18*(1+$B$4-3%)/(1+$B$4)-J19,1)</f>
        <v>15236.9</v>
      </c>
      <c r="K25" s="34">
        <f>ROUND(K$18*(1+$B$4-3%)/(1+$B$4)-K19,1)</f>
        <v>5965.4</v>
      </c>
      <c r="L25" s="34">
        <f>ROUND(L$18*(1+$B$4-3%)/(1+$B$4)-L19,1)</f>
        <v>27599.4</v>
      </c>
      <c r="M25" s="34">
        <f>ROUND(M$18*(1+$B$4-3%)/(1+$B$4)-M19,1)</f>
        <v>8524.2</v>
      </c>
      <c r="N25" s="34">
        <f>ROUND(N$18*(1+$B$4-3%)/(1+$B$4)-N19,1)</f>
        <v>10327.5</v>
      </c>
    </row>
    <row r="26" spans="1:14" ht="19.5" customHeight="1">
      <c r="A26" s="60" t="s">
        <v>29</v>
      </c>
      <c r="B26" s="34">
        <f aca="true" t="shared" si="7" ref="B26:I26">ROUND(B$18*(1+$B$4+1%)/(1+$B$4)-B19,1)</f>
        <v>176864.9</v>
      </c>
      <c r="C26" s="34">
        <f t="shared" si="7"/>
        <v>70762.9</v>
      </c>
      <c r="D26" s="34">
        <f t="shared" si="7"/>
        <v>38808.9</v>
      </c>
      <c r="E26" s="34">
        <f t="shared" si="7"/>
        <v>16955.5</v>
      </c>
      <c r="F26" s="34">
        <f t="shared" si="7"/>
        <v>12583.5</v>
      </c>
      <c r="G26" s="34">
        <f t="shared" si="7"/>
        <v>6382.3</v>
      </c>
      <c r="H26" s="34">
        <f t="shared" si="7"/>
        <v>3176.7</v>
      </c>
      <c r="I26" s="34">
        <f t="shared" si="7"/>
        <v>8606.7</v>
      </c>
      <c r="J26" s="34">
        <f>ROUND(J$18*(1+$B$4+1%)/(1+$B$4)-J19,1)</f>
        <v>15790.3</v>
      </c>
      <c r="K26" s="34">
        <f>ROUND(K$18*(1+$B$4+1%)/(1+$B$4)-K19,1)</f>
        <v>6181.5</v>
      </c>
      <c r="L26" s="34">
        <f>ROUND(L$18*(1+$B$4+1%)/(1+$B$4)-L19,1)</f>
        <v>28601.7</v>
      </c>
      <c r="M26" s="34">
        <f>ROUND(M$18*(1+$B$4+1%)/(1+$B$4)-M19,1)</f>
        <v>8834</v>
      </c>
      <c r="N26" s="34">
        <f>ROUND(N$18*(1+$B$4+1%)/(1+$B$4)-N19,1)</f>
        <v>10701.3</v>
      </c>
    </row>
    <row r="27" spans="1:14" ht="19.5" customHeight="1">
      <c r="A27" s="60" t="s">
        <v>30</v>
      </c>
      <c r="B27" s="34">
        <f aca="true" t="shared" si="8" ref="B27:I27">ROUND(B$18*(1+$B$4+5%)/(1+$B$4)-B19,1)</f>
        <v>183081.2</v>
      </c>
      <c r="C27" s="34">
        <f t="shared" si="8"/>
        <v>73245.3</v>
      </c>
      <c r="D27" s="34">
        <f t="shared" si="8"/>
        <v>40170</v>
      </c>
      <c r="E27" s="34">
        <f t="shared" si="8"/>
        <v>17550</v>
      </c>
      <c r="F27" s="34">
        <f t="shared" si="8"/>
        <v>13024.7</v>
      </c>
      <c r="G27" s="34">
        <f t="shared" si="8"/>
        <v>6605.8</v>
      </c>
      <c r="H27" s="34">
        <f t="shared" si="8"/>
        <v>3287.8</v>
      </c>
      <c r="I27" s="34">
        <f t="shared" si="8"/>
        <v>8908</v>
      </c>
      <c r="J27" s="34">
        <f>ROUND(J$18*(1+$B$4+5%)/(1+$B$4)-J19,1)</f>
        <v>16343.8</v>
      </c>
      <c r="K27" s="34">
        <f>ROUND(K$18*(1+$B$4+5%)/(1+$B$4)-K19,1)</f>
        <v>6397.6</v>
      </c>
      <c r="L27" s="34">
        <f>ROUND(L$18*(1+$B$4+5%)/(1+$B$4)-L19,1)</f>
        <v>29604</v>
      </c>
      <c r="M27" s="34">
        <f>ROUND(M$18*(1+$B$4+5%)/(1+$B$4)-M19,1)</f>
        <v>9143.8</v>
      </c>
      <c r="N27" s="34">
        <f>ROUND(N$18*(1+$B$4+5%)/(1+$B$4)-N19,1)</f>
        <v>11075.1</v>
      </c>
    </row>
    <row r="28" spans="1:14" ht="19.5" customHeight="1">
      <c r="A28" s="60" t="s">
        <v>53</v>
      </c>
      <c r="B28" s="55" t="s">
        <v>24</v>
      </c>
      <c r="C28" s="35">
        <v>159</v>
      </c>
      <c r="D28" s="35" t="s">
        <v>24</v>
      </c>
      <c r="E28" s="35">
        <v>444</v>
      </c>
      <c r="F28" s="35" t="s">
        <v>24</v>
      </c>
      <c r="G28" s="35" t="s">
        <v>24</v>
      </c>
      <c r="H28" s="35">
        <v>37</v>
      </c>
      <c r="I28" s="35">
        <v>191</v>
      </c>
      <c r="J28" s="35" t="s">
        <v>24</v>
      </c>
      <c r="K28" s="35" t="s">
        <v>24</v>
      </c>
      <c r="L28" s="35" t="s">
        <v>24</v>
      </c>
      <c r="M28" s="35" t="s">
        <v>24</v>
      </c>
      <c r="N28" s="35" t="s">
        <v>24</v>
      </c>
    </row>
    <row r="29" spans="1:14" ht="19.5" customHeight="1" hidden="1">
      <c r="A29" s="74" t="s">
        <v>94</v>
      </c>
      <c r="B29" s="76" t="s">
        <v>12</v>
      </c>
      <c r="C29" s="76" t="s">
        <v>12</v>
      </c>
      <c r="D29" s="76" t="s">
        <v>12</v>
      </c>
      <c r="E29" s="76" t="s">
        <v>12</v>
      </c>
      <c r="F29" s="76" t="s">
        <v>12</v>
      </c>
      <c r="G29" s="76" t="s">
        <v>12</v>
      </c>
      <c r="H29" s="76" t="s">
        <v>12</v>
      </c>
      <c r="I29" s="76" t="s">
        <v>12</v>
      </c>
      <c r="J29" s="76" t="s">
        <v>12</v>
      </c>
      <c r="K29" s="76" t="s">
        <v>12</v>
      </c>
      <c r="L29" s="76" t="s">
        <v>12</v>
      </c>
      <c r="M29" s="76" t="s">
        <v>12</v>
      </c>
      <c r="N29" s="76" t="s">
        <v>12</v>
      </c>
    </row>
    <row r="30" spans="1:14" ht="19.5" customHeight="1" hidden="1">
      <c r="A30" s="74" t="s">
        <v>95</v>
      </c>
      <c r="B30" s="76" t="s">
        <v>12</v>
      </c>
      <c r="C30" s="76" t="s">
        <v>12</v>
      </c>
      <c r="D30" s="76" t="s">
        <v>12</v>
      </c>
      <c r="E30" s="76" t="s">
        <v>12</v>
      </c>
      <c r="F30" s="76" t="s">
        <v>12</v>
      </c>
      <c r="G30" s="76" t="s">
        <v>12</v>
      </c>
      <c r="H30" s="76" t="s">
        <v>12</v>
      </c>
      <c r="I30" s="76" t="s">
        <v>12</v>
      </c>
      <c r="J30" s="76" t="s">
        <v>12</v>
      </c>
      <c r="K30" s="76" t="s">
        <v>12</v>
      </c>
      <c r="L30" s="76" t="s">
        <v>12</v>
      </c>
      <c r="M30" s="76" t="s">
        <v>12</v>
      </c>
      <c r="N30" s="76" t="s">
        <v>12</v>
      </c>
    </row>
    <row r="31" spans="1:14" ht="19.5" customHeight="1" hidden="1">
      <c r="A31" s="74" t="s">
        <v>96</v>
      </c>
      <c r="B31" s="76" t="s">
        <v>12</v>
      </c>
      <c r="C31" s="76" t="s">
        <v>12</v>
      </c>
      <c r="D31" s="76" t="s">
        <v>12</v>
      </c>
      <c r="E31" s="76" t="s">
        <v>12</v>
      </c>
      <c r="F31" s="76" t="s">
        <v>12</v>
      </c>
      <c r="G31" s="76" t="s">
        <v>12</v>
      </c>
      <c r="H31" s="76" t="s">
        <v>12</v>
      </c>
      <c r="I31" s="76" t="s">
        <v>12</v>
      </c>
      <c r="J31" s="76" t="s">
        <v>12</v>
      </c>
      <c r="K31" s="76" t="s">
        <v>12</v>
      </c>
      <c r="L31" s="76" t="s">
        <v>12</v>
      </c>
      <c r="M31" s="76" t="s">
        <v>12</v>
      </c>
      <c r="N31" s="76" t="s">
        <v>12</v>
      </c>
    </row>
    <row r="32" spans="1:14" ht="19.5" customHeight="1">
      <c r="A32" s="152" t="s">
        <v>167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</row>
    <row r="33" spans="1:14" ht="19.5" customHeight="1">
      <c r="A33" s="60" t="s">
        <v>166</v>
      </c>
      <c r="B33" s="55" t="s">
        <v>24</v>
      </c>
      <c r="C33" s="31">
        <f>ROUND((F65*$B$6-C14)/(F65*$B$6),3)</f>
        <v>0.891</v>
      </c>
      <c r="D33" s="31">
        <f>ROUND((F62*$B$6-D14)/(F62*$B$6),3)</f>
        <v>0.742</v>
      </c>
      <c r="E33" s="31">
        <f>ROUND((F63*$B$6-E14)/(F63*$B$6),3)</f>
        <v>0.483</v>
      </c>
      <c r="F33" s="31">
        <f>ROUND((F59*$B$6-F14)/(F59*$B$6),3)</f>
        <v>0.414</v>
      </c>
      <c r="G33" s="31">
        <f>ROUND((F60*$B$6-G14)/(F60*$B$6),3)</f>
        <v>0.496</v>
      </c>
      <c r="H33" s="32">
        <f>ROUND((F51*$B$6-H14)/(F51*$B$6),3)</f>
        <v>0.293</v>
      </c>
      <c r="I33" s="31">
        <f>ROUND((F57*$B$6-I14)/(F57*$B$6),3)</f>
        <v>0.291</v>
      </c>
      <c r="J33" s="31">
        <f>ROUND((F42*$B$6-J14)/(F42*$B$6),3)</f>
        <v>0.407</v>
      </c>
      <c r="K33" s="31">
        <f>MAX((F43*$B$6-K14)/(F43*$B$6),0)</f>
        <v>0</v>
      </c>
      <c r="L33" s="31">
        <f>ROUND((F45*$B$6-L14)/(F45*$B$6),3)</f>
        <v>0.726</v>
      </c>
      <c r="M33" s="31">
        <f>ROUND((F44*$B$6-M14)/(F44*$B$6),3)</f>
        <v>0.256</v>
      </c>
      <c r="N33" s="31">
        <f>ROUND((F58*$B$6-N14)/(F58*$B$6),3)</f>
        <v>0.472</v>
      </c>
    </row>
    <row r="34" spans="1:10" ht="19.5" customHeight="1">
      <c r="A34" s="161"/>
      <c r="B34" s="162"/>
      <c r="C34" s="162"/>
      <c r="D34" s="162"/>
      <c r="E34" s="162"/>
      <c r="F34" s="162"/>
      <c r="G34" s="162"/>
      <c r="H34" s="162"/>
      <c r="I34" s="163"/>
      <c r="J34" s="164"/>
    </row>
    <row r="35" spans="1:11" ht="19.5" customHeight="1">
      <c r="A35" s="165"/>
      <c r="B35" s="166"/>
      <c r="C35" s="166"/>
      <c r="D35" s="166"/>
      <c r="E35" s="166"/>
      <c r="F35" s="166"/>
      <c r="G35" s="166"/>
      <c r="H35" s="166"/>
      <c r="I35" s="167"/>
      <c r="J35" s="168"/>
      <c r="K35" s="4" t="s">
        <v>12</v>
      </c>
    </row>
    <row r="36" spans="1:10" ht="18" customHeight="1">
      <c r="A36" s="172" t="s">
        <v>206</v>
      </c>
      <c r="B36" s="173"/>
      <c r="C36" s="173"/>
      <c r="D36" s="173"/>
      <c r="E36" s="173"/>
      <c r="F36" s="173"/>
      <c r="G36" s="173"/>
      <c r="H36" s="173"/>
      <c r="I36" s="174"/>
      <c r="J36" s="175"/>
    </row>
    <row r="37" spans="1:11" s="3" customFormat="1" ht="84.75" customHeight="1">
      <c r="A37" s="66" t="s">
        <v>39</v>
      </c>
      <c r="B37" s="65" t="s">
        <v>9</v>
      </c>
      <c r="C37" s="65" t="s">
        <v>11</v>
      </c>
      <c r="D37" s="65" t="s">
        <v>156</v>
      </c>
      <c r="E37" s="65" t="s">
        <v>149</v>
      </c>
      <c r="F37" s="65" t="s">
        <v>31</v>
      </c>
      <c r="G37" s="65" t="s">
        <v>32</v>
      </c>
      <c r="H37" s="65" t="s">
        <v>44</v>
      </c>
      <c r="I37" s="65" t="s">
        <v>81</v>
      </c>
      <c r="J37" s="65" t="s">
        <v>107</v>
      </c>
      <c r="K37" s="99" t="s">
        <v>12</v>
      </c>
    </row>
    <row r="38" spans="1:11" s="3" customFormat="1" ht="19.5" customHeight="1">
      <c r="A38" s="67" t="s">
        <v>13</v>
      </c>
      <c r="B38" s="39" t="s">
        <v>24</v>
      </c>
      <c r="C38" s="39" t="s">
        <v>24</v>
      </c>
      <c r="D38" s="5" t="s">
        <v>24</v>
      </c>
      <c r="E38" s="103">
        <f>E39+E40+E41+E42+E44+E45+E46+E47+E48+E49+E50+E52+E53+E54+E55+E56+E57+E58+E59+E61</f>
        <v>155456.6</v>
      </c>
      <c r="F38" s="103">
        <f>F39+F40+F41+F42+F44+F45+F46+F47+F48+F49+F50+F52+F53+F54+F55+F56+F57+F58+F59+F61</f>
        <v>164717.8</v>
      </c>
      <c r="G38" s="89" t="s">
        <v>24</v>
      </c>
      <c r="H38" s="103">
        <f>B19</f>
        <v>4495.2</v>
      </c>
      <c r="I38" s="103">
        <f>I39+I40+I41+I42+I44+I45+I46+I47+I48+I49+I50+I53+I54+I55+I56+I57+I58+I59+I61</f>
        <v>0</v>
      </c>
      <c r="J38" s="103">
        <f>J39+J40+J41+J42+J44+J45+J46+J47+J48+J49+J50+J52+J53+J54+J55+J56+J57+J58+J59+J61</f>
        <v>164717.8</v>
      </c>
      <c r="K38" s="3" t="s">
        <v>12</v>
      </c>
    </row>
    <row r="39" spans="1:12" s="2" customFormat="1" ht="19.5" customHeight="1">
      <c r="A39" s="37" t="s">
        <v>2</v>
      </c>
      <c r="B39" s="36">
        <v>1130</v>
      </c>
      <c r="C39" s="36" t="s">
        <v>168</v>
      </c>
      <c r="D39" s="91" t="s">
        <v>52</v>
      </c>
      <c r="E39" s="75">
        <v>2590</v>
      </c>
      <c r="F39" s="75">
        <v>2750</v>
      </c>
      <c r="G39" s="90">
        <f>F39/E39</f>
        <v>1.0617760617760619</v>
      </c>
      <c r="H39" s="75">
        <f>$H$38*J39/$J$38</f>
        <v>75.0483554297107</v>
      </c>
      <c r="I39" s="34">
        <v>0</v>
      </c>
      <c r="J39" s="75">
        <f>F39-I39</f>
        <v>2750</v>
      </c>
      <c r="K39" s="115" t="s">
        <v>12</v>
      </c>
      <c r="L39" s="100" t="s">
        <v>12</v>
      </c>
    </row>
    <row r="40" spans="1:11" s="2" customFormat="1" ht="19.5" customHeight="1">
      <c r="A40" s="68" t="s">
        <v>82</v>
      </c>
      <c r="B40" s="105">
        <v>1260</v>
      </c>
      <c r="C40" s="36" t="s">
        <v>139</v>
      </c>
      <c r="D40" s="91" t="s">
        <v>52</v>
      </c>
      <c r="E40" s="91">
        <v>22670</v>
      </c>
      <c r="F40" s="91">
        <v>23323</v>
      </c>
      <c r="G40" s="90">
        <f aca="true" t="shared" si="9" ref="G40:G50">F40/E40</f>
        <v>1.0288045875606529</v>
      </c>
      <c r="H40" s="75">
        <f>$H$38*J40/$J$38</f>
        <v>636.4919249771427</v>
      </c>
      <c r="I40" s="34">
        <v>0</v>
      </c>
      <c r="J40" s="75">
        <f>F40-I40</f>
        <v>23323</v>
      </c>
      <c r="K40" s="113" t="s">
        <v>12</v>
      </c>
    </row>
    <row r="41" spans="1:11" s="2" customFormat="1" ht="19.5" customHeight="1">
      <c r="A41" s="68" t="s">
        <v>0</v>
      </c>
      <c r="B41" s="105">
        <v>3740</v>
      </c>
      <c r="C41" s="36" t="s">
        <v>140</v>
      </c>
      <c r="D41" s="91" t="s">
        <v>52</v>
      </c>
      <c r="E41" s="91">
        <v>8270</v>
      </c>
      <c r="F41" s="91">
        <v>8841</v>
      </c>
      <c r="G41" s="90">
        <f t="shared" si="9"/>
        <v>1.0690447400241838</v>
      </c>
      <c r="H41" s="75">
        <f aca="true" t="shared" si="10" ref="H41:H61">$H$38*J41/$J$38</f>
        <v>241.27364012875353</v>
      </c>
      <c r="I41" s="34">
        <v>0</v>
      </c>
      <c r="J41" s="75">
        <f aca="true" t="shared" si="11" ref="J41:J61">F41-I41</f>
        <v>8841</v>
      </c>
      <c r="K41" s="113" t="s">
        <v>12</v>
      </c>
    </row>
    <row r="42" spans="1:11" s="2" customFormat="1" ht="19.5" customHeight="1">
      <c r="A42" s="68" t="s">
        <v>54</v>
      </c>
      <c r="B42" s="105">
        <v>4970</v>
      </c>
      <c r="C42" s="106">
        <v>8470</v>
      </c>
      <c r="D42" s="93">
        <f>C42/B42</f>
        <v>1.704225352112676</v>
      </c>
      <c r="E42" s="91">
        <v>12680</v>
      </c>
      <c r="F42" s="91">
        <v>13083</v>
      </c>
      <c r="G42" s="90">
        <f t="shared" si="9"/>
        <v>1.031782334384858</v>
      </c>
      <c r="H42" s="75">
        <f>$H$38*J42/$J$38</f>
        <v>357.03913966796546</v>
      </c>
      <c r="I42" s="34">
        <v>0</v>
      </c>
      <c r="J42" s="75">
        <f t="shared" si="11"/>
        <v>13083</v>
      </c>
      <c r="K42" s="113" t="s">
        <v>12</v>
      </c>
    </row>
    <row r="43" spans="1:11" s="2" customFormat="1" ht="19.5" customHeight="1">
      <c r="A43" s="68" t="s">
        <v>109</v>
      </c>
      <c r="B43" s="105">
        <v>3350</v>
      </c>
      <c r="C43" s="106">
        <v>4940</v>
      </c>
      <c r="D43" s="93">
        <f>C43/B43</f>
        <v>1.4746268656716417</v>
      </c>
      <c r="E43" s="91" t="s">
        <v>24</v>
      </c>
      <c r="F43" s="75">
        <f>ROUND(F42*0.34316,1)</f>
        <v>4489.6</v>
      </c>
      <c r="G43" s="90" t="s">
        <v>24</v>
      </c>
      <c r="H43" s="75">
        <f>$H$38*J43/$J$38</f>
        <v>122.52258055899243</v>
      </c>
      <c r="I43" s="34">
        <v>0</v>
      </c>
      <c r="J43" s="75">
        <f>F43-I43</f>
        <v>4489.6</v>
      </c>
      <c r="K43" s="113" t="s">
        <v>12</v>
      </c>
    </row>
    <row r="44" spans="1:11" s="2" customFormat="1" ht="19.5" customHeight="1">
      <c r="A44" s="37" t="s">
        <v>3</v>
      </c>
      <c r="B44" s="36">
        <v>4610</v>
      </c>
      <c r="C44" s="106">
        <v>6086</v>
      </c>
      <c r="D44" s="93">
        <f>C44/B44</f>
        <v>1.320173535791757</v>
      </c>
      <c r="E44" s="75">
        <v>6920</v>
      </c>
      <c r="F44" s="75">
        <v>7491</v>
      </c>
      <c r="G44" s="90">
        <f t="shared" si="9"/>
        <v>1.0825144508670521</v>
      </c>
      <c r="H44" s="75">
        <f t="shared" si="10"/>
        <v>204.4317201905319</v>
      </c>
      <c r="I44" s="34">
        <v>0</v>
      </c>
      <c r="J44" s="75">
        <f t="shared" si="11"/>
        <v>7491</v>
      </c>
      <c r="K44" s="113" t="s">
        <v>12</v>
      </c>
    </row>
    <row r="45" spans="1:11" s="2" customFormat="1" ht="19.5" customHeight="1">
      <c r="A45" s="37" t="s">
        <v>18</v>
      </c>
      <c r="B45" s="36">
        <v>2290</v>
      </c>
      <c r="C45" s="106">
        <v>7020</v>
      </c>
      <c r="D45" s="93">
        <f>C45/B45</f>
        <v>3.0655021834061134</v>
      </c>
      <c r="E45" s="75">
        <v>21830</v>
      </c>
      <c r="F45" s="75">
        <v>23447</v>
      </c>
      <c r="G45" s="90">
        <f t="shared" si="9"/>
        <v>1.074072377462208</v>
      </c>
      <c r="H45" s="75">
        <f t="shared" si="10"/>
        <v>639.8759235492461</v>
      </c>
      <c r="I45" s="34">
        <v>0</v>
      </c>
      <c r="J45" s="75">
        <f t="shared" si="11"/>
        <v>23447</v>
      </c>
      <c r="K45" s="113" t="s">
        <v>12</v>
      </c>
    </row>
    <row r="46" spans="1:11" s="2" customFormat="1" ht="19.5" customHeight="1">
      <c r="A46" s="37" t="s">
        <v>19</v>
      </c>
      <c r="B46" s="36">
        <v>970</v>
      </c>
      <c r="C46" s="36" t="s">
        <v>141</v>
      </c>
      <c r="D46" s="91" t="s">
        <v>52</v>
      </c>
      <c r="E46" s="75">
        <v>3260</v>
      </c>
      <c r="F46" s="75">
        <v>3503</v>
      </c>
      <c r="G46" s="90">
        <f t="shared" si="9"/>
        <v>1.0745398773006134</v>
      </c>
      <c r="H46" s="75">
        <f t="shared" si="10"/>
        <v>95.59795966191875</v>
      </c>
      <c r="I46" s="34">
        <v>0</v>
      </c>
      <c r="J46" s="75">
        <f t="shared" si="11"/>
        <v>3503</v>
      </c>
      <c r="K46" s="113" t="s">
        <v>12</v>
      </c>
    </row>
    <row r="47" spans="1:11" s="2" customFormat="1" ht="19.5" customHeight="1">
      <c r="A47" s="37" t="s">
        <v>97</v>
      </c>
      <c r="B47" s="36">
        <v>3760</v>
      </c>
      <c r="C47" s="36" t="s">
        <v>159</v>
      </c>
      <c r="D47" s="91" t="s">
        <v>52</v>
      </c>
      <c r="E47" s="75">
        <v>5270</v>
      </c>
      <c r="F47" s="75">
        <v>5533</v>
      </c>
      <c r="G47" s="90">
        <f>F47/E47</f>
        <v>1.0499051233396584</v>
      </c>
      <c r="H47" s="75">
        <f>$H$38*J47/$J$38</f>
        <v>150.9972911245779</v>
      </c>
      <c r="I47" s="34">
        <v>0</v>
      </c>
      <c r="J47" s="75">
        <f t="shared" si="11"/>
        <v>5533</v>
      </c>
      <c r="K47" s="113" t="s">
        <v>12</v>
      </c>
    </row>
    <row r="48" spans="1:11" s="2" customFormat="1" ht="19.5" customHeight="1">
      <c r="A48" s="37" t="s">
        <v>4</v>
      </c>
      <c r="B48" s="36">
        <v>1520</v>
      </c>
      <c r="C48" s="36" t="s">
        <v>142</v>
      </c>
      <c r="D48" s="91" t="s">
        <v>52</v>
      </c>
      <c r="E48" s="75">
        <v>2820</v>
      </c>
      <c r="F48" s="75">
        <v>2976</v>
      </c>
      <c r="G48" s="90">
        <f t="shared" si="9"/>
        <v>1.0553191489361702</v>
      </c>
      <c r="H48" s="75">
        <f t="shared" si="10"/>
        <v>81.21596573047965</v>
      </c>
      <c r="I48" s="34">
        <v>0</v>
      </c>
      <c r="J48" s="75">
        <f t="shared" si="11"/>
        <v>2976</v>
      </c>
      <c r="K48" s="113" t="s">
        <v>12</v>
      </c>
    </row>
    <row r="49" spans="1:11" s="2" customFormat="1" ht="19.5" customHeight="1">
      <c r="A49" s="37" t="s">
        <v>20</v>
      </c>
      <c r="B49" s="36">
        <v>-540</v>
      </c>
      <c r="C49" s="36" t="s">
        <v>118</v>
      </c>
      <c r="D49" s="91" t="s">
        <v>118</v>
      </c>
      <c r="E49" s="75">
        <v>18980</v>
      </c>
      <c r="F49" s="75">
        <v>20978</v>
      </c>
      <c r="G49" s="90">
        <f t="shared" si="9"/>
        <v>1.105268703898841</v>
      </c>
      <c r="H49" s="75">
        <f t="shared" si="10"/>
        <v>572.4961455288985</v>
      </c>
      <c r="I49" s="34">
        <v>0</v>
      </c>
      <c r="J49" s="75">
        <f t="shared" si="11"/>
        <v>20978</v>
      </c>
      <c r="K49" s="113" t="s">
        <v>12</v>
      </c>
    </row>
    <row r="50" spans="1:11" s="2" customFormat="1" ht="19.5" customHeight="1">
      <c r="A50" s="37" t="s">
        <v>1</v>
      </c>
      <c r="B50" s="36">
        <v>980</v>
      </c>
      <c r="C50" s="36" t="s">
        <v>143</v>
      </c>
      <c r="D50" s="91" t="s">
        <v>52</v>
      </c>
      <c r="E50" s="75">
        <v>3970</v>
      </c>
      <c r="F50" s="75">
        <v>4184</v>
      </c>
      <c r="G50" s="90">
        <f t="shared" si="9"/>
        <v>1.053904282115869</v>
      </c>
      <c r="H50" s="75">
        <f t="shared" si="10"/>
        <v>114.18266149742166</v>
      </c>
      <c r="I50" s="34">
        <v>0</v>
      </c>
      <c r="J50" s="75">
        <f t="shared" si="11"/>
        <v>4184</v>
      </c>
      <c r="K50" s="113" t="s">
        <v>12</v>
      </c>
    </row>
    <row r="51" spans="1:11" s="2" customFormat="1" ht="19.5" customHeight="1">
      <c r="A51" s="37" t="s">
        <v>46</v>
      </c>
      <c r="B51" s="36">
        <v>1440</v>
      </c>
      <c r="C51" s="104">
        <v>1869</v>
      </c>
      <c r="D51" s="93">
        <f>C51/B51</f>
        <v>1.2979166666666666</v>
      </c>
      <c r="E51" s="75" t="s">
        <v>24</v>
      </c>
      <c r="F51" s="75">
        <f>F50*0.579</f>
        <v>2422.5359999999996</v>
      </c>
      <c r="G51" s="90" t="s">
        <v>24</v>
      </c>
      <c r="H51" s="75">
        <f t="shared" si="10"/>
        <v>66.11176100700712</v>
      </c>
      <c r="I51" s="34">
        <v>0</v>
      </c>
      <c r="J51" s="75">
        <f t="shared" si="11"/>
        <v>2422.5359999999996</v>
      </c>
      <c r="K51" s="113" t="s">
        <v>12</v>
      </c>
    </row>
    <row r="52" spans="1:11" s="2" customFormat="1" ht="19.5" customHeight="1">
      <c r="A52" s="37" t="s">
        <v>111</v>
      </c>
      <c r="B52" s="36">
        <v>250</v>
      </c>
      <c r="C52" s="36" t="s">
        <v>144</v>
      </c>
      <c r="D52" s="91" t="s">
        <v>52</v>
      </c>
      <c r="E52" s="75">
        <v>2051.6</v>
      </c>
      <c r="F52" s="75">
        <v>2143.8</v>
      </c>
      <c r="G52" s="90">
        <f>F52/E52</f>
        <v>1.0449405342171965</v>
      </c>
      <c r="H52" s="75">
        <f t="shared" si="10"/>
        <v>58.504968861895925</v>
      </c>
      <c r="I52" s="34">
        <v>0</v>
      </c>
      <c r="J52" s="75">
        <f t="shared" si="11"/>
        <v>2143.8</v>
      </c>
      <c r="K52" s="113" t="s">
        <v>12</v>
      </c>
    </row>
    <row r="53" spans="1:11" s="2" customFormat="1" ht="19.5" customHeight="1">
      <c r="A53" s="37" t="s">
        <v>5</v>
      </c>
      <c r="B53" s="36">
        <v>3370</v>
      </c>
      <c r="C53" s="36" t="s">
        <v>145</v>
      </c>
      <c r="D53" s="91" t="s">
        <v>52</v>
      </c>
      <c r="E53" s="75">
        <v>6020</v>
      </c>
      <c r="F53" s="75">
        <v>6369</v>
      </c>
      <c r="G53" s="90">
        <f aca="true" t="shared" si="12" ref="G53:G59">F53/E53</f>
        <v>1.0579734219269104</v>
      </c>
      <c r="H53" s="75">
        <f t="shared" si="10"/>
        <v>173.81199117520995</v>
      </c>
      <c r="I53" s="34">
        <v>0</v>
      </c>
      <c r="J53" s="75">
        <f t="shared" si="11"/>
        <v>6369</v>
      </c>
      <c r="K53" s="113" t="s">
        <v>12</v>
      </c>
    </row>
    <row r="54" spans="1:13" s="2" customFormat="1" ht="19.5" customHeight="1">
      <c r="A54" s="37" t="s">
        <v>21</v>
      </c>
      <c r="B54" s="36">
        <v>1290</v>
      </c>
      <c r="C54" s="36" t="s">
        <v>169</v>
      </c>
      <c r="D54" s="91" t="s">
        <v>52</v>
      </c>
      <c r="E54" s="75">
        <v>2840</v>
      </c>
      <c r="F54" s="75">
        <v>3061</v>
      </c>
      <c r="G54" s="90">
        <f t="shared" si="12"/>
        <v>1.0778169014084507</v>
      </c>
      <c r="H54" s="75">
        <f t="shared" si="10"/>
        <v>83.53564217103434</v>
      </c>
      <c r="I54" s="34">
        <v>0</v>
      </c>
      <c r="J54" s="75">
        <f t="shared" si="11"/>
        <v>3061</v>
      </c>
      <c r="K54" s="115" t="s">
        <v>12</v>
      </c>
      <c r="L54" s="100" t="s">
        <v>12</v>
      </c>
      <c r="M54" s="100" t="s">
        <v>12</v>
      </c>
    </row>
    <row r="55" spans="1:11" s="2" customFormat="1" ht="19.5" customHeight="1">
      <c r="A55" s="37" t="s">
        <v>6</v>
      </c>
      <c r="B55" s="36">
        <v>3260</v>
      </c>
      <c r="C55" s="36" t="s">
        <v>146</v>
      </c>
      <c r="D55" s="91" t="s">
        <v>52</v>
      </c>
      <c r="E55" s="75">
        <v>8360</v>
      </c>
      <c r="F55" s="75">
        <v>8881</v>
      </c>
      <c r="G55" s="90">
        <f t="shared" si="12"/>
        <v>1.0623205741626793</v>
      </c>
      <c r="H55" s="75">
        <f t="shared" si="10"/>
        <v>242.3652525713675</v>
      </c>
      <c r="I55" s="34">
        <v>0</v>
      </c>
      <c r="J55" s="75">
        <f t="shared" si="11"/>
        <v>8881</v>
      </c>
      <c r="K55" s="113" t="s">
        <v>12</v>
      </c>
    </row>
    <row r="56" spans="1:11" s="2" customFormat="1" ht="19.5" customHeight="1">
      <c r="A56" s="37" t="s">
        <v>22</v>
      </c>
      <c r="B56" s="36">
        <v>600</v>
      </c>
      <c r="C56" s="36" t="s">
        <v>147</v>
      </c>
      <c r="D56" s="91" t="s">
        <v>52</v>
      </c>
      <c r="E56" s="75">
        <v>2770</v>
      </c>
      <c r="F56" s="75">
        <v>3025</v>
      </c>
      <c r="G56" s="90">
        <f t="shared" si="12"/>
        <v>1.092057761732852</v>
      </c>
      <c r="H56" s="75">
        <f t="shared" si="10"/>
        <v>82.55319097268176</v>
      </c>
      <c r="I56" s="34">
        <v>0</v>
      </c>
      <c r="J56" s="75">
        <f t="shared" si="11"/>
        <v>3025</v>
      </c>
      <c r="K56" s="113" t="s">
        <v>12</v>
      </c>
    </row>
    <row r="57" spans="1:11" s="2" customFormat="1" ht="19.5" customHeight="1">
      <c r="A57" s="37" t="s">
        <v>7</v>
      </c>
      <c r="B57" s="36">
        <v>3740</v>
      </c>
      <c r="C57" s="106">
        <v>5208</v>
      </c>
      <c r="D57" s="93">
        <f>C57/B57</f>
        <v>1.3925133689839573</v>
      </c>
      <c r="E57" s="75">
        <v>6520</v>
      </c>
      <c r="F57" s="75">
        <v>6729</v>
      </c>
      <c r="G57" s="90">
        <f t="shared" si="12"/>
        <v>1.0320552147239264</v>
      </c>
      <c r="H57" s="75">
        <f t="shared" si="10"/>
        <v>183.63650315873574</v>
      </c>
      <c r="I57" s="34">
        <v>0</v>
      </c>
      <c r="J57" s="75">
        <f t="shared" si="11"/>
        <v>6729</v>
      </c>
      <c r="K57" s="113" t="s">
        <v>12</v>
      </c>
    </row>
    <row r="58" spans="1:12" s="2" customFormat="1" ht="19.5" customHeight="1">
      <c r="A58" s="37" t="s">
        <v>33</v>
      </c>
      <c r="B58" s="36">
        <v>1310</v>
      </c>
      <c r="C58" s="104">
        <v>4336</v>
      </c>
      <c r="D58" s="93">
        <f>C58/B58</f>
        <v>3.3099236641221372</v>
      </c>
      <c r="E58" s="75">
        <f>6930+185</f>
        <v>7115</v>
      </c>
      <c r="F58" s="75">
        <f>7319+198</f>
        <v>7517</v>
      </c>
      <c r="G58" s="90">
        <f t="shared" si="12"/>
        <v>1.0565003513703444</v>
      </c>
      <c r="H58" s="75">
        <f t="shared" si="10"/>
        <v>205.14126827823102</v>
      </c>
      <c r="I58" s="34">
        <v>0</v>
      </c>
      <c r="J58" s="75">
        <f t="shared" si="11"/>
        <v>7517</v>
      </c>
      <c r="K58" s="113" t="s">
        <v>12</v>
      </c>
      <c r="L58" s="2" t="s">
        <v>12</v>
      </c>
    </row>
    <row r="59" spans="1:12" s="2" customFormat="1" ht="19.5" customHeight="1">
      <c r="A59" s="37" t="s">
        <v>8</v>
      </c>
      <c r="B59" s="36">
        <v>6080</v>
      </c>
      <c r="C59" s="106">
        <v>6700</v>
      </c>
      <c r="D59" s="94">
        <f>C59/B59</f>
        <v>1.1019736842105263</v>
      </c>
      <c r="E59" s="75">
        <v>10120</v>
      </c>
      <c r="F59" s="75">
        <v>10470</v>
      </c>
      <c r="G59" s="90">
        <f t="shared" si="12"/>
        <v>1.034584980237154</v>
      </c>
      <c r="H59" s="75">
        <f>$H$38*J59/$J$38</f>
        <v>285.72955685420766</v>
      </c>
      <c r="I59" s="34">
        <v>0</v>
      </c>
      <c r="J59" s="75">
        <f t="shared" si="11"/>
        <v>10470</v>
      </c>
      <c r="K59" s="113" t="s">
        <v>12</v>
      </c>
      <c r="L59" s="2" t="s">
        <v>12</v>
      </c>
    </row>
    <row r="60" spans="1:11" s="2" customFormat="1" ht="19.5" customHeight="1">
      <c r="A60" s="37" t="s">
        <v>45</v>
      </c>
      <c r="B60" s="36">
        <v>2370</v>
      </c>
      <c r="C60" s="106">
        <v>2795</v>
      </c>
      <c r="D60" s="94">
        <f>C60/B60</f>
        <v>1.1793248945147679</v>
      </c>
      <c r="E60" s="75" t="s">
        <v>24</v>
      </c>
      <c r="F60" s="75">
        <f>F59*0.485</f>
        <v>5077.95</v>
      </c>
      <c r="G60" s="90" t="s">
        <v>24</v>
      </c>
      <c r="H60" s="75">
        <f t="shared" si="10"/>
        <v>138.5788350742907</v>
      </c>
      <c r="I60" s="34">
        <v>0</v>
      </c>
      <c r="J60" s="75">
        <f t="shared" si="11"/>
        <v>5077.95</v>
      </c>
      <c r="K60" s="113" t="s">
        <v>12</v>
      </c>
    </row>
    <row r="61" spans="1:11" s="2" customFormat="1" ht="19.5" customHeight="1">
      <c r="A61" s="37" t="s">
        <v>40</v>
      </c>
      <c r="B61" s="36" t="s">
        <v>24</v>
      </c>
      <c r="C61" s="36" t="s">
        <v>24</v>
      </c>
      <c r="D61" s="91" t="s">
        <v>24</v>
      </c>
      <c r="E61" s="75">
        <v>400</v>
      </c>
      <c r="F61" s="75">
        <v>413</v>
      </c>
      <c r="G61" s="90">
        <f>F61/E61</f>
        <v>1.0325</v>
      </c>
      <c r="H61" s="75">
        <f t="shared" si="10"/>
        <v>11.270898469989278</v>
      </c>
      <c r="I61" s="34">
        <v>0</v>
      </c>
      <c r="J61" s="75">
        <f t="shared" si="11"/>
        <v>413</v>
      </c>
      <c r="K61" s="113" t="s">
        <v>12</v>
      </c>
    </row>
    <row r="62" spans="1:11" s="2" customFormat="1" ht="19.5" customHeight="1">
      <c r="A62" s="37" t="s">
        <v>16</v>
      </c>
      <c r="B62" s="36">
        <v>6140</v>
      </c>
      <c r="C62" s="106">
        <v>9315</v>
      </c>
      <c r="D62" s="94">
        <f>C62/B62</f>
        <v>1.517100977198697</v>
      </c>
      <c r="E62" s="75" t="s">
        <v>24</v>
      </c>
      <c r="F62" s="75">
        <f>F39+F50+F53+F55+F59+F61</f>
        <v>33067</v>
      </c>
      <c r="G62" s="92" t="s">
        <v>24</v>
      </c>
      <c r="H62" s="75">
        <f>H39+H50+H53+H55+H59+H61</f>
        <v>902.4087159979068</v>
      </c>
      <c r="I62" s="75">
        <f>I39+I50+I53+I55+I59+I61</f>
        <v>0</v>
      </c>
      <c r="J62" s="158" t="s">
        <v>92</v>
      </c>
      <c r="K62" s="113" t="s">
        <v>12</v>
      </c>
    </row>
    <row r="63" spans="1:11" s="2" customFormat="1" ht="19.5" customHeight="1">
      <c r="A63" s="37" t="s">
        <v>14</v>
      </c>
      <c r="B63" s="36">
        <v>6140</v>
      </c>
      <c r="C63" s="106">
        <v>8029</v>
      </c>
      <c r="D63" s="94">
        <f>C63/B63</f>
        <v>1.307654723127036</v>
      </c>
      <c r="E63" s="75" t="s">
        <v>24</v>
      </c>
      <c r="F63" s="75">
        <f>F44+F57</f>
        <v>14220</v>
      </c>
      <c r="G63" s="92" t="s">
        <v>24</v>
      </c>
      <c r="H63" s="75">
        <f>H44+H57</f>
        <v>388.06822334926767</v>
      </c>
      <c r="I63" s="75">
        <f>I44+I57</f>
        <v>0</v>
      </c>
      <c r="J63" s="159"/>
      <c r="K63" s="113" t="s">
        <v>12</v>
      </c>
    </row>
    <row r="64" spans="1:11" s="2" customFormat="1" ht="19.5" customHeight="1">
      <c r="A64" s="68" t="s">
        <v>15</v>
      </c>
      <c r="B64" s="105">
        <v>-5010</v>
      </c>
      <c r="C64" s="36" t="s">
        <v>118</v>
      </c>
      <c r="D64" s="91" t="s">
        <v>118</v>
      </c>
      <c r="E64" s="75" t="s">
        <v>24</v>
      </c>
      <c r="F64" s="75">
        <f>F54+F56+F58</f>
        <v>13603</v>
      </c>
      <c r="G64" s="92" t="s">
        <v>24</v>
      </c>
      <c r="H64" s="75">
        <f>H54+H56+H58</f>
        <v>371.2301014219471</v>
      </c>
      <c r="I64" s="75">
        <f>I54+I56+I58</f>
        <v>0</v>
      </c>
      <c r="J64" s="159"/>
      <c r="K64" s="113" t="s">
        <v>12</v>
      </c>
    </row>
    <row r="65" spans="1:11" s="2" customFormat="1" ht="19.5" customHeight="1">
      <c r="A65" s="37" t="s">
        <v>17</v>
      </c>
      <c r="B65" s="36">
        <v>4690</v>
      </c>
      <c r="C65" s="106">
        <v>7261</v>
      </c>
      <c r="D65" s="94">
        <f>C65/B65</f>
        <v>1.5481876332622602</v>
      </c>
      <c r="E65" s="75" t="s">
        <v>24</v>
      </c>
      <c r="F65" s="75">
        <f>F62+F63+F64</f>
        <v>60890</v>
      </c>
      <c r="G65" s="92" t="s">
        <v>24</v>
      </c>
      <c r="H65" s="75">
        <f>H62+H63+H64</f>
        <v>1661.7070407691217</v>
      </c>
      <c r="I65" s="75">
        <f>I62+I63+I64</f>
        <v>0</v>
      </c>
      <c r="J65" s="159"/>
      <c r="K65" s="113" t="s">
        <v>12</v>
      </c>
    </row>
    <row r="66" spans="1:11" s="2" customFormat="1" ht="19.5" customHeight="1">
      <c r="A66" s="68" t="s">
        <v>34</v>
      </c>
      <c r="B66" s="105">
        <v>8210</v>
      </c>
      <c r="C66" s="36" t="s">
        <v>148</v>
      </c>
      <c r="D66" s="91" t="s">
        <v>52</v>
      </c>
      <c r="E66" s="75" t="s">
        <v>24</v>
      </c>
      <c r="F66" s="75">
        <f>F40+F41+F42+F45+F46+F47+F48+F52</f>
        <v>82849.8</v>
      </c>
      <c r="G66" s="92" t="s">
        <v>24</v>
      </c>
      <c r="H66" s="75">
        <f>H40+H41+H42+H45+H46+H47+H48+H52</f>
        <v>2260.99681370198</v>
      </c>
      <c r="I66" s="75">
        <f>I40+I41+I42+I45+I46+I47+I48</f>
        <v>0</v>
      </c>
      <c r="J66" s="160"/>
      <c r="K66" s="113" t="s">
        <v>12</v>
      </c>
    </row>
    <row r="67" spans="1:11" s="2" customFormat="1" ht="19.5" customHeight="1">
      <c r="A67" s="176" t="s">
        <v>203</v>
      </c>
      <c r="B67" s="176"/>
      <c r="C67" s="176"/>
      <c r="D67" s="176"/>
      <c r="E67" s="176"/>
      <c r="F67" s="176"/>
      <c r="G67" s="176"/>
      <c r="H67" s="176"/>
      <c r="I67" s="177"/>
      <c r="J67" s="177"/>
      <c r="K67" s="113"/>
    </row>
    <row r="68" spans="1:11" s="2" customFormat="1" ht="19.5" customHeight="1">
      <c r="A68" s="144"/>
      <c r="B68" s="144"/>
      <c r="C68" s="144"/>
      <c r="D68" s="144"/>
      <c r="E68" s="144"/>
      <c r="F68" s="144"/>
      <c r="G68" s="144"/>
      <c r="H68" s="144"/>
      <c r="I68" s="145"/>
      <c r="J68" s="145"/>
      <c r="K68" s="113"/>
    </row>
    <row r="69" spans="1:10" ht="19.5" customHeight="1">
      <c r="A69" s="178" t="s">
        <v>106</v>
      </c>
      <c r="B69" s="179"/>
      <c r="C69" s="179"/>
      <c r="D69" s="179"/>
      <c r="E69" s="179"/>
      <c r="F69" s="179"/>
      <c r="G69" s="179"/>
      <c r="H69" s="179"/>
      <c r="I69" s="179"/>
      <c r="J69" s="180"/>
    </row>
    <row r="70" spans="1:10" ht="19.5" customHeight="1">
      <c r="A70" s="66" t="s">
        <v>170</v>
      </c>
      <c r="B70" s="185" t="s">
        <v>112</v>
      </c>
      <c r="C70" s="185"/>
      <c r="D70" s="185"/>
      <c r="E70" s="185"/>
      <c r="F70" s="185"/>
      <c r="G70" s="185"/>
      <c r="H70" s="186"/>
      <c r="I70" s="186"/>
      <c r="J70" s="186"/>
    </row>
    <row r="71" spans="1:10" ht="19.5" customHeight="1">
      <c r="A71" s="37" t="s">
        <v>17</v>
      </c>
      <c r="B71" s="148" t="s">
        <v>157</v>
      </c>
      <c r="C71" s="148"/>
      <c r="D71" s="148"/>
      <c r="E71" s="148"/>
      <c r="F71" s="148"/>
      <c r="G71" s="148"/>
      <c r="H71" s="148"/>
      <c r="I71" s="149"/>
      <c r="J71" s="149"/>
    </row>
    <row r="72" spans="1:10" ht="19.5" customHeight="1">
      <c r="A72" s="37" t="s">
        <v>16</v>
      </c>
      <c r="B72" s="148" t="s">
        <v>151</v>
      </c>
      <c r="C72" s="148"/>
      <c r="D72" s="148"/>
      <c r="E72" s="148"/>
      <c r="F72" s="148"/>
      <c r="G72" s="148"/>
      <c r="H72" s="148"/>
      <c r="I72" s="149"/>
      <c r="J72" s="149"/>
    </row>
    <row r="73" spans="1:10" ht="19.5" customHeight="1">
      <c r="A73" s="37" t="s">
        <v>14</v>
      </c>
      <c r="B73" s="148" t="s">
        <v>152</v>
      </c>
      <c r="C73" s="148"/>
      <c r="D73" s="148"/>
      <c r="E73" s="148"/>
      <c r="F73" s="148"/>
      <c r="G73" s="148"/>
      <c r="H73" s="148"/>
      <c r="I73" s="149"/>
      <c r="J73" s="149"/>
    </row>
    <row r="74" spans="1:10" ht="19.5" customHeight="1">
      <c r="A74" s="37" t="s">
        <v>8</v>
      </c>
      <c r="B74" s="148" t="s">
        <v>160</v>
      </c>
      <c r="C74" s="148"/>
      <c r="D74" s="148"/>
      <c r="E74" s="148"/>
      <c r="F74" s="148"/>
      <c r="G74" s="148"/>
      <c r="H74" s="148"/>
      <c r="I74" s="149"/>
      <c r="J74" s="149"/>
    </row>
    <row r="75" spans="1:12" ht="19.5" customHeight="1">
      <c r="A75" s="37" t="s">
        <v>108</v>
      </c>
      <c r="B75" s="148" t="s">
        <v>160</v>
      </c>
      <c r="C75" s="148"/>
      <c r="D75" s="148"/>
      <c r="E75" s="148"/>
      <c r="F75" s="148"/>
      <c r="G75" s="148"/>
      <c r="H75" s="148"/>
      <c r="I75" s="149"/>
      <c r="J75" s="149"/>
      <c r="L75" s="4" t="s">
        <v>12</v>
      </c>
    </row>
    <row r="76" spans="1:10" ht="19.5" customHeight="1">
      <c r="A76" s="37" t="s">
        <v>23</v>
      </c>
      <c r="B76" s="148" t="s">
        <v>153</v>
      </c>
      <c r="C76" s="148"/>
      <c r="D76" s="148"/>
      <c r="E76" s="148"/>
      <c r="F76" s="148"/>
      <c r="G76" s="148"/>
      <c r="H76" s="148"/>
      <c r="I76" s="149"/>
      <c r="J76" s="149"/>
    </row>
    <row r="77" spans="1:10" ht="19.5" customHeight="1">
      <c r="A77" s="37" t="s">
        <v>7</v>
      </c>
      <c r="B77" s="148" t="s">
        <v>152</v>
      </c>
      <c r="C77" s="148"/>
      <c r="D77" s="148"/>
      <c r="E77" s="148"/>
      <c r="F77" s="148"/>
      <c r="G77" s="148"/>
      <c r="H77" s="148"/>
      <c r="I77" s="149"/>
      <c r="J77" s="149"/>
    </row>
    <row r="78" spans="1:10" ht="19.5" customHeight="1">
      <c r="A78" s="68" t="s">
        <v>54</v>
      </c>
      <c r="B78" s="148" t="s">
        <v>154</v>
      </c>
      <c r="C78" s="148"/>
      <c r="D78" s="148"/>
      <c r="E78" s="148"/>
      <c r="F78" s="148"/>
      <c r="G78" s="148"/>
      <c r="H78" s="148"/>
      <c r="I78" s="149"/>
      <c r="J78" s="149"/>
    </row>
    <row r="79" spans="1:10" ht="19.5" customHeight="1">
      <c r="A79" s="68" t="s">
        <v>109</v>
      </c>
      <c r="B79" s="148" t="s">
        <v>154</v>
      </c>
      <c r="C79" s="148"/>
      <c r="D79" s="148"/>
      <c r="E79" s="148"/>
      <c r="F79" s="148"/>
      <c r="G79" s="148"/>
      <c r="H79" s="148"/>
      <c r="I79" s="149"/>
      <c r="J79" s="149"/>
    </row>
    <row r="80" spans="1:10" ht="19.5" customHeight="1">
      <c r="A80" s="68" t="s">
        <v>18</v>
      </c>
      <c r="B80" s="182" t="s">
        <v>161</v>
      </c>
      <c r="C80" s="183"/>
      <c r="D80" s="183"/>
      <c r="E80" s="183"/>
      <c r="F80" s="183"/>
      <c r="G80" s="183"/>
      <c r="H80" s="183"/>
      <c r="I80" s="183"/>
      <c r="J80" s="184"/>
    </row>
    <row r="81" spans="1:10" ht="19.5" customHeight="1">
      <c r="A81" s="68" t="s">
        <v>3</v>
      </c>
      <c r="B81" s="148" t="s">
        <v>155</v>
      </c>
      <c r="C81" s="148"/>
      <c r="D81" s="148"/>
      <c r="E81" s="148"/>
      <c r="F81" s="148"/>
      <c r="G81" s="148"/>
      <c r="H81" s="148"/>
      <c r="I81" s="149"/>
      <c r="J81" s="149"/>
    </row>
    <row r="82" spans="1:10" ht="19.5" customHeight="1">
      <c r="A82" s="68" t="s">
        <v>158</v>
      </c>
      <c r="B82" s="148" t="s">
        <v>162</v>
      </c>
      <c r="C82" s="148"/>
      <c r="D82" s="148"/>
      <c r="E82" s="148"/>
      <c r="F82" s="148"/>
      <c r="G82" s="148"/>
      <c r="H82" s="148"/>
      <c r="I82" s="149"/>
      <c r="J82" s="149"/>
    </row>
    <row r="83" ht="15">
      <c r="A83" s="114" t="s">
        <v>12</v>
      </c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/>
      <c r="C89"/>
      <c r="D89"/>
      <c r="E89"/>
      <c r="F89"/>
      <c r="G89"/>
    </row>
  </sheetData>
  <sheetProtection/>
  <mergeCells count="31">
    <mergeCell ref="B75:J75"/>
    <mergeCell ref="B72:J72"/>
    <mergeCell ref="B78:J78"/>
    <mergeCell ref="A69:J69"/>
    <mergeCell ref="B82:J82"/>
    <mergeCell ref="C10:H10"/>
    <mergeCell ref="B80:J80"/>
    <mergeCell ref="B81:J81"/>
    <mergeCell ref="B70:J70"/>
    <mergeCell ref="B77:J77"/>
    <mergeCell ref="B74:J74"/>
    <mergeCell ref="C4:H4"/>
    <mergeCell ref="C5:H5"/>
    <mergeCell ref="C6:H6"/>
    <mergeCell ref="C7:H7"/>
    <mergeCell ref="B73:J73"/>
    <mergeCell ref="C9:H9"/>
    <mergeCell ref="C8:H8"/>
    <mergeCell ref="A36:J36"/>
    <mergeCell ref="B71:J71"/>
    <mergeCell ref="A67:J67"/>
    <mergeCell ref="B79:J79"/>
    <mergeCell ref="C11:N11"/>
    <mergeCell ref="A21:N21"/>
    <mergeCell ref="A32:N32"/>
    <mergeCell ref="A1:F1"/>
    <mergeCell ref="J62:J66"/>
    <mergeCell ref="B76:J76"/>
    <mergeCell ref="A34:J34"/>
    <mergeCell ref="A35:J35"/>
    <mergeCell ref="C3:H3"/>
  </mergeCells>
  <printOptions gridLines="1" horizontalCentered="1" verticalCentered="1"/>
  <pageMargins left="0.45" right="0.45" top="0.5" bottom="0.5" header="0.3" footer="0.3"/>
  <pageSetup fitToHeight="1" fitToWidth="1" horizontalDpi="600" verticalDpi="600" orientation="portrait" scale="31" r:id="rId1"/>
  <rowBreaks count="1" manualBreakCount="1">
    <brk id="35" max="255" man="1"/>
  </rowBreaks>
  <colBreaks count="1" manualBreakCount="1">
    <brk id="7" max="84" man="1"/>
  </colBreaks>
  <ignoredErrors>
    <ignoredError sqref="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9">
      <selection activeCell="A29" sqref="A29"/>
    </sheetView>
  </sheetViews>
  <sheetFormatPr defaultColWidth="9.140625" defaultRowHeight="12.75"/>
  <cols>
    <col min="1" max="1" width="65.7109375" style="0" customWidth="1"/>
    <col min="2" max="2" width="21.7109375" style="0" customWidth="1"/>
    <col min="3" max="8" width="18.7109375" style="0" customWidth="1"/>
    <col min="9" max="9" width="15.140625" style="0" bestFit="1" customWidth="1"/>
    <col min="10" max="10" width="40.7109375" style="0" customWidth="1"/>
  </cols>
  <sheetData>
    <row r="1" spans="1:7" ht="19.5" customHeight="1">
      <c r="A1" s="191" t="s">
        <v>131</v>
      </c>
      <c r="B1" s="191"/>
      <c r="C1" s="191"/>
      <c r="D1" s="11" t="s">
        <v>12</v>
      </c>
      <c r="E1" s="16" t="s">
        <v>12</v>
      </c>
      <c r="F1" s="12"/>
      <c r="G1" s="12"/>
    </row>
    <row r="2" spans="1:7" ht="19.5" customHeight="1">
      <c r="A2" s="192" t="s">
        <v>12</v>
      </c>
      <c r="B2" s="192"/>
      <c r="C2" s="192"/>
      <c r="D2" s="192"/>
      <c r="E2" s="192"/>
      <c r="F2" s="12"/>
      <c r="G2" s="12"/>
    </row>
    <row r="3" spans="1:7" ht="24.75" customHeight="1">
      <c r="A3" s="170" t="s">
        <v>76</v>
      </c>
      <c r="B3" s="170"/>
      <c r="C3" s="82" t="s">
        <v>12</v>
      </c>
      <c r="D3" s="10" t="s">
        <v>12</v>
      </c>
      <c r="E3" s="12"/>
      <c r="F3" s="12"/>
      <c r="G3" s="12"/>
    </row>
    <row r="4" spans="1:7" ht="24.75" customHeight="1">
      <c r="A4" s="193" t="s">
        <v>56</v>
      </c>
      <c r="B4" s="194"/>
      <c r="C4" s="14" t="s">
        <v>12</v>
      </c>
      <c r="D4" s="10"/>
      <c r="E4" s="12"/>
      <c r="F4" s="12"/>
      <c r="G4" s="12"/>
    </row>
    <row r="5" spans="1:7" ht="24.75" customHeight="1">
      <c r="A5" s="29" t="s">
        <v>130</v>
      </c>
      <c r="B5" s="30">
        <f>'2017-2018 Parameters'!B5</f>
        <v>0.0565</v>
      </c>
      <c r="C5" s="13" t="s">
        <v>12</v>
      </c>
      <c r="D5" s="10" t="s">
        <v>12</v>
      </c>
      <c r="E5" s="12"/>
      <c r="F5" s="12"/>
      <c r="G5" s="12"/>
    </row>
    <row r="6" spans="1:7" ht="24.75" customHeight="1">
      <c r="A6" s="193"/>
      <c r="B6" s="196"/>
      <c r="C6" s="13"/>
      <c r="D6" s="10"/>
      <c r="E6" s="12"/>
      <c r="F6" s="12"/>
      <c r="G6" s="12"/>
    </row>
    <row r="7" spans="1:7" ht="24.75" customHeight="1">
      <c r="A7" s="187" t="s">
        <v>69</v>
      </c>
      <c r="B7" s="188"/>
      <c r="C7" s="13"/>
      <c r="D7" s="10"/>
      <c r="E7" s="12"/>
      <c r="F7" s="12"/>
      <c r="G7" s="12"/>
    </row>
    <row r="8" spans="1:7" ht="24.75" customHeight="1">
      <c r="A8" s="187" t="s">
        <v>70</v>
      </c>
      <c r="B8" s="188"/>
      <c r="C8" s="13"/>
      <c r="D8" s="10"/>
      <c r="E8" s="12"/>
      <c r="F8" s="12"/>
      <c r="G8" s="12"/>
    </row>
    <row r="9" spans="1:7" ht="24.75" customHeight="1">
      <c r="A9" s="189" t="s">
        <v>110</v>
      </c>
      <c r="B9" s="190"/>
      <c r="C9" s="13"/>
      <c r="D9" s="10"/>
      <c r="E9" s="12"/>
      <c r="F9" s="12"/>
      <c r="G9" s="12"/>
    </row>
    <row r="10" spans="1:9" ht="24.75" customHeight="1">
      <c r="A10" s="187" t="s">
        <v>71</v>
      </c>
      <c r="B10" s="188"/>
      <c r="C10" s="13"/>
      <c r="D10" s="10"/>
      <c r="E10" s="12"/>
      <c r="F10" s="12"/>
      <c r="G10" s="12"/>
      <c r="I10" s="88" t="s">
        <v>12</v>
      </c>
    </row>
    <row r="11" spans="1:9" ht="24.75" customHeight="1">
      <c r="A11" s="189" t="s">
        <v>72</v>
      </c>
      <c r="B11" s="190"/>
      <c r="C11" s="13"/>
      <c r="D11" s="10"/>
      <c r="E11" s="12"/>
      <c r="F11" s="12"/>
      <c r="G11" s="12"/>
      <c r="I11" t="s">
        <v>12</v>
      </c>
    </row>
    <row r="12" spans="1:7" ht="24.75" customHeight="1">
      <c r="A12" s="170" t="s">
        <v>99</v>
      </c>
      <c r="B12" s="170"/>
      <c r="C12" s="13"/>
      <c r="D12" s="56" t="s">
        <v>12</v>
      </c>
      <c r="E12" s="12"/>
      <c r="F12" s="12"/>
      <c r="G12" s="12"/>
    </row>
    <row r="13" spans="1:7" ht="19.5" customHeight="1">
      <c r="A13" s="9"/>
      <c r="B13" s="15"/>
      <c r="C13" s="10"/>
      <c r="D13" s="10"/>
      <c r="E13" s="12"/>
      <c r="F13" s="12"/>
      <c r="G13" s="12"/>
    </row>
    <row r="14" spans="1:10" ht="34.5" customHeight="1">
      <c r="A14" s="17"/>
      <c r="B14" s="22" t="s">
        <v>57</v>
      </c>
      <c r="C14" s="22" t="s">
        <v>58</v>
      </c>
      <c r="D14" s="22" t="s">
        <v>59</v>
      </c>
      <c r="E14" s="22" t="s">
        <v>60</v>
      </c>
      <c r="F14" s="22" t="s">
        <v>61</v>
      </c>
      <c r="G14" s="22" t="s">
        <v>91</v>
      </c>
      <c r="H14" s="22" t="s">
        <v>13</v>
      </c>
      <c r="J14" s="24" t="s">
        <v>12</v>
      </c>
    </row>
    <row r="15" spans="1:8" ht="34.5" customHeight="1">
      <c r="A15" s="18" t="s">
        <v>127</v>
      </c>
      <c r="B15" s="19">
        <v>152460</v>
      </c>
      <c r="C15" s="19">
        <v>142223.4</v>
      </c>
      <c r="D15" s="19">
        <v>139485</v>
      </c>
      <c r="E15" s="19">
        <v>146470.5</v>
      </c>
      <c r="F15" s="19">
        <v>124919.5</v>
      </c>
      <c r="G15" s="19">
        <f>C15</f>
        <v>142223.4</v>
      </c>
      <c r="H15" s="19">
        <v>139392</v>
      </c>
    </row>
    <row r="16" spans="1:10" ht="24.75" customHeight="1">
      <c r="A16" s="18" t="s">
        <v>128</v>
      </c>
      <c r="B16" s="20">
        <v>0.029</v>
      </c>
      <c r="C16" s="20">
        <v>0.029</v>
      </c>
      <c r="D16" s="20">
        <v>0.03</v>
      </c>
      <c r="E16" s="20">
        <v>0.029</v>
      </c>
      <c r="F16" s="20">
        <v>0.029</v>
      </c>
      <c r="G16" s="20">
        <f>C16</f>
        <v>0.029</v>
      </c>
      <c r="H16" s="20">
        <f>C16</f>
        <v>0.029</v>
      </c>
      <c r="I16" s="78" t="s">
        <v>12</v>
      </c>
      <c r="J16" s="23" t="s">
        <v>12</v>
      </c>
    </row>
    <row r="17" spans="1:8" ht="24.75" customHeight="1">
      <c r="A17" s="18" t="s">
        <v>93</v>
      </c>
      <c r="B17" s="19" t="s">
        <v>73</v>
      </c>
      <c r="C17" s="19" t="s">
        <v>73</v>
      </c>
      <c r="D17" s="19" t="s">
        <v>74</v>
      </c>
      <c r="E17" s="19" t="s">
        <v>73</v>
      </c>
      <c r="F17" s="19" t="s">
        <v>75</v>
      </c>
      <c r="G17" s="19" t="s">
        <v>73</v>
      </c>
      <c r="H17" s="19" t="s">
        <v>73</v>
      </c>
    </row>
    <row r="18" spans="1:8" ht="34.5" customHeight="1">
      <c r="A18" s="18" t="s">
        <v>129</v>
      </c>
      <c r="B18" s="19">
        <f aca="true" t="shared" si="0" ref="B18:H18">B15+B15*B16</f>
        <v>156881.34</v>
      </c>
      <c r="C18" s="19">
        <f t="shared" si="0"/>
        <v>146347.8786</v>
      </c>
      <c r="D18" s="19">
        <f t="shared" si="0"/>
        <v>143669.55</v>
      </c>
      <c r="E18" s="19">
        <f t="shared" si="0"/>
        <v>150718.1445</v>
      </c>
      <c r="F18" s="19">
        <f t="shared" si="0"/>
        <v>128542.1655</v>
      </c>
      <c r="G18" s="19">
        <f t="shared" si="0"/>
        <v>146347.8786</v>
      </c>
      <c r="H18" s="19">
        <f t="shared" si="0"/>
        <v>143434.368</v>
      </c>
    </row>
    <row r="19" spans="1:8" ht="24.75" customHeight="1">
      <c r="A19" s="21" t="s">
        <v>136</v>
      </c>
      <c r="B19" s="8">
        <f>ROUND(B18/(365*(1-$B$5)),2)</f>
        <v>455.55</v>
      </c>
      <c r="C19" s="8">
        <f aca="true" t="shared" si="1" ref="C19:H19">ROUND(C18/(365*(1-$B$5)),2)</f>
        <v>424.96</v>
      </c>
      <c r="D19" s="8">
        <f t="shared" si="1"/>
        <v>417.19</v>
      </c>
      <c r="E19" s="8">
        <f t="shared" si="1"/>
        <v>437.65</v>
      </c>
      <c r="F19" s="8">
        <f t="shared" si="1"/>
        <v>373.26</v>
      </c>
      <c r="G19" s="8">
        <f t="shared" si="1"/>
        <v>424.96</v>
      </c>
      <c r="H19" s="8">
        <f t="shared" si="1"/>
        <v>416.5</v>
      </c>
    </row>
    <row r="20" spans="1:10" ht="24.75" customHeight="1">
      <c r="A20" s="18" t="s">
        <v>132</v>
      </c>
      <c r="B20" s="85">
        <v>28686</v>
      </c>
      <c r="C20" s="85">
        <v>36360</v>
      </c>
      <c r="D20" s="85">
        <v>12761</v>
      </c>
      <c r="E20" s="85">
        <v>26452</v>
      </c>
      <c r="F20" s="85">
        <v>26492</v>
      </c>
      <c r="G20" s="85">
        <f>C20</f>
        <v>36360</v>
      </c>
      <c r="H20" s="85">
        <v>20224</v>
      </c>
      <c r="I20" s="41" t="s">
        <v>12</v>
      </c>
      <c r="J20" s="40" t="s">
        <v>12</v>
      </c>
    </row>
    <row r="21" spans="1:8" ht="30" customHeight="1">
      <c r="A21" s="18" t="s">
        <v>100</v>
      </c>
      <c r="B21" s="6" t="s">
        <v>80</v>
      </c>
      <c r="C21" s="6" t="s">
        <v>63</v>
      </c>
      <c r="D21" s="6" t="s">
        <v>64</v>
      </c>
      <c r="E21" s="6" t="s">
        <v>65</v>
      </c>
      <c r="F21" s="6" t="s">
        <v>66</v>
      </c>
      <c r="G21" s="6" t="s">
        <v>63</v>
      </c>
      <c r="H21" s="6" t="s">
        <v>101</v>
      </c>
    </row>
    <row r="22" spans="1:8" ht="24.75" customHeight="1">
      <c r="A22" s="18" t="s">
        <v>62</v>
      </c>
      <c r="B22" s="6">
        <v>2199</v>
      </c>
      <c r="C22" s="6">
        <v>2199</v>
      </c>
      <c r="D22" s="6">
        <v>2199</v>
      </c>
      <c r="E22" s="6">
        <v>2199</v>
      </c>
      <c r="F22" s="6">
        <v>2199</v>
      </c>
      <c r="G22" s="6">
        <f>C22</f>
        <v>2199</v>
      </c>
      <c r="H22" s="6">
        <f>D22</f>
        <v>2199</v>
      </c>
    </row>
    <row r="23" spans="1:8" ht="24.75" customHeight="1">
      <c r="A23" s="146" t="s">
        <v>67</v>
      </c>
      <c r="B23" s="7">
        <f aca="true" t="shared" si="2" ref="B23:H23">(B18-B20-B22)/365</f>
        <v>345.1954520547945</v>
      </c>
      <c r="C23" s="7">
        <f t="shared" si="2"/>
        <v>295.3119961643836</v>
      </c>
      <c r="D23" s="147">
        <f t="shared" si="2"/>
        <v>352.62890410958903</v>
      </c>
      <c r="E23" s="7">
        <f t="shared" si="2"/>
        <v>334.43053287671233</v>
      </c>
      <c r="F23" s="7">
        <f t="shared" si="2"/>
        <v>273.5648369863014</v>
      </c>
      <c r="G23" s="7">
        <f t="shared" si="2"/>
        <v>295.3119961643836</v>
      </c>
      <c r="H23" s="7">
        <f t="shared" si="2"/>
        <v>331.5379945205479</v>
      </c>
    </row>
    <row r="24" spans="1:10" ht="24.75" customHeight="1">
      <c r="A24" s="205" t="s">
        <v>68</v>
      </c>
      <c r="B24" s="206">
        <f>ROUND(B23/(1-$B$5),2)</f>
        <v>365.87</v>
      </c>
      <c r="C24" s="206">
        <f aca="true" t="shared" si="3" ref="C24:H24">ROUND(C23/(1-$B$5),2)</f>
        <v>313</v>
      </c>
      <c r="D24" s="206">
        <f t="shared" si="3"/>
        <v>373.75</v>
      </c>
      <c r="E24" s="7">
        <f t="shared" si="3"/>
        <v>354.46</v>
      </c>
      <c r="F24" s="7">
        <f t="shared" si="3"/>
        <v>289.95</v>
      </c>
      <c r="G24" s="7">
        <f t="shared" si="3"/>
        <v>313</v>
      </c>
      <c r="H24" s="7">
        <f t="shared" si="3"/>
        <v>351.39</v>
      </c>
      <c r="I24" s="58" t="s">
        <v>12</v>
      </c>
      <c r="J24" s="28" t="s">
        <v>12</v>
      </c>
    </row>
    <row r="25" spans="1:8" ht="19.5" customHeight="1">
      <c r="A25" s="18" t="s">
        <v>137</v>
      </c>
      <c r="B25" s="7">
        <f>MAX(B19,1.5*B24)</f>
        <v>548.8050000000001</v>
      </c>
      <c r="C25" s="7">
        <f aca="true" t="shared" si="4" ref="C25:H25">MAX(C19,1.5*C24)</f>
        <v>469.5</v>
      </c>
      <c r="D25" s="7">
        <f t="shared" si="4"/>
        <v>560.625</v>
      </c>
      <c r="E25" s="7">
        <f t="shared" si="4"/>
        <v>531.6899999999999</v>
      </c>
      <c r="F25" s="7">
        <f t="shared" si="4"/>
        <v>434.92499999999995</v>
      </c>
      <c r="G25" s="7">
        <f t="shared" si="4"/>
        <v>469.5</v>
      </c>
      <c r="H25" s="7">
        <f t="shared" si="4"/>
        <v>527.085</v>
      </c>
    </row>
    <row r="26" spans="1:2" ht="19.5" customHeight="1">
      <c r="A26" s="195" t="s">
        <v>138</v>
      </c>
      <c r="B26" s="195"/>
    </row>
  </sheetData>
  <sheetProtection/>
  <mergeCells count="12">
    <mergeCell ref="A10:B10"/>
    <mergeCell ref="A26:B26"/>
    <mergeCell ref="A11:B11"/>
    <mergeCell ref="A12:B12"/>
    <mergeCell ref="A6:B6"/>
    <mergeCell ref="A7:B7"/>
    <mergeCell ref="A8:B8"/>
    <mergeCell ref="A9:B9"/>
    <mergeCell ref="A1:C1"/>
    <mergeCell ref="A2:E2"/>
    <mergeCell ref="A4:B4"/>
    <mergeCell ref="A3:B3"/>
  </mergeCells>
  <printOptions/>
  <pageMargins left="0.45" right="0.45" top="0.5" bottom="0.5" header="0.3" footer="0.3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="130" zoomScaleNormal="130" zoomScalePageLayoutView="0" workbookViewId="0" topLeftCell="A1">
      <selection activeCell="A1" sqref="A1:C1"/>
    </sheetView>
  </sheetViews>
  <sheetFormatPr defaultColWidth="9.140625" defaultRowHeight="12.75"/>
  <cols>
    <col min="1" max="1" width="12.7109375" style="0" customWidth="1"/>
    <col min="2" max="2" width="100.7109375" style="0" customWidth="1"/>
    <col min="3" max="3" width="15.7109375" style="0" customWidth="1"/>
  </cols>
  <sheetData>
    <row r="1" spans="1:3" ht="19.5" customHeight="1" thickBot="1">
      <c r="A1" s="197" t="s">
        <v>173</v>
      </c>
      <c r="B1" s="197"/>
      <c r="C1" s="197"/>
    </row>
    <row r="2" spans="1:3" ht="30.75" customHeight="1" thickBot="1">
      <c r="A2" s="79" t="s">
        <v>77</v>
      </c>
      <c r="B2" s="80" t="s">
        <v>78</v>
      </c>
      <c r="C2" s="137" t="s">
        <v>79</v>
      </c>
    </row>
    <row r="3" spans="1:3" ht="19.5" customHeight="1" thickBot="1">
      <c r="A3" s="138" t="s">
        <v>113</v>
      </c>
      <c r="B3" s="139" t="s">
        <v>114</v>
      </c>
      <c r="C3" s="140" t="s">
        <v>3</v>
      </c>
    </row>
    <row r="4" spans="1:3" ht="30" customHeight="1" thickBot="1">
      <c r="A4" s="138" t="s">
        <v>115</v>
      </c>
      <c r="B4" s="139" t="s">
        <v>116</v>
      </c>
      <c r="C4" s="140" t="s">
        <v>3</v>
      </c>
    </row>
    <row r="5" spans="1:3" ht="19.5" customHeight="1" thickBot="1">
      <c r="A5" s="138" t="s">
        <v>103</v>
      </c>
      <c r="B5" s="139" t="s">
        <v>104</v>
      </c>
      <c r="C5" s="140" t="s">
        <v>3</v>
      </c>
    </row>
    <row r="6" spans="1:3" ht="19.5" customHeight="1" thickBot="1">
      <c r="A6" s="138" t="s">
        <v>174</v>
      </c>
      <c r="B6" s="139" t="s">
        <v>175</v>
      </c>
      <c r="C6" s="140" t="s">
        <v>3</v>
      </c>
    </row>
    <row r="7" spans="1:3" ht="19.5" customHeight="1" thickBot="1">
      <c r="A7" s="138" t="s">
        <v>176</v>
      </c>
      <c r="B7" s="139" t="s">
        <v>177</v>
      </c>
      <c r="C7" s="140" t="s">
        <v>102</v>
      </c>
    </row>
    <row r="8" spans="1:3" ht="19.5" customHeight="1" thickBot="1">
      <c r="A8" s="138" t="s">
        <v>178</v>
      </c>
      <c r="B8" s="139" t="s">
        <v>179</v>
      </c>
      <c r="C8" s="140" t="s">
        <v>5</v>
      </c>
    </row>
    <row r="9" spans="1:3" ht="19.5" customHeight="1" thickBot="1">
      <c r="A9" s="138" t="s">
        <v>180</v>
      </c>
      <c r="B9" s="139" t="s">
        <v>181</v>
      </c>
      <c r="C9" s="140" t="s">
        <v>7</v>
      </c>
    </row>
    <row r="10" spans="1:3" ht="19.5" customHeight="1" thickBot="1">
      <c r="A10" s="138" t="s">
        <v>182</v>
      </c>
      <c r="B10" s="139" t="s">
        <v>183</v>
      </c>
      <c r="C10" s="140" t="s">
        <v>7</v>
      </c>
    </row>
    <row r="11" spans="1:3" ht="19.5" customHeight="1" thickBot="1">
      <c r="A11" s="138" t="s">
        <v>198</v>
      </c>
      <c r="B11" s="139" t="s">
        <v>199</v>
      </c>
      <c r="C11" s="140" t="s">
        <v>105</v>
      </c>
    </row>
    <row r="12" spans="1:3" ht="19.5" customHeight="1" thickBot="1">
      <c r="A12" s="138" t="s">
        <v>184</v>
      </c>
      <c r="B12" s="139" t="s">
        <v>185</v>
      </c>
      <c r="C12" s="140" t="s">
        <v>186</v>
      </c>
    </row>
    <row r="13" spans="1:3" ht="19.5" customHeight="1" thickBot="1">
      <c r="A13" s="138" t="s">
        <v>187</v>
      </c>
      <c r="B13" s="139" t="s">
        <v>188</v>
      </c>
      <c r="C13" s="140" t="s">
        <v>98</v>
      </c>
    </row>
    <row r="14" spans="1:3" ht="30" customHeight="1" thickBot="1">
      <c r="A14" s="138" t="s">
        <v>189</v>
      </c>
      <c r="B14" s="139" t="s">
        <v>190</v>
      </c>
      <c r="C14" s="140" t="s">
        <v>98</v>
      </c>
    </row>
    <row r="15" spans="1:3" ht="19.5" customHeight="1" thickBot="1">
      <c r="A15" s="141" t="s">
        <v>191</v>
      </c>
      <c r="B15" s="142" t="s">
        <v>192</v>
      </c>
      <c r="C15" s="143" t="s">
        <v>0</v>
      </c>
    </row>
    <row r="16" spans="1:3" ht="30" customHeight="1" thickBot="1">
      <c r="A16" s="141" t="s">
        <v>193</v>
      </c>
      <c r="B16" s="142" t="s">
        <v>194</v>
      </c>
      <c r="C16" s="143" t="s">
        <v>0</v>
      </c>
    </row>
    <row r="17" spans="1:3" ht="19.5" customHeight="1" thickBot="1">
      <c r="A17" s="141" t="s">
        <v>200</v>
      </c>
      <c r="B17" s="142" t="s">
        <v>201</v>
      </c>
      <c r="C17" s="143" t="s">
        <v>82</v>
      </c>
    </row>
    <row r="18" spans="1:3" ht="15" customHeight="1" thickBot="1">
      <c r="A18" s="84"/>
      <c r="B18" s="84"/>
      <c r="C18" s="84"/>
    </row>
    <row r="19" spans="1:3" ht="15" customHeight="1" thickBot="1">
      <c r="A19" s="198" t="s">
        <v>195</v>
      </c>
      <c r="B19" s="199"/>
      <c r="C19" s="200"/>
    </row>
    <row r="20" spans="1:3" ht="30.75" customHeight="1" thickBot="1">
      <c r="A20" s="79" t="s">
        <v>77</v>
      </c>
      <c r="B20" s="80" t="s">
        <v>78</v>
      </c>
      <c r="C20" s="137" t="s">
        <v>79</v>
      </c>
    </row>
    <row r="21" spans="1:3" ht="15" customHeight="1" thickBot="1">
      <c r="A21" s="134" t="s">
        <v>196</v>
      </c>
      <c r="B21" s="135"/>
      <c r="C21" s="136"/>
    </row>
    <row r="22" ht="15" customHeight="1"/>
    <row r="23" ht="15" customHeight="1"/>
    <row r="24" ht="15" customHeight="1"/>
    <row r="25" ht="30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30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2">
    <mergeCell ref="A1:C1"/>
    <mergeCell ref="A19:C19"/>
  </mergeCells>
  <printOptions horizontalCentered="1" verticalCentered="1"/>
  <pageMargins left="0.45" right="0.45" top="0.5" bottom="0.5" header="0.3" footer="0.3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6.140625" style="0" customWidth="1"/>
    <col min="2" max="2" width="16.7109375" style="0" customWidth="1"/>
    <col min="3" max="10" width="15.7109375" style="0" customWidth="1"/>
    <col min="11" max="11" width="18.28125" style="0" customWidth="1"/>
    <col min="12" max="14" width="15.7109375" style="0" customWidth="1"/>
  </cols>
  <sheetData>
    <row r="1" spans="1:6" ht="19.5" customHeight="1">
      <c r="A1" s="201" t="s">
        <v>171</v>
      </c>
      <c r="B1" s="202"/>
      <c r="C1" s="101"/>
      <c r="D1" s="101"/>
      <c r="E1" s="101"/>
      <c r="F1" s="101"/>
    </row>
    <row r="2" spans="1:5" ht="19.5" customHeight="1">
      <c r="A2" s="126" t="s">
        <v>83</v>
      </c>
      <c r="B2" s="127">
        <f>'2017-2018 Parameters'!B6</f>
        <v>1.0916</v>
      </c>
      <c r="C2" s="25" t="s">
        <v>12</v>
      </c>
      <c r="D2" s="26"/>
      <c r="E2" s="26" t="s">
        <v>12</v>
      </c>
    </row>
    <row r="3" spans="1:14" ht="19.5" customHeight="1">
      <c r="A3" s="128" t="s">
        <v>84</v>
      </c>
      <c r="B3" s="129">
        <f>'2017-2018 Parameters'!B7</f>
        <v>0.953</v>
      </c>
      <c r="C3" s="25"/>
      <c r="D3" s="26"/>
      <c r="E3" s="26"/>
      <c r="L3" s="98" t="s">
        <v>12</v>
      </c>
      <c r="M3" s="98"/>
      <c r="N3" s="98"/>
    </row>
    <row r="4" spans="1:14" ht="30" customHeight="1">
      <c r="A4" s="69" t="s">
        <v>120</v>
      </c>
      <c r="B4" s="54" t="s">
        <v>85</v>
      </c>
      <c r="C4" s="54" t="s">
        <v>17</v>
      </c>
      <c r="D4" s="54" t="s">
        <v>16</v>
      </c>
      <c r="E4" s="54" t="s">
        <v>14</v>
      </c>
      <c r="F4" s="54" t="s">
        <v>8</v>
      </c>
      <c r="G4" s="54" t="s">
        <v>45</v>
      </c>
      <c r="H4" s="54" t="s">
        <v>46</v>
      </c>
      <c r="I4" s="54" t="s">
        <v>7</v>
      </c>
      <c r="J4" s="54" t="s">
        <v>54</v>
      </c>
      <c r="K4" s="65" t="s">
        <v>117</v>
      </c>
      <c r="L4" s="108" t="s">
        <v>18</v>
      </c>
      <c r="M4" s="108" t="s">
        <v>3</v>
      </c>
      <c r="N4" s="108" t="s">
        <v>158</v>
      </c>
    </row>
    <row r="5" spans="1:14" ht="19.5" customHeight="1">
      <c r="A5" s="72" t="s">
        <v>49</v>
      </c>
      <c r="B5" s="105">
        <f>'2017-2018 Parameters'!B18</f>
        <v>179806</v>
      </c>
      <c r="C5" s="105">
        <f>'2017-2018 Parameters'!C18</f>
        <v>71804</v>
      </c>
      <c r="D5" s="105">
        <f>'2017-2018 Parameters'!D18</f>
        <v>39371</v>
      </c>
      <c r="E5" s="105">
        <f>'2017-2018 Parameters'!E18</f>
        <v>17195</v>
      </c>
      <c r="F5" s="105">
        <f>'2017-2018 Parameters'!F18</f>
        <v>12759</v>
      </c>
      <c r="G5" s="105">
        <f>'2017-2018 Parameters'!G18</f>
        <v>6465</v>
      </c>
      <c r="H5" s="105">
        <f>'2017-2018 Parameters'!H18</f>
        <v>3215</v>
      </c>
      <c r="I5" s="105">
        <f>'2017-2018 Parameters'!I18</f>
        <v>8715</v>
      </c>
      <c r="J5" s="105">
        <f>'2017-2018 Parameters'!J18</f>
        <v>16009</v>
      </c>
      <c r="K5" s="105">
        <f>'2017-2018 Parameters'!K18</f>
        <v>6250</v>
      </c>
      <c r="L5" s="105">
        <f>'2017-2018 Parameters'!L18</f>
        <v>28991</v>
      </c>
      <c r="M5" s="105">
        <f>'2017-2018 Parameters'!M18</f>
        <v>8961</v>
      </c>
      <c r="N5" s="105">
        <f>'2017-2018 Parameters'!N18</f>
        <v>10813</v>
      </c>
    </row>
    <row r="6" spans="1:14" ht="19.5" customHeight="1">
      <c r="A6" s="70" t="s">
        <v>11</v>
      </c>
      <c r="B6" s="105" t="s">
        <v>24</v>
      </c>
      <c r="C6" s="105">
        <f>'2017-2018 Parameters'!C14</f>
        <v>7261</v>
      </c>
      <c r="D6" s="105">
        <f>'2017-2018 Parameters'!D14</f>
        <v>9315</v>
      </c>
      <c r="E6" s="105">
        <f>'2017-2018 Parameters'!E14</f>
        <v>8029</v>
      </c>
      <c r="F6" s="105">
        <f>'2017-2018 Parameters'!F14</f>
        <v>6700</v>
      </c>
      <c r="G6" s="105">
        <f>'2017-2018 Parameters'!G14</f>
        <v>2795</v>
      </c>
      <c r="H6" s="105">
        <f>'2017-2018 Parameters'!H14</f>
        <v>1869</v>
      </c>
      <c r="I6" s="105">
        <f>'2017-2018 Parameters'!I14</f>
        <v>5208</v>
      </c>
      <c r="J6" s="105">
        <f>'2017-2018 Parameters'!J14</f>
        <v>8470</v>
      </c>
      <c r="K6" s="105">
        <f>'2017-2018 Parameters'!K14</f>
        <v>4940</v>
      </c>
      <c r="L6" s="105">
        <f>'2017-2018 Parameters'!L14</f>
        <v>7020</v>
      </c>
      <c r="M6" s="105">
        <f>'2017-2018 Parameters'!M14</f>
        <v>6086</v>
      </c>
      <c r="N6" s="105">
        <f>'2017-2018 Parameters'!N14</f>
        <v>4336</v>
      </c>
    </row>
    <row r="7" spans="1:14" ht="19.5" customHeight="1">
      <c r="A7" s="70" t="s">
        <v>86</v>
      </c>
      <c r="B7" s="109">
        <f>'2017-2018 Parameters'!B8</f>
        <v>164717.8</v>
      </c>
      <c r="C7" s="109">
        <f>'2017-2018 Parameters'!F65</f>
        <v>60890</v>
      </c>
      <c r="D7" s="109">
        <f>'2017-2018 Parameters'!F62</f>
        <v>33067</v>
      </c>
      <c r="E7" s="109">
        <f>'2017-2018 Parameters'!F63</f>
        <v>14220</v>
      </c>
      <c r="F7" s="109">
        <f>'2017-2018 Parameters'!F59</f>
        <v>10470</v>
      </c>
      <c r="G7" s="109">
        <f>'2017-2018 Parameters'!F60</f>
        <v>5077.95</v>
      </c>
      <c r="H7" s="109">
        <f>'2017-2018 Parameters'!F51</f>
        <v>2422.5359999999996</v>
      </c>
      <c r="I7" s="109">
        <f>'2017-2018 Parameters'!F57</f>
        <v>6729</v>
      </c>
      <c r="J7" s="109">
        <f>'2017-2018 Parameters'!F42</f>
        <v>13083</v>
      </c>
      <c r="K7" s="109">
        <f>'2017-2018 Parameters'!F43</f>
        <v>4489.6</v>
      </c>
      <c r="L7" s="109">
        <f>'2017-2018 Parameters'!F45</f>
        <v>23447</v>
      </c>
      <c r="M7" s="109">
        <f>'2017-2018 Parameters'!F44</f>
        <v>7491</v>
      </c>
      <c r="N7" s="109">
        <f>'2017-2018 Parameters'!F58</f>
        <v>7517</v>
      </c>
    </row>
    <row r="8" spans="1:14" ht="19.5" customHeight="1">
      <c r="A8" s="70" t="s">
        <v>87</v>
      </c>
      <c r="B8" s="109">
        <f>'2017-2018 Parameters'!B16</f>
        <v>0</v>
      </c>
      <c r="C8" s="109">
        <f>'2017-2018 Parameters'!C16</f>
        <v>0</v>
      </c>
      <c r="D8" s="109">
        <f>'2017-2018 Parameters'!D16</f>
        <v>0</v>
      </c>
      <c r="E8" s="109">
        <f>'2017-2018 Parameters'!E16</f>
        <v>0</v>
      </c>
      <c r="F8" s="109">
        <f>'2017-2018 Parameters'!F16</f>
        <v>0</v>
      </c>
      <c r="G8" s="109">
        <f>'2017-2018 Parameters'!G16</f>
        <v>0</v>
      </c>
      <c r="H8" s="109">
        <f>'2017-2018 Parameters'!H16</f>
        <v>0</v>
      </c>
      <c r="I8" s="109">
        <f>'2017-2018 Parameters'!I16</f>
        <v>0</v>
      </c>
      <c r="J8" s="109">
        <f>'2017-2018 Parameters'!J16</f>
        <v>0</v>
      </c>
      <c r="K8" s="109">
        <f>'2017-2018 Parameters'!K16</f>
        <v>0</v>
      </c>
      <c r="L8" s="109">
        <f>'2017-2018 Parameters'!L16</f>
        <v>0</v>
      </c>
      <c r="M8" s="109">
        <f>'2017-2018 Parameters'!M16</f>
        <v>0</v>
      </c>
      <c r="N8" s="109">
        <f>'2017-2018 Parameters'!N16</f>
        <v>0</v>
      </c>
    </row>
    <row r="9" spans="1:14" ht="19.5" customHeight="1">
      <c r="A9" s="70" t="s">
        <v>88</v>
      </c>
      <c r="B9" s="109">
        <f aca="true" t="shared" si="0" ref="B9:I9">B7-B8</f>
        <v>164717.8</v>
      </c>
      <c r="C9" s="109">
        <f t="shared" si="0"/>
        <v>60890</v>
      </c>
      <c r="D9" s="109">
        <f t="shared" si="0"/>
        <v>33067</v>
      </c>
      <c r="E9" s="109">
        <f t="shared" si="0"/>
        <v>14220</v>
      </c>
      <c r="F9" s="109">
        <f t="shared" si="0"/>
        <v>10470</v>
      </c>
      <c r="G9" s="109">
        <f t="shared" si="0"/>
        <v>5077.95</v>
      </c>
      <c r="H9" s="109">
        <f t="shared" si="0"/>
        <v>2422.5359999999996</v>
      </c>
      <c r="I9" s="109">
        <f t="shared" si="0"/>
        <v>6729</v>
      </c>
      <c r="J9" s="109">
        <f>J7-J8</f>
        <v>13083</v>
      </c>
      <c r="K9" s="109">
        <f>K7-K8</f>
        <v>4489.6</v>
      </c>
      <c r="L9" s="109">
        <f>L7-L8</f>
        <v>23447</v>
      </c>
      <c r="M9" s="109">
        <f>M7-M8</f>
        <v>7491</v>
      </c>
      <c r="N9" s="109">
        <f>N7-N8</f>
        <v>7517</v>
      </c>
    </row>
    <row r="10" spans="1:14" ht="19.5" customHeight="1">
      <c r="A10" s="70" t="s">
        <v>44</v>
      </c>
      <c r="B10" s="109">
        <f>'2017-2018 Parameters'!B19</f>
        <v>4495.2</v>
      </c>
      <c r="C10" s="109">
        <f>'2017-2018 Parameters'!C19</f>
        <v>1661.7070407691217</v>
      </c>
      <c r="D10" s="109">
        <f>'2017-2018 Parameters'!D19</f>
        <v>902.4087159979068</v>
      </c>
      <c r="E10" s="109">
        <f>'2017-2018 Parameters'!E19</f>
        <v>388.06822334926767</v>
      </c>
      <c r="F10" s="109">
        <f>'2017-2018 Parameters'!F19</f>
        <v>285.72955685420766</v>
      </c>
      <c r="G10" s="109">
        <f>'2017-2018 Parameters'!G19</f>
        <v>138.5788350742907</v>
      </c>
      <c r="H10" s="109">
        <f>'2017-2018 Parameters'!H19</f>
        <v>66.11176100700712</v>
      </c>
      <c r="I10" s="109">
        <f>'2017-2018 Parameters'!I19</f>
        <v>183.63650315873574</v>
      </c>
      <c r="J10" s="109">
        <f>'2017-2018 Parameters'!J19</f>
        <v>357.03913966796546</v>
      </c>
      <c r="K10" s="109">
        <f>'2017-2018 Parameters'!K19</f>
        <v>122.52258055899243</v>
      </c>
      <c r="L10" s="109">
        <f>'2017-2018 Parameters'!L19</f>
        <v>639.8759235492461</v>
      </c>
      <c r="M10" s="109">
        <f>'2017-2018 Parameters'!M19</f>
        <v>204.4317201905319</v>
      </c>
      <c r="N10" s="109">
        <f>'2017-2018 Parameters'!N19</f>
        <v>205.14126827823102</v>
      </c>
    </row>
    <row r="11" spans="1:14" ht="19.5" customHeight="1">
      <c r="A11" s="71" t="s">
        <v>119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 ht="19.5" customHeight="1">
      <c r="A12" s="70" t="s">
        <v>89</v>
      </c>
      <c r="B12" s="110">
        <v>0.041</v>
      </c>
      <c r="C12" s="110">
        <v>0.061</v>
      </c>
      <c r="D12" s="110">
        <v>0.063</v>
      </c>
      <c r="E12" s="110">
        <v>0.071</v>
      </c>
      <c r="F12" s="110">
        <v>0.07</v>
      </c>
      <c r="G12" s="110">
        <v>0.07</v>
      </c>
      <c r="H12" s="110">
        <v>0.059</v>
      </c>
      <c r="I12" s="110">
        <v>0.065</v>
      </c>
      <c r="J12" s="110">
        <v>0.052</v>
      </c>
      <c r="K12" s="110">
        <v>0.052</v>
      </c>
      <c r="L12" s="110">
        <v>0.054</v>
      </c>
      <c r="M12" s="110">
        <v>0.072</v>
      </c>
      <c r="N12" s="110">
        <v>0.054</v>
      </c>
    </row>
    <row r="13" spans="1:14" ht="19.5" customHeight="1">
      <c r="A13" s="70" t="s">
        <v>90</v>
      </c>
      <c r="B13" s="109">
        <f>B9*B12*$B$2*$B$3</f>
        <v>7025.557903105039</v>
      </c>
      <c r="C13" s="109">
        <f>C9*C12*$B$2*$B$3</f>
        <v>3863.956572691999</v>
      </c>
      <c r="D13" s="109">
        <f aca="true" t="shared" si="1" ref="D13:I13">D9*D12*$B$2*$B$3</f>
        <v>2167.1639735507997</v>
      </c>
      <c r="E13" s="109">
        <f t="shared" si="1"/>
        <v>1050.3024359759997</v>
      </c>
      <c r="F13" s="109">
        <f t="shared" si="1"/>
        <v>762.4320589199999</v>
      </c>
      <c r="G13" s="109">
        <f t="shared" si="1"/>
        <v>369.7795485762</v>
      </c>
      <c r="H13" s="109">
        <f t="shared" si="1"/>
        <v>148.68894461315514</v>
      </c>
      <c r="I13" s="109">
        <f t="shared" si="1"/>
        <v>455.00934109799994</v>
      </c>
      <c r="J13" s="109">
        <f>J9*J12*$B$2*$B$3</f>
        <v>707.7291971567998</v>
      </c>
      <c r="K13" s="109">
        <f>K9*K12*$B$2*$B$3</f>
        <v>242.86639177215997</v>
      </c>
      <c r="L13" s="109">
        <f>L9*L12*$B$2*$B$3</f>
        <v>1317.1567774823998</v>
      </c>
      <c r="M13" s="109">
        <f>M9*M12*$B$2*$B$3</f>
        <v>561.0850809695999</v>
      </c>
      <c r="N13" s="109">
        <f>N9*N12*$B$2*$B$3</f>
        <v>422.2743846264</v>
      </c>
    </row>
    <row r="14" spans="1:14" ht="19.5" customHeight="1">
      <c r="A14" s="121" t="s">
        <v>208</v>
      </c>
      <c r="B14" s="122">
        <f>B13-B10</f>
        <v>2530.3579031050394</v>
      </c>
      <c r="C14" s="122">
        <f>C13-C10</f>
        <v>2202.2495319228774</v>
      </c>
      <c r="D14" s="122">
        <f aca="true" t="shared" si="2" ref="D14:K14">D13-D10</f>
        <v>1264.755257552893</v>
      </c>
      <c r="E14" s="122">
        <f t="shared" si="2"/>
        <v>662.2342126267321</v>
      </c>
      <c r="F14" s="122">
        <f t="shared" si="2"/>
        <v>476.70250206579226</v>
      </c>
      <c r="G14" s="122">
        <f t="shared" si="2"/>
        <v>231.2007135019093</v>
      </c>
      <c r="H14" s="122">
        <f t="shared" si="2"/>
        <v>82.57718360614803</v>
      </c>
      <c r="I14" s="122">
        <f t="shared" si="2"/>
        <v>271.3728379392642</v>
      </c>
      <c r="J14" s="122">
        <f t="shared" si="2"/>
        <v>350.6900574888344</v>
      </c>
      <c r="K14" s="122">
        <f t="shared" si="2"/>
        <v>120.34381121316754</v>
      </c>
      <c r="L14" s="122">
        <f>L13-L10</f>
        <v>677.2808539331537</v>
      </c>
      <c r="M14" s="122">
        <f>M13-M10</f>
        <v>356.65336077906795</v>
      </c>
      <c r="N14" s="122">
        <f>N13-N10</f>
        <v>217.13311634816895</v>
      </c>
    </row>
    <row r="15" spans="1:14" ht="19.5" customHeight="1">
      <c r="A15" s="71" t="s">
        <v>197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19.5" customHeight="1">
      <c r="A16" s="70" t="s">
        <v>89</v>
      </c>
      <c r="B16" s="110">
        <v>0.093</v>
      </c>
      <c r="C16" s="110">
        <v>0.113</v>
      </c>
      <c r="D16" s="110">
        <v>0.167</v>
      </c>
      <c r="E16" s="110">
        <v>0.149</v>
      </c>
      <c r="F16" s="110">
        <v>0.191</v>
      </c>
      <c r="G16" s="110">
        <v>0.153</v>
      </c>
      <c r="H16" s="110">
        <v>0.136</v>
      </c>
      <c r="I16" s="110">
        <v>0.146</v>
      </c>
      <c r="J16" s="110">
        <v>0.173</v>
      </c>
      <c r="K16" s="110">
        <v>0.247</v>
      </c>
      <c r="L16" s="110">
        <v>0.265</v>
      </c>
      <c r="M16" s="110">
        <v>0.148</v>
      </c>
      <c r="N16" s="110">
        <v>0.055</v>
      </c>
    </row>
    <row r="17" spans="1:14" ht="19.5" customHeight="1">
      <c r="A17" s="70" t="s">
        <v>90</v>
      </c>
      <c r="B17" s="105">
        <f>B9*B16*$B$2*$B$3</f>
        <v>15936.021585091916</v>
      </c>
      <c r="C17" s="105">
        <f>C9*C16*$B$2*$B$3</f>
        <v>7157.821192036</v>
      </c>
      <c r="D17" s="105">
        <f aca="true" t="shared" si="3" ref="D17:I17">D9*D16*$B$2*$B$3</f>
        <v>5744.704501317199</v>
      </c>
      <c r="E17" s="105">
        <f t="shared" si="3"/>
        <v>2204.1558163439995</v>
      </c>
      <c r="F17" s="105">
        <f t="shared" si="3"/>
        <v>2080.3503321959997</v>
      </c>
      <c r="G17" s="105">
        <f t="shared" si="3"/>
        <v>808.2324418879798</v>
      </c>
      <c r="H17" s="105">
        <f t="shared" si="3"/>
        <v>342.7406180913407</v>
      </c>
      <c r="I17" s="105">
        <f t="shared" si="3"/>
        <v>1022.0209815431999</v>
      </c>
      <c r="J17" s="105">
        <f>J9*J16*$B$2*$B$3</f>
        <v>2354.5605982331995</v>
      </c>
      <c r="K17" s="105">
        <f>K9*K16*$B$2*$B$3</f>
        <v>1153.6153609177597</v>
      </c>
      <c r="L17" s="105">
        <f>L9*L16*$B$2*$B$3</f>
        <v>6463.824926533999</v>
      </c>
      <c r="M17" s="105">
        <f>M9*M16*$B$2*$B$3</f>
        <v>1153.3415553263997</v>
      </c>
      <c r="N17" s="105">
        <f>N9*N16*$B$2*$B$3</f>
        <v>430.09428063799993</v>
      </c>
    </row>
    <row r="18" spans="1:14" ht="19.5" customHeight="1">
      <c r="A18" s="121" t="s">
        <v>209</v>
      </c>
      <c r="B18" s="123">
        <f>B17-B10</f>
        <v>11440.821585091915</v>
      </c>
      <c r="C18" s="123">
        <f aca="true" t="shared" si="4" ref="C18:K18">C17-C10</f>
        <v>5496.114151266878</v>
      </c>
      <c r="D18" s="123">
        <f t="shared" si="4"/>
        <v>4842.295785319292</v>
      </c>
      <c r="E18" s="123">
        <f t="shared" si="4"/>
        <v>1816.087592994732</v>
      </c>
      <c r="F18" s="123">
        <f t="shared" si="4"/>
        <v>1794.620775341792</v>
      </c>
      <c r="G18" s="123">
        <f t="shared" si="4"/>
        <v>669.6536068136891</v>
      </c>
      <c r="H18" s="123">
        <f t="shared" si="4"/>
        <v>276.6288570843336</v>
      </c>
      <c r="I18" s="123">
        <f t="shared" si="4"/>
        <v>838.3844783844642</v>
      </c>
      <c r="J18" s="123">
        <f t="shared" si="4"/>
        <v>1997.521458565234</v>
      </c>
      <c r="K18" s="123">
        <f t="shared" si="4"/>
        <v>1031.0927803587674</v>
      </c>
      <c r="L18" s="123">
        <f>L17-L10</f>
        <v>5823.949002984753</v>
      </c>
      <c r="M18" s="123">
        <f>M17-M10</f>
        <v>948.9098351358678</v>
      </c>
      <c r="N18" s="123">
        <f>N17-N10</f>
        <v>224.9530123597689</v>
      </c>
    </row>
    <row r="19" spans="1:14" ht="19.5" customHeight="1">
      <c r="A19" s="71" t="s">
        <v>207</v>
      </c>
      <c r="B19" s="105"/>
      <c r="C19" s="105"/>
      <c r="D19" s="105"/>
      <c r="E19" s="111"/>
      <c r="F19" s="105"/>
      <c r="G19" s="105"/>
      <c r="H19" s="105"/>
      <c r="I19" s="111"/>
      <c r="J19" s="105"/>
      <c r="K19" s="105"/>
      <c r="L19" s="105"/>
      <c r="M19" s="105"/>
      <c r="N19" s="105"/>
    </row>
    <row r="20" spans="1:14" ht="19.5" customHeight="1">
      <c r="A20" s="124" t="s">
        <v>208</v>
      </c>
      <c r="B20" s="125">
        <f>B12</f>
        <v>0.041</v>
      </c>
      <c r="C20" s="125">
        <f aca="true" t="shared" si="5" ref="C20:K20">C12</f>
        <v>0.061</v>
      </c>
      <c r="D20" s="125">
        <f t="shared" si="5"/>
        <v>0.063</v>
      </c>
      <c r="E20" s="125">
        <f t="shared" si="5"/>
        <v>0.071</v>
      </c>
      <c r="F20" s="125">
        <f>F12</f>
        <v>0.07</v>
      </c>
      <c r="G20" s="125">
        <f t="shared" si="5"/>
        <v>0.07</v>
      </c>
      <c r="H20" s="125">
        <f t="shared" si="5"/>
        <v>0.059</v>
      </c>
      <c r="I20" s="125">
        <f t="shared" si="5"/>
        <v>0.065</v>
      </c>
      <c r="J20" s="125">
        <f t="shared" si="5"/>
        <v>0.052</v>
      </c>
      <c r="K20" s="125">
        <f t="shared" si="5"/>
        <v>0.052</v>
      </c>
      <c r="L20" s="125">
        <f>L12</f>
        <v>0.054</v>
      </c>
      <c r="M20" s="125">
        <f>M12</f>
        <v>0.072</v>
      </c>
      <c r="N20" s="125">
        <f>N12</f>
        <v>0.054</v>
      </c>
    </row>
    <row r="21" spans="1:14" ht="19.5" customHeight="1">
      <c r="A21" s="124" t="s">
        <v>209</v>
      </c>
      <c r="B21" s="125">
        <f>B16</f>
        <v>0.093</v>
      </c>
      <c r="C21" s="125">
        <f aca="true" t="shared" si="6" ref="C21:K21">C16</f>
        <v>0.113</v>
      </c>
      <c r="D21" s="125">
        <f t="shared" si="6"/>
        <v>0.167</v>
      </c>
      <c r="E21" s="125">
        <f t="shared" si="6"/>
        <v>0.149</v>
      </c>
      <c r="F21" s="125">
        <f>F16</f>
        <v>0.191</v>
      </c>
      <c r="G21" s="125">
        <f t="shared" si="6"/>
        <v>0.153</v>
      </c>
      <c r="H21" s="125">
        <f t="shared" si="6"/>
        <v>0.136</v>
      </c>
      <c r="I21" s="125">
        <f t="shared" si="6"/>
        <v>0.146</v>
      </c>
      <c r="J21" s="125">
        <f t="shared" si="6"/>
        <v>0.173</v>
      </c>
      <c r="K21" s="125">
        <f t="shared" si="6"/>
        <v>0.247</v>
      </c>
      <c r="L21" s="125">
        <f>L16</f>
        <v>0.265</v>
      </c>
      <c r="M21" s="125">
        <f>M16</f>
        <v>0.148</v>
      </c>
      <c r="N21" s="125">
        <f>N16</f>
        <v>0.055</v>
      </c>
    </row>
    <row r="22" spans="1:9" ht="15">
      <c r="A22" s="81" t="s">
        <v>12</v>
      </c>
      <c r="B22" s="27"/>
      <c r="C22" s="27"/>
      <c r="D22" s="27"/>
      <c r="E22" s="27"/>
      <c r="F22" s="27"/>
      <c r="G22" s="27"/>
      <c r="H22" s="27"/>
      <c r="I22" s="27"/>
    </row>
  </sheetData>
  <sheetProtection/>
  <mergeCells count="1">
    <mergeCell ref="A1:B1"/>
  </mergeCells>
  <printOptions horizontalCentered="1" verticalCentered="1"/>
  <pageMargins left="0.45" right="0.45" top="0.5" bottom="0.5" header="0.3" footer="0.3"/>
  <pageSetup fitToHeight="1" fitToWidth="1"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2.28125" style="0" bestFit="1" customWidth="1"/>
    <col min="2" max="2" width="16.421875" style="0" customWidth="1"/>
    <col min="3" max="7" width="12.7109375" style="0" customWidth="1"/>
  </cols>
  <sheetData>
    <row r="1" spans="1:7" ht="24.75" customHeight="1">
      <c r="A1" s="203" t="s">
        <v>150</v>
      </c>
      <c r="B1" s="203"/>
      <c r="C1" s="203"/>
      <c r="D1" s="203"/>
      <c r="E1" s="203"/>
      <c r="F1" s="203"/>
      <c r="G1" s="203"/>
    </row>
    <row r="2" spans="1:7" ht="24.75" customHeight="1">
      <c r="A2" s="87"/>
      <c r="B2" s="204" t="s">
        <v>163</v>
      </c>
      <c r="C2" s="204"/>
      <c r="D2" s="204"/>
      <c r="E2" s="204"/>
      <c r="F2" s="204"/>
      <c r="G2" s="204"/>
    </row>
    <row r="3" spans="1:7" ht="24.75" customHeight="1">
      <c r="A3" s="86" t="s">
        <v>12</v>
      </c>
      <c r="B3" s="69" t="s">
        <v>126</v>
      </c>
      <c r="C3" s="54" t="s">
        <v>121</v>
      </c>
      <c r="D3" s="54" t="s">
        <v>122</v>
      </c>
      <c r="E3" s="54" t="s">
        <v>123</v>
      </c>
      <c r="F3" s="54" t="s">
        <v>124</v>
      </c>
      <c r="G3" s="54" t="s">
        <v>125</v>
      </c>
    </row>
    <row r="4" spans="1:9" ht="24.75" customHeight="1">
      <c r="A4" s="132" t="s">
        <v>164</v>
      </c>
      <c r="B4" s="133">
        <v>6499</v>
      </c>
      <c r="C4" s="133">
        <v>144</v>
      </c>
      <c r="D4" s="133">
        <v>3739</v>
      </c>
      <c r="E4" s="133">
        <v>2865</v>
      </c>
      <c r="F4" s="133">
        <v>1861</v>
      </c>
      <c r="G4" s="133">
        <v>1877</v>
      </c>
      <c r="I4" s="83" t="s">
        <v>12</v>
      </c>
    </row>
    <row r="5" spans="1:9" ht="24.75" customHeight="1">
      <c r="A5" s="130" t="s">
        <v>165</v>
      </c>
      <c r="B5" s="131">
        <v>8521</v>
      </c>
      <c r="C5" s="131">
        <v>105</v>
      </c>
      <c r="D5" s="131">
        <v>2403</v>
      </c>
      <c r="E5" s="131">
        <v>3956</v>
      </c>
      <c r="F5" s="131">
        <v>1287</v>
      </c>
      <c r="G5" s="131">
        <v>770</v>
      </c>
      <c r="I5" s="83"/>
    </row>
    <row r="6" spans="1:7" ht="19.5" customHeight="1">
      <c r="A6" s="149" t="s">
        <v>210</v>
      </c>
      <c r="B6" s="149"/>
      <c r="C6" s="149"/>
      <c r="D6" s="149"/>
      <c r="E6" s="149"/>
      <c r="F6" s="149"/>
      <c r="G6" s="149"/>
    </row>
    <row r="7" spans="1:7" ht="19.5" customHeight="1">
      <c r="A7" s="149" t="s">
        <v>204</v>
      </c>
      <c r="B7" s="149"/>
      <c r="C7" s="149"/>
      <c r="D7" s="149"/>
      <c r="E7" s="149"/>
      <c r="F7" s="149"/>
      <c r="G7" s="149"/>
    </row>
    <row r="8" spans="1:7" ht="19.5" customHeight="1">
      <c r="A8" s="193" t="s">
        <v>205</v>
      </c>
      <c r="B8" s="196"/>
      <c r="C8" s="196"/>
      <c r="D8" s="196"/>
      <c r="E8" s="196"/>
      <c r="F8" s="196"/>
      <c r="G8" s="194"/>
    </row>
    <row r="9" ht="12.75">
      <c r="A9" s="4" t="s">
        <v>12</v>
      </c>
    </row>
    <row r="10" ht="12.75">
      <c r="A10" s="4"/>
    </row>
  </sheetData>
  <sheetProtection/>
  <mergeCells count="5">
    <mergeCell ref="A1:G1"/>
    <mergeCell ref="B2:G2"/>
    <mergeCell ref="A6:G6"/>
    <mergeCell ref="A7:G7"/>
    <mergeCell ref="A8:G8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Steve</cp:lastModifiedBy>
  <cp:lastPrinted>2014-04-03T18:48:11Z</cp:lastPrinted>
  <dcterms:created xsi:type="dcterms:W3CDTF">2007-01-26T13:56:48Z</dcterms:created>
  <dcterms:modified xsi:type="dcterms:W3CDTF">2014-04-03T18:48:50Z</dcterms:modified>
  <cp:category/>
  <cp:version/>
  <cp:contentType/>
  <cp:contentStatus/>
</cp:coreProperties>
</file>