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50" windowHeight="5745" tabRatio="908" firstSheet="5" activeTab="18"/>
  </bookViews>
  <sheets>
    <sheet name="By VY" sheetId="1" r:id="rId1"/>
    <sheet name="FGD" sheetId="2" r:id="rId2"/>
    <sheet name="Non-FGD" sheetId="3" r:id="rId3"/>
    <sheet name="Depreciation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August" sheetId="12" r:id="rId12"/>
    <sheet name="September" sheetId="13" r:id="rId13"/>
    <sheet name="ADFIT" sheetId="14" r:id="rId14"/>
    <sheet name="S2" sheetId="15" r:id="rId15"/>
    <sheet name="AN" sheetId="16" r:id="rId16"/>
    <sheet name="NOx" sheetId="17" r:id="rId17"/>
    <sheet name="Cash Working Capital" sheetId="18" r:id="rId18"/>
    <sheet name="Property Tax" sheetId="19" r:id="rId19"/>
    <sheet name="Sheet1" sheetId="20" r:id="rId20"/>
  </sheets>
  <definedNames>
    <definedName name="Marshall_Rate">'Property Tax'!$B$2</definedName>
    <definedName name="PC_Percent">'Property Tax'!$B$6</definedName>
    <definedName name="_xlnm.Print_Area" localSheetId="7">'April'!$A$1:$K$38</definedName>
    <definedName name="_xlnm.Print_Area" localSheetId="5">'February'!$A$1:$K$38</definedName>
    <definedName name="_xlnm.Print_Area" localSheetId="4">'January'!$A$1:$K$45</definedName>
    <definedName name="_xlnm.Print_Area" localSheetId="9">'June'!$A$1:$K$38</definedName>
    <definedName name="_xlnm.Print_Area" localSheetId="6">'March'!$A$1:$K$38</definedName>
    <definedName name="_xlnm.Print_Area" localSheetId="8">'May'!$A$1:$K$38</definedName>
    <definedName name="WV_List">'Property Tax'!$B$4</definedName>
  </definedNames>
  <calcPr fullCalcOnLoad="1"/>
</workbook>
</file>

<file path=xl/sharedStrings.xml><?xml version="1.0" encoding="utf-8"?>
<sst xmlns="http://schemas.openxmlformats.org/spreadsheetml/2006/main" count="620" uniqueCount="106">
  <si>
    <t>Net Book Value</t>
  </si>
  <si>
    <t>12/2013</t>
  </si>
  <si>
    <t>Month</t>
  </si>
  <si>
    <t>Vintage</t>
  </si>
  <si>
    <t>Amt Dec 2013</t>
  </si>
  <si>
    <t>Accumulated Depreciation</t>
  </si>
  <si>
    <t>January</t>
  </si>
  <si>
    <t>February</t>
  </si>
  <si>
    <t>March</t>
  </si>
  <si>
    <t>April</t>
  </si>
  <si>
    <t>May</t>
  </si>
  <si>
    <t>June</t>
  </si>
  <si>
    <t>Monthly Depreciation</t>
  </si>
  <si>
    <t>Net Plant Excluding FGD</t>
  </si>
  <si>
    <t xml:space="preserve"> FGD</t>
  </si>
  <si>
    <t>Total Revenue Requirement</t>
  </si>
  <si>
    <t>Total Monthly Other Expenses</t>
  </si>
  <si>
    <t>Monthly Property Tax</t>
  </si>
  <si>
    <t>Monthly Catalyst Amortization Expense</t>
  </si>
  <si>
    <t>Monthly Depreciation Expense</t>
  </si>
  <si>
    <t>Total Monthly Maintenance Expense</t>
  </si>
  <si>
    <t>--</t>
  </si>
  <si>
    <t>Monthly FGD Maintenance Expense</t>
  </si>
  <si>
    <t>Total Monthly Operation Costs</t>
  </si>
  <si>
    <t>Annual Nox consumption</t>
  </si>
  <si>
    <t>Seasonal Nox Consumption</t>
  </si>
  <si>
    <t>SO2 Consumption</t>
  </si>
  <si>
    <t>Monthly WV Air Emission Fee</t>
  </si>
  <si>
    <t>Monthly Lime Stone Expense (5020004)</t>
  </si>
  <si>
    <t>Monthly Trona Expense (5020003)</t>
  </si>
  <si>
    <t>Monthly Urea Expense (5020002)</t>
  </si>
  <si>
    <t>Monthly Disposal (5010000)</t>
  </si>
  <si>
    <t>Monthly Return on Rate Base</t>
  </si>
  <si>
    <t>Monthly Weighted Avg. Cost of Capital</t>
  </si>
  <si>
    <t>Weighted Average Cost of Capital</t>
  </si>
  <si>
    <t>Total Rate Base</t>
  </si>
  <si>
    <t>Cash Working Capital Allowance</t>
  </si>
  <si>
    <t>NOx Emission Allowance Inventory</t>
  </si>
  <si>
    <t>SO2 Emission Allowance Inventory</t>
  </si>
  <si>
    <t>Net Utility Plant</t>
  </si>
  <si>
    <t>Less Accumulated Deferred Income Tax</t>
  </si>
  <si>
    <t>Less Accumulated Depreciation</t>
  </si>
  <si>
    <t>Utility Plant at Original Cost</t>
  </si>
  <si>
    <t>Cost Component</t>
  </si>
  <si>
    <t>Total Costs</t>
  </si>
  <si>
    <t>FGD Costs</t>
  </si>
  <si>
    <t>Non-FGD Costs</t>
  </si>
  <si>
    <t>Ln. No.</t>
  </si>
  <si>
    <t>January 2014</t>
  </si>
  <si>
    <t>Mitchell Environmental Costs</t>
  </si>
  <si>
    <t>Kentucky Power Company</t>
  </si>
  <si>
    <t/>
  </si>
  <si>
    <t xml:space="preserve"> </t>
  </si>
  <si>
    <t>Consumed</t>
  </si>
  <si>
    <t>Monthly Polymer Expense (5020005)</t>
  </si>
  <si>
    <t>Monthly Lime Hydrate Expense (5020007)</t>
  </si>
  <si>
    <t>Mitchell</t>
  </si>
  <si>
    <t>Big Sandy &amp; Rockport</t>
  </si>
  <si>
    <t>Number of Allowances</t>
  </si>
  <si>
    <t>Dollar Value</t>
  </si>
  <si>
    <t xml:space="preserve">Total </t>
  </si>
  <si>
    <t>Beginning Balance</t>
  </si>
  <si>
    <t>Ending Balance</t>
  </si>
  <si>
    <t>Additions</t>
  </si>
  <si>
    <t xml:space="preserve">Accumulated Depreciation </t>
  </si>
  <si>
    <t>Environmental Utility Plant at Original Cost</t>
  </si>
  <si>
    <t>Beginning Balance*</t>
  </si>
  <si>
    <t>Mitchell S02 Consumption</t>
  </si>
  <si>
    <t>Mitchell Annual NOx Consumption</t>
  </si>
  <si>
    <t>Mitchell Seasonal NOx Consumption</t>
  </si>
  <si>
    <t>Additions/Sales</t>
  </si>
  <si>
    <t>Total Book Cost</t>
  </si>
  <si>
    <t>February 2014</t>
  </si>
  <si>
    <t>March 2014</t>
  </si>
  <si>
    <t>April 2014</t>
  </si>
  <si>
    <t>June 2014</t>
  </si>
  <si>
    <t>May 2014</t>
  </si>
  <si>
    <t>FGD</t>
  </si>
  <si>
    <t>September 2014</t>
  </si>
  <si>
    <t>August 2014</t>
  </si>
  <si>
    <t>July 2014</t>
  </si>
  <si>
    <t xml:space="preserve">January </t>
  </si>
  <si>
    <t>July</t>
  </si>
  <si>
    <t>August</t>
  </si>
  <si>
    <t>September</t>
  </si>
  <si>
    <t>Average</t>
  </si>
  <si>
    <t>Annualized Total</t>
  </si>
  <si>
    <t>Monthly Allowance</t>
  </si>
  <si>
    <t>Non-FGD</t>
  </si>
  <si>
    <t>Monthly Non-FGD Maintenance Expense</t>
  </si>
  <si>
    <t>Check</t>
  </si>
  <si>
    <t>(1/8 of Annualized Total)</t>
  </si>
  <si>
    <t>Mitchell Plant</t>
  </si>
  <si>
    <t>Cash Working Capital Calculation</t>
  </si>
  <si>
    <r>
      <rPr>
        <b/>
        <sz val="11"/>
        <color indexed="8"/>
        <rFont val="Calibri"/>
        <family val="2"/>
      </rPr>
      <t>Difference from</t>
    </r>
    <r>
      <rPr>
        <b/>
        <u val="single"/>
        <sz val="11"/>
        <color indexed="8"/>
        <rFont val="Calibri"/>
        <family val="2"/>
      </rPr>
      <t xml:space="preserve">           Prior Month</t>
    </r>
  </si>
  <si>
    <t>Non-FGD ADFIT</t>
  </si>
  <si>
    <t>FGD ADFIT</t>
  </si>
  <si>
    <t>Marshall County, WV rate, 2014</t>
  </si>
  <si>
    <t>WV Listing Percentage</t>
  </si>
  <si>
    <t>Pollution Control Value (Salvage)</t>
  </si>
  <si>
    <t>KPCo Share</t>
  </si>
  <si>
    <t>KENTUCKY POWER COMPANY</t>
  </si>
  <si>
    <t>As of December 31, 2013</t>
  </si>
  <si>
    <t>All Other Plant Depreciated at 3.13%</t>
  </si>
  <si>
    <t>Mitchell FGD Capital Investments</t>
  </si>
  <si>
    <t>SCR depreciated at 12.5%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</si>
</sst>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_);[Red]\(&quot;$&quot;#,##0.0000\)"/>
    <numFmt numFmtId="170" formatCode="&quot;$&quot;#,##0.0_);[Red]\(&quot;$&quot;#,##0.0\)"/>
    <numFmt numFmtId="171" formatCode="_(&quot;$&quot;* #,##0_);_(&quot;$&quot;* \(#,##0\);_(&quot;$&quot;* &quot;-&quot;??_);_(@_)"/>
    <numFmt numFmtId="172" formatCode="0.0%"/>
    <numFmt numFmtId="173" formatCode="0.000%"/>
    <numFmt numFmtId="174" formatCode="#,##0.0000_);\(#,##0.0000\)"/>
    <numFmt numFmtId="175" formatCode="0.0000%"/>
    <numFmt numFmtId="176" formatCode="#,##0.000000_);\(#,##0.000000\)"/>
    <numFmt numFmtId="177" formatCode="#,##0.000_);\(#,##0.000\)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.0000_);_(&quot;$&quot;* \(#,##0.0000\);_(&quot;$&quot;* &quot;-&quot;????_);_(@_)"/>
    <numFmt numFmtId="182" formatCode="0.0"/>
    <numFmt numFmtId="183" formatCode="0_);\(0\)"/>
    <numFmt numFmtId="184" formatCode="[$-409]dddd\,\ mmmm\ dd\,\ yyyy"/>
    <numFmt numFmtId="185" formatCode="[$-409]h:mm:ss\ AM/PM"/>
    <numFmt numFmtId="186" formatCode="&quot;$&quot;#,##0.0"/>
    <numFmt numFmtId="187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8" fontId="4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8" fontId="49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164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171" fontId="0" fillId="0" borderId="0" xfId="0" applyNumberFormat="1" applyAlignment="1" quotePrefix="1">
      <alignment horizontal="center"/>
    </xf>
    <xf numFmtId="171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0" fontId="0" fillId="0" borderId="0" xfId="6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61" applyNumberFormat="1" applyFont="1" applyAlignment="1">
      <alignment/>
    </xf>
    <xf numFmtId="179" fontId="0" fillId="0" borderId="0" xfId="42" applyNumberFormat="1" applyFont="1" applyAlignment="1">
      <alignment/>
    </xf>
    <xf numFmtId="171" fontId="0" fillId="0" borderId="0" xfId="44" applyNumberFormat="1" applyFont="1" applyAlignment="1">
      <alignment/>
    </xf>
    <xf numFmtId="17" fontId="47" fillId="0" borderId="0" xfId="0" applyNumberFormat="1" applyFont="1" applyAlignment="1">
      <alignment/>
    </xf>
    <xf numFmtId="179" fontId="0" fillId="0" borderId="0" xfId="42" applyNumberFormat="1" applyFont="1" applyAlignment="1">
      <alignment horizontal="center" wrapText="1"/>
    </xf>
    <xf numFmtId="179" fontId="0" fillId="0" borderId="0" xfId="42" applyNumberFormat="1" applyFont="1" applyAlignment="1">
      <alignment wrapText="1"/>
    </xf>
    <xf numFmtId="0" fontId="0" fillId="0" borderId="0" xfId="0" applyFont="1" applyAlignment="1">
      <alignment horizontal="center"/>
    </xf>
    <xf numFmtId="171" fontId="0" fillId="0" borderId="0" xfId="44" applyNumberFormat="1" applyFont="1" applyAlignment="1">
      <alignment horizontal="center" wrapText="1"/>
    </xf>
    <xf numFmtId="171" fontId="0" fillId="0" borderId="0" xfId="44" applyNumberFormat="1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9" fontId="0" fillId="33" borderId="0" xfId="42" applyNumberFormat="1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9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10" fontId="0" fillId="0" borderId="0" xfId="61" applyNumberFormat="1" applyFont="1" applyAlignment="1">
      <alignment/>
    </xf>
    <xf numFmtId="171" fontId="50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179" fontId="0" fillId="0" borderId="0" xfId="42" applyNumberFormat="1" applyFont="1" applyAlignment="1">
      <alignment/>
    </xf>
    <xf numFmtId="171" fontId="0" fillId="0" borderId="11" xfId="0" applyNumberFormat="1" applyBorder="1" applyAlignment="1">
      <alignment/>
    </xf>
    <xf numFmtId="171" fontId="0" fillId="0" borderId="0" xfId="0" applyNumberFormat="1" applyFont="1" applyAlignment="1">
      <alignment/>
    </xf>
    <xf numFmtId="171" fontId="47" fillId="0" borderId="12" xfId="0" applyNumberFormat="1" applyFont="1" applyBorder="1" applyAlignment="1">
      <alignment/>
    </xf>
    <xf numFmtId="171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42" applyNumberFormat="1" applyFont="1" applyAlignment="1">
      <alignment/>
    </xf>
    <xf numFmtId="171" fontId="0" fillId="0" borderId="0" xfId="44" applyNumberFormat="1" applyFont="1" applyAlignment="1">
      <alignment/>
    </xf>
    <xf numFmtId="17" fontId="47" fillId="0" borderId="0" xfId="0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171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179" fontId="0" fillId="0" borderId="0" xfId="42" applyNumberFormat="1" applyFont="1" applyFill="1" applyAlignment="1">
      <alignment wrapText="1"/>
    </xf>
    <xf numFmtId="171" fontId="0" fillId="0" borderId="0" xfId="0" applyNumberFormat="1" applyFill="1" applyAlignment="1">
      <alignment/>
    </xf>
    <xf numFmtId="171" fontId="0" fillId="0" borderId="0" xfId="44" applyNumberFormat="1" applyFont="1" applyFill="1" applyAlignment="1">
      <alignment/>
    </xf>
    <xf numFmtId="0" fontId="47" fillId="0" borderId="0" xfId="0" applyFont="1" applyAlignment="1">
      <alignment horizontal="center" wrapText="1"/>
    </xf>
    <xf numFmtId="44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/>
    </xf>
    <xf numFmtId="171" fontId="0" fillId="0" borderId="0" xfId="44" applyNumberFormat="1" applyFont="1" applyAlignment="1">
      <alignment/>
    </xf>
    <xf numFmtId="0" fontId="47" fillId="0" borderId="0" xfId="0" applyFont="1" applyAlignment="1">
      <alignment horizontal="center"/>
    </xf>
    <xf numFmtId="44" fontId="0" fillId="0" borderId="0" xfId="44" applyFont="1" applyAlignment="1">
      <alignment/>
    </xf>
    <xf numFmtId="171" fontId="0" fillId="0" borderId="0" xfId="0" applyNumberFormat="1" applyBorder="1" applyAlignment="1">
      <alignment/>
    </xf>
    <xf numFmtId="171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47" fillId="0" borderId="0" xfId="44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44" fontId="0" fillId="0" borderId="0" xfId="44" applyFont="1" applyAlignment="1">
      <alignment/>
    </xf>
    <xf numFmtId="0" fontId="51" fillId="0" borderId="0" xfId="0" applyFont="1" applyAlignment="1">
      <alignment horizontal="center"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171" fontId="0" fillId="0" borderId="0" xfId="44" applyNumberFormat="1" applyFont="1" applyAlignment="1">
      <alignment/>
    </xf>
    <xf numFmtId="10" fontId="0" fillId="0" borderId="0" xfId="61" applyNumberFormat="1" applyFont="1" applyAlignment="1">
      <alignment/>
    </xf>
    <xf numFmtId="44" fontId="0" fillId="0" borderId="0" xfId="44" applyFont="1" applyFill="1" applyAlignment="1">
      <alignment/>
    </xf>
    <xf numFmtId="6" fontId="29" fillId="0" borderId="0" xfId="0" applyNumberFormat="1" applyFont="1" applyAlignment="1">
      <alignment/>
    </xf>
    <xf numFmtId="49" fontId="52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17" fontId="47" fillId="0" borderId="0" xfId="0" applyNumberFormat="1" applyFont="1" applyAlignment="1" quotePrefix="1">
      <alignment horizontal="center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/>
    </xf>
    <xf numFmtId="49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pane ySplit="5" topLeftCell="A6" activePane="bottomLeft" state="frozen"/>
      <selection pane="topLeft" activeCell="C20" sqref="C20"/>
      <selection pane="bottomLeft" activeCell="E5" sqref="E5"/>
    </sheetView>
  </sheetViews>
  <sheetFormatPr defaultColWidth="9.140625" defaultRowHeight="15" outlineLevelRow="2"/>
  <cols>
    <col min="1" max="1" width="10.421875" style="4" customWidth="1"/>
    <col min="2" max="2" width="17.57421875" style="6" customWidth="1"/>
    <col min="3" max="3" width="19.140625" style="0" hidden="1" customWidth="1"/>
    <col min="4" max="4" width="19.140625" style="7" customWidth="1"/>
    <col min="5" max="5" width="19.140625" style="0" customWidth="1"/>
    <col min="6" max="6" width="19.00390625" style="0" customWidth="1"/>
    <col min="7" max="7" width="8.8515625" style="0" customWidth="1"/>
  </cols>
  <sheetData>
    <row r="1" spans="1:6" s="7" customFormat="1" ht="15.75">
      <c r="A1" s="101"/>
      <c r="B1" s="101"/>
      <c r="C1" s="101"/>
      <c r="D1" s="101"/>
      <c r="E1" s="101"/>
      <c r="F1" s="101"/>
    </row>
    <row r="2" spans="1:6" s="7" customFormat="1" ht="15.75">
      <c r="A2" s="101"/>
      <c r="B2" s="101"/>
      <c r="C2" s="101"/>
      <c r="D2" s="101"/>
      <c r="E2" s="101"/>
      <c r="F2" s="101"/>
    </row>
    <row r="3" spans="1:6" s="7" customFormat="1" ht="15.75">
      <c r="A3" s="101"/>
      <c r="B3" s="101"/>
      <c r="C3" s="101"/>
      <c r="D3" s="101"/>
      <c r="E3" s="101"/>
      <c r="F3" s="101"/>
    </row>
    <row r="4" spans="1:5" s="7" customFormat="1" ht="15">
      <c r="A4" s="4"/>
      <c r="B4" s="6"/>
      <c r="E4" s="70"/>
    </row>
    <row r="5" spans="1:6" s="1" customFormat="1" ht="30">
      <c r="A5" s="3" t="s">
        <v>2</v>
      </c>
      <c r="B5" s="3" t="s">
        <v>3</v>
      </c>
      <c r="C5" s="2" t="s">
        <v>71</v>
      </c>
      <c r="D5" s="93" t="s">
        <v>100</v>
      </c>
      <c r="E5" s="67" t="s">
        <v>5</v>
      </c>
      <c r="F5" s="2" t="s">
        <v>0</v>
      </c>
    </row>
    <row r="6" spans="1:8" ht="15" outlineLevel="2">
      <c r="A6" s="4" t="s">
        <v>1</v>
      </c>
      <c r="B6" s="6">
        <v>2001</v>
      </c>
      <c r="C6" s="18">
        <v>1278154</v>
      </c>
      <c r="D6" s="18">
        <f>0.5*C6</f>
        <v>639077</v>
      </c>
      <c r="E6" s="18">
        <v>252787.77178291074</v>
      </c>
      <c r="F6" s="18">
        <f>D6-E6</f>
        <v>386289.22821708926</v>
      </c>
      <c r="G6" s="18"/>
      <c r="H6" s="18"/>
    </row>
    <row r="7" spans="1:8" ht="15" outlineLevel="2">
      <c r="A7" s="4" t="s">
        <v>1</v>
      </c>
      <c r="B7" s="6">
        <v>2002</v>
      </c>
      <c r="C7" s="18">
        <v>6326133</v>
      </c>
      <c r="D7" s="18">
        <f aca="true" t="shared" si="0" ref="D7:D18">0.5*C7</f>
        <v>3163066.5</v>
      </c>
      <c r="E7" s="18">
        <v>1150388.3915460182</v>
      </c>
      <c r="F7" s="18">
        <f aca="true" t="shared" si="1" ref="F7:F18">D7-E7</f>
        <v>2012678.1084539818</v>
      </c>
      <c r="G7" s="18"/>
      <c r="H7" s="18"/>
    </row>
    <row r="8" spans="1:8" ht="15" outlineLevel="2">
      <c r="A8" s="4" t="s">
        <v>1</v>
      </c>
      <c r="B8" s="6">
        <v>2003</v>
      </c>
      <c r="C8" s="18">
        <v>445095</v>
      </c>
      <c r="D8" s="18">
        <f t="shared" si="0"/>
        <v>222547.5</v>
      </c>
      <c r="E8" s="18">
        <v>72569.68772054817</v>
      </c>
      <c r="F8" s="18">
        <f t="shared" si="1"/>
        <v>149977.8122794518</v>
      </c>
      <c r="G8" s="18"/>
      <c r="H8" s="18"/>
    </row>
    <row r="9" spans="1:8" ht="15" outlineLevel="2">
      <c r="A9" s="4" t="s">
        <v>1</v>
      </c>
      <c r="B9" s="6">
        <v>2004</v>
      </c>
      <c r="C9" s="18">
        <v>801546</v>
      </c>
      <c r="D9" s="18">
        <f t="shared" si="0"/>
        <v>400773</v>
      </c>
      <c r="E9" s="18">
        <v>114973.29751624756</v>
      </c>
      <c r="F9" s="18">
        <f t="shared" si="1"/>
        <v>285799.70248375245</v>
      </c>
      <c r="G9" s="18"/>
      <c r="H9" s="18"/>
    </row>
    <row r="10" spans="1:8" ht="15" outlineLevel="2">
      <c r="A10" s="4" t="s">
        <v>1</v>
      </c>
      <c r="B10" s="6">
        <v>2005</v>
      </c>
      <c r="C10" s="18">
        <v>37558620</v>
      </c>
      <c r="D10" s="18">
        <f t="shared" si="0"/>
        <v>18779310</v>
      </c>
      <c r="E10" s="18">
        <v>5007066.065913293</v>
      </c>
      <c r="F10" s="18">
        <f t="shared" si="1"/>
        <v>13772243.934086706</v>
      </c>
      <c r="G10" s="18"/>
      <c r="H10" s="18"/>
    </row>
    <row r="11" spans="1:8" ht="15" outlineLevel="2">
      <c r="A11" s="4" t="s">
        <v>1</v>
      </c>
      <c r="B11" s="6">
        <v>2006</v>
      </c>
      <c r="C11" s="18">
        <v>21359152</v>
      </c>
      <c r="D11" s="18">
        <f t="shared" si="0"/>
        <v>10679576</v>
      </c>
      <c r="E11" s="18">
        <v>2529314.2605637927</v>
      </c>
      <c r="F11" s="18">
        <f t="shared" si="1"/>
        <v>8150261.739436207</v>
      </c>
      <c r="G11" s="18"/>
      <c r="H11" s="18"/>
    </row>
    <row r="12" spans="1:8" ht="15" outlineLevel="2">
      <c r="A12" s="4" t="s">
        <v>1</v>
      </c>
      <c r="B12" s="6">
        <v>2007</v>
      </c>
      <c r="C12" s="18">
        <v>1019339794.77</v>
      </c>
      <c r="D12" s="18">
        <f t="shared" si="0"/>
        <v>509669897.385</v>
      </c>
      <c r="E12" s="18">
        <v>103878046.18651865</v>
      </c>
      <c r="F12" s="18">
        <f t="shared" si="1"/>
        <v>405791851.1984813</v>
      </c>
      <c r="G12" s="18"/>
      <c r="H12" s="18"/>
    </row>
    <row r="13" spans="1:8" ht="15" outlineLevel="2">
      <c r="A13" s="4" t="s">
        <v>1</v>
      </c>
      <c r="B13" s="6">
        <v>2008</v>
      </c>
      <c r="C13" s="18">
        <v>32503276.619999997</v>
      </c>
      <c r="D13" s="18">
        <f t="shared" si="0"/>
        <v>16251638.309999999</v>
      </c>
      <c r="E13" s="18">
        <v>6405049.378304487</v>
      </c>
      <c r="F13" s="18">
        <f t="shared" si="1"/>
        <v>9846588.931695512</v>
      </c>
      <c r="G13" s="18"/>
      <c r="H13" s="18"/>
    </row>
    <row r="14" spans="1:8" ht="15" outlineLevel="2">
      <c r="A14" s="4" t="s">
        <v>1</v>
      </c>
      <c r="B14" s="6">
        <v>2009</v>
      </c>
      <c r="C14" s="18">
        <v>22772006.05000053</v>
      </c>
      <c r="D14" s="18">
        <f t="shared" si="0"/>
        <v>11386003.025000265</v>
      </c>
      <c r="E14" s="18">
        <v>2077095.1677207288</v>
      </c>
      <c r="F14" s="18">
        <f t="shared" si="1"/>
        <v>9308907.857279535</v>
      </c>
      <c r="G14" s="18"/>
      <c r="H14" s="18"/>
    </row>
    <row r="15" spans="1:8" ht="15" outlineLevel="2">
      <c r="A15" s="4" t="s">
        <v>1</v>
      </c>
      <c r="B15" s="6">
        <v>2010</v>
      </c>
      <c r="C15" s="100">
        <v>-245680.77999999985</v>
      </c>
      <c r="D15" s="100">
        <f t="shared" si="0"/>
        <v>-122840.38999999993</v>
      </c>
      <c r="E15" s="100">
        <v>-13237.418465659508</v>
      </c>
      <c r="F15" s="100">
        <f t="shared" si="1"/>
        <v>-109602.97153434042</v>
      </c>
      <c r="G15" s="18"/>
      <c r="H15" s="18"/>
    </row>
    <row r="16" spans="1:8" ht="15" outlineLevel="2">
      <c r="A16" s="4" t="s">
        <v>1</v>
      </c>
      <c r="B16" s="6">
        <v>2011</v>
      </c>
      <c r="C16" s="18">
        <v>7786099.730000001</v>
      </c>
      <c r="D16" s="18">
        <f t="shared" si="0"/>
        <v>3893049.8650000007</v>
      </c>
      <c r="E16" s="18">
        <v>286012.741188538</v>
      </c>
      <c r="F16" s="18">
        <f t="shared" si="1"/>
        <v>3607037.123811463</v>
      </c>
      <c r="G16" s="18"/>
      <c r="H16" s="18"/>
    </row>
    <row r="17" spans="1:8" ht="15" outlineLevel="2">
      <c r="A17" s="4" t="s">
        <v>1</v>
      </c>
      <c r="B17" s="6">
        <v>2012</v>
      </c>
      <c r="C17" s="18">
        <v>5655052.099999998</v>
      </c>
      <c r="D17" s="18">
        <f t="shared" si="0"/>
        <v>2827526.049999999</v>
      </c>
      <c r="E17" s="18">
        <v>223646.72817956994</v>
      </c>
      <c r="F17" s="18">
        <f t="shared" si="1"/>
        <v>2603879.321820429</v>
      </c>
      <c r="G17" s="18"/>
      <c r="H17" s="18"/>
    </row>
    <row r="18" spans="1:8" ht="15" outlineLevel="2">
      <c r="A18" s="4" t="s">
        <v>1</v>
      </c>
      <c r="B18" s="6">
        <v>2013</v>
      </c>
      <c r="C18" s="18">
        <v>5258937.920000001</v>
      </c>
      <c r="D18" s="18">
        <f t="shared" si="0"/>
        <v>2629468.9600000004</v>
      </c>
      <c r="E18" s="18">
        <v>37473.17278590258</v>
      </c>
      <c r="F18" s="18">
        <f t="shared" si="1"/>
        <v>2591995.787214098</v>
      </c>
      <c r="G18" s="18"/>
      <c r="H18" s="18"/>
    </row>
    <row r="19" spans="1:8" s="7" customFormat="1" ht="16.5" customHeight="1" outlineLevel="1">
      <c r="A19" s="4"/>
      <c r="B19" s="6"/>
      <c r="C19" s="73">
        <f>SUBTOTAL(9,C6:C18)</f>
        <v>1160838186.4100003</v>
      </c>
      <c r="D19" s="73">
        <f>SUM(D6:D18)</f>
        <v>580419093.2050002</v>
      </c>
      <c r="E19" s="73">
        <f>SUBTOTAL(9,E6:E18)</f>
        <v>122021185.43127504</v>
      </c>
      <c r="F19" s="73">
        <f>SUM(F6:F18)</f>
        <v>458397907.7737253</v>
      </c>
      <c r="G19" s="18"/>
      <c r="H19" s="18"/>
    </row>
    <row r="21" spans="1:6" s="1" customFormat="1" ht="15">
      <c r="A21" s="3"/>
      <c r="B21" s="93"/>
      <c r="C21" s="5">
        <f>0.5*C19</f>
        <v>580419093.2050002</v>
      </c>
      <c r="D21" s="5"/>
      <c r="E21" s="5" t="s">
        <v>52</v>
      </c>
      <c r="F21" s="5" t="s">
        <v>52</v>
      </c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fitToHeight="1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zoomScalePageLayoutView="0" workbookViewId="0" topLeftCell="G1">
      <selection activeCell="E14" sqref="E14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75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57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56" t="s">
        <v>43</v>
      </c>
      <c r="D7" s="1"/>
      <c r="E7" s="103"/>
      <c r="F7" s="1"/>
      <c r="G7" s="1"/>
      <c r="H7" s="103"/>
      <c r="I7" s="1"/>
      <c r="J7" s="103"/>
    </row>
    <row r="8" ht="15">
      <c r="A8" s="57"/>
    </row>
    <row r="9" spans="1:10" ht="15">
      <c r="A9" s="57">
        <v>1</v>
      </c>
      <c r="C9" s="7" t="s">
        <v>42</v>
      </c>
      <c r="E9" s="97">
        <f>Depreciation!C11</f>
        <v>253225681.30000007</v>
      </c>
      <c r="F9" s="20"/>
      <c r="G9" s="20"/>
      <c r="H9" s="18">
        <v>327193411.905</v>
      </c>
      <c r="I9" s="20"/>
      <c r="J9" s="20">
        <f>E9+H9</f>
        <v>580419093.205</v>
      </c>
    </row>
    <row r="10" spans="1:10" ht="15">
      <c r="A10" s="57">
        <f aca="true" t="shared" si="0" ref="A10:A38">A9+1</f>
        <v>2</v>
      </c>
      <c r="C10" s="7" t="s">
        <v>41</v>
      </c>
      <c r="E10" s="20">
        <f>Depreciation!I11</f>
        <v>60508079.1844893</v>
      </c>
      <c r="F10" s="20"/>
      <c r="G10" s="20"/>
      <c r="H10" s="20">
        <f>Depreciation!I26</f>
        <v>73552693.55184339</v>
      </c>
      <c r="I10" s="20"/>
      <c r="J10" s="20">
        <f>E10+H10</f>
        <v>134060772.73633268</v>
      </c>
    </row>
    <row r="11" spans="1:10" ht="15">
      <c r="A11" s="57">
        <f t="shared" si="0"/>
        <v>3</v>
      </c>
      <c r="C11" s="7" t="s">
        <v>40</v>
      </c>
      <c r="E11" s="20">
        <f>ADFIT!C9</f>
        <v>20848034</v>
      </c>
      <c r="F11" s="20"/>
      <c r="G11" s="20"/>
      <c r="H11" s="20">
        <f>ADFIT!G9</f>
        <v>24377616</v>
      </c>
      <c r="I11" s="20"/>
      <c r="J11" s="20">
        <f>SUM(E11+H11)</f>
        <v>45225650</v>
      </c>
    </row>
    <row r="12" spans="1:10" ht="15">
      <c r="A12" s="57">
        <f t="shared" si="0"/>
        <v>4</v>
      </c>
      <c r="C12" s="7" t="s">
        <v>39</v>
      </c>
      <c r="E12" s="55">
        <f aca="true" t="shared" si="1" ref="E12:J12">E9-E10-E11</f>
        <v>171869568.11551076</v>
      </c>
      <c r="F12" s="55">
        <f t="shared" si="1"/>
        <v>0</v>
      </c>
      <c r="G12" s="55">
        <f t="shared" si="1"/>
        <v>0</v>
      </c>
      <c r="H12" s="55">
        <f t="shared" si="1"/>
        <v>229263102.35315657</v>
      </c>
      <c r="I12" s="55">
        <f t="shared" si="1"/>
        <v>0</v>
      </c>
      <c r="J12" s="55">
        <f t="shared" si="1"/>
        <v>401132670.4686674</v>
      </c>
    </row>
    <row r="13" spans="1:10" ht="15">
      <c r="A13" s="57">
        <f t="shared" si="0"/>
        <v>5</v>
      </c>
      <c r="C13" s="7" t="s">
        <v>38</v>
      </c>
      <c r="E13" s="20">
        <f>'S2'!L36</f>
        <v>2722729</v>
      </c>
      <c r="F13" s="20"/>
      <c r="G13" s="20"/>
      <c r="H13" s="20"/>
      <c r="I13" s="20"/>
      <c r="J13" s="20">
        <f>SUM(E13:H13)</f>
        <v>2722729</v>
      </c>
    </row>
    <row r="14" spans="1:10" ht="15">
      <c r="A14" s="57">
        <f t="shared" si="0"/>
        <v>6</v>
      </c>
      <c r="C14" s="7" t="s">
        <v>37</v>
      </c>
      <c r="E14" s="65">
        <f>'AN'!L36+NOx!L36</f>
        <v>203419</v>
      </c>
      <c r="F14" s="20"/>
      <c r="G14" s="20"/>
      <c r="H14" s="20"/>
      <c r="I14" s="20"/>
      <c r="J14" s="20">
        <f>SUM(E14:H14)</f>
        <v>203419</v>
      </c>
    </row>
    <row r="15" spans="1:10" ht="15">
      <c r="A15" s="57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56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175146995.99780244</v>
      </c>
      <c r="F16" s="55">
        <f t="shared" si="2"/>
        <v>0</v>
      </c>
      <c r="G16" s="55">
        <f t="shared" si="2"/>
        <v>0</v>
      </c>
      <c r="H16" s="54">
        <f t="shared" si="2"/>
        <v>229842949.68815657</v>
      </c>
      <c r="I16" s="55">
        <f t="shared" si="2"/>
        <v>0</v>
      </c>
      <c r="J16" s="54">
        <f t="shared" si="2"/>
        <v>404989945.68595904</v>
      </c>
    </row>
    <row r="17" spans="1:10" ht="15.75" thickTop="1">
      <c r="A17" s="57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57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57">
        <f t="shared" si="0"/>
        <v>11</v>
      </c>
      <c r="C19" s="7" t="s">
        <v>32</v>
      </c>
      <c r="E19" s="20">
        <f>E16*E18</f>
        <v>1560267.8226804233</v>
      </c>
      <c r="F19" s="20"/>
      <c r="G19" s="20"/>
      <c r="H19" s="20">
        <f>H16*H18</f>
        <v>2047517.6101386612</v>
      </c>
      <c r="I19" s="20"/>
      <c r="J19" s="20">
        <f>J16*J18</f>
        <v>3607785.4328190847</v>
      </c>
    </row>
    <row r="20" spans="1:13" ht="15">
      <c r="A20" s="57">
        <f t="shared" si="0"/>
        <v>12</v>
      </c>
      <c r="C20" s="7" t="s">
        <v>31</v>
      </c>
      <c r="E20" s="68">
        <v>0</v>
      </c>
      <c r="F20" s="20"/>
      <c r="G20" s="20"/>
      <c r="H20" s="20">
        <f>92.08+2106.7+1210.39+32132.1+2925.14+188.6-48534.04+10875.6</f>
        <v>996.5699999999943</v>
      </c>
      <c r="I20" s="20"/>
      <c r="J20" s="20">
        <f>SUM(H20+E20)</f>
        <v>996.5699999999943</v>
      </c>
      <c r="L20" s="7">
        <f>92.08+2106.7+1210.39+32132.1+2925.14+188.6+10875.6-48534.04</f>
        <v>996.5699999999924</v>
      </c>
      <c r="M20" s="7" t="s">
        <v>52</v>
      </c>
    </row>
    <row r="21" spans="1:12" ht="15">
      <c r="A21" s="57">
        <f t="shared" si="0"/>
        <v>13</v>
      </c>
      <c r="C21" s="7" t="s">
        <v>30</v>
      </c>
      <c r="E21" s="20">
        <f>85787.53+3.68+482.61</f>
        <v>86273.81999999999</v>
      </c>
      <c r="F21" s="20"/>
      <c r="G21" s="20"/>
      <c r="H21" s="20">
        <v>0</v>
      </c>
      <c r="I21" s="20"/>
      <c r="J21" s="20">
        <f aca="true" t="shared" si="3" ref="J21:J29">SUM(H21+E21)</f>
        <v>86273.81999999999</v>
      </c>
      <c r="L21" s="7">
        <f>85787.53+3.68+482.61</f>
        <v>86273.81999999999</v>
      </c>
    </row>
    <row r="22" spans="1:12" ht="15">
      <c r="A22" s="57">
        <f t="shared" si="0"/>
        <v>14</v>
      </c>
      <c r="C22" s="7" t="s">
        <v>29</v>
      </c>
      <c r="E22" s="20">
        <f>25873.42+3.53+185.36</f>
        <v>26062.309999999998</v>
      </c>
      <c r="F22" s="20"/>
      <c r="G22" s="20"/>
      <c r="H22" s="20">
        <v>0</v>
      </c>
      <c r="I22" s="20"/>
      <c r="J22" s="20">
        <f t="shared" si="3"/>
        <v>26062.309999999998</v>
      </c>
      <c r="L22" s="7">
        <f>25873.42+3.53+185.36</f>
        <v>26062.309999999998</v>
      </c>
    </row>
    <row r="23" spans="1:12" ht="15">
      <c r="A23" s="57">
        <f t="shared" si="0"/>
        <v>15</v>
      </c>
      <c r="C23" s="7" t="s">
        <v>28</v>
      </c>
      <c r="E23" s="20"/>
      <c r="F23" s="20"/>
      <c r="G23" s="20"/>
      <c r="H23" s="20">
        <v>185865</v>
      </c>
      <c r="I23" s="20"/>
      <c r="J23" s="20">
        <f t="shared" si="3"/>
        <v>185865</v>
      </c>
      <c r="L23" s="7">
        <f>111.47+1999.39+178563.97+10.34+3544.37+1635.32</f>
        <v>185864.86</v>
      </c>
    </row>
    <row r="24" spans="1:12" ht="15">
      <c r="A24" s="57">
        <f t="shared" si="0"/>
        <v>16</v>
      </c>
      <c r="C24" s="7" t="s">
        <v>54</v>
      </c>
      <c r="E24" s="20"/>
      <c r="F24" s="20"/>
      <c r="G24" s="20"/>
      <c r="H24" s="20">
        <v>2611</v>
      </c>
      <c r="I24" s="20"/>
      <c r="J24" s="20">
        <f t="shared" si="3"/>
        <v>2611</v>
      </c>
      <c r="L24" s="7">
        <f>36.93+1396.56+1.28+1174.57+1.21</f>
        <v>2610.55</v>
      </c>
    </row>
    <row r="25" spans="1:12" ht="15">
      <c r="A25" s="57">
        <f t="shared" si="0"/>
        <v>17</v>
      </c>
      <c r="C25" s="7" t="s">
        <v>55</v>
      </c>
      <c r="E25" s="20">
        <v>0</v>
      </c>
      <c r="F25" s="20"/>
      <c r="G25" s="20"/>
      <c r="H25" s="20">
        <f>1455.45+555.47</f>
        <v>2010.92</v>
      </c>
      <c r="I25" s="20"/>
      <c r="J25" s="20">
        <f t="shared" si="3"/>
        <v>2010.92</v>
      </c>
      <c r="L25" s="7">
        <f>1455.45+555.47</f>
        <v>2010.92</v>
      </c>
    </row>
    <row r="26" spans="1:10" ht="15">
      <c r="A26" s="57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57">
        <f t="shared" si="0"/>
        <v>19</v>
      </c>
      <c r="C27" s="7" t="s">
        <v>26</v>
      </c>
      <c r="E27" s="20">
        <f>'S2'!L35</f>
        <v>43277.02</v>
      </c>
      <c r="F27" s="20"/>
      <c r="G27" s="20"/>
      <c r="H27" s="20">
        <v>0</v>
      </c>
      <c r="I27" s="20"/>
      <c r="J27" s="20">
        <f t="shared" si="3"/>
        <v>43277.02</v>
      </c>
    </row>
    <row r="28" spans="1:10" ht="15">
      <c r="A28" s="57">
        <f t="shared" si="0"/>
        <v>20</v>
      </c>
      <c r="C28" s="7" t="s">
        <v>25</v>
      </c>
      <c r="E28" s="20">
        <f>NOx!L35</f>
        <v>1284</v>
      </c>
      <c r="F28" s="20"/>
      <c r="G28" s="20"/>
      <c r="H28" s="20">
        <v>0</v>
      </c>
      <c r="I28" s="20"/>
      <c r="J28" s="20">
        <f t="shared" si="3"/>
        <v>1284</v>
      </c>
    </row>
    <row r="29" spans="1:10" ht="17.25">
      <c r="A29" s="57">
        <f t="shared" si="0"/>
        <v>21</v>
      </c>
      <c r="C29" s="7" t="s">
        <v>24</v>
      </c>
      <c r="E29" s="53">
        <f>'AN'!L35</f>
        <v>1951</v>
      </c>
      <c r="F29" s="20"/>
      <c r="G29" s="20"/>
      <c r="H29" s="49">
        <v>0</v>
      </c>
      <c r="I29" s="20"/>
      <c r="J29" s="20">
        <f t="shared" si="3"/>
        <v>1951</v>
      </c>
    </row>
    <row r="30" spans="1:10" ht="15.75" thickBot="1">
      <c r="A30" s="56">
        <f t="shared" si="0"/>
        <v>22</v>
      </c>
      <c r="B30" s="1"/>
      <c r="C30" s="21" t="s">
        <v>23</v>
      </c>
      <c r="D30" s="1"/>
      <c r="E30" s="54">
        <f>SUM(E19:E29)</f>
        <v>1725106.5897637568</v>
      </c>
      <c r="F30" s="55"/>
      <c r="G30" s="55"/>
      <c r="H30" s="54">
        <f>SUM(H18:H29)</f>
        <v>2239001.1090469947</v>
      </c>
      <c r="I30" s="55"/>
      <c r="J30" s="54">
        <f>SUM(J19:J29)</f>
        <v>3964107.689902418</v>
      </c>
    </row>
    <row r="31" spans="1:12" ht="15.75" thickTop="1">
      <c r="A31" s="57">
        <f t="shared" si="0"/>
        <v>23</v>
      </c>
      <c r="C31" s="7" t="s">
        <v>22</v>
      </c>
      <c r="E31" s="22">
        <v>0</v>
      </c>
      <c r="F31" s="20"/>
      <c r="G31" s="20"/>
      <c r="H31" s="20">
        <f>306.51+12912.43+60728.92+8.87+32654.57+9758.57+9.88</f>
        <v>116379.75</v>
      </c>
      <c r="I31" s="20"/>
      <c r="J31" s="20">
        <f>E31+H31</f>
        <v>116379.75</v>
      </c>
      <c r="L31" s="7">
        <f>306.51+12912.43+60728.92+8.87+32654.57+9758.57+9.88</f>
        <v>116379.75</v>
      </c>
    </row>
    <row r="32" spans="1:12" ht="15">
      <c r="A32" s="57">
        <f t="shared" si="0"/>
        <v>24</v>
      </c>
      <c r="C32" s="7" t="s">
        <v>89</v>
      </c>
      <c r="E32" s="20">
        <f>0.09+0.01+2.83+90.07+0.09+7612.11+5.15+164.1+350.1+0.1+0.11+19429.11+1.63+52.56+3.13+0.06+288.35+796.37+205.79+154.27+0.99+31.27+0.02+963.65+864.44+18354.8+60.68+1926.24+15631.24+15631.26+1.97+7.05+216.89+0.05+907.49</f>
        <v>83754.07000000002</v>
      </c>
      <c r="F32" s="20"/>
      <c r="G32" s="20"/>
      <c r="H32" s="20">
        <v>0</v>
      </c>
      <c r="I32" s="20"/>
      <c r="J32" s="20">
        <f>E32+H32</f>
        <v>83754.07000000002</v>
      </c>
      <c r="L32" s="7">
        <f>0.09+0.01+2.83+90.07+0.09+7612.11+5.15+164.1+350.1+0.1+0.11+19429.11+1.63+52.56+3.13+0.06+288.35+796.37+205.79+154.27+907.49+0.99+31.27+0.02+963.65+864.44+18354.8+60.68+1926.24+15631.26+1.97+7.05+216.89+15631.26</f>
        <v>83754.04000000001</v>
      </c>
    </row>
    <row r="33" spans="1:10" ht="15.75" thickBot="1">
      <c r="A33" s="56">
        <f t="shared" si="0"/>
        <v>25</v>
      </c>
      <c r="B33" s="1"/>
      <c r="C33" s="21" t="s">
        <v>20</v>
      </c>
      <c r="D33" s="1"/>
      <c r="E33" s="54">
        <f>SUM(E31:E32)</f>
        <v>83754.07000000002</v>
      </c>
      <c r="F33" s="54"/>
      <c r="G33" s="81"/>
      <c r="H33" s="54">
        <f>SUM(H31:H32)</f>
        <v>116379.75</v>
      </c>
      <c r="I33" s="81"/>
      <c r="J33" s="54">
        <f>SUM(J31:J32)</f>
        <v>200133.82</v>
      </c>
    </row>
    <row r="34" spans="1:10" ht="15.75" thickTop="1">
      <c r="A34" s="57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57">
        <f t="shared" si="0"/>
        <v>27</v>
      </c>
      <c r="C35" s="7" t="s">
        <v>18</v>
      </c>
      <c r="E35" s="20">
        <f>January!E34</f>
        <v>85313.7025</v>
      </c>
      <c r="F35" s="20"/>
      <c r="G35" s="20"/>
      <c r="H35" s="20"/>
      <c r="I35" s="20"/>
      <c r="J35" s="20">
        <f>E35+H35</f>
        <v>85313.7025</v>
      </c>
    </row>
    <row r="36" spans="1:10" ht="15">
      <c r="A36" s="57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8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56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56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2632210.5891071483</v>
      </c>
      <c r="F38" s="55">
        <f t="shared" si="5"/>
        <v>0</v>
      </c>
      <c r="G38" s="55">
        <f t="shared" si="5"/>
        <v>0</v>
      </c>
      <c r="H38" s="55">
        <f t="shared" si="5"/>
        <v>3226367.540248692</v>
      </c>
      <c r="I38" s="55">
        <f t="shared" si="5"/>
        <v>0</v>
      </c>
      <c r="J38" s="55">
        <f t="shared" si="5"/>
        <v>5858578.120447506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N23" sqref="N23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80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72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71" t="s">
        <v>43</v>
      </c>
      <c r="D7" s="1"/>
      <c r="E7" s="103"/>
      <c r="F7" s="1"/>
      <c r="G7" s="1"/>
      <c r="H7" s="103"/>
      <c r="I7" s="1"/>
      <c r="J7" s="103"/>
    </row>
    <row r="8" ht="15">
      <c r="A8" s="72"/>
    </row>
    <row r="9" spans="1:10" ht="15">
      <c r="A9" s="72">
        <v>1</v>
      </c>
      <c r="C9" s="7" t="s">
        <v>42</v>
      </c>
      <c r="E9" s="97">
        <f>Depreciation!C12</f>
        <v>253225681.30000007</v>
      </c>
      <c r="F9" s="20"/>
      <c r="G9" s="20"/>
      <c r="H9" s="18">
        <f>January!H8</f>
        <v>327193411.905</v>
      </c>
      <c r="I9" s="20"/>
      <c r="J9" s="20">
        <v>580419093.2050002</v>
      </c>
    </row>
    <row r="10" spans="1:10" ht="15">
      <c r="A10" s="72">
        <f aca="true" t="shared" si="0" ref="A10:A38">A9+1</f>
        <v>2</v>
      </c>
      <c r="C10" s="7" t="s">
        <v>41</v>
      </c>
      <c r="E10" s="20">
        <f>Depreciation!I12</f>
        <v>61232527.32127414</v>
      </c>
      <c r="F10" s="20"/>
      <c r="G10" s="20"/>
      <c r="H10" s="20">
        <f>Depreciation!I27</f>
        <v>74406123.03456226</v>
      </c>
      <c r="I10" s="20"/>
      <c r="J10" s="20">
        <f>E10+H10</f>
        <v>135638650.3558364</v>
      </c>
    </row>
    <row r="11" spans="1:10" ht="15">
      <c r="A11" s="72">
        <f t="shared" si="0"/>
        <v>3</v>
      </c>
      <c r="C11" s="7" t="s">
        <v>40</v>
      </c>
      <c r="E11" s="20">
        <f>ADFIT!C10</f>
        <v>20903803</v>
      </c>
      <c r="F11" s="20"/>
      <c r="G11" s="20"/>
      <c r="H11" s="20">
        <f>ADFIT!G10</f>
        <v>24497531</v>
      </c>
      <c r="I11" s="20"/>
      <c r="J11" s="20">
        <f>SUM(E11+H11)</f>
        <v>45401334</v>
      </c>
    </row>
    <row r="12" spans="1:10" ht="15">
      <c r="A12" s="72">
        <f t="shared" si="0"/>
        <v>4</v>
      </c>
      <c r="C12" s="7" t="s">
        <v>39</v>
      </c>
      <c r="E12" s="55">
        <f aca="true" t="shared" si="1" ref="E12:J12">E9-E10-E11</f>
        <v>171089350.97872594</v>
      </c>
      <c r="F12" s="55">
        <f t="shared" si="1"/>
        <v>0</v>
      </c>
      <c r="G12" s="55">
        <f t="shared" si="1"/>
        <v>0</v>
      </c>
      <c r="H12" s="55">
        <f t="shared" si="1"/>
        <v>228289757.8704377</v>
      </c>
      <c r="I12" s="55">
        <f t="shared" si="1"/>
        <v>0</v>
      </c>
      <c r="J12" s="55">
        <f t="shared" si="1"/>
        <v>399379108.8491638</v>
      </c>
    </row>
    <row r="13" spans="1:10" ht="15">
      <c r="A13" s="72">
        <f t="shared" si="0"/>
        <v>5</v>
      </c>
      <c r="C13" s="7" t="s">
        <v>38</v>
      </c>
      <c r="E13" s="65">
        <f>'S2'!L41</f>
        <v>2679467.6</v>
      </c>
      <c r="F13" s="20"/>
      <c r="G13" s="20"/>
      <c r="H13" s="20"/>
      <c r="I13" s="20"/>
      <c r="J13" s="20">
        <f>SUM(E13:H13)</f>
        <v>2679467.6</v>
      </c>
    </row>
    <row r="14" spans="1:10" ht="15">
      <c r="A14" s="72">
        <f t="shared" si="0"/>
        <v>6</v>
      </c>
      <c r="C14" s="7" t="s">
        <v>37</v>
      </c>
      <c r="E14" s="65">
        <f>'AN'!L41+NOx!L41</f>
        <v>199327</v>
      </c>
      <c r="F14" s="20"/>
      <c r="G14" s="20"/>
      <c r="H14" s="20"/>
      <c r="I14" s="20"/>
      <c r="J14" s="20">
        <f>SUM(E14:H14)</f>
        <v>199327</v>
      </c>
    </row>
    <row r="15" spans="1:10" ht="15">
      <c r="A15" s="72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71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174319425.4610176</v>
      </c>
      <c r="F16" s="55">
        <f t="shared" si="2"/>
        <v>0</v>
      </c>
      <c r="G16" s="55">
        <f t="shared" si="2"/>
        <v>0</v>
      </c>
      <c r="H16" s="54">
        <f t="shared" si="2"/>
        <v>228869605.20543772</v>
      </c>
      <c r="I16" s="55">
        <f t="shared" si="2"/>
        <v>0</v>
      </c>
      <c r="J16" s="54">
        <f t="shared" si="2"/>
        <v>403189030.66645545</v>
      </c>
    </row>
    <row r="17" spans="1:10" ht="15.75" thickTop="1">
      <c r="A17" s="72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72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72">
        <f t="shared" si="0"/>
        <v>11</v>
      </c>
      <c r="C19" s="7" t="s">
        <v>32</v>
      </c>
      <c r="E19" s="20">
        <f>E16*E18</f>
        <v>1552895.5484818984</v>
      </c>
      <c r="F19" s="20"/>
      <c r="G19" s="20"/>
      <c r="H19" s="20">
        <f>H16*H18</f>
        <v>2038846.7330384408</v>
      </c>
      <c r="I19" s="20"/>
      <c r="J19" s="20">
        <f>J16*J18</f>
        <v>3591742.28152034</v>
      </c>
    </row>
    <row r="20" spans="1:11" ht="15">
      <c r="A20" s="72">
        <f t="shared" si="0"/>
        <v>12</v>
      </c>
      <c r="C20" s="7" t="s">
        <v>31</v>
      </c>
      <c r="E20" s="68">
        <v>0</v>
      </c>
      <c r="F20" s="20"/>
      <c r="G20" s="20"/>
      <c r="H20" s="20">
        <f>233.04+5548.23-4548.93+2820.43+277.28+4597.98+294.69-61879.54</f>
        <v>-52656.82</v>
      </c>
      <c r="I20" s="20"/>
      <c r="J20" s="20">
        <f>SUM(H20+E20)</f>
        <v>-52656.82</v>
      </c>
      <c r="K20" s="7">
        <f>233.04+5548.23-4548.93+2820.43+277.28+4597.98+294.69-61879.54</f>
        <v>-52656.82</v>
      </c>
    </row>
    <row r="21" spans="1:10" ht="15">
      <c r="A21" s="72">
        <f t="shared" si="0"/>
        <v>13</v>
      </c>
      <c r="C21" s="7" t="s">
        <v>30</v>
      </c>
      <c r="E21" s="20">
        <f>211060.77+3.03+653.03</f>
        <v>211716.83</v>
      </c>
      <c r="F21" s="20"/>
      <c r="G21" s="20"/>
      <c r="H21" s="20">
        <v>0</v>
      </c>
      <c r="I21" s="20"/>
      <c r="J21" s="20">
        <f aca="true" t="shared" si="3" ref="J21:J29">SUM(H21+E21)</f>
        <v>211716.83</v>
      </c>
    </row>
    <row r="22" spans="1:10" ht="15">
      <c r="A22" s="72">
        <f t="shared" si="0"/>
        <v>14</v>
      </c>
      <c r="C22" s="7" t="s">
        <v>29</v>
      </c>
      <c r="E22" s="20">
        <f>30341.25+10.11+91.19</f>
        <v>30442.55</v>
      </c>
      <c r="F22" s="20"/>
      <c r="G22" s="20"/>
      <c r="H22" s="20">
        <v>0</v>
      </c>
      <c r="I22" s="20"/>
      <c r="J22" s="20">
        <f t="shared" si="3"/>
        <v>30442.55</v>
      </c>
    </row>
    <row r="23" spans="1:10" ht="15">
      <c r="A23" s="72">
        <f t="shared" si="0"/>
        <v>15</v>
      </c>
      <c r="C23" s="7" t="s">
        <v>28</v>
      </c>
      <c r="E23" s="20">
        <v>0</v>
      </c>
      <c r="F23" s="20"/>
      <c r="G23" s="20"/>
      <c r="H23" s="20">
        <f>158.38+2708.78+475622.07+396.02+3164.87+3093.2+1418.21</f>
        <v>486561.53</v>
      </c>
      <c r="I23" s="20"/>
      <c r="J23" s="20">
        <f t="shared" si="3"/>
        <v>486561.53</v>
      </c>
    </row>
    <row r="24" spans="1:10" ht="15">
      <c r="A24" s="72">
        <f t="shared" si="0"/>
        <v>16</v>
      </c>
      <c r="C24" s="7" t="s">
        <v>54</v>
      </c>
      <c r="E24" s="20">
        <v>0</v>
      </c>
      <c r="F24" s="20"/>
      <c r="G24" s="20"/>
      <c r="H24" s="20">
        <f>49.82+1529.53+25.69+972.37+0.06</f>
        <v>2577.47</v>
      </c>
      <c r="I24" s="20"/>
      <c r="J24" s="20">
        <f t="shared" si="3"/>
        <v>2577.47</v>
      </c>
    </row>
    <row r="25" spans="1:10" ht="15">
      <c r="A25" s="72">
        <f t="shared" si="0"/>
        <v>17</v>
      </c>
      <c r="C25" s="7" t="s">
        <v>55</v>
      </c>
      <c r="E25" s="20">
        <v>0</v>
      </c>
      <c r="F25" s="20"/>
      <c r="G25" s="20"/>
      <c r="H25" s="20">
        <f>975.41</f>
        <v>975.41</v>
      </c>
      <c r="I25" s="20"/>
      <c r="J25" s="20">
        <f t="shared" si="3"/>
        <v>975.41</v>
      </c>
    </row>
    <row r="26" spans="1:10" ht="15">
      <c r="A26" s="72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72">
        <f t="shared" si="0"/>
        <v>19</v>
      </c>
      <c r="C27" s="7" t="s">
        <v>26</v>
      </c>
      <c r="E27" s="20">
        <f>'S2'!L40</f>
        <v>43261.4</v>
      </c>
      <c r="F27" s="20"/>
      <c r="G27" s="20"/>
      <c r="H27" s="20">
        <v>0</v>
      </c>
      <c r="I27" s="20"/>
      <c r="J27" s="20">
        <f t="shared" si="3"/>
        <v>43261.4</v>
      </c>
    </row>
    <row r="28" spans="1:10" ht="15">
      <c r="A28" s="72">
        <f t="shared" si="0"/>
        <v>20</v>
      </c>
      <c r="C28" s="7" t="s">
        <v>25</v>
      </c>
      <c r="E28" s="20">
        <f>NOx!L40</f>
        <v>1623</v>
      </c>
      <c r="F28" s="20"/>
      <c r="G28" s="20"/>
      <c r="H28" s="20">
        <v>0</v>
      </c>
      <c r="I28" s="20"/>
      <c r="J28" s="20">
        <f t="shared" si="3"/>
        <v>1623</v>
      </c>
    </row>
    <row r="29" spans="1:10" ht="17.25">
      <c r="A29" s="72">
        <f t="shared" si="0"/>
        <v>21</v>
      </c>
      <c r="C29" s="7" t="s">
        <v>24</v>
      </c>
      <c r="E29" s="53">
        <f>'AN'!L40</f>
        <v>2469</v>
      </c>
      <c r="F29" s="20"/>
      <c r="G29" s="20"/>
      <c r="H29" s="49">
        <v>0</v>
      </c>
      <c r="I29" s="20"/>
      <c r="J29" s="20">
        <f t="shared" si="3"/>
        <v>2469</v>
      </c>
    </row>
    <row r="30" spans="1:10" ht="15.75" thickBot="1">
      <c r="A30" s="71">
        <f t="shared" si="0"/>
        <v>22</v>
      </c>
      <c r="B30" s="1"/>
      <c r="C30" s="21" t="s">
        <v>23</v>
      </c>
      <c r="D30" s="1"/>
      <c r="E30" s="54">
        <f>SUM(E19:E29)</f>
        <v>1848398.9455652318</v>
      </c>
      <c r="F30" s="55"/>
      <c r="G30" s="55"/>
      <c r="H30" s="54">
        <f>SUM(H18:H29)</f>
        <v>2476304.3319467744</v>
      </c>
      <c r="I30" s="55"/>
      <c r="J30" s="54">
        <f>SUM(J19:J29)</f>
        <v>4324703.268603674</v>
      </c>
    </row>
    <row r="31" spans="1:11" ht="15.75" thickTop="1">
      <c r="A31" s="72">
        <f t="shared" si="0"/>
        <v>23</v>
      </c>
      <c r="C31" s="7" t="s">
        <v>22</v>
      </c>
      <c r="E31" s="22">
        <v>0</v>
      </c>
      <c r="F31" s="20"/>
      <c r="G31" s="20"/>
      <c r="H31" s="20">
        <f>568.7+11544.57+3050.61+219.36+32815+39.95+11126.19+1.06</f>
        <v>59365.44</v>
      </c>
      <c r="I31" s="20"/>
      <c r="J31" s="20">
        <f>E31+H31</f>
        <v>59365.44</v>
      </c>
      <c r="K31" s="7">
        <f>568.7+11544.57+219.36+32815+39.95+11126.19+1.06+3050</f>
        <v>59364.83</v>
      </c>
    </row>
    <row r="32" spans="1:11" ht="15">
      <c r="A32" s="72">
        <f t="shared" si="0"/>
        <v>24</v>
      </c>
      <c r="C32" s="7" t="s">
        <v>89</v>
      </c>
      <c r="E32" s="7">
        <f>0.67+18342.09+93.87+1834.58+4139.12+0.15+60.9+63.23+1.04+20.81+71887.4+3633.45+7.38+209.19+9534.87+1.93+6284.67+20.31+398.97+2082.5+0.07+3.53+966.32+2.09+40.15+400.71+0.01+1.12+404.27+723.52+5.56+110.61+0.02+4.31+85.27+109.71+0.01+109.71+153.31+588.94</f>
        <v>122326.37000000001</v>
      </c>
      <c r="F32" s="20"/>
      <c r="G32" s="20"/>
      <c r="H32" s="20">
        <v>0</v>
      </c>
      <c r="I32" s="20"/>
      <c r="J32" s="20">
        <f>E32+H32</f>
        <v>122326.37000000001</v>
      </c>
      <c r="K32" s="7">
        <f>0.67+18342.09+93.87+1834.58+4139.12+0.15+60.9+63.23+1.04+20.81+71887.4+3633.45+7.38+209.19+9534.87+1.93+6284.67+20.31+398.97+2082.5+0.07+3.53+966.32+2.09+40.15+400.71+0.01+1.12+404.27+723.52+5.56+110.61+0.02+4.31+85.27+109.71+0.01+109.71+588.94+153.31</f>
        <v>122326.37000000001</v>
      </c>
    </row>
    <row r="33" spans="1:10" ht="15.75" thickBot="1">
      <c r="A33" s="71">
        <f t="shared" si="0"/>
        <v>25</v>
      </c>
      <c r="B33" s="1"/>
      <c r="C33" s="21" t="s">
        <v>20</v>
      </c>
      <c r="D33" s="1"/>
      <c r="E33" s="54">
        <f>SUM(E31:E32)</f>
        <v>122326.37000000001</v>
      </c>
      <c r="F33" s="54"/>
      <c r="G33" s="81"/>
      <c r="H33" s="54">
        <f>SUM(H31:H32)</f>
        <v>59365.44</v>
      </c>
      <c r="I33" s="81"/>
      <c r="J33" s="54">
        <f>SUM(J31:J32)</f>
        <v>181691.81</v>
      </c>
    </row>
    <row r="34" spans="1:10" ht="15.75" thickTop="1">
      <c r="A34" s="72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72">
        <f t="shared" si="0"/>
        <v>27</v>
      </c>
      <c r="C35" s="7" t="s">
        <v>18</v>
      </c>
      <c r="E35" s="20">
        <f>January!E34</f>
        <v>85313.7025</v>
      </c>
      <c r="F35" s="20"/>
      <c r="G35" s="20"/>
      <c r="H35" s="20"/>
      <c r="I35" s="20"/>
      <c r="J35" s="20">
        <f>E35+H35</f>
        <v>85313.7025</v>
      </c>
    </row>
    <row r="36" spans="1:10" ht="15">
      <c r="A36" s="72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8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71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71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2794075.2449086234</v>
      </c>
      <c r="F38" s="55">
        <f t="shared" si="5"/>
        <v>0</v>
      </c>
      <c r="G38" s="55">
        <f t="shared" si="5"/>
        <v>0</v>
      </c>
      <c r="H38" s="55">
        <f t="shared" si="5"/>
        <v>3406656.4531484717</v>
      </c>
      <c r="I38" s="55">
        <f t="shared" si="5"/>
        <v>0</v>
      </c>
      <c r="J38" s="55">
        <f t="shared" si="5"/>
        <v>6200731.689148762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O31" sqref="O31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79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72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71" t="s">
        <v>43</v>
      </c>
      <c r="D7" s="1"/>
      <c r="E7" s="103"/>
      <c r="F7" s="1"/>
      <c r="G7" s="1"/>
      <c r="H7" s="103"/>
      <c r="I7" s="1"/>
      <c r="J7" s="103"/>
    </row>
    <row r="8" ht="15">
      <c r="A8" s="72"/>
    </row>
    <row r="9" spans="1:10" ht="15">
      <c r="A9" s="72">
        <v>1</v>
      </c>
      <c r="C9" s="7" t="s">
        <v>42</v>
      </c>
      <c r="E9" s="97">
        <f>Depreciation!C13</f>
        <v>253225681.30000007</v>
      </c>
      <c r="F9" s="20"/>
      <c r="G9" s="20"/>
      <c r="H9" s="18">
        <f>January!H8</f>
        <v>327193411.905</v>
      </c>
      <c r="I9" s="20"/>
      <c r="J9" s="20">
        <f>E9+H9</f>
        <v>580419093.205</v>
      </c>
    </row>
    <row r="10" spans="1:10" ht="15">
      <c r="A10" s="72">
        <f aca="true" t="shared" si="0" ref="A10:A38">A9+1</f>
        <v>2</v>
      </c>
      <c r="C10" s="7" t="s">
        <v>41</v>
      </c>
      <c r="E10" s="20">
        <f>Depreciation!I13</f>
        <v>61956975.458058976</v>
      </c>
      <c r="F10" s="20"/>
      <c r="G10" s="20"/>
      <c r="H10" s="20">
        <f>Depreciation!I28</f>
        <v>75259552.51728113</v>
      </c>
      <c r="I10" s="20"/>
      <c r="J10" s="20">
        <f>E10+H10</f>
        <v>137216527.9753401</v>
      </c>
    </row>
    <row r="11" spans="1:10" ht="15">
      <c r="A11" s="72">
        <f t="shared" si="0"/>
        <v>3</v>
      </c>
      <c r="C11" s="7" t="s">
        <v>40</v>
      </c>
      <c r="E11" s="20">
        <f>ADFIT!C11</f>
        <v>20959572</v>
      </c>
      <c r="F11" s="20">
        <v>-81074582.5</v>
      </c>
      <c r="G11" s="20"/>
      <c r="H11" s="20">
        <f>ADFIT!G11</f>
        <v>24617446</v>
      </c>
      <c r="I11" s="20"/>
      <c r="J11" s="20">
        <f>E11+H11</f>
        <v>45577018</v>
      </c>
    </row>
    <row r="12" spans="1:10" ht="15">
      <c r="A12" s="72">
        <f t="shared" si="0"/>
        <v>4</v>
      </c>
      <c r="C12" s="7" t="s">
        <v>39</v>
      </c>
      <c r="E12" s="55">
        <f aca="true" t="shared" si="1" ref="E12:J12">E9-E10-E11</f>
        <v>170309133.8419411</v>
      </c>
      <c r="F12" s="55">
        <f t="shared" si="1"/>
        <v>81074582.5</v>
      </c>
      <c r="G12" s="55">
        <f t="shared" si="1"/>
        <v>0</v>
      </c>
      <c r="H12" s="55">
        <f t="shared" si="1"/>
        <v>227316413.38771886</v>
      </c>
      <c r="I12" s="55">
        <f t="shared" si="1"/>
        <v>0</v>
      </c>
      <c r="J12" s="55">
        <f t="shared" si="1"/>
        <v>397625547.2296599</v>
      </c>
    </row>
    <row r="13" spans="1:10" ht="15">
      <c r="A13" s="72">
        <f t="shared" si="0"/>
        <v>5</v>
      </c>
      <c r="C13" s="7" t="s">
        <v>38</v>
      </c>
      <c r="E13" s="99">
        <f>'S2'!L46</f>
        <v>2646217.7600000002</v>
      </c>
      <c r="F13" s="20"/>
      <c r="G13" s="20"/>
      <c r="H13" s="20"/>
      <c r="I13" s="20"/>
      <c r="J13" s="20">
        <f>SUM(E13:H13)</f>
        <v>2646217.7600000002</v>
      </c>
    </row>
    <row r="14" spans="1:10" ht="15">
      <c r="A14" s="72">
        <f t="shared" si="0"/>
        <v>6</v>
      </c>
      <c r="C14" s="7" t="s">
        <v>37</v>
      </c>
      <c r="E14" s="65">
        <f>'AN'!L46+NOx!L46</f>
        <v>195526</v>
      </c>
      <c r="F14" s="20"/>
      <c r="G14" s="20"/>
      <c r="H14" s="20"/>
      <c r="I14" s="20"/>
      <c r="J14" s="20">
        <f>SUM(E14:H14)</f>
        <v>195526</v>
      </c>
    </row>
    <row r="15" spans="1:10" ht="15">
      <c r="A15" s="72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71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173502157.48423275</v>
      </c>
      <c r="F16" s="55">
        <f t="shared" si="2"/>
        <v>81074582.5</v>
      </c>
      <c r="G16" s="55">
        <f t="shared" si="2"/>
        <v>0</v>
      </c>
      <c r="H16" s="54">
        <f t="shared" si="2"/>
        <v>227896260.72271886</v>
      </c>
      <c r="I16" s="55">
        <f t="shared" si="2"/>
        <v>0</v>
      </c>
      <c r="J16" s="54">
        <f t="shared" si="2"/>
        <v>401398418.20695156</v>
      </c>
    </row>
    <row r="17" spans="1:10" ht="15.75" thickTop="1">
      <c r="A17" s="72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72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72">
        <f t="shared" si="0"/>
        <v>11</v>
      </c>
      <c r="C19" s="7" t="s">
        <v>32</v>
      </c>
      <c r="E19" s="20">
        <f>E16*E18</f>
        <v>1545615.05292204</v>
      </c>
      <c r="F19" s="20"/>
      <c r="G19" s="20"/>
      <c r="H19" s="20">
        <f>H16*H18</f>
        <v>2030175.8559382204</v>
      </c>
      <c r="I19" s="20"/>
      <c r="J19" s="20">
        <f>J16*J18</f>
        <v>3575790.9088602597</v>
      </c>
    </row>
    <row r="20" spans="1:11" ht="15">
      <c r="A20" s="72">
        <f t="shared" si="0"/>
        <v>12</v>
      </c>
      <c r="C20" s="7" t="s">
        <v>31</v>
      </c>
      <c r="E20" s="68">
        <v>0</v>
      </c>
      <c r="F20" s="20"/>
      <c r="G20" s="20"/>
      <c r="H20" s="20">
        <f>242.69+4275.89-4826.87+6631.24+2932.53+472.66-61682.79+22319.84</f>
        <v>-29634.81</v>
      </c>
      <c r="I20" s="20"/>
      <c r="J20" s="20">
        <f>SUM(H20+E20)</f>
        <v>-29634.81</v>
      </c>
      <c r="K20" s="7">
        <f>242.69+4275.89-4826.87+6631.24+2932.53+472.66-61682.79+22319.84</f>
        <v>-29634.81</v>
      </c>
    </row>
    <row r="21" spans="1:11" ht="15">
      <c r="A21" s="72">
        <f t="shared" si="0"/>
        <v>13</v>
      </c>
      <c r="C21" s="7" t="s">
        <v>30</v>
      </c>
      <c r="E21" s="20">
        <f>95241.74+6.35+877.56</f>
        <v>96125.65000000001</v>
      </c>
      <c r="F21" s="20"/>
      <c r="G21" s="20"/>
      <c r="H21" s="20">
        <v>0</v>
      </c>
      <c r="I21" s="20"/>
      <c r="J21" s="20">
        <f aca="true" t="shared" si="3" ref="J21:J29">SUM(H21+E21)</f>
        <v>96125.65000000001</v>
      </c>
      <c r="K21" s="7">
        <f>95241.74+6.35+877.56</f>
        <v>96125.65000000001</v>
      </c>
    </row>
    <row r="22" spans="1:11" ht="15">
      <c r="A22" s="72">
        <f t="shared" si="0"/>
        <v>14</v>
      </c>
      <c r="C22" s="7" t="s">
        <v>29</v>
      </c>
      <c r="E22" s="20">
        <f>1.46+23087.94+17.52+230.04</f>
        <v>23336.96</v>
      </c>
      <c r="F22" s="20"/>
      <c r="G22" s="20"/>
      <c r="H22" s="20">
        <v>0</v>
      </c>
      <c r="I22" s="20"/>
      <c r="J22" s="20">
        <f t="shared" si="3"/>
        <v>23336.96</v>
      </c>
      <c r="K22" s="7">
        <f>1.46+23087.94+17.52+230.04</f>
        <v>23336.96</v>
      </c>
    </row>
    <row r="23" spans="1:11" ht="15">
      <c r="A23" s="72">
        <f t="shared" si="0"/>
        <v>15</v>
      </c>
      <c r="C23" s="7" t="s">
        <v>28</v>
      </c>
      <c r="E23" s="20">
        <v>0</v>
      </c>
      <c r="F23" s="20"/>
      <c r="G23" s="20"/>
      <c r="H23" s="7">
        <f>187.4+1240.37+160127.32+239.85+2438.92+1534.52</f>
        <v>165768.38</v>
      </c>
      <c r="I23" s="20"/>
      <c r="J23" s="20">
        <f>SUM(H23+E23)</f>
        <v>165768.38</v>
      </c>
      <c r="K23" s="7">
        <f>187.4+1240.37+160127.32+239.85+2438.92+1534.52</f>
        <v>165768.38</v>
      </c>
    </row>
    <row r="24" spans="1:11" ht="15">
      <c r="A24" s="72">
        <f t="shared" si="0"/>
        <v>16</v>
      </c>
      <c r="C24" s="7" t="s">
        <v>54</v>
      </c>
      <c r="E24" s="20">
        <v>0</v>
      </c>
      <c r="F24" s="20"/>
      <c r="G24" s="20"/>
      <c r="H24" s="20">
        <v>3105</v>
      </c>
      <c r="I24" s="20"/>
      <c r="J24" s="20">
        <f t="shared" si="3"/>
        <v>3105</v>
      </c>
      <c r="K24" s="7">
        <f>81.83+1932.08+11.64+1077.15+2.16</f>
        <v>3104.8599999999997</v>
      </c>
    </row>
    <row r="25" spans="1:11" ht="15">
      <c r="A25" s="72">
        <f t="shared" si="0"/>
        <v>17</v>
      </c>
      <c r="C25" s="7" t="s">
        <v>55</v>
      </c>
      <c r="E25" s="20">
        <v>0</v>
      </c>
      <c r="F25" s="20"/>
      <c r="G25" s="20"/>
      <c r="H25" s="20">
        <f>3081.02+891.6</f>
        <v>3972.62</v>
      </c>
      <c r="I25" s="20"/>
      <c r="J25" s="20">
        <f t="shared" si="3"/>
        <v>3972.62</v>
      </c>
      <c r="K25" s="7">
        <f>3081.02+891.6</f>
        <v>3972.62</v>
      </c>
    </row>
    <row r="26" spans="1:10" ht="15">
      <c r="A26" s="72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72">
        <f t="shared" si="0"/>
        <v>19</v>
      </c>
      <c r="C27" s="7" t="s">
        <v>26</v>
      </c>
      <c r="E27" s="20">
        <f>'S2'!L45</f>
        <v>33249.84</v>
      </c>
      <c r="F27" s="20"/>
      <c r="G27" s="20"/>
      <c r="H27" s="20">
        <v>0</v>
      </c>
      <c r="I27" s="20"/>
      <c r="J27" s="20">
        <f t="shared" si="3"/>
        <v>33249.84</v>
      </c>
    </row>
    <row r="28" spans="1:10" ht="15">
      <c r="A28" s="72">
        <f t="shared" si="0"/>
        <v>20</v>
      </c>
      <c r="C28" s="7" t="s">
        <v>25</v>
      </c>
      <c r="E28" s="20">
        <f>NOx!L45</f>
        <v>1848</v>
      </c>
      <c r="F28" s="20"/>
      <c r="G28" s="20"/>
      <c r="H28" s="20">
        <v>0</v>
      </c>
      <c r="I28" s="20"/>
      <c r="J28" s="20">
        <f t="shared" si="3"/>
        <v>1848</v>
      </c>
    </row>
    <row r="29" spans="1:10" ht="17.25">
      <c r="A29" s="72">
        <f t="shared" si="0"/>
        <v>21</v>
      </c>
      <c r="C29" s="7" t="s">
        <v>24</v>
      </c>
      <c r="E29" s="53">
        <f>'AN'!L45</f>
        <v>1952</v>
      </c>
      <c r="F29" s="20"/>
      <c r="G29" s="20"/>
      <c r="H29" s="49">
        <v>0</v>
      </c>
      <c r="I29" s="20"/>
      <c r="J29" s="20">
        <f t="shared" si="3"/>
        <v>1952</v>
      </c>
    </row>
    <row r="30" spans="1:10" ht="15.75" thickBot="1">
      <c r="A30" s="71">
        <f t="shared" si="0"/>
        <v>22</v>
      </c>
      <c r="B30" s="1"/>
      <c r="C30" s="21" t="s">
        <v>23</v>
      </c>
      <c r="D30" s="1"/>
      <c r="E30" s="54">
        <f>SUM(E19:E29)</f>
        <v>1708118.1200053734</v>
      </c>
      <c r="F30" s="55"/>
      <c r="G30" s="55"/>
      <c r="H30" s="54">
        <f>SUM(H18:H29)</f>
        <v>2173387.0548465536</v>
      </c>
      <c r="I30" s="55"/>
      <c r="J30" s="54">
        <f>SUM(J19:J29)</f>
        <v>3881505.165943593</v>
      </c>
    </row>
    <row r="31" spans="1:11" ht="15.75" thickTop="1">
      <c r="A31" s="72">
        <f t="shared" si="0"/>
        <v>23</v>
      </c>
      <c r="C31" s="7" t="s">
        <v>22</v>
      </c>
      <c r="E31" s="22">
        <v>0</v>
      </c>
      <c r="F31" s="20"/>
      <c r="G31" s="20"/>
      <c r="H31" s="20">
        <f>598.95+9403.96+25763.96+201.58+23085.47+283.2+7951.08+15.81</f>
        <v>67304.01</v>
      </c>
      <c r="I31" s="20"/>
      <c r="J31" s="20">
        <f>E31+H31</f>
        <v>67304.01</v>
      </c>
      <c r="K31" s="7">
        <f>598.95+9403.96+25763.96+201.58+23085.47+283.2+7951.08+15.81</f>
        <v>67304.01</v>
      </c>
    </row>
    <row r="32" spans="1:11" ht="15">
      <c r="A32" s="72">
        <f t="shared" si="0"/>
        <v>24</v>
      </c>
      <c r="C32" s="7" t="s">
        <v>89</v>
      </c>
      <c r="E32" s="20">
        <f>45+589.63+1.17+15.6+146.49+8083.17+0.43+15.17+201.22+50.78+0.46+4.79+0.51+1.58+14.65+146.29+0.03+1055.73+3814.44+1.34+1.01+7863.82+291.42+116.16+1460.1+14784.79+3.07+21.94+1838.78+0.29+312.61</f>
        <v>40882.47</v>
      </c>
      <c r="F32" s="20"/>
      <c r="G32" s="20"/>
      <c r="H32" s="20">
        <v>0</v>
      </c>
      <c r="I32" s="20"/>
      <c r="J32" s="20">
        <f>E32+H32</f>
        <v>40882.47</v>
      </c>
      <c r="K32" s="7">
        <f>45+589.63+1.17+15.6+146.49+8083.17+0.43+15.17+201.22+50.78+0.46+4.79+0.51+1.58+14.65+146.29+1055.73+3814.44+1.34+1.01+7863.82+116.16+1460.1+14784.79+3.07+21.94+1838.78+0.29+291.42+312.61</f>
        <v>40882.44</v>
      </c>
    </row>
    <row r="33" spans="1:10" ht="15.75" thickBot="1">
      <c r="A33" s="71">
        <f t="shared" si="0"/>
        <v>25</v>
      </c>
      <c r="B33" s="1"/>
      <c r="C33" s="21" t="s">
        <v>20</v>
      </c>
      <c r="D33" s="1"/>
      <c r="E33" s="54">
        <f>SUM(E31:E32)</f>
        <v>40882.47</v>
      </c>
      <c r="F33" s="54"/>
      <c r="G33" s="81"/>
      <c r="H33" s="54">
        <f>SUM(H31:H32)</f>
        <v>67304.01</v>
      </c>
      <c r="I33" s="81"/>
      <c r="J33" s="54">
        <f>SUM(J31:J32)</f>
        <v>108186.48</v>
      </c>
    </row>
    <row r="34" spans="1:10" ht="15.75" thickTop="1">
      <c r="A34" s="72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72">
        <f t="shared" si="0"/>
        <v>27</v>
      </c>
      <c r="C35" s="7" t="s">
        <v>18</v>
      </c>
      <c r="E35" s="20">
        <f>January!E34</f>
        <v>85313.7025</v>
      </c>
      <c r="F35" s="20"/>
      <c r="G35" s="20"/>
      <c r="H35" s="20"/>
      <c r="I35" s="20"/>
      <c r="J35" s="20">
        <f>E35+H35</f>
        <v>85313.7025</v>
      </c>
    </row>
    <row r="36" spans="1:10" ht="15">
      <c r="A36" s="72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8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71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71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2572350.519348765</v>
      </c>
      <c r="F38" s="55">
        <f t="shared" si="5"/>
        <v>0</v>
      </c>
      <c r="G38" s="55">
        <f t="shared" si="5"/>
        <v>0</v>
      </c>
      <c r="H38" s="55">
        <f t="shared" si="5"/>
        <v>3111677.7460482507</v>
      </c>
      <c r="I38" s="55">
        <f t="shared" si="5"/>
        <v>0</v>
      </c>
      <c r="J38" s="55">
        <f t="shared" si="5"/>
        <v>5684028.256488682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N31" sqref="N31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78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75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74" t="s">
        <v>43</v>
      </c>
      <c r="D7" s="1"/>
      <c r="E7" s="103"/>
      <c r="F7" s="1"/>
      <c r="G7" s="1"/>
      <c r="H7" s="103"/>
      <c r="I7" s="1"/>
      <c r="J7" s="103"/>
    </row>
    <row r="8" ht="15">
      <c r="A8" s="75"/>
    </row>
    <row r="9" spans="1:10" ht="15">
      <c r="A9" s="75">
        <v>1</v>
      </c>
      <c r="C9" s="7" t="s">
        <v>42</v>
      </c>
      <c r="E9" s="97">
        <f>Depreciation!C14</f>
        <v>253225681.30000007</v>
      </c>
      <c r="F9" s="20"/>
      <c r="G9" s="20"/>
      <c r="H9" s="18">
        <v>327193411.905</v>
      </c>
      <c r="I9" s="20"/>
      <c r="J9" s="20">
        <f>E9+H9</f>
        <v>580419093.205</v>
      </c>
    </row>
    <row r="10" spans="1:10" ht="15">
      <c r="A10" s="75">
        <f aca="true" t="shared" si="0" ref="A10:A38">A9+1</f>
        <v>2</v>
      </c>
      <c r="C10" s="7" t="s">
        <v>41</v>
      </c>
      <c r="E10" s="20">
        <f>Depreciation!I14</f>
        <v>62681423.59484381</v>
      </c>
      <c r="F10" s="20"/>
      <c r="G10" s="20"/>
      <c r="H10" s="20">
        <f>Depreciation!I29</f>
        <v>76112982</v>
      </c>
      <c r="I10" s="20"/>
      <c r="J10" s="20">
        <f>E10+H10</f>
        <v>138794405.5948438</v>
      </c>
    </row>
    <row r="11" spans="1:10" ht="15">
      <c r="A11" s="75">
        <f t="shared" si="0"/>
        <v>3</v>
      </c>
      <c r="C11" s="7" t="s">
        <v>40</v>
      </c>
      <c r="E11" s="20">
        <f>ADFIT!C12</f>
        <v>21015341</v>
      </c>
      <c r="F11" s="20"/>
      <c r="G11" s="20"/>
      <c r="H11" s="20">
        <f>ADFIT!G12</f>
        <v>24737361</v>
      </c>
      <c r="I11" s="20"/>
      <c r="J11" s="20">
        <f>SUM(E11+H11)</f>
        <v>45752702</v>
      </c>
    </row>
    <row r="12" spans="1:10" ht="15">
      <c r="A12" s="75">
        <f t="shared" si="0"/>
        <v>4</v>
      </c>
      <c r="C12" s="7" t="s">
        <v>39</v>
      </c>
      <c r="E12" s="55">
        <f aca="true" t="shared" si="1" ref="E12:J12">E9-E10-E11</f>
        <v>169528916.70515627</v>
      </c>
      <c r="F12" s="55">
        <f t="shared" si="1"/>
        <v>0</v>
      </c>
      <c r="G12" s="55">
        <f t="shared" si="1"/>
        <v>0</v>
      </c>
      <c r="H12" s="55">
        <f>H9-H10-H11</f>
        <v>226343068.90499997</v>
      </c>
      <c r="I12" s="55">
        <f t="shared" si="1"/>
        <v>0</v>
      </c>
      <c r="J12" s="55">
        <f t="shared" si="1"/>
        <v>395871985.61015624</v>
      </c>
    </row>
    <row r="13" spans="1:10" ht="15">
      <c r="A13" s="75">
        <f t="shared" si="0"/>
        <v>5</v>
      </c>
      <c r="C13" s="7" t="s">
        <v>38</v>
      </c>
      <c r="E13" s="65">
        <f>'S2'!L51</f>
        <v>2606922.54</v>
      </c>
      <c r="F13" s="20"/>
      <c r="G13" s="20"/>
      <c r="H13" s="20">
        <v>0</v>
      </c>
      <c r="I13" s="20"/>
      <c r="J13" s="20">
        <f>SUM(E13:H13)</f>
        <v>2606922.54</v>
      </c>
    </row>
    <row r="14" spans="1:10" ht="15">
      <c r="A14" s="75">
        <f t="shared" si="0"/>
        <v>6</v>
      </c>
      <c r="C14" s="7" t="s">
        <v>37</v>
      </c>
      <c r="E14" s="65">
        <f>'AN'!L51+NOx!L51</f>
        <v>192171</v>
      </c>
      <c r="F14" s="20"/>
      <c r="G14" s="20"/>
      <c r="H14" s="20">
        <v>0</v>
      </c>
      <c r="I14" s="20"/>
      <c r="J14" s="20">
        <f>SUM(E14:H14)</f>
        <v>192171</v>
      </c>
    </row>
    <row r="15" spans="1:10" ht="15">
      <c r="A15" s="75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74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172679290.12744793</v>
      </c>
      <c r="F16" s="55">
        <f t="shared" si="2"/>
        <v>0</v>
      </c>
      <c r="G16" s="55">
        <f t="shared" si="2"/>
        <v>0</v>
      </c>
      <c r="H16" s="54">
        <f t="shared" si="2"/>
        <v>226922916.23999998</v>
      </c>
      <c r="I16" s="55">
        <f t="shared" si="2"/>
        <v>0</v>
      </c>
      <c r="J16" s="54">
        <f t="shared" si="2"/>
        <v>399602206.3674479</v>
      </c>
    </row>
    <row r="17" spans="1:10" ht="15.75" thickTop="1">
      <c r="A17" s="75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75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75">
        <f t="shared" si="0"/>
        <v>11</v>
      </c>
      <c r="C19" s="7" t="s">
        <v>32</v>
      </c>
      <c r="E19" s="20">
        <f>E16*E18</f>
        <v>1538284.6762186817</v>
      </c>
      <c r="F19" s="20"/>
      <c r="G19" s="20"/>
      <c r="H19" s="20">
        <f>H16*H18</f>
        <v>2021504.9788379995</v>
      </c>
      <c r="I19" s="20"/>
      <c r="J19" s="20">
        <f>J16*J18</f>
        <v>3559789.6550566815</v>
      </c>
    </row>
    <row r="20" spans="1:11" ht="15">
      <c r="A20" s="75">
        <f t="shared" si="0"/>
        <v>12</v>
      </c>
      <c r="C20" s="7" t="s">
        <v>31</v>
      </c>
      <c r="E20" s="77">
        <v>0</v>
      </c>
      <c r="F20" s="20"/>
      <c r="G20" s="20"/>
      <c r="H20" s="20">
        <f>169.36+4726.95-7589.24+37874.35+146.68+449.4-51168.54+11112.91+712.36</f>
        <v>-3565.770000000001</v>
      </c>
      <c r="I20" s="20"/>
      <c r="J20" s="20">
        <f>SUM(H20+E20)</f>
        <v>-3565.770000000001</v>
      </c>
      <c r="K20" s="7">
        <f>169.36+4726.95-7589.24+37874.35+146.68+712.36+449.44-51168.54+11112.91</f>
        <v>-3565.7299999999996</v>
      </c>
    </row>
    <row r="21" spans="1:11" ht="15">
      <c r="A21" s="75">
        <f t="shared" si="0"/>
        <v>13</v>
      </c>
      <c r="C21" s="7" t="s">
        <v>30</v>
      </c>
      <c r="E21" s="20">
        <f>183533.78+0.88+563.27</f>
        <v>184097.93</v>
      </c>
      <c r="F21" s="20"/>
      <c r="G21" s="20"/>
      <c r="H21" s="20">
        <v>0</v>
      </c>
      <c r="I21" s="20"/>
      <c r="J21" s="20">
        <f aca="true" t="shared" si="3" ref="J21:J29">SUM(H21+E21)</f>
        <v>184097.93</v>
      </c>
      <c r="K21" s="7">
        <f>183533.78+0.08+563.27</f>
        <v>184097.12999999998</v>
      </c>
    </row>
    <row r="22" spans="1:11" ht="15">
      <c r="A22" s="75">
        <f t="shared" si="0"/>
        <v>14</v>
      </c>
      <c r="C22" s="7" t="s">
        <v>29</v>
      </c>
      <c r="E22" s="20">
        <f>1.12+29502.83+4.37+174.33</f>
        <v>29682.65</v>
      </c>
      <c r="F22" s="20"/>
      <c r="G22" s="20"/>
      <c r="H22" s="20">
        <v>0</v>
      </c>
      <c r="I22" s="20"/>
      <c r="J22" s="20">
        <f t="shared" si="3"/>
        <v>29682.65</v>
      </c>
      <c r="K22" s="7">
        <f>1.12+29502.82+4.37+174.33</f>
        <v>29682.64</v>
      </c>
    </row>
    <row r="23" spans="1:11" ht="15">
      <c r="A23" s="75">
        <f t="shared" si="0"/>
        <v>15</v>
      </c>
      <c r="C23" s="7" t="s">
        <v>28</v>
      </c>
      <c r="E23" s="20">
        <v>0</v>
      </c>
      <c r="F23" s="20"/>
      <c r="G23" s="20"/>
      <c r="H23" s="20">
        <v>290955</v>
      </c>
      <c r="I23" s="20"/>
      <c r="J23" s="20">
        <f>H23+E23</f>
        <v>290955</v>
      </c>
      <c r="K23" s="7">
        <f>133.29+2162.84+286073.11+21.45+1010.04+1554.08</f>
        <v>290954.81</v>
      </c>
    </row>
    <row r="24" spans="1:11" ht="15">
      <c r="A24" s="75">
        <f t="shared" si="0"/>
        <v>16</v>
      </c>
      <c r="C24" s="7" t="s">
        <v>54</v>
      </c>
      <c r="E24" s="77">
        <v>0</v>
      </c>
      <c r="F24" s="20"/>
      <c r="G24" s="20"/>
      <c r="H24" s="20">
        <f>50.87+1883.65+0.64+199.61+1.37</f>
        <v>2136.14</v>
      </c>
      <c r="I24" s="20"/>
      <c r="J24" s="20">
        <f>E24</f>
        <v>0</v>
      </c>
      <c r="K24" s="7">
        <f>50.87+1883.65+199.61+1.37</f>
        <v>2135.5</v>
      </c>
    </row>
    <row r="25" spans="1:10" ht="15">
      <c r="A25" s="75">
        <f t="shared" si="0"/>
        <v>17</v>
      </c>
      <c r="C25" s="7" t="s">
        <v>55</v>
      </c>
      <c r="E25" s="20">
        <v>0</v>
      </c>
      <c r="F25" s="20"/>
      <c r="G25" s="20"/>
      <c r="H25" s="20">
        <f>195.61</f>
        <v>195.61</v>
      </c>
      <c r="I25" s="20"/>
      <c r="J25" s="20">
        <f t="shared" si="3"/>
        <v>195.61</v>
      </c>
    </row>
    <row r="26" spans="1:10" ht="15">
      <c r="A26" s="75">
        <f t="shared" si="0"/>
        <v>18</v>
      </c>
      <c r="C26" s="7" t="s">
        <v>27</v>
      </c>
      <c r="E26" s="20"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75">
        <f t="shared" si="0"/>
        <v>19</v>
      </c>
      <c r="C27" s="7" t="s">
        <v>26</v>
      </c>
      <c r="E27" s="20">
        <f>'S2'!L50</f>
        <v>39295.22</v>
      </c>
      <c r="F27" s="20"/>
      <c r="G27" s="20"/>
      <c r="H27" s="20">
        <v>0</v>
      </c>
      <c r="I27" s="20"/>
      <c r="J27" s="20">
        <f t="shared" si="3"/>
        <v>39295.22</v>
      </c>
    </row>
    <row r="28" spans="1:10" ht="15">
      <c r="A28" s="75">
        <f t="shared" si="0"/>
        <v>20</v>
      </c>
      <c r="C28" s="7" t="s">
        <v>25</v>
      </c>
      <c r="E28" s="20">
        <f>NOx!L50</f>
        <v>1332</v>
      </c>
      <c r="F28" s="20"/>
      <c r="G28" s="20"/>
      <c r="H28" s="20">
        <v>0</v>
      </c>
      <c r="I28" s="20"/>
      <c r="J28" s="20">
        <f t="shared" si="3"/>
        <v>1332</v>
      </c>
    </row>
    <row r="29" spans="1:10" ht="15">
      <c r="A29" s="75">
        <f t="shared" si="0"/>
        <v>21</v>
      </c>
      <c r="C29" s="7" t="s">
        <v>24</v>
      </c>
      <c r="E29" s="53">
        <f>'AN'!L50</f>
        <v>2023</v>
      </c>
      <c r="F29" s="20"/>
      <c r="G29" s="20"/>
      <c r="H29" s="20">
        <v>0</v>
      </c>
      <c r="I29" s="20"/>
      <c r="J29" s="20">
        <f t="shared" si="3"/>
        <v>2023</v>
      </c>
    </row>
    <row r="30" spans="1:10" ht="15.75" thickBot="1">
      <c r="A30" s="74">
        <f t="shared" si="0"/>
        <v>22</v>
      </c>
      <c r="B30" s="1"/>
      <c r="C30" s="21" t="s">
        <v>23</v>
      </c>
      <c r="D30" s="1"/>
      <c r="E30" s="54">
        <f>SUM(E19:E29)</f>
        <v>1800706.093302015</v>
      </c>
      <c r="F30" s="55"/>
      <c r="G30" s="55"/>
      <c r="H30" s="54">
        <f>SUM(H18:H29)</f>
        <v>2311225.9677463328</v>
      </c>
      <c r="I30" s="55"/>
      <c r="J30" s="54">
        <f>SUM(J19:J29)</f>
        <v>4109795.912140015</v>
      </c>
    </row>
    <row r="31" spans="1:10" ht="15.75" thickTop="1">
      <c r="A31" s="75">
        <f t="shared" si="0"/>
        <v>23</v>
      </c>
      <c r="C31" s="7" t="s">
        <v>22</v>
      </c>
      <c r="E31" s="22">
        <v>0</v>
      </c>
      <c r="F31" s="20"/>
      <c r="G31" s="20"/>
      <c r="H31" s="20">
        <f>540.82+20133.6+32983.17+128.92+15187.88+2657.4+14.22</f>
        <v>71646.01</v>
      </c>
      <c r="I31" s="20"/>
      <c r="J31" s="20">
        <f>E31+H31</f>
        <v>71646.01</v>
      </c>
    </row>
    <row r="32" spans="1:10" ht="15">
      <c r="A32" s="75">
        <f t="shared" si="0"/>
        <v>24</v>
      </c>
      <c r="C32" s="7" t="s">
        <v>89</v>
      </c>
      <c r="E32" s="20">
        <f>486.69+72.51+398.58+1100.77+1.92+2.2+2.53+32.72+0.07+191.92+0.02+0.03+221.33-3.46+10.15+0.07-0.03+157.83+880.02+0.09+8.89+114.79+0.23+0.3+6.82+1934.29-7862.24+8.76+42.41+0.23+9.3+5841.31+1.67+0.01+0.45+99.86+2766.33+2.03+28+0.07+1.35+4.95+0.02+1.35</f>
        <v>6567.140000000002</v>
      </c>
      <c r="F32" s="20"/>
      <c r="G32" s="20"/>
      <c r="H32" s="20">
        <v>0</v>
      </c>
      <c r="I32" s="20"/>
      <c r="J32" s="20">
        <f>E32+H32</f>
        <v>6567.140000000002</v>
      </c>
    </row>
    <row r="33" spans="1:10" ht="15.75" thickBot="1">
      <c r="A33" s="74">
        <f t="shared" si="0"/>
        <v>25</v>
      </c>
      <c r="B33" s="1"/>
      <c r="C33" s="21" t="s">
        <v>20</v>
      </c>
      <c r="D33" s="1"/>
      <c r="E33" s="54">
        <f>SUM(E31:E32)</f>
        <v>6567.140000000002</v>
      </c>
      <c r="F33" s="54"/>
      <c r="G33" s="81"/>
      <c r="H33" s="54">
        <f>SUM(H31:H32)</f>
        <v>71646.01</v>
      </c>
      <c r="I33" s="81"/>
      <c r="J33" s="54">
        <f>SUM(J31:J32)</f>
        <v>78213.15</v>
      </c>
    </row>
    <row r="34" spans="1:10" ht="15.75" thickTop="1">
      <c r="A34" s="75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75">
        <f t="shared" si="0"/>
        <v>27</v>
      </c>
      <c r="C35" s="7" t="s">
        <v>18</v>
      </c>
      <c r="E35" s="20">
        <f>April!E35</f>
        <v>85313.7025</v>
      </c>
      <c r="F35" s="20"/>
      <c r="G35" s="20"/>
      <c r="H35" s="20"/>
      <c r="I35" s="20"/>
      <c r="J35" s="20">
        <f>E35+H35</f>
        <v>85313.7025</v>
      </c>
    </row>
    <row r="36" spans="1:10" ht="15">
      <c r="A36" s="75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8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74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74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2630623.1626454066</v>
      </c>
      <c r="F38" s="55">
        <f t="shared" si="5"/>
        <v>0</v>
      </c>
      <c r="G38" s="55">
        <f t="shared" si="5"/>
        <v>0</v>
      </c>
      <c r="H38" s="55">
        <f t="shared" si="5"/>
        <v>3253858.65894803</v>
      </c>
      <c r="I38" s="55">
        <f t="shared" si="5"/>
        <v>0</v>
      </c>
      <c r="J38" s="55">
        <f t="shared" si="5"/>
        <v>5882345.6726851035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3.28125" style="0" customWidth="1"/>
    <col min="3" max="3" width="16.00390625" style="0" customWidth="1"/>
    <col min="4" max="4" width="2.00390625" style="7" customWidth="1"/>
    <col min="5" max="5" width="13.7109375" style="7" customWidth="1"/>
    <col min="6" max="6" width="1.8515625" style="0" customWidth="1"/>
    <col min="7" max="7" width="16.28125" style="0" customWidth="1"/>
    <col min="8" max="8" width="17.28125" style="0" customWidth="1"/>
  </cols>
  <sheetData>
    <row r="1" spans="5:8" ht="15">
      <c r="E1" s="107" t="s">
        <v>94</v>
      </c>
      <c r="H1" s="107" t="s">
        <v>94</v>
      </c>
    </row>
    <row r="2" spans="5:8" ht="14.25" customHeight="1">
      <c r="E2" s="107"/>
      <c r="H2" s="107"/>
    </row>
    <row r="3" spans="3:8" ht="15">
      <c r="C3" s="88" t="s">
        <v>95</v>
      </c>
      <c r="D3" s="86"/>
      <c r="E3" s="107"/>
      <c r="F3" s="86"/>
      <c r="G3" s="88" t="s">
        <v>96</v>
      </c>
      <c r="H3" s="107"/>
    </row>
    <row r="4" spans="1:8" ht="15">
      <c r="A4" t="s">
        <v>6</v>
      </c>
      <c r="C4" s="77">
        <v>20569189</v>
      </c>
      <c r="D4" s="77"/>
      <c r="E4" s="77">
        <v>55769</v>
      </c>
      <c r="F4" s="77" t="s">
        <v>52</v>
      </c>
      <c r="G4" s="77">
        <f aca="true" t="shared" si="0" ref="G4:G10">G5-H4</f>
        <v>23778041</v>
      </c>
      <c r="H4" s="20">
        <v>119915</v>
      </c>
    </row>
    <row r="5" spans="1:8" ht="15">
      <c r="A5" t="s">
        <v>7</v>
      </c>
      <c r="C5" s="77">
        <f>C4+E4</f>
        <v>20624958</v>
      </c>
      <c r="D5" s="77"/>
      <c r="E5" s="77">
        <v>55769</v>
      </c>
      <c r="F5" s="77"/>
      <c r="G5" s="77">
        <f t="shared" si="0"/>
        <v>23897956</v>
      </c>
      <c r="H5" s="20">
        <v>119915</v>
      </c>
    </row>
    <row r="6" spans="1:8" ht="15">
      <c r="A6" t="s">
        <v>8</v>
      </c>
      <c r="C6" s="77">
        <f aca="true" t="shared" si="1" ref="C6:C12">C5+E5</f>
        <v>20680727</v>
      </c>
      <c r="D6" s="77"/>
      <c r="E6" s="77">
        <v>55769</v>
      </c>
      <c r="F6" s="77"/>
      <c r="G6" s="77">
        <f>G7-H6</f>
        <v>24017871</v>
      </c>
      <c r="H6" s="20">
        <v>119915</v>
      </c>
    </row>
    <row r="7" spans="1:8" ht="15">
      <c r="A7" t="s">
        <v>9</v>
      </c>
      <c r="C7" s="77">
        <f t="shared" si="1"/>
        <v>20736496</v>
      </c>
      <c r="D7" s="77"/>
      <c r="E7" s="77">
        <v>55769</v>
      </c>
      <c r="F7" s="77"/>
      <c r="G7" s="77">
        <f t="shared" si="0"/>
        <v>24137786</v>
      </c>
      <c r="H7" s="20">
        <v>119915</v>
      </c>
    </row>
    <row r="8" spans="1:8" ht="15">
      <c r="A8" t="s">
        <v>10</v>
      </c>
      <c r="C8" s="77">
        <f t="shared" si="1"/>
        <v>20792265</v>
      </c>
      <c r="D8" s="77"/>
      <c r="E8" s="77">
        <v>55769</v>
      </c>
      <c r="F8" s="77"/>
      <c r="G8" s="77">
        <f t="shared" si="0"/>
        <v>24257701</v>
      </c>
      <c r="H8" s="20">
        <v>119915</v>
      </c>
    </row>
    <row r="9" spans="1:8" ht="15">
      <c r="A9" t="s">
        <v>11</v>
      </c>
      <c r="C9" s="77">
        <f t="shared" si="1"/>
        <v>20848034</v>
      </c>
      <c r="D9" s="77"/>
      <c r="E9" s="77">
        <v>55769</v>
      </c>
      <c r="F9" s="77"/>
      <c r="G9" s="77">
        <f t="shared" si="0"/>
        <v>24377616</v>
      </c>
      <c r="H9" s="20">
        <v>119915</v>
      </c>
    </row>
    <row r="10" spans="1:8" ht="15">
      <c r="A10" t="s">
        <v>82</v>
      </c>
      <c r="C10" s="77">
        <f t="shared" si="1"/>
        <v>20903803</v>
      </c>
      <c r="D10" s="77"/>
      <c r="E10" s="77">
        <v>55769</v>
      </c>
      <c r="F10" s="77"/>
      <c r="G10" s="77">
        <f t="shared" si="0"/>
        <v>24497531</v>
      </c>
      <c r="H10" s="20">
        <v>119915</v>
      </c>
    </row>
    <row r="11" spans="1:8" ht="15">
      <c r="A11" t="s">
        <v>83</v>
      </c>
      <c r="C11" s="77">
        <f t="shared" si="1"/>
        <v>20959572</v>
      </c>
      <c r="D11" s="77"/>
      <c r="E11" s="77">
        <v>55769</v>
      </c>
      <c r="F11" s="77"/>
      <c r="G11" s="77">
        <f>G12-H11</f>
        <v>24617446</v>
      </c>
      <c r="H11" s="20">
        <v>119915</v>
      </c>
    </row>
    <row r="12" spans="1:8" ht="15">
      <c r="A12" t="s">
        <v>84</v>
      </c>
      <c r="C12" s="77">
        <f t="shared" si="1"/>
        <v>21015341</v>
      </c>
      <c r="D12" s="77"/>
      <c r="E12" s="77">
        <v>55769</v>
      </c>
      <c r="F12" s="77"/>
      <c r="G12" s="77">
        <v>24737361</v>
      </c>
      <c r="H12" s="20">
        <v>119915</v>
      </c>
    </row>
  </sheetData>
  <sheetProtection/>
  <mergeCells count="2">
    <mergeCell ref="E1:E3"/>
    <mergeCell ref="H1:H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22">
      <selection activeCell="L51" sqref="L51"/>
    </sheetView>
  </sheetViews>
  <sheetFormatPr defaultColWidth="8.8515625" defaultRowHeight="15"/>
  <cols>
    <col min="1" max="1" width="19.00390625" style="7" customWidth="1"/>
    <col min="2" max="2" width="2.7109375" style="7" customWidth="1"/>
    <col min="3" max="3" width="10.28125" style="7" customWidth="1"/>
    <col min="4" max="4" width="1.57421875" style="7" customWidth="1"/>
    <col min="5" max="5" width="10.8515625" style="7" customWidth="1"/>
    <col min="6" max="6" width="1.28515625" style="7" customWidth="1"/>
    <col min="7" max="7" width="10.57421875" style="7" customWidth="1"/>
    <col min="8" max="8" width="1.421875" style="7" customWidth="1"/>
    <col min="9" max="9" width="2.57421875" style="7" customWidth="1"/>
    <col min="10" max="10" width="14.7109375" style="7" bestFit="1" customWidth="1"/>
    <col min="11" max="11" width="2.140625" style="7" customWidth="1"/>
    <col min="12" max="12" width="13.7109375" style="7" bestFit="1" customWidth="1"/>
    <col min="13" max="13" width="2.140625" style="7" customWidth="1"/>
    <col min="14" max="14" width="13.28125" style="7" customWidth="1"/>
    <col min="15" max="16" width="8.8515625" style="7" customWidth="1"/>
    <col min="17" max="17" width="17.421875" style="7" customWidth="1"/>
    <col min="18" max="16384" width="8.8515625" style="7" customWidth="1"/>
  </cols>
  <sheetData>
    <row r="1" spans="1:14" ht="1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110">
        <v>2014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5" s="1" customFormat="1" ht="3.75" customHeight="1"/>
    <row r="6" spans="2:16" ht="30.75" customHeight="1">
      <c r="B6" s="50" t="s">
        <v>58</v>
      </c>
      <c r="C6" s="50"/>
      <c r="D6" s="50"/>
      <c r="E6" s="50"/>
      <c r="F6" s="50"/>
      <c r="G6" s="50"/>
      <c r="H6" s="41"/>
      <c r="J6" s="108" t="s">
        <v>59</v>
      </c>
      <c r="K6" s="108"/>
      <c r="L6" s="108"/>
      <c r="M6" s="108"/>
      <c r="N6" s="108"/>
      <c r="O6" s="2"/>
      <c r="P6" s="2"/>
    </row>
    <row r="7" spans="1:14" ht="42.75" customHeight="1">
      <c r="A7" s="35">
        <v>41640</v>
      </c>
      <c r="C7" s="30" t="s">
        <v>57</v>
      </c>
      <c r="D7" s="30"/>
      <c r="E7" s="31" t="s">
        <v>56</v>
      </c>
      <c r="F7" s="31"/>
      <c r="G7" s="30" t="s">
        <v>60</v>
      </c>
      <c r="H7" s="42"/>
      <c r="I7" s="38"/>
      <c r="J7" s="28" t="s">
        <v>57</v>
      </c>
      <c r="K7" s="28"/>
      <c r="L7" s="38" t="s">
        <v>56</v>
      </c>
      <c r="N7" s="28" t="s">
        <v>60</v>
      </c>
    </row>
    <row r="8" spans="1:15" ht="20.25" customHeight="1">
      <c r="A8" s="7" t="s">
        <v>61</v>
      </c>
      <c r="C8" s="36">
        <v>1154459</v>
      </c>
      <c r="D8" s="36"/>
      <c r="E8" s="33">
        <v>0</v>
      </c>
      <c r="F8" s="33"/>
      <c r="G8" s="37">
        <f>SUM(C8+E8)</f>
        <v>1154459</v>
      </c>
      <c r="H8" s="41"/>
      <c r="I8" s="27"/>
      <c r="J8" s="39">
        <v>17254388</v>
      </c>
      <c r="K8" s="39"/>
      <c r="L8" s="34">
        <v>0</v>
      </c>
      <c r="M8" s="34"/>
      <c r="N8" s="40">
        <f>J8+L8</f>
        <v>17254388</v>
      </c>
      <c r="O8" s="34"/>
    </row>
    <row r="9" spans="1:15" ht="20.25" customHeight="1">
      <c r="A9" s="7" t="s">
        <v>63</v>
      </c>
      <c r="C9" s="36">
        <v>0</v>
      </c>
      <c r="D9" s="36"/>
      <c r="E9" s="33">
        <v>628553</v>
      </c>
      <c r="F9" s="33"/>
      <c r="G9" s="37">
        <f>SUM(C9+E9)</f>
        <v>628553</v>
      </c>
      <c r="H9" s="41"/>
      <c r="I9" s="27"/>
      <c r="J9" s="39">
        <v>0</v>
      </c>
      <c r="K9" s="39"/>
      <c r="L9" s="34">
        <v>2938027</v>
      </c>
      <c r="M9" s="34"/>
      <c r="N9" s="40">
        <v>0</v>
      </c>
      <c r="O9" s="34"/>
    </row>
    <row r="10" spans="1:15" ht="18" customHeight="1">
      <c r="A10" s="7" t="s">
        <v>53</v>
      </c>
      <c r="C10" s="36">
        <f>7113+1446-1</f>
        <v>8558</v>
      </c>
      <c r="D10" s="36"/>
      <c r="E10" s="33">
        <v>350</v>
      </c>
      <c r="F10" s="33"/>
      <c r="G10" s="37">
        <f>C10+E10</f>
        <v>8908</v>
      </c>
      <c r="H10" s="41"/>
      <c r="I10" s="27"/>
      <c r="J10" s="39">
        <v>811206</v>
      </c>
      <c r="K10" s="39"/>
      <c r="L10" s="34">
        <v>33162.27</v>
      </c>
      <c r="M10" s="34"/>
      <c r="N10" s="40">
        <f>SUM(J10+L10)</f>
        <v>844368.27</v>
      </c>
      <c r="O10" s="34"/>
    </row>
    <row r="11" spans="1:15" ht="18.75" customHeight="1">
      <c r="A11" s="7" t="s">
        <v>62</v>
      </c>
      <c r="C11" s="33">
        <f>C8+C9-C10</f>
        <v>1145901</v>
      </c>
      <c r="D11" s="33"/>
      <c r="E11" s="33">
        <f>E8+E9-E10</f>
        <v>628203</v>
      </c>
      <c r="F11" s="33"/>
      <c r="G11" s="33">
        <f>C11+E11</f>
        <v>1774104</v>
      </c>
      <c r="H11" s="43"/>
      <c r="I11" s="34"/>
      <c r="J11" s="34">
        <f>J8-J10</f>
        <v>16443182</v>
      </c>
      <c r="K11" s="34"/>
      <c r="L11" s="34">
        <f>L8+L9-L10</f>
        <v>2904864.73</v>
      </c>
      <c r="M11" s="34"/>
      <c r="N11" s="34">
        <f>J11+L11</f>
        <v>19348046.73</v>
      </c>
      <c r="O11" s="34"/>
    </row>
    <row r="12" spans="1:15" ht="39" customHeight="1">
      <c r="A12" s="35">
        <v>41671</v>
      </c>
      <c r="B12" s="33"/>
      <c r="C12" s="33"/>
      <c r="D12" s="33"/>
      <c r="E12" s="33"/>
      <c r="F12" s="33"/>
      <c r="G12" s="33"/>
      <c r="H12" s="43"/>
      <c r="I12" s="34"/>
      <c r="J12" s="34"/>
      <c r="K12" s="34"/>
      <c r="L12" s="34"/>
      <c r="M12" s="34"/>
      <c r="N12" s="34"/>
      <c r="O12" s="34"/>
    </row>
    <row r="13" spans="1:15" ht="18" customHeight="1">
      <c r="A13" s="7" t="s">
        <v>61</v>
      </c>
      <c r="B13" s="33" t="s">
        <v>52</v>
      </c>
      <c r="C13" s="33">
        <f>C11</f>
        <v>1145901</v>
      </c>
      <c r="D13" s="33"/>
      <c r="E13" s="33">
        <f>E11</f>
        <v>628203</v>
      </c>
      <c r="F13" s="33"/>
      <c r="G13" s="37">
        <f>SUM(C13+E13)</f>
        <v>1774104</v>
      </c>
      <c r="H13" s="43"/>
      <c r="I13" s="34"/>
      <c r="J13" s="34">
        <f>J11</f>
        <v>16443182</v>
      </c>
      <c r="K13" s="34"/>
      <c r="L13" s="34">
        <f>L11</f>
        <v>2904864.73</v>
      </c>
      <c r="M13" s="34"/>
      <c r="N13" s="40">
        <f>J13+L13</f>
        <v>19348046.73</v>
      </c>
      <c r="O13" s="34"/>
    </row>
    <row r="14" spans="1:15" ht="18" customHeight="1">
      <c r="A14" s="7" t="s">
        <v>63</v>
      </c>
      <c r="B14" s="33"/>
      <c r="C14" s="33">
        <v>0</v>
      </c>
      <c r="D14" s="33"/>
      <c r="E14" s="33">
        <v>0</v>
      </c>
      <c r="F14" s="33"/>
      <c r="G14" s="37">
        <f>SUM(C14+E14)</f>
        <v>0</v>
      </c>
      <c r="H14" s="43"/>
      <c r="I14" s="34"/>
      <c r="J14" s="34">
        <v>0</v>
      </c>
      <c r="K14" s="34"/>
      <c r="L14" s="34">
        <v>0</v>
      </c>
      <c r="M14" s="34"/>
      <c r="N14" s="40">
        <v>0</v>
      </c>
      <c r="O14" s="34"/>
    </row>
    <row r="15" spans="1:15" ht="18" customHeight="1">
      <c r="A15" s="7" t="s">
        <v>53</v>
      </c>
      <c r="B15" s="33"/>
      <c r="C15" s="33">
        <f>7874+1071</f>
        <v>8945</v>
      </c>
      <c r="D15" s="33"/>
      <c r="E15" s="33">
        <v>255</v>
      </c>
      <c r="F15" s="33"/>
      <c r="G15" s="37">
        <f>C15+E15</f>
        <v>9200</v>
      </c>
      <c r="H15" s="43"/>
      <c r="I15" s="34"/>
      <c r="J15" s="34">
        <f>744031.67+101227.86</f>
        <v>845259.53</v>
      </c>
      <c r="K15" s="34"/>
      <c r="L15" s="34">
        <v>24105.47</v>
      </c>
      <c r="M15" s="34"/>
      <c r="N15" s="40">
        <f>SUM(J15+L15)</f>
        <v>869365</v>
      </c>
      <c r="O15" s="34"/>
    </row>
    <row r="16" spans="1:15" ht="18" customHeight="1">
      <c r="A16" s="7" t="s">
        <v>62</v>
      </c>
      <c r="B16" s="33"/>
      <c r="C16" s="33">
        <f>C13+C14-C15</f>
        <v>1136956</v>
      </c>
      <c r="D16" s="33"/>
      <c r="E16" s="33">
        <f>E13+E14-E15</f>
        <v>627948</v>
      </c>
      <c r="F16" s="33"/>
      <c r="G16" s="33">
        <f>C16+E16</f>
        <v>1764904</v>
      </c>
      <c r="H16" s="43"/>
      <c r="I16" s="34"/>
      <c r="J16" s="34">
        <f>J13-J15+J14</f>
        <v>15597922.47</v>
      </c>
      <c r="K16" s="34"/>
      <c r="L16" s="34">
        <f>L13+L14-L15</f>
        <v>2880759.26</v>
      </c>
      <c r="M16" s="34"/>
      <c r="N16" s="34">
        <f>J16+L16</f>
        <v>18478681.73</v>
      </c>
      <c r="O16" s="34"/>
    </row>
    <row r="17" spans="1:15" ht="30" customHeight="1">
      <c r="A17" s="35">
        <v>41699</v>
      </c>
      <c r="B17" s="33"/>
      <c r="C17" s="33"/>
      <c r="D17" s="33"/>
      <c r="E17" s="33"/>
      <c r="F17" s="33"/>
      <c r="G17" s="33"/>
      <c r="H17" s="43"/>
      <c r="I17" s="34"/>
      <c r="J17" s="34"/>
      <c r="K17" s="34"/>
      <c r="L17" s="34"/>
      <c r="M17" s="34"/>
      <c r="N17" s="34"/>
      <c r="O17" s="34"/>
    </row>
    <row r="18" spans="1:15" ht="18" customHeight="1">
      <c r="A18" s="7" t="s">
        <v>61</v>
      </c>
      <c r="B18" s="33"/>
      <c r="C18" s="33">
        <f>C16</f>
        <v>1136956</v>
      </c>
      <c r="D18" s="33"/>
      <c r="E18" s="33">
        <f>E16</f>
        <v>627948</v>
      </c>
      <c r="F18" s="33"/>
      <c r="G18" s="37">
        <f>SUM(C18+E18)</f>
        <v>1764904</v>
      </c>
      <c r="H18" s="43"/>
      <c r="I18" s="34"/>
      <c r="J18" s="34">
        <f>J16</f>
        <v>15597922.47</v>
      </c>
      <c r="K18" s="34"/>
      <c r="L18" s="34">
        <f>L16</f>
        <v>2880759.26</v>
      </c>
      <c r="M18" s="34"/>
      <c r="N18" s="34">
        <f>N16</f>
        <v>18478681.73</v>
      </c>
      <c r="O18" s="34"/>
    </row>
    <row r="19" spans="1:15" ht="18" customHeight="1">
      <c r="A19" s="7" t="s">
        <v>63</v>
      </c>
      <c r="B19" s="33"/>
      <c r="C19" s="33">
        <v>0</v>
      </c>
      <c r="D19" s="33"/>
      <c r="E19" s="33">
        <v>0</v>
      </c>
      <c r="F19" s="33"/>
      <c r="G19" s="37">
        <f>SUM(C19+E19)</f>
        <v>0</v>
      </c>
      <c r="H19" s="43"/>
      <c r="I19" s="34"/>
      <c r="J19" s="34">
        <v>0</v>
      </c>
      <c r="K19" s="34"/>
      <c r="L19" s="34"/>
      <c r="M19" s="34"/>
      <c r="N19" s="34"/>
      <c r="O19" s="34"/>
    </row>
    <row r="20" spans="1:15" ht="18" customHeight="1">
      <c r="A20" s="7" t="s">
        <v>53</v>
      </c>
      <c r="B20" s="33"/>
      <c r="C20" s="33">
        <f>5214+1615</f>
        <v>6829</v>
      </c>
      <c r="D20" s="33"/>
      <c r="E20" s="33">
        <v>415</v>
      </c>
      <c r="F20" s="33"/>
      <c r="G20" s="37">
        <f>C20+E20</f>
        <v>7244</v>
      </c>
      <c r="H20" s="43"/>
      <c r="I20" s="34"/>
      <c r="J20" s="34">
        <f>492516.45+152586.69</f>
        <v>645103.14</v>
      </c>
      <c r="K20" s="34"/>
      <c r="L20" s="34">
        <v>39162.86</v>
      </c>
      <c r="M20" s="34"/>
      <c r="N20" s="34">
        <f>J20+L20</f>
        <v>684266</v>
      </c>
      <c r="O20" s="34"/>
    </row>
    <row r="21" spans="1:15" ht="18" customHeight="1">
      <c r="A21" s="7" t="s">
        <v>62</v>
      </c>
      <c r="B21" s="33"/>
      <c r="C21" s="33">
        <f>C18+C19-C20</f>
        <v>1130127</v>
      </c>
      <c r="D21" s="33"/>
      <c r="E21" s="33">
        <f>E18+E19-E20</f>
        <v>627533</v>
      </c>
      <c r="F21" s="33"/>
      <c r="G21" s="33">
        <f>C21+E21</f>
        <v>1757660</v>
      </c>
      <c r="H21" s="43"/>
      <c r="I21" s="34"/>
      <c r="J21" s="33">
        <f>J18+J19-J20</f>
        <v>14952819.33</v>
      </c>
      <c r="K21" s="33"/>
      <c r="L21" s="33">
        <f>L18+L19-L20</f>
        <v>2841596.4</v>
      </c>
      <c r="M21" s="33"/>
      <c r="N21" s="33">
        <f>J21+L21</f>
        <v>17794415.73</v>
      </c>
      <c r="O21" s="34"/>
    </row>
    <row r="22" spans="1:15" ht="27.75" customHeight="1">
      <c r="A22" s="35">
        <v>41730</v>
      </c>
      <c r="B22" s="33"/>
      <c r="C22" s="33"/>
      <c r="D22" s="33"/>
      <c r="E22" s="33"/>
      <c r="F22" s="33"/>
      <c r="G22" s="33"/>
      <c r="H22" s="43"/>
      <c r="I22" s="34"/>
      <c r="J22" s="34"/>
      <c r="K22" s="34"/>
      <c r="L22" s="34"/>
      <c r="M22" s="34"/>
      <c r="N22" s="34"/>
      <c r="O22" s="34"/>
    </row>
    <row r="23" spans="1:15" ht="18" customHeight="1">
      <c r="A23" s="7" t="s">
        <v>61</v>
      </c>
      <c r="B23" s="33"/>
      <c r="C23" s="33">
        <f>C21</f>
        <v>1130127</v>
      </c>
      <c r="D23" s="33"/>
      <c r="E23" s="33">
        <f>E21</f>
        <v>627533</v>
      </c>
      <c r="F23" s="33"/>
      <c r="G23" s="37">
        <f>SUM(C23+E23)</f>
        <v>1757660</v>
      </c>
      <c r="H23" s="43"/>
      <c r="I23" s="34"/>
      <c r="J23" s="34">
        <f>J21</f>
        <v>14952819.33</v>
      </c>
      <c r="K23" s="34"/>
      <c r="L23" s="34">
        <f>L21</f>
        <v>2841596.4</v>
      </c>
      <c r="M23" s="34"/>
      <c r="N23" s="34">
        <f>J23+L23</f>
        <v>17794415.73</v>
      </c>
      <c r="O23" s="34"/>
    </row>
    <row r="24" spans="1:15" ht="18" customHeight="1">
      <c r="A24" s="7" t="s">
        <v>63</v>
      </c>
      <c r="B24" s="33"/>
      <c r="C24" s="33">
        <v>0</v>
      </c>
      <c r="D24" s="33"/>
      <c r="E24" s="33">
        <v>0</v>
      </c>
      <c r="F24" s="33"/>
      <c r="G24" s="37">
        <f>SUM(C24+E24)</f>
        <v>0</v>
      </c>
      <c r="H24" s="43"/>
      <c r="I24" s="34"/>
      <c r="J24" s="34">
        <v>0</v>
      </c>
      <c r="K24" s="34"/>
      <c r="L24" s="34">
        <v>0</v>
      </c>
      <c r="M24" s="34"/>
      <c r="N24" s="34"/>
      <c r="O24" s="34"/>
    </row>
    <row r="25" spans="1:15" ht="18" customHeight="1">
      <c r="A25" s="7" t="s">
        <v>53</v>
      </c>
      <c r="B25" s="33"/>
      <c r="C25" s="46">
        <f>7869+1552</f>
        <v>9421</v>
      </c>
      <c r="D25" s="33"/>
      <c r="E25" s="33">
        <v>529</v>
      </c>
      <c r="F25" s="33"/>
      <c r="G25" s="37">
        <f>C25+E25</f>
        <v>9950</v>
      </c>
      <c r="H25" s="43"/>
      <c r="I25" s="34"/>
      <c r="J25" s="34">
        <f>743308.55+146640.32</f>
        <v>889948.8700000001</v>
      </c>
      <c r="K25" s="34"/>
      <c r="L25" s="34">
        <v>49925.3</v>
      </c>
      <c r="M25" s="34"/>
      <c r="N25" s="34">
        <f>J25+L25</f>
        <v>939874.1700000002</v>
      </c>
      <c r="O25" s="34"/>
    </row>
    <row r="26" spans="1:15" ht="18" customHeight="1">
      <c r="A26" s="7" t="s">
        <v>62</v>
      </c>
      <c r="B26" s="33"/>
      <c r="C26" s="33">
        <f>C23+C24-C25</f>
        <v>1120706</v>
      </c>
      <c r="D26" s="33"/>
      <c r="E26" s="33">
        <f>E23+E24-E25</f>
        <v>627004</v>
      </c>
      <c r="F26" s="33"/>
      <c r="G26" s="33">
        <f>C26+E26</f>
        <v>1747710</v>
      </c>
      <c r="H26" s="43"/>
      <c r="I26" s="34"/>
      <c r="J26" s="34">
        <f>J23-J25</f>
        <v>14062870.46</v>
      </c>
      <c r="K26" s="34"/>
      <c r="L26" s="34">
        <f>L23-L25</f>
        <v>2791671.1</v>
      </c>
      <c r="M26" s="34"/>
      <c r="N26" s="34">
        <f>N23-N25</f>
        <v>16854541.56</v>
      </c>
      <c r="O26" s="34"/>
    </row>
    <row r="27" spans="1:15" ht="37.5" customHeight="1">
      <c r="A27" s="35">
        <v>41760</v>
      </c>
      <c r="B27" s="33"/>
      <c r="C27" s="33"/>
      <c r="D27" s="33"/>
      <c r="E27" s="33"/>
      <c r="F27" s="33"/>
      <c r="G27" s="33">
        <f>C27+E27</f>
        <v>0</v>
      </c>
      <c r="H27" s="43"/>
      <c r="I27" s="34"/>
      <c r="J27" s="34"/>
      <c r="K27" s="34"/>
      <c r="L27" s="34"/>
      <c r="M27" s="34"/>
      <c r="N27" s="34"/>
      <c r="O27" s="34"/>
    </row>
    <row r="28" spans="1:15" ht="18" customHeight="1">
      <c r="A28" s="7" t="s">
        <v>61</v>
      </c>
      <c r="B28" s="33"/>
      <c r="C28" s="33">
        <f>C26</f>
        <v>1120706</v>
      </c>
      <c r="D28" s="33"/>
      <c r="E28" s="33">
        <f>E26</f>
        <v>627004</v>
      </c>
      <c r="F28" s="33"/>
      <c r="G28" s="37">
        <f>SUM(C28+E28)</f>
        <v>1747710</v>
      </c>
      <c r="H28" s="43"/>
      <c r="I28" s="34"/>
      <c r="J28" s="34">
        <f>J26</f>
        <v>14062870.46</v>
      </c>
      <c r="K28" s="34"/>
      <c r="L28" s="34">
        <f>L26</f>
        <v>2791671.1</v>
      </c>
      <c r="M28" s="34"/>
      <c r="N28" s="34">
        <f>J28+L28</f>
        <v>16854541.560000002</v>
      </c>
      <c r="O28" s="34"/>
    </row>
    <row r="29" spans="1:15" ht="18" customHeight="1">
      <c r="A29" s="7" t="s">
        <v>63</v>
      </c>
      <c r="B29" s="33"/>
      <c r="C29" s="33">
        <v>0</v>
      </c>
      <c r="D29" s="33"/>
      <c r="E29" s="33">
        <v>0</v>
      </c>
      <c r="F29" s="33"/>
      <c r="G29" s="37">
        <f>SUM(C29+E29)</f>
        <v>0</v>
      </c>
      <c r="H29" s="43"/>
      <c r="I29" s="34"/>
      <c r="J29" s="34"/>
      <c r="K29" s="34"/>
      <c r="L29" s="34"/>
      <c r="M29" s="34"/>
      <c r="N29" s="34">
        <f>J29+L29</f>
        <v>0</v>
      </c>
      <c r="O29" s="34"/>
    </row>
    <row r="30" spans="1:15" ht="18" customHeight="1">
      <c r="A30" s="7" t="s">
        <v>53</v>
      </c>
      <c r="B30" s="33"/>
      <c r="C30" s="33">
        <f>5164+996</f>
        <v>6160</v>
      </c>
      <c r="D30" s="33"/>
      <c r="E30" s="33">
        <v>272</v>
      </c>
      <c r="F30" s="33"/>
      <c r="G30" s="37">
        <f>C30+E30</f>
        <v>6432</v>
      </c>
      <c r="H30" s="43"/>
      <c r="I30" s="34"/>
      <c r="J30" s="34">
        <f>487832.51+94067.42</f>
        <v>581899.93</v>
      </c>
      <c r="K30" s="34"/>
      <c r="L30" s="34">
        <v>25665.08</v>
      </c>
      <c r="M30" s="34"/>
      <c r="N30" s="34">
        <f>J30+L30</f>
        <v>607565.01</v>
      </c>
      <c r="O30" s="34"/>
    </row>
    <row r="31" spans="1:15" ht="18" customHeight="1">
      <c r="A31" s="7" t="s">
        <v>62</v>
      </c>
      <c r="B31" s="33"/>
      <c r="C31" s="33">
        <f>C28+C29-C30</f>
        <v>1114546</v>
      </c>
      <c r="D31" s="33"/>
      <c r="E31" s="33">
        <f>E28+E29-E30</f>
        <v>626732</v>
      </c>
      <c r="F31" s="33"/>
      <c r="G31" s="33">
        <f>C31+E31</f>
        <v>1741278</v>
      </c>
      <c r="H31" s="43"/>
      <c r="I31" s="34"/>
      <c r="J31" s="33">
        <f>J28+J29-J30</f>
        <v>13480970.530000001</v>
      </c>
      <c r="K31" s="33"/>
      <c r="L31" s="33">
        <f>L28+L29-L30</f>
        <v>2766006.02</v>
      </c>
      <c r="M31" s="33"/>
      <c r="N31" s="33">
        <f>J31+L31</f>
        <v>16246976.55</v>
      </c>
      <c r="O31" s="34"/>
    </row>
    <row r="32" spans="1:15" ht="31.5" customHeight="1">
      <c r="A32" s="35">
        <v>41791</v>
      </c>
      <c r="B32" s="33"/>
      <c r="C32" s="33"/>
      <c r="D32" s="33"/>
      <c r="E32" s="33"/>
      <c r="F32" s="33"/>
      <c r="G32" s="33"/>
      <c r="H32" s="43"/>
      <c r="I32" s="34"/>
      <c r="J32" s="34"/>
      <c r="K32" s="34"/>
      <c r="L32" s="34"/>
      <c r="M32" s="34"/>
      <c r="N32" s="34"/>
      <c r="O32" s="34"/>
    </row>
    <row r="33" spans="1:15" ht="18" customHeight="1">
      <c r="A33" s="7" t="s">
        <v>61</v>
      </c>
      <c r="B33" s="33"/>
      <c r="C33" s="33">
        <f>C31</f>
        <v>1114546</v>
      </c>
      <c r="D33" s="33"/>
      <c r="E33" s="33">
        <f>E31</f>
        <v>626732</v>
      </c>
      <c r="F33" s="33"/>
      <c r="G33" s="37">
        <f>SUM(C33+E33)</f>
        <v>1741278</v>
      </c>
      <c r="H33" s="43"/>
      <c r="I33" s="34"/>
      <c r="J33" s="34">
        <f>J31</f>
        <v>13480970.530000001</v>
      </c>
      <c r="K33" s="34"/>
      <c r="L33" s="34">
        <f>L31</f>
        <v>2766006.02</v>
      </c>
      <c r="M33" s="34"/>
      <c r="N33" s="34">
        <f>J33+L33</f>
        <v>16246976.55</v>
      </c>
      <c r="O33" s="34"/>
    </row>
    <row r="34" spans="1:15" ht="18" customHeight="1">
      <c r="A34" s="7" t="s">
        <v>63</v>
      </c>
      <c r="B34" s="33"/>
      <c r="C34" s="33">
        <v>0</v>
      </c>
      <c r="D34" s="33"/>
      <c r="E34" s="33">
        <v>0</v>
      </c>
      <c r="F34" s="33"/>
      <c r="G34" s="37">
        <f>SUM(C34+E34)</f>
        <v>0</v>
      </c>
      <c r="H34" s="43"/>
      <c r="I34" s="34"/>
      <c r="J34" s="34">
        <f>0</f>
        <v>0</v>
      </c>
      <c r="K34" s="34"/>
      <c r="L34" s="34">
        <v>0</v>
      </c>
      <c r="M34" s="34"/>
      <c r="N34" s="34">
        <f>J34+L34</f>
        <v>0</v>
      </c>
      <c r="O34" s="34"/>
    </row>
    <row r="35" spans="1:15" ht="18" customHeight="1">
      <c r="A35" s="7" t="s">
        <v>53</v>
      </c>
      <c r="C35" s="33">
        <f>7391+1369</f>
        <v>8760</v>
      </c>
      <c r="D35" s="33"/>
      <c r="E35" s="33">
        <v>458</v>
      </c>
      <c r="F35" s="33"/>
      <c r="G35" s="37">
        <f>C35+E35</f>
        <v>9218</v>
      </c>
      <c r="H35" s="41"/>
      <c r="I35" s="20"/>
      <c r="J35" s="34">
        <f>698168.47+129284.5</f>
        <v>827452.97</v>
      </c>
      <c r="K35" s="34"/>
      <c r="L35" s="34">
        <v>43277.02</v>
      </c>
      <c r="M35" s="34"/>
      <c r="N35" s="34">
        <f>J35+L35</f>
        <v>870729.99</v>
      </c>
      <c r="O35" s="34"/>
    </row>
    <row r="36" spans="1:15" ht="18" customHeight="1">
      <c r="A36" s="7" t="s">
        <v>62</v>
      </c>
      <c r="C36" s="33">
        <f>C33+C34-C35</f>
        <v>1105786</v>
      </c>
      <c r="D36" s="33"/>
      <c r="E36" s="33">
        <f>E33+E34-E35</f>
        <v>626274</v>
      </c>
      <c r="F36" s="33"/>
      <c r="G36" s="33">
        <f>C36+E36</f>
        <v>1732060</v>
      </c>
      <c r="H36" s="41"/>
      <c r="J36" s="33">
        <f>J33+J34-J35</f>
        <v>12653517.56</v>
      </c>
      <c r="K36" s="33"/>
      <c r="L36" s="33">
        <f>L33+L34-L35</f>
        <v>2722729</v>
      </c>
      <c r="M36" s="33"/>
      <c r="N36" s="33">
        <f>J36+L36</f>
        <v>15376246.56</v>
      </c>
      <c r="O36" s="34"/>
    </row>
    <row r="37" spans="1:15" ht="15">
      <c r="A37" s="60">
        <v>41821</v>
      </c>
      <c r="B37" s="61"/>
      <c r="C37" s="61"/>
      <c r="D37" s="61"/>
      <c r="E37" s="61"/>
      <c r="F37" s="61"/>
      <c r="G37" s="61"/>
      <c r="H37" s="43"/>
      <c r="I37" s="62"/>
      <c r="J37" s="62"/>
      <c r="K37" s="62"/>
      <c r="L37" s="62"/>
      <c r="M37" s="62"/>
      <c r="N37" s="62"/>
      <c r="O37" s="34"/>
    </row>
    <row r="38" spans="1:15" ht="15">
      <c r="A38" s="63" t="s">
        <v>61</v>
      </c>
      <c r="B38" s="61"/>
      <c r="C38" s="61">
        <f>C36</f>
        <v>1105786</v>
      </c>
      <c r="D38" s="61"/>
      <c r="E38" s="61">
        <f>E36</f>
        <v>626274</v>
      </c>
      <c r="F38" s="61"/>
      <c r="G38" s="64">
        <f>SUM(C38+E38)</f>
        <v>1732060</v>
      </c>
      <c r="H38" s="43"/>
      <c r="I38" s="62"/>
      <c r="J38" s="62">
        <f>J36</f>
        <v>12653517.56</v>
      </c>
      <c r="K38" s="62"/>
      <c r="L38" s="62">
        <f>L36</f>
        <v>2722729</v>
      </c>
      <c r="M38" s="62"/>
      <c r="N38" s="62">
        <f>J38+L38</f>
        <v>15376246.56</v>
      </c>
      <c r="O38" s="34"/>
    </row>
    <row r="39" spans="1:15" ht="15">
      <c r="A39" s="63" t="s">
        <v>63</v>
      </c>
      <c r="B39" s="61"/>
      <c r="C39" s="61">
        <v>0</v>
      </c>
      <c r="D39" s="61"/>
      <c r="E39" s="61">
        <v>0</v>
      </c>
      <c r="F39" s="61"/>
      <c r="G39" s="64">
        <f>SUM(C39+E39)</f>
        <v>0</v>
      </c>
      <c r="H39" s="43"/>
      <c r="I39" s="62"/>
      <c r="J39" s="62">
        <f>0</f>
        <v>0</v>
      </c>
      <c r="K39" s="62"/>
      <c r="L39" s="62">
        <v>0</v>
      </c>
      <c r="M39" s="62"/>
      <c r="N39" s="62">
        <f>J39+L39</f>
        <v>0</v>
      </c>
      <c r="O39" s="34"/>
    </row>
    <row r="40" spans="1:15" ht="15">
      <c r="A40" s="63" t="s">
        <v>53</v>
      </c>
      <c r="B40" s="63"/>
      <c r="C40" s="61">
        <f>6371+1471</f>
        <v>7842</v>
      </c>
      <c r="D40" s="61"/>
      <c r="E40" s="61">
        <v>458</v>
      </c>
      <c r="F40" s="61"/>
      <c r="G40" s="64">
        <f>C40+E40</f>
        <v>8300</v>
      </c>
      <c r="H40" s="41"/>
      <c r="I40" s="65"/>
      <c r="J40" s="66">
        <f>601837.4+138917</f>
        <v>740754.4</v>
      </c>
      <c r="K40" s="62"/>
      <c r="L40" s="62">
        <v>43261.4</v>
      </c>
      <c r="M40" s="62"/>
      <c r="N40" s="62">
        <f>J40+L40</f>
        <v>784015.8</v>
      </c>
      <c r="O40" s="34"/>
    </row>
    <row r="41" spans="1:15" ht="15">
      <c r="A41" s="63" t="s">
        <v>62</v>
      </c>
      <c r="B41" s="63"/>
      <c r="C41" s="61">
        <f>C38+C39-C40</f>
        <v>1097944</v>
      </c>
      <c r="D41" s="61"/>
      <c r="E41" s="61">
        <f>E38+E39-E40</f>
        <v>625816</v>
      </c>
      <c r="F41" s="61"/>
      <c r="G41" s="61">
        <f>C41+E41</f>
        <v>1723760</v>
      </c>
      <c r="H41" s="41"/>
      <c r="I41" s="63"/>
      <c r="J41" s="61">
        <f>J38+J39-J40</f>
        <v>11912763.16</v>
      </c>
      <c r="K41" s="61"/>
      <c r="L41" s="61">
        <f>L38+L39-L40</f>
        <v>2679467.6</v>
      </c>
      <c r="M41" s="61"/>
      <c r="N41" s="61">
        <f>J41+L41</f>
        <v>14592230.76</v>
      </c>
      <c r="O41" s="34"/>
    </row>
    <row r="42" spans="1:15" s="63" customFormat="1" ht="15">
      <c r="A42" s="60">
        <v>41852</v>
      </c>
      <c r="B42" s="61"/>
      <c r="C42" s="61"/>
      <c r="D42" s="61"/>
      <c r="E42" s="61"/>
      <c r="F42" s="61"/>
      <c r="G42" s="61"/>
      <c r="H42" s="43"/>
      <c r="I42" s="66"/>
      <c r="J42" s="66"/>
      <c r="K42" s="66"/>
      <c r="L42" s="66"/>
      <c r="M42" s="66"/>
      <c r="N42" s="66"/>
      <c r="O42" s="66"/>
    </row>
    <row r="43" spans="1:15" s="63" customFormat="1" ht="15">
      <c r="A43" s="63" t="s">
        <v>61</v>
      </c>
      <c r="B43" s="61"/>
      <c r="C43" s="61">
        <f>C41</f>
        <v>1097944</v>
      </c>
      <c r="D43" s="61"/>
      <c r="E43" s="61">
        <f>E41</f>
        <v>625816</v>
      </c>
      <c r="F43" s="61"/>
      <c r="G43" s="64">
        <f>SUM(C43+E43)</f>
        <v>1723760</v>
      </c>
      <c r="H43" s="43"/>
      <c r="I43" s="66"/>
      <c r="J43" s="66">
        <f>J41</f>
        <v>11912763.16</v>
      </c>
      <c r="K43" s="66"/>
      <c r="L43" s="66">
        <f>L41</f>
        <v>2679467.6</v>
      </c>
      <c r="M43" s="66"/>
      <c r="N43" s="66">
        <f>J43+L43</f>
        <v>14592230.76</v>
      </c>
      <c r="O43" s="66"/>
    </row>
    <row r="44" spans="1:15" s="63" customFormat="1" ht="15">
      <c r="A44" s="63" t="s">
        <v>63</v>
      </c>
      <c r="B44" s="61"/>
      <c r="C44" s="61">
        <v>34945</v>
      </c>
      <c r="D44" s="61"/>
      <c r="E44" s="61">
        <v>0</v>
      </c>
      <c r="F44" s="61"/>
      <c r="G44" s="64">
        <f>SUM(C44+E44)</f>
        <v>34945</v>
      </c>
      <c r="H44" s="43"/>
      <c r="I44" s="66"/>
      <c r="J44" s="66">
        <f>0</f>
        <v>0</v>
      </c>
      <c r="K44" s="66"/>
      <c r="L44" s="66">
        <v>0</v>
      </c>
      <c r="M44" s="66"/>
      <c r="N44" s="66">
        <f>J44+L44</f>
        <v>0</v>
      </c>
      <c r="O44" s="66"/>
    </row>
    <row r="45" spans="1:15" s="63" customFormat="1" ht="15">
      <c r="A45" s="63" t="s">
        <v>53</v>
      </c>
      <c r="C45" s="61">
        <v>8894</v>
      </c>
      <c r="D45" s="61"/>
      <c r="E45" s="61">
        <v>352</v>
      </c>
      <c r="F45" s="61"/>
      <c r="G45" s="64">
        <f>C45+E45</f>
        <v>9246</v>
      </c>
      <c r="H45" s="41"/>
      <c r="I45" s="65"/>
      <c r="J45" s="66">
        <f>711470.96+128654.2</f>
        <v>840125.1599999999</v>
      </c>
      <c r="K45" s="66"/>
      <c r="L45" s="66">
        <f>33249.84</f>
        <v>33249.84</v>
      </c>
      <c r="M45" s="66"/>
      <c r="N45" s="66">
        <f>J45+L45</f>
        <v>873374.9999999999</v>
      </c>
      <c r="O45" s="66"/>
    </row>
    <row r="46" spans="1:15" s="63" customFormat="1" ht="15">
      <c r="A46" s="63" t="s">
        <v>62</v>
      </c>
      <c r="C46" s="61">
        <f>C43+C44-C45</f>
        <v>1123995</v>
      </c>
      <c r="D46" s="61"/>
      <c r="E46" s="61">
        <f>E43+E44-E45</f>
        <v>625464</v>
      </c>
      <c r="F46" s="61"/>
      <c r="G46" s="61">
        <f>C46+E46</f>
        <v>1749459</v>
      </c>
      <c r="H46" s="41"/>
      <c r="J46" s="61">
        <f>J43+J44-J45</f>
        <v>11072638</v>
      </c>
      <c r="K46" s="61"/>
      <c r="L46" s="61">
        <f>L43+L44-L45</f>
        <v>2646217.7600000002</v>
      </c>
      <c r="M46" s="61"/>
      <c r="N46" s="61">
        <f>J46+L46</f>
        <v>13718855.76</v>
      </c>
      <c r="O46" s="66"/>
    </row>
    <row r="47" spans="1:15" s="63" customFormat="1" ht="15">
      <c r="A47" s="60">
        <v>41896</v>
      </c>
      <c r="B47" s="61"/>
      <c r="C47" s="61"/>
      <c r="D47" s="61"/>
      <c r="E47" s="61"/>
      <c r="F47" s="61"/>
      <c r="G47" s="61"/>
      <c r="H47" s="43"/>
      <c r="I47" s="66"/>
      <c r="J47" s="66"/>
      <c r="K47" s="66"/>
      <c r="L47" s="66"/>
      <c r="M47" s="66"/>
      <c r="N47" s="66"/>
      <c r="O47" s="66"/>
    </row>
    <row r="48" spans="1:15" s="63" customFormat="1" ht="15">
      <c r="A48" s="63" t="s">
        <v>61</v>
      </c>
      <c r="B48" s="61"/>
      <c r="C48" s="61">
        <f>C46</f>
        <v>1123995</v>
      </c>
      <c r="D48" s="61"/>
      <c r="E48" s="61">
        <f>E46</f>
        <v>625464</v>
      </c>
      <c r="F48" s="61"/>
      <c r="G48" s="64">
        <f>SUM(C48+E48)</f>
        <v>1749459</v>
      </c>
      <c r="H48" s="43"/>
      <c r="I48" s="66"/>
      <c r="J48" s="66">
        <f>J46</f>
        <v>11072638</v>
      </c>
      <c r="K48" s="66"/>
      <c r="L48" s="66">
        <f>L46</f>
        <v>2646217.7600000002</v>
      </c>
      <c r="M48" s="66"/>
      <c r="N48" s="66">
        <f>J48+L48</f>
        <v>13718855.76</v>
      </c>
      <c r="O48" s="66"/>
    </row>
    <row r="49" spans="1:15" s="63" customFormat="1" ht="15">
      <c r="A49" s="63" t="s">
        <v>63</v>
      </c>
      <c r="B49" s="61"/>
      <c r="C49" s="61">
        <v>0</v>
      </c>
      <c r="D49" s="61"/>
      <c r="E49" s="61">
        <v>0</v>
      </c>
      <c r="F49" s="61"/>
      <c r="G49" s="64">
        <f>SUM(C49+E49)</f>
        <v>0</v>
      </c>
      <c r="H49" s="43"/>
      <c r="I49" s="66"/>
      <c r="J49" s="66">
        <f>0</f>
        <v>0</v>
      </c>
      <c r="K49" s="66"/>
      <c r="L49" s="66">
        <v>0</v>
      </c>
      <c r="M49" s="66"/>
      <c r="N49" s="66">
        <f>J49+L49</f>
        <v>0</v>
      </c>
      <c r="O49" s="66"/>
    </row>
    <row r="50" spans="1:15" s="63" customFormat="1" ht="15">
      <c r="A50" s="63" t="s">
        <v>53</v>
      </c>
      <c r="C50" s="61">
        <f>3444+1718</f>
        <v>5162</v>
      </c>
      <c r="D50" s="61"/>
      <c r="E50" s="61">
        <v>416</v>
      </c>
      <c r="F50" s="61"/>
      <c r="G50" s="64">
        <f>C50+E50</f>
        <v>5578</v>
      </c>
      <c r="H50" s="41"/>
      <c r="I50" s="65"/>
      <c r="J50" s="66">
        <f>325319.08+162281.7</f>
        <v>487600.78</v>
      </c>
      <c r="K50" s="66"/>
      <c r="L50" s="66">
        <v>39295.22</v>
      </c>
      <c r="M50" s="66"/>
      <c r="N50" s="66">
        <f>J50+L50</f>
        <v>526896</v>
      </c>
      <c r="O50" s="66"/>
    </row>
    <row r="51" spans="1:15" s="63" customFormat="1" ht="15">
      <c r="A51" s="63" t="s">
        <v>62</v>
      </c>
      <c r="C51" s="61">
        <f>C48+C49-C50</f>
        <v>1118833</v>
      </c>
      <c r="D51" s="61"/>
      <c r="E51" s="61">
        <f>E48+E49-E50</f>
        <v>625048</v>
      </c>
      <c r="F51" s="61"/>
      <c r="G51" s="61">
        <f>C51+E51</f>
        <v>1743881</v>
      </c>
      <c r="H51" s="41"/>
      <c r="J51" s="61">
        <f>J48+J49-J50</f>
        <v>10585037.22</v>
      </c>
      <c r="K51" s="61"/>
      <c r="L51" s="61">
        <f>L48+L49-L50</f>
        <v>2606922.54</v>
      </c>
      <c r="M51" s="61"/>
      <c r="N51" s="61">
        <f>J51+L51</f>
        <v>13191959.760000002</v>
      </c>
      <c r="O51" s="66"/>
    </row>
    <row r="52" spans="10:15" s="63" customFormat="1" ht="15">
      <c r="J52" s="66"/>
      <c r="K52" s="66"/>
      <c r="L52" s="66"/>
      <c r="M52" s="66"/>
      <c r="N52" s="66"/>
      <c r="O52" s="66"/>
    </row>
    <row r="53" spans="10:15" ht="15">
      <c r="J53" s="34"/>
      <c r="K53" s="34"/>
      <c r="L53" s="34"/>
      <c r="M53" s="34"/>
      <c r="N53" s="34"/>
      <c r="O53" s="34"/>
    </row>
    <row r="54" spans="10:15" ht="15">
      <c r="J54" s="34"/>
      <c r="K54" s="34"/>
      <c r="L54" s="34"/>
      <c r="M54" s="34"/>
      <c r="N54" s="34"/>
      <c r="O54" s="34"/>
    </row>
    <row r="55" spans="10:15" ht="15">
      <c r="J55" s="34"/>
      <c r="K55" s="34"/>
      <c r="L55" s="34"/>
      <c r="M55" s="34"/>
      <c r="N55" s="34"/>
      <c r="O55" s="34"/>
    </row>
  </sheetData>
  <sheetProtection/>
  <mergeCells count="4">
    <mergeCell ref="J6:N6"/>
    <mergeCell ref="A1:N1"/>
    <mergeCell ref="A2:N2"/>
    <mergeCell ref="A3:N3"/>
  </mergeCells>
  <printOptions/>
  <pageMargins left="0.7" right="0.7" top="0.75" bottom="0.75" header="0.3" footer="0.3"/>
  <pageSetup fitToHeight="1" fitToWidth="1" horizontalDpi="600" verticalDpi="600" orientation="portrait" scale="70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pane ySplit="7" topLeftCell="A8" activePane="bottomLeft" state="frozen"/>
      <selection pane="topLeft" activeCell="J59" sqref="J59"/>
      <selection pane="bottomLeft" activeCell="L16" sqref="L16"/>
    </sheetView>
  </sheetViews>
  <sheetFormatPr defaultColWidth="8.8515625" defaultRowHeight="15"/>
  <cols>
    <col min="1" max="1" width="19.00390625" style="7" customWidth="1"/>
    <col min="2" max="2" width="2.7109375" style="7" customWidth="1"/>
    <col min="3" max="3" width="10.28125" style="7" customWidth="1"/>
    <col min="4" max="4" width="1.57421875" style="7" customWidth="1"/>
    <col min="5" max="5" width="10.8515625" style="7" customWidth="1"/>
    <col min="6" max="6" width="1.28515625" style="7" customWidth="1"/>
    <col min="7" max="7" width="10.57421875" style="7" customWidth="1"/>
    <col min="8" max="8" width="1.421875" style="7" customWidth="1"/>
    <col min="9" max="9" width="2.57421875" style="7" customWidth="1"/>
    <col min="10" max="10" width="14.7109375" style="7" bestFit="1" customWidth="1"/>
    <col min="11" max="11" width="2.140625" style="7" customWidth="1"/>
    <col min="12" max="12" width="13.7109375" style="7" bestFit="1" customWidth="1"/>
    <col min="13" max="13" width="2.140625" style="7" customWidth="1"/>
    <col min="14" max="14" width="13.28125" style="7" customWidth="1"/>
    <col min="15" max="20" width="8.8515625" style="7" customWidth="1"/>
    <col min="21" max="21" width="10.7109375" style="7" customWidth="1"/>
    <col min="22" max="16384" width="8.8515625" style="7" customWidth="1"/>
  </cols>
  <sheetData>
    <row r="1" spans="1:14" ht="1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110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110">
        <v>2014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5" s="1" customFormat="1" ht="3.75" customHeight="1"/>
    <row r="6" spans="2:16" ht="30.75" customHeight="1">
      <c r="B6" s="50" t="s">
        <v>58</v>
      </c>
      <c r="C6" s="50"/>
      <c r="D6" s="50"/>
      <c r="E6" s="50"/>
      <c r="F6" s="50"/>
      <c r="G6" s="50"/>
      <c r="H6" s="41"/>
      <c r="J6" s="108" t="s">
        <v>59</v>
      </c>
      <c r="K6" s="108"/>
      <c r="L6" s="108"/>
      <c r="M6" s="108"/>
      <c r="N6" s="108"/>
      <c r="O6" s="2"/>
      <c r="P6" s="2"/>
    </row>
    <row r="7" spans="1:14" ht="42.75" customHeight="1">
      <c r="A7" s="35">
        <v>41640</v>
      </c>
      <c r="C7" s="44" t="s">
        <v>57</v>
      </c>
      <c r="D7" s="44"/>
      <c r="E7" s="45" t="s">
        <v>56</v>
      </c>
      <c r="F7" s="45"/>
      <c r="G7" s="44" t="s">
        <v>60</v>
      </c>
      <c r="H7" s="42"/>
      <c r="I7" s="38"/>
      <c r="J7" s="28" t="s">
        <v>57</v>
      </c>
      <c r="K7" s="28"/>
      <c r="L7" s="38" t="s">
        <v>56</v>
      </c>
      <c r="N7" s="28" t="s">
        <v>60</v>
      </c>
    </row>
    <row r="8" spans="1:15" ht="20.25" customHeight="1">
      <c r="A8" s="7" t="s">
        <v>61</v>
      </c>
      <c r="C8" s="36">
        <v>7880</v>
      </c>
      <c r="D8" s="36"/>
      <c r="E8" s="33">
        <v>0</v>
      </c>
      <c r="F8" s="33"/>
      <c r="G8" s="37">
        <f>SUM(C8+E8)</f>
        <v>7880</v>
      </c>
      <c r="H8" s="41"/>
      <c r="I8" s="27"/>
      <c r="J8" s="39">
        <v>2964</v>
      </c>
      <c r="K8" s="39"/>
      <c r="L8" s="34">
        <v>0</v>
      </c>
      <c r="M8" s="34"/>
      <c r="N8" s="40">
        <f>J8+L8</f>
        <v>2964</v>
      </c>
      <c r="O8" s="34"/>
    </row>
    <row r="9" spans="1:15" ht="20.25" customHeight="1">
      <c r="A9" s="7" t="s">
        <v>70</v>
      </c>
      <c r="C9" s="36">
        <v>-300</v>
      </c>
      <c r="D9" s="36"/>
      <c r="E9" s="33">
        <v>3907</v>
      </c>
      <c r="F9" s="33"/>
      <c r="G9" s="37">
        <f>SUM(C9+E9)</f>
        <v>3607</v>
      </c>
      <c r="H9" s="41"/>
      <c r="I9" s="27"/>
      <c r="J9" s="39">
        <v>-4367</v>
      </c>
      <c r="K9" s="39"/>
      <c r="L9" s="34">
        <v>168558</v>
      </c>
      <c r="M9" s="34"/>
      <c r="N9" s="40">
        <v>0</v>
      </c>
      <c r="O9" s="34"/>
    </row>
    <row r="10" spans="1:15" ht="18" customHeight="1">
      <c r="A10" s="7" t="s">
        <v>53</v>
      </c>
      <c r="C10" s="36">
        <f>508+296+1</f>
        <v>805</v>
      </c>
      <c r="D10" s="36"/>
      <c r="E10" s="33">
        <v>152</v>
      </c>
      <c r="F10" s="33"/>
      <c r="G10" s="37">
        <f>C10+E10</f>
        <v>957</v>
      </c>
      <c r="H10" s="41"/>
      <c r="I10" s="27"/>
      <c r="J10" s="39">
        <f>7360+4288</f>
        <v>11648</v>
      </c>
      <c r="K10" s="39"/>
      <c r="L10" s="34">
        <v>2207</v>
      </c>
      <c r="M10" s="34"/>
      <c r="N10" s="40">
        <f>SUM(J10+L10)</f>
        <v>13855</v>
      </c>
      <c r="O10" s="34"/>
    </row>
    <row r="11" spans="1:15" ht="18.75" customHeight="1">
      <c r="A11" s="7" t="s">
        <v>62</v>
      </c>
      <c r="C11" s="33">
        <f>C8+C9-C10</f>
        <v>6775</v>
      </c>
      <c r="D11" s="33"/>
      <c r="E11" s="33">
        <f>E8+E9-E10</f>
        <v>3755</v>
      </c>
      <c r="F11" s="33"/>
      <c r="G11" s="33">
        <f>G8+G9-G10</f>
        <v>10530</v>
      </c>
      <c r="H11" s="43"/>
      <c r="I11" s="34"/>
      <c r="J11" s="34">
        <f>J8-J10+J9</f>
        <v>-13051</v>
      </c>
      <c r="K11" s="34"/>
      <c r="L11" s="34">
        <f>L8+L9-L10</f>
        <v>166351</v>
      </c>
      <c r="M11" s="34"/>
      <c r="N11" s="34">
        <f>J11+L11</f>
        <v>153300</v>
      </c>
      <c r="O11" s="34"/>
    </row>
    <row r="12" spans="1:15" ht="39" customHeight="1">
      <c r="A12" s="35">
        <v>41671</v>
      </c>
      <c r="B12" s="33"/>
      <c r="C12" s="33"/>
      <c r="D12" s="33"/>
      <c r="E12" s="33"/>
      <c r="F12" s="33"/>
      <c r="G12" s="33"/>
      <c r="H12" s="43"/>
      <c r="I12" s="34"/>
      <c r="J12" s="34"/>
      <c r="K12" s="34"/>
      <c r="L12" s="34"/>
      <c r="M12" s="34"/>
      <c r="N12" s="34"/>
      <c r="O12" s="34"/>
    </row>
    <row r="13" spans="1:15" ht="18" customHeight="1">
      <c r="A13" s="7" t="s">
        <v>61</v>
      </c>
      <c r="B13" s="33" t="s">
        <v>52</v>
      </c>
      <c r="C13" s="33">
        <f>C11</f>
        <v>6775</v>
      </c>
      <c r="D13" s="33"/>
      <c r="E13" s="33">
        <f>E11</f>
        <v>3755</v>
      </c>
      <c r="F13" s="33"/>
      <c r="G13" s="37">
        <f>SUM(C13+E13)</f>
        <v>10530</v>
      </c>
      <c r="H13" s="43"/>
      <c r="I13" s="34"/>
      <c r="J13" s="34">
        <f>J11</f>
        <v>-13051</v>
      </c>
      <c r="K13" s="34"/>
      <c r="L13" s="34">
        <f>L11</f>
        <v>166351</v>
      </c>
      <c r="M13" s="34"/>
      <c r="N13" s="40">
        <f>J13+L13</f>
        <v>153300</v>
      </c>
      <c r="O13" s="34"/>
    </row>
    <row r="14" spans="1:15" ht="18" customHeight="1">
      <c r="A14" s="7" t="s">
        <v>70</v>
      </c>
      <c r="B14" s="33"/>
      <c r="C14" s="46">
        <v>0</v>
      </c>
      <c r="D14" s="33"/>
      <c r="E14" s="33">
        <v>0</v>
      </c>
      <c r="F14" s="33"/>
      <c r="G14" s="37">
        <f>SUM(C14+E14)</f>
        <v>0</v>
      </c>
      <c r="H14" s="43"/>
      <c r="I14" s="34"/>
      <c r="J14" s="34">
        <v>0</v>
      </c>
      <c r="K14" s="34"/>
      <c r="L14" s="34">
        <v>0</v>
      </c>
      <c r="M14" s="34"/>
      <c r="N14" s="40">
        <v>0</v>
      </c>
      <c r="O14" s="34"/>
    </row>
    <row r="15" spans="1:15" ht="18" customHeight="1">
      <c r="A15" s="7" t="s">
        <v>53</v>
      </c>
      <c r="B15" s="33"/>
      <c r="C15" s="33">
        <f>540+219</f>
        <v>759</v>
      </c>
      <c r="D15" s="33"/>
      <c r="E15" s="33">
        <v>132</v>
      </c>
      <c r="F15" s="33"/>
      <c r="G15" s="37">
        <f>C15+E15</f>
        <v>891</v>
      </c>
      <c r="H15" s="43"/>
      <c r="I15" s="34"/>
      <c r="J15" s="34">
        <f>7859+3186</f>
        <v>11045</v>
      </c>
      <c r="K15" s="34"/>
      <c r="L15" s="34">
        <v>1918</v>
      </c>
      <c r="M15" s="34"/>
      <c r="N15" s="40">
        <f>SUM(J15+L15)</f>
        <v>12963</v>
      </c>
      <c r="O15" s="34"/>
    </row>
    <row r="16" spans="1:15" ht="18" customHeight="1">
      <c r="A16" s="7" t="s">
        <v>62</v>
      </c>
      <c r="B16" s="33"/>
      <c r="C16" s="33">
        <f>C13+C14-C15</f>
        <v>6016</v>
      </c>
      <c r="D16" s="33"/>
      <c r="E16" s="33">
        <f>E13+E14-E15</f>
        <v>3623</v>
      </c>
      <c r="F16" s="33"/>
      <c r="G16" s="33">
        <f>C16+E16</f>
        <v>9639</v>
      </c>
      <c r="H16" s="43"/>
      <c r="I16" s="34"/>
      <c r="J16" s="34">
        <f>J13-J15+J14</f>
        <v>-24096</v>
      </c>
      <c r="K16" s="34"/>
      <c r="L16" s="34">
        <f>L13+L14-L15</f>
        <v>164433</v>
      </c>
      <c r="M16" s="34"/>
      <c r="N16" s="34">
        <f>J16+L16</f>
        <v>140337</v>
      </c>
      <c r="O16" s="34"/>
    </row>
    <row r="17" spans="1:15" ht="30" customHeight="1">
      <c r="A17" s="35">
        <v>41699</v>
      </c>
      <c r="B17" s="33"/>
      <c r="C17" s="33"/>
      <c r="D17" s="33"/>
      <c r="E17" s="33"/>
      <c r="F17" s="33"/>
      <c r="G17" s="33"/>
      <c r="H17" s="43"/>
      <c r="I17" s="34"/>
      <c r="J17" s="34"/>
      <c r="K17" s="34"/>
      <c r="L17" s="34"/>
      <c r="M17" s="34"/>
      <c r="N17" s="34"/>
      <c r="O17" s="34"/>
    </row>
    <row r="18" spans="1:15" ht="18" customHeight="1">
      <c r="A18" s="7" t="s">
        <v>61</v>
      </c>
      <c r="B18" s="33"/>
      <c r="C18" s="33">
        <f>C16</f>
        <v>6016</v>
      </c>
      <c r="D18" s="33"/>
      <c r="E18" s="33">
        <f>E16</f>
        <v>3623</v>
      </c>
      <c r="F18" s="33"/>
      <c r="G18" s="37">
        <f>SUM(C18+E18)</f>
        <v>9639</v>
      </c>
      <c r="H18" s="43"/>
      <c r="I18" s="34"/>
      <c r="J18" s="34">
        <f>J16</f>
        <v>-24096</v>
      </c>
      <c r="K18" s="34"/>
      <c r="L18" s="34">
        <f>L16</f>
        <v>164433</v>
      </c>
      <c r="M18" s="34"/>
      <c r="N18" s="34">
        <f>N16</f>
        <v>140337</v>
      </c>
      <c r="O18" s="34"/>
    </row>
    <row r="19" spans="1:15" ht="18" customHeight="1">
      <c r="A19" s="7" t="s">
        <v>70</v>
      </c>
      <c r="B19" s="33"/>
      <c r="C19" s="33">
        <v>0</v>
      </c>
      <c r="D19" s="33"/>
      <c r="E19" s="33">
        <v>0</v>
      </c>
      <c r="F19" s="33"/>
      <c r="G19" s="37">
        <f>SUM(C19+E19)</f>
        <v>0</v>
      </c>
      <c r="H19" s="43"/>
      <c r="I19" s="34"/>
      <c r="J19" s="34">
        <v>0</v>
      </c>
      <c r="K19" s="34"/>
      <c r="L19" s="34"/>
      <c r="M19" s="34"/>
      <c r="N19" s="34"/>
      <c r="O19" s="34"/>
    </row>
    <row r="20" spans="1:15" ht="18" customHeight="1">
      <c r="A20" s="7" t="s">
        <v>53</v>
      </c>
      <c r="B20" s="33"/>
      <c r="C20" s="33">
        <f>427+319-1</f>
        <v>745</v>
      </c>
      <c r="D20" s="33"/>
      <c r="E20" s="33">
        <v>174</v>
      </c>
      <c r="F20" s="33"/>
      <c r="G20" s="37">
        <f>C20+E20</f>
        <v>919</v>
      </c>
      <c r="H20" s="43"/>
      <c r="I20" s="34"/>
      <c r="J20" s="34">
        <f>6206+4636</f>
        <v>10842</v>
      </c>
      <c r="K20" s="34"/>
      <c r="L20" s="34">
        <v>2528</v>
      </c>
      <c r="M20" s="34"/>
      <c r="N20" s="34">
        <f>J20+L20</f>
        <v>13370</v>
      </c>
      <c r="O20" s="34"/>
    </row>
    <row r="21" spans="1:15" ht="18" customHeight="1">
      <c r="A21" s="7" t="s">
        <v>62</v>
      </c>
      <c r="B21" s="33"/>
      <c r="C21" s="33">
        <f>C18+C19-C20</f>
        <v>5271</v>
      </c>
      <c r="D21" s="33"/>
      <c r="E21" s="33">
        <f>E18+E19-E20</f>
        <v>3449</v>
      </c>
      <c r="F21" s="33"/>
      <c r="G21" s="33">
        <f>C21+E21</f>
        <v>8720</v>
      </c>
      <c r="H21" s="43"/>
      <c r="I21" s="34"/>
      <c r="J21" s="33">
        <f>J18+J19-J20</f>
        <v>-34938</v>
      </c>
      <c r="K21" s="33"/>
      <c r="L21" s="33">
        <f>L18+L19-L20</f>
        <v>161905</v>
      </c>
      <c r="M21" s="33"/>
      <c r="N21" s="33">
        <f>J21+L21</f>
        <v>126967</v>
      </c>
      <c r="O21" s="34"/>
    </row>
    <row r="22" spans="1:15" ht="27.75" customHeight="1">
      <c r="A22" s="35">
        <v>41730</v>
      </c>
      <c r="B22" s="33"/>
      <c r="C22" s="33"/>
      <c r="D22" s="33"/>
      <c r="E22" s="33"/>
      <c r="F22" s="33"/>
      <c r="G22" s="33"/>
      <c r="H22" s="43"/>
      <c r="I22" s="34"/>
      <c r="J22" s="34"/>
      <c r="K22" s="34"/>
      <c r="L22" s="34"/>
      <c r="M22" s="34"/>
      <c r="N22" s="34"/>
      <c r="O22" s="34"/>
    </row>
    <row r="23" spans="1:15" ht="18" customHeight="1">
      <c r="A23" s="63" t="s">
        <v>61</v>
      </c>
      <c r="B23" s="33"/>
      <c r="C23" s="33">
        <f>C21</f>
        <v>5271</v>
      </c>
      <c r="D23" s="33"/>
      <c r="E23" s="33">
        <f>E21</f>
        <v>3449</v>
      </c>
      <c r="F23" s="33"/>
      <c r="G23" s="37">
        <f>SUM(C23+E23)</f>
        <v>8720</v>
      </c>
      <c r="H23" s="43"/>
      <c r="I23" s="34"/>
      <c r="J23" s="34">
        <f>J21</f>
        <v>-34938</v>
      </c>
      <c r="K23" s="34"/>
      <c r="L23" s="34">
        <f>L21</f>
        <v>161905</v>
      </c>
      <c r="M23" s="34"/>
      <c r="N23" s="34">
        <f>J23+L23</f>
        <v>126967</v>
      </c>
      <c r="O23" s="34"/>
    </row>
    <row r="24" spans="1:15" ht="18" customHeight="1">
      <c r="A24" s="7" t="s">
        <v>63</v>
      </c>
      <c r="B24" s="33"/>
      <c r="C24" s="33">
        <v>3</v>
      </c>
      <c r="D24" s="33"/>
      <c r="E24" s="33">
        <v>0</v>
      </c>
      <c r="F24" s="33"/>
      <c r="G24" s="37">
        <f>SUM(C24+E24)</f>
        <v>3</v>
      </c>
      <c r="H24" s="43"/>
      <c r="I24" s="34"/>
      <c r="J24" s="34">
        <v>0</v>
      </c>
      <c r="K24" s="34"/>
      <c r="L24" s="34">
        <v>0</v>
      </c>
      <c r="M24" s="34"/>
      <c r="N24" s="34"/>
      <c r="O24" s="34"/>
    </row>
    <row r="25" spans="1:15" ht="18" customHeight="1">
      <c r="A25" s="7" t="s">
        <v>53</v>
      </c>
      <c r="B25" s="33"/>
      <c r="C25" s="51">
        <f>358+267</f>
        <v>625</v>
      </c>
      <c r="D25" s="33"/>
      <c r="E25" s="33">
        <f>151</f>
        <v>151</v>
      </c>
      <c r="F25" s="33"/>
      <c r="G25" s="37">
        <f>C25+E25</f>
        <v>776</v>
      </c>
      <c r="H25" s="43"/>
      <c r="I25" s="34"/>
      <c r="J25" s="34">
        <f>5211+3886</f>
        <v>9097</v>
      </c>
      <c r="K25" s="34"/>
      <c r="L25" s="34">
        <v>2198</v>
      </c>
      <c r="M25" s="34"/>
      <c r="N25" s="34">
        <f>J25+L25</f>
        <v>11295</v>
      </c>
      <c r="O25" s="34"/>
    </row>
    <row r="26" spans="1:15" ht="18" customHeight="1">
      <c r="A26" s="7" t="s">
        <v>62</v>
      </c>
      <c r="B26" s="33"/>
      <c r="C26" s="33">
        <f>C23+C24-C25</f>
        <v>4649</v>
      </c>
      <c r="D26" s="33"/>
      <c r="E26" s="33">
        <f>E23+E24-E25</f>
        <v>3298</v>
      </c>
      <c r="F26" s="33"/>
      <c r="G26" s="33">
        <f>C26+E26</f>
        <v>7947</v>
      </c>
      <c r="H26" s="43"/>
      <c r="I26" s="34"/>
      <c r="J26" s="34">
        <f>J23-J25</f>
        <v>-44035</v>
      </c>
      <c r="K26" s="34"/>
      <c r="L26" s="34">
        <f>L23-L25</f>
        <v>159707</v>
      </c>
      <c r="M26" s="34"/>
      <c r="N26" s="34">
        <f>N23-N25</f>
        <v>115672</v>
      </c>
      <c r="O26" s="34"/>
    </row>
    <row r="27" spans="1:15" ht="37.5" customHeight="1">
      <c r="A27" s="35">
        <v>41760</v>
      </c>
      <c r="B27" s="33"/>
      <c r="C27" s="33"/>
      <c r="D27" s="33"/>
      <c r="E27" s="33"/>
      <c r="F27" s="33"/>
      <c r="G27" s="33">
        <f>C27+E27</f>
        <v>0</v>
      </c>
      <c r="H27" s="43"/>
      <c r="I27" s="34"/>
      <c r="J27" s="34"/>
      <c r="K27" s="34"/>
      <c r="L27" s="34"/>
      <c r="M27" s="34"/>
      <c r="N27" s="34"/>
      <c r="O27" s="34"/>
    </row>
    <row r="28" spans="1:15" ht="18" customHeight="1">
      <c r="A28" s="7" t="s">
        <v>61</v>
      </c>
      <c r="B28" s="33"/>
      <c r="C28" s="33">
        <f>C26</f>
        <v>4649</v>
      </c>
      <c r="D28" s="33"/>
      <c r="E28" s="33">
        <f>E26</f>
        <v>3298</v>
      </c>
      <c r="F28" s="33"/>
      <c r="G28" s="37">
        <f>SUM(C28+E28)</f>
        <v>7947</v>
      </c>
      <c r="H28" s="43"/>
      <c r="I28" s="34"/>
      <c r="J28" s="34">
        <f>J26</f>
        <v>-44035</v>
      </c>
      <c r="K28" s="34"/>
      <c r="L28" s="34">
        <f>L26</f>
        <v>159707</v>
      </c>
      <c r="M28" s="34"/>
      <c r="N28" s="34">
        <f>J28+L28</f>
        <v>115672</v>
      </c>
      <c r="O28" s="34"/>
    </row>
    <row r="29" spans="1:15" ht="18" customHeight="1">
      <c r="A29" s="7" t="s">
        <v>70</v>
      </c>
      <c r="B29" s="33"/>
      <c r="C29" s="33">
        <v>1933</v>
      </c>
      <c r="D29" s="33"/>
      <c r="E29" s="33">
        <v>0</v>
      </c>
      <c r="F29" s="33"/>
      <c r="G29" s="37">
        <f>SUM(C29+E29)</f>
        <v>1933</v>
      </c>
      <c r="H29" s="43"/>
      <c r="I29" s="34"/>
      <c r="J29" s="34"/>
      <c r="K29" s="34"/>
      <c r="L29" s="34"/>
      <c r="M29" s="34"/>
      <c r="N29" s="34">
        <f>J29+L29</f>
        <v>0</v>
      </c>
      <c r="O29" s="34"/>
    </row>
    <row r="30" spans="1:15" ht="18" customHeight="1">
      <c r="A30" s="7" t="s">
        <v>53</v>
      </c>
      <c r="B30" s="33"/>
      <c r="C30" s="33">
        <f>264+170</f>
        <v>434</v>
      </c>
      <c r="D30" s="33"/>
      <c r="E30" s="33">
        <v>124</v>
      </c>
      <c r="F30" s="33"/>
      <c r="G30" s="37">
        <f>C30+E30</f>
        <v>558</v>
      </c>
      <c r="H30" s="43"/>
      <c r="I30" s="34"/>
      <c r="J30" s="34">
        <f>3794+2439</f>
        <v>6233</v>
      </c>
      <c r="K30" s="34"/>
      <c r="L30" s="34">
        <v>1775</v>
      </c>
      <c r="M30" s="34"/>
      <c r="N30" s="34">
        <f>J30+L30</f>
        <v>8008</v>
      </c>
      <c r="O30" s="34"/>
    </row>
    <row r="31" spans="1:15" ht="18" customHeight="1">
      <c r="A31" s="7" t="s">
        <v>62</v>
      </c>
      <c r="B31" s="33"/>
      <c r="C31" s="33">
        <f>C28+C29-C30</f>
        <v>6148</v>
      </c>
      <c r="D31" s="33"/>
      <c r="E31" s="33">
        <f>E28+E29-E30</f>
        <v>3174</v>
      </c>
      <c r="F31" s="33"/>
      <c r="G31" s="33">
        <f>C31+E31</f>
        <v>9322</v>
      </c>
      <c r="H31" s="43"/>
      <c r="I31" s="34"/>
      <c r="J31" s="33">
        <f>J28+J29-J30</f>
        <v>-50268</v>
      </c>
      <c r="K31" s="33"/>
      <c r="L31" s="33">
        <f>L28+L29-L30</f>
        <v>157932</v>
      </c>
      <c r="M31" s="33"/>
      <c r="N31" s="33">
        <f>J31+L31</f>
        <v>107664</v>
      </c>
      <c r="O31" s="34"/>
    </row>
    <row r="32" spans="1:15" ht="31.5" customHeight="1">
      <c r="A32" s="35">
        <v>41791</v>
      </c>
      <c r="B32" s="33"/>
      <c r="C32" s="33"/>
      <c r="D32" s="33"/>
      <c r="E32" s="33"/>
      <c r="F32" s="33"/>
      <c r="G32" s="33"/>
      <c r="H32" s="43"/>
      <c r="I32" s="34"/>
      <c r="J32" s="34"/>
      <c r="K32" s="34"/>
      <c r="L32" s="34"/>
      <c r="M32" s="34"/>
      <c r="N32" s="34"/>
      <c r="O32" s="34"/>
    </row>
    <row r="33" spans="1:15" ht="18" customHeight="1">
      <c r="A33" s="7" t="s">
        <v>61</v>
      </c>
      <c r="B33" s="33"/>
      <c r="C33" s="33">
        <f>C31</f>
        <v>6148</v>
      </c>
      <c r="D33" s="33"/>
      <c r="E33" s="33">
        <f>E31</f>
        <v>3174</v>
      </c>
      <c r="F33" s="33"/>
      <c r="G33" s="37">
        <f>SUM(C33+E33)</f>
        <v>9322</v>
      </c>
      <c r="H33" s="43"/>
      <c r="I33" s="34"/>
      <c r="J33" s="34">
        <f>J31</f>
        <v>-50268</v>
      </c>
      <c r="K33" s="34"/>
      <c r="L33" s="34">
        <f>L31</f>
        <v>157932</v>
      </c>
      <c r="M33" s="34"/>
      <c r="N33" s="34">
        <f>J33+L33</f>
        <v>107664</v>
      </c>
      <c r="O33" s="34"/>
    </row>
    <row r="34" spans="1:15" ht="18" customHeight="1">
      <c r="A34" s="7" t="s">
        <v>70</v>
      </c>
      <c r="B34" s="33"/>
      <c r="C34" s="33">
        <v>4349</v>
      </c>
      <c r="D34" s="33"/>
      <c r="E34" s="33">
        <v>0</v>
      </c>
      <c r="F34" s="33"/>
      <c r="G34" s="37">
        <f>SUM(C34+E34)</f>
        <v>4349</v>
      </c>
      <c r="H34" s="43"/>
      <c r="I34" s="34"/>
      <c r="J34" s="34">
        <f>0</f>
        <v>0</v>
      </c>
      <c r="K34" s="34"/>
      <c r="L34" s="34">
        <v>0</v>
      </c>
      <c r="M34" s="34"/>
      <c r="N34" s="34">
        <f>J34+L34</f>
        <v>0</v>
      </c>
      <c r="O34" s="34"/>
    </row>
    <row r="35" spans="1:15" ht="18" customHeight="1">
      <c r="A35" s="7" t="s">
        <v>53</v>
      </c>
      <c r="C35" s="33">
        <f>226+436+2</f>
        <v>664</v>
      </c>
      <c r="D35" s="33"/>
      <c r="E35" s="33">
        <v>136</v>
      </c>
      <c r="F35" s="33"/>
      <c r="G35" s="37">
        <f>C35+E35</f>
        <v>800</v>
      </c>
      <c r="H35" s="41"/>
      <c r="I35" s="20"/>
      <c r="J35" s="34">
        <f>6278+3252</f>
        <v>9530</v>
      </c>
      <c r="K35" s="34"/>
      <c r="L35" s="34">
        <v>1951</v>
      </c>
      <c r="M35" s="34"/>
      <c r="N35" s="34">
        <f>J35+L35</f>
        <v>11481</v>
      </c>
      <c r="O35" s="34"/>
    </row>
    <row r="36" spans="1:15" ht="18" customHeight="1">
      <c r="A36" s="7" t="s">
        <v>62</v>
      </c>
      <c r="C36" s="33">
        <f>C33+C34-C35</f>
        <v>9833</v>
      </c>
      <c r="D36" s="33"/>
      <c r="E36" s="33">
        <f>E33+E34-E35</f>
        <v>3038</v>
      </c>
      <c r="F36" s="33"/>
      <c r="G36" s="33">
        <f>C36+E36</f>
        <v>12871</v>
      </c>
      <c r="H36" s="41"/>
      <c r="J36" s="33">
        <f>J33+J34-J35</f>
        <v>-59798</v>
      </c>
      <c r="K36" s="33"/>
      <c r="L36" s="33">
        <f>L33+L34-L35</f>
        <v>155981</v>
      </c>
      <c r="M36" s="33"/>
      <c r="N36" s="33">
        <f>J36+L36</f>
        <v>96183</v>
      </c>
      <c r="O36" s="34"/>
    </row>
    <row r="37" spans="1:15" ht="15">
      <c r="A37" s="60">
        <v>41821</v>
      </c>
      <c r="B37" s="61"/>
      <c r="C37" s="61"/>
      <c r="D37" s="61"/>
      <c r="E37" s="61"/>
      <c r="F37" s="61"/>
      <c r="G37" s="61"/>
      <c r="H37" s="43"/>
      <c r="I37" s="62"/>
      <c r="J37" s="62"/>
      <c r="K37" s="62"/>
      <c r="L37" s="62"/>
      <c r="M37" s="62"/>
      <c r="N37" s="62"/>
      <c r="O37" s="34"/>
    </row>
    <row r="38" spans="1:15" ht="15">
      <c r="A38" s="63" t="s">
        <v>61</v>
      </c>
      <c r="B38" s="61"/>
      <c r="C38" s="61">
        <f>C36</f>
        <v>9833</v>
      </c>
      <c r="D38" s="61"/>
      <c r="E38" s="61">
        <f>E36</f>
        <v>3038</v>
      </c>
      <c r="F38" s="61"/>
      <c r="G38" s="64">
        <f>SUM(C38+E38)</f>
        <v>12871</v>
      </c>
      <c r="H38" s="43"/>
      <c r="I38" s="62"/>
      <c r="J38" s="62">
        <f>J36</f>
        <v>-59798</v>
      </c>
      <c r="K38" s="62"/>
      <c r="L38" s="62">
        <f>L36</f>
        <v>155981</v>
      </c>
      <c r="M38" s="62"/>
      <c r="N38" s="62">
        <f>J38+L38</f>
        <v>96183</v>
      </c>
      <c r="O38" s="34"/>
    </row>
    <row r="39" spans="1:15" ht="15">
      <c r="A39" s="63" t="s">
        <v>70</v>
      </c>
      <c r="B39" s="61"/>
      <c r="C39" s="61">
        <v>0</v>
      </c>
      <c r="D39" s="61"/>
      <c r="E39" s="61">
        <v>0</v>
      </c>
      <c r="F39" s="61"/>
      <c r="G39" s="64">
        <f>SUM(C39+E39)</f>
        <v>0</v>
      </c>
      <c r="H39" s="43"/>
      <c r="I39" s="62"/>
      <c r="J39" s="62">
        <f>0</f>
        <v>0</v>
      </c>
      <c r="K39" s="62"/>
      <c r="L39" s="62">
        <v>0</v>
      </c>
      <c r="M39" s="62"/>
      <c r="N39" s="62">
        <f>J39+L39</f>
        <v>0</v>
      </c>
      <c r="O39" s="34"/>
    </row>
    <row r="40" spans="1:15" ht="15">
      <c r="A40" s="63" t="s">
        <v>53</v>
      </c>
      <c r="B40" s="63"/>
      <c r="C40" s="61">
        <v>578</v>
      </c>
      <c r="D40" s="61"/>
      <c r="E40" s="61">
        <v>172</v>
      </c>
      <c r="F40" s="61"/>
      <c r="G40" s="64">
        <f>C40+E40</f>
        <v>750</v>
      </c>
      <c r="H40" s="41"/>
      <c r="I40" s="65"/>
      <c r="J40" s="62">
        <f>4804+3490</f>
        <v>8294</v>
      </c>
      <c r="K40" s="62"/>
      <c r="L40" s="62">
        <v>2469</v>
      </c>
      <c r="M40" s="62"/>
      <c r="N40" s="62">
        <f>J40+L40</f>
        <v>10763</v>
      </c>
      <c r="O40" s="34"/>
    </row>
    <row r="41" spans="1:15" ht="15">
      <c r="A41" s="63" t="s">
        <v>62</v>
      </c>
      <c r="B41" s="63"/>
      <c r="C41" s="61">
        <f>C38+C39-C40</f>
        <v>9255</v>
      </c>
      <c r="D41" s="61"/>
      <c r="E41" s="61">
        <f>E38+E39-E40</f>
        <v>2866</v>
      </c>
      <c r="F41" s="61"/>
      <c r="G41" s="61">
        <f>C41+E41</f>
        <v>12121</v>
      </c>
      <c r="H41" s="41"/>
      <c r="I41" s="63"/>
      <c r="J41" s="61">
        <f>J38+J39-J40</f>
        <v>-68092</v>
      </c>
      <c r="K41" s="61"/>
      <c r="L41" s="61">
        <f>L38+L39-L40</f>
        <v>153512</v>
      </c>
      <c r="M41" s="61"/>
      <c r="N41" s="61">
        <f>J41+L41</f>
        <v>85420</v>
      </c>
      <c r="O41" s="34"/>
    </row>
    <row r="42" spans="1:15" ht="15">
      <c r="A42" s="60">
        <v>41852</v>
      </c>
      <c r="B42" s="61"/>
      <c r="C42" s="61"/>
      <c r="D42" s="61"/>
      <c r="E42" s="61"/>
      <c r="F42" s="61"/>
      <c r="G42" s="61"/>
      <c r="H42" s="43"/>
      <c r="I42" s="62"/>
      <c r="J42" s="62"/>
      <c r="K42" s="62"/>
      <c r="L42" s="62"/>
      <c r="M42" s="62"/>
      <c r="N42" s="62"/>
      <c r="O42" s="34"/>
    </row>
    <row r="43" spans="1:15" ht="15">
      <c r="A43" s="63" t="s">
        <v>61</v>
      </c>
      <c r="B43" s="61"/>
      <c r="C43" s="61">
        <f>C41</f>
        <v>9255</v>
      </c>
      <c r="D43" s="61"/>
      <c r="E43" s="61">
        <f>E41</f>
        <v>2866</v>
      </c>
      <c r="F43" s="61"/>
      <c r="G43" s="64">
        <f>SUM(C43+E43)</f>
        <v>12121</v>
      </c>
      <c r="H43" s="43"/>
      <c r="I43" s="62"/>
      <c r="J43" s="62">
        <f>J41</f>
        <v>-68092</v>
      </c>
      <c r="K43" s="62"/>
      <c r="L43" s="62">
        <f>L41-1</f>
        <v>153511</v>
      </c>
      <c r="M43" s="62"/>
      <c r="N43" s="62">
        <f>J43+L43</f>
        <v>85419</v>
      </c>
      <c r="O43" s="34"/>
    </row>
    <row r="44" spans="1:15" s="63" customFormat="1" ht="15">
      <c r="A44" s="63" t="s">
        <v>70</v>
      </c>
      <c r="B44" s="61"/>
      <c r="C44" s="61">
        <v>0</v>
      </c>
      <c r="D44" s="61"/>
      <c r="E44" s="61">
        <v>0</v>
      </c>
      <c r="F44" s="61"/>
      <c r="G44" s="64">
        <f>SUM(C44+E44)</f>
        <v>0</v>
      </c>
      <c r="H44" s="43"/>
      <c r="I44" s="66"/>
      <c r="J44" s="66">
        <f>0</f>
        <v>0</v>
      </c>
      <c r="K44" s="66"/>
      <c r="L44" s="66">
        <v>0</v>
      </c>
      <c r="M44" s="66"/>
      <c r="N44" s="66">
        <f>J44+L44</f>
        <v>0</v>
      </c>
      <c r="O44" s="66"/>
    </row>
    <row r="45" spans="1:15" s="63" customFormat="1" ht="15">
      <c r="A45" s="63" t="s">
        <v>53</v>
      </c>
      <c r="C45" s="61">
        <f>476+239</f>
        <v>715</v>
      </c>
      <c r="D45" s="61"/>
      <c r="E45" s="61">
        <v>136</v>
      </c>
      <c r="F45" s="61"/>
      <c r="G45" s="64">
        <f>C45+E45</f>
        <v>851</v>
      </c>
      <c r="H45" s="41"/>
      <c r="I45" s="65"/>
      <c r="J45" s="66">
        <f>6831+3430</f>
        <v>10261</v>
      </c>
      <c r="K45" s="66"/>
      <c r="L45" s="66">
        <v>1952</v>
      </c>
      <c r="M45" s="66"/>
      <c r="N45" s="66">
        <f>J45+L45</f>
        <v>12213</v>
      </c>
      <c r="O45" s="66"/>
    </row>
    <row r="46" spans="1:15" s="63" customFormat="1" ht="15">
      <c r="A46" s="63" t="s">
        <v>62</v>
      </c>
      <c r="C46" s="61">
        <f>C43+C44-C45</f>
        <v>8540</v>
      </c>
      <c r="D46" s="61"/>
      <c r="E46" s="61">
        <f>E43+E44-E45</f>
        <v>2730</v>
      </c>
      <c r="F46" s="61"/>
      <c r="G46" s="61">
        <f>C46+E46</f>
        <v>11270</v>
      </c>
      <c r="H46" s="41"/>
      <c r="J46" s="66">
        <f>J43+J44-J45</f>
        <v>-78353</v>
      </c>
      <c r="K46" s="66"/>
      <c r="L46" s="66">
        <f>L43+L44-L45</f>
        <v>151559</v>
      </c>
      <c r="M46" s="66"/>
      <c r="N46" s="66">
        <f>J46+L46</f>
        <v>73206</v>
      </c>
      <c r="O46" s="66"/>
    </row>
    <row r="47" spans="1:15" ht="15">
      <c r="A47" s="60">
        <v>41883</v>
      </c>
      <c r="B47" s="61"/>
      <c r="C47" s="61"/>
      <c r="D47" s="61"/>
      <c r="E47" s="61"/>
      <c r="F47" s="61"/>
      <c r="G47" s="61"/>
      <c r="H47" s="43"/>
      <c r="I47" s="66"/>
      <c r="J47" s="66"/>
      <c r="K47" s="66"/>
      <c r="L47" s="66"/>
      <c r="M47" s="66"/>
      <c r="N47" s="66"/>
      <c r="O47" s="34"/>
    </row>
    <row r="48" spans="1:15" ht="15" customHeight="1">
      <c r="A48" s="63" t="s">
        <v>61</v>
      </c>
      <c r="B48" s="61"/>
      <c r="C48" s="61">
        <f>C46</f>
        <v>8540</v>
      </c>
      <c r="D48" s="61"/>
      <c r="E48" s="61">
        <f>E46</f>
        <v>2730</v>
      </c>
      <c r="F48" s="61"/>
      <c r="G48" s="64">
        <f>SUM(C48+E48)</f>
        <v>11270</v>
      </c>
      <c r="H48" s="43"/>
      <c r="I48" s="66"/>
      <c r="J48" s="66">
        <f>J46</f>
        <v>-78353</v>
      </c>
      <c r="K48" s="66"/>
      <c r="L48" s="66">
        <f>L46</f>
        <v>151559</v>
      </c>
      <c r="M48" s="66"/>
      <c r="N48" s="66">
        <f>J48+L48</f>
        <v>73206</v>
      </c>
      <c r="O48" s="34"/>
    </row>
    <row r="49" spans="1:15" s="63" customFormat="1" ht="15">
      <c r="A49" s="63" t="s">
        <v>70</v>
      </c>
      <c r="B49" s="61"/>
      <c r="C49" s="61">
        <v>0</v>
      </c>
      <c r="D49" s="61"/>
      <c r="E49" s="61">
        <v>0</v>
      </c>
      <c r="F49" s="61"/>
      <c r="G49" s="64">
        <f>SUM(C49+E49)</f>
        <v>0</v>
      </c>
      <c r="H49" s="43"/>
      <c r="I49" s="66"/>
      <c r="J49" s="66">
        <f>0</f>
        <v>0</v>
      </c>
      <c r="K49" s="66"/>
      <c r="L49" s="66">
        <v>0</v>
      </c>
      <c r="M49" s="66"/>
      <c r="N49" s="66">
        <f>J49+L49</f>
        <v>0</v>
      </c>
      <c r="O49" s="66"/>
    </row>
    <row r="50" spans="1:15" s="63" customFormat="1" ht="15">
      <c r="A50" s="63" t="s">
        <v>53</v>
      </c>
      <c r="C50" s="61">
        <f>181+300</f>
        <v>481</v>
      </c>
      <c r="D50" s="61"/>
      <c r="E50" s="61">
        <v>141</v>
      </c>
      <c r="F50" s="61"/>
      <c r="G50" s="64">
        <f>C50+E50</f>
        <v>622</v>
      </c>
      <c r="H50" s="41"/>
      <c r="I50" s="65"/>
      <c r="J50" s="66">
        <f>2598+4306</f>
        <v>6904</v>
      </c>
      <c r="K50" s="66"/>
      <c r="L50" s="66">
        <v>2023</v>
      </c>
      <c r="M50" s="66"/>
      <c r="N50" s="66">
        <f>J50+L50</f>
        <v>8927</v>
      </c>
      <c r="O50" s="66"/>
    </row>
    <row r="51" spans="1:15" s="63" customFormat="1" ht="15">
      <c r="A51" s="63" t="s">
        <v>62</v>
      </c>
      <c r="C51" s="61">
        <f>C48+C49-C50</f>
        <v>8059</v>
      </c>
      <c r="D51" s="61"/>
      <c r="E51" s="61">
        <f>E48+E49-E50</f>
        <v>2589</v>
      </c>
      <c r="F51" s="61"/>
      <c r="G51" s="61">
        <f>C51+E51</f>
        <v>10648</v>
      </c>
      <c r="H51" s="41"/>
      <c r="J51" s="61">
        <f>J48+J49-J50</f>
        <v>-85257</v>
      </c>
      <c r="K51" s="61"/>
      <c r="L51" s="61">
        <f>L48+L49-L50</f>
        <v>149536</v>
      </c>
      <c r="M51" s="61"/>
      <c r="N51" s="61">
        <f>J51+L51</f>
        <v>64279</v>
      </c>
      <c r="O51" s="66"/>
    </row>
    <row r="52" spans="10:15" s="63" customFormat="1" ht="15">
      <c r="J52" s="66"/>
      <c r="K52" s="66"/>
      <c r="L52" s="66"/>
      <c r="M52" s="66"/>
      <c r="N52" s="66"/>
      <c r="O52" s="66"/>
    </row>
    <row r="53" spans="10:15" ht="15">
      <c r="J53" s="34"/>
      <c r="K53" s="34"/>
      <c r="L53" s="34"/>
      <c r="M53" s="34"/>
      <c r="N53" s="34"/>
      <c r="O53" s="34"/>
    </row>
    <row r="54" spans="10:15" ht="15">
      <c r="J54" s="34"/>
      <c r="K54" s="34"/>
      <c r="L54" s="34"/>
      <c r="M54" s="34"/>
      <c r="N54" s="34"/>
      <c r="O54" s="34"/>
    </row>
  </sheetData>
  <sheetProtection/>
  <mergeCells count="4">
    <mergeCell ref="A1:N1"/>
    <mergeCell ref="A2:N2"/>
    <mergeCell ref="A3:N3"/>
    <mergeCell ref="J6:N6"/>
  </mergeCells>
  <printOptions/>
  <pageMargins left="0.7" right="0.7" top="0.75" bottom="0.75" header="0.3" footer="0.3"/>
  <pageSetup fitToHeight="1" fitToWidth="1" horizontalDpi="600" verticalDpi="600" orientation="portrait" scale="70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pane xSplit="1" ySplit="6" topLeftCell="B7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L16" sqref="L16"/>
    </sheetView>
  </sheetViews>
  <sheetFormatPr defaultColWidth="8.8515625" defaultRowHeight="15"/>
  <cols>
    <col min="1" max="1" width="19.00390625" style="7" customWidth="1"/>
    <col min="2" max="2" width="2.7109375" style="7" customWidth="1"/>
    <col min="3" max="3" width="10.28125" style="7" customWidth="1"/>
    <col min="4" max="4" width="1.57421875" style="7" customWidth="1"/>
    <col min="5" max="5" width="10.8515625" style="7" customWidth="1"/>
    <col min="6" max="6" width="1.28515625" style="7" customWidth="1"/>
    <col min="7" max="7" width="10.57421875" style="7" customWidth="1"/>
    <col min="8" max="8" width="1.421875" style="7" customWidth="1"/>
    <col min="9" max="9" width="2.57421875" style="7" customWidth="1"/>
    <col min="10" max="10" width="14.7109375" style="7" bestFit="1" customWidth="1"/>
    <col min="11" max="11" width="2.140625" style="7" customWidth="1"/>
    <col min="12" max="12" width="13.7109375" style="7" bestFit="1" customWidth="1"/>
    <col min="13" max="13" width="2.140625" style="7" customWidth="1"/>
    <col min="14" max="14" width="13.28125" style="7" customWidth="1"/>
    <col min="15" max="19" width="8.8515625" style="7" customWidth="1"/>
    <col min="20" max="20" width="16.00390625" style="7" customWidth="1"/>
    <col min="21" max="16384" width="8.8515625" style="7" customWidth="1"/>
  </cols>
  <sheetData>
    <row r="1" spans="1:14" ht="1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110">
        <v>2014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5" s="1" customFormat="1" ht="3.75" customHeight="1"/>
    <row r="6" spans="2:16" ht="30.75" customHeight="1">
      <c r="B6" s="50" t="s">
        <v>58</v>
      </c>
      <c r="C6" s="50"/>
      <c r="D6" s="50"/>
      <c r="E6" s="50"/>
      <c r="F6" s="50"/>
      <c r="G6" s="50"/>
      <c r="H6" s="41"/>
      <c r="J6" s="108" t="s">
        <v>59</v>
      </c>
      <c r="K6" s="108"/>
      <c r="L6" s="108"/>
      <c r="M6" s="108"/>
      <c r="N6" s="108"/>
      <c r="O6" s="2"/>
      <c r="P6" s="2"/>
    </row>
    <row r="7" spans="1:14" ht="42.75" customHeight="1">
      <c r="A7" s="35">
        <v>41640</v>
      </c>
      <c r="C7" s="44" t="s">
        <v>57</v>
      </c>
      <c r="D7" s="44"/>
      <c r="E7" s="45" t="s">
        <v>56</v>
      </c>
      <c r="F7" s="45"/>
      <c r="G7" s="44" t="s">
        <v>60</v>
      </c>
      <c r="H7" s="42"/>
      <c r="I7" s="38"/>
      <c r="J7" s="28" t="s">
        <v>57</v>
      </c>
      <c r="K7" s="28"/>
      <c r="L7" s="38" t="s">
        <v>56</v>
      </c>
      <c r="N7" s="28" t="s">
        <v>60</v>
      </c>
    </row>
    <row r="8" spans="1:15" ht="20.25" customHeight="1">
      <c r="A8" s="7" t="s">
        <v>61</v>
      </c>
      <c r="C8" s="36">
        <v>3728</v>
      </c>
      <c r="D8" s="36"/>
      <c r="E8" s="33">
        <v>0</v>
      </c>
      <c r="F8" s="33"/>
      <c r="G8" s="37">
        <f>SUM(C8+E8)</f>
        <v>3728</v>
      </c>
      <c r="H8" s="41"/>
      <c r="I8" s="27"/>
      <c r="J8" s="39">
        <v>0</v>
      </c>
      <c r="K8" s="39"/>
      <c r="L8" s="34">
        <v>0</v>
      </c>
      <c r="M8" s="34"/>
      <c r="N8" s="40">
        <f>J8+L8</f>
        <v>0</v>
      </c>
      <c r="O8" s="34"/>
    </row>
    <row r="9" spans="1:15" ht="20.25" customHeight="1">
      <c r="A9" s="7" t="s">
        <v>70</v>
      </c>
      <c r="C9" s="36">
        <v>0</v>
      </c>
      <c r="D9" s="36"/>
      <c r="E9" s="33">
        <v>1515</v>
      </c>
      <c r="F9" s="33"/>
      <c r="G9" s="37">
        <f>SUM(C9+E9)</f>
        <v>1515</v>
      </c>
      <c r="H9" s="41"/>
      <c r="I9" s="27"/>
      <c r="J9" s="39">
        <v>0</v>
      </c>
      <c r="K9" s="39"/>
      <c r="L9" s="34">
        <v>49892</v>
      </c>
      <c r="M9" s="34"/>
      <c r="N9" s="40">
        <v>0</v>
      </c>
      <c r="O9" s="34"/>
    </row>
    <row r="10" spans="1:15" ht="18" customHeight="1">
      <c r="A10" s="7" t="s">
        <v>53</v>
      </c>
      <c r="C10" s="36">
        <v>0</v>
      </c>
      <c r="D10" s="36"/>
      <c r="E10" s="33"/>
      <c r="F10" s="33"/>
      <c r="G10" s="37">
        <f>C10+E10</f>
        <v>0</v>
      </c>
      <c r="H10" s="41"/>
      <c r="I10" s="27"/>
      <c r="J10" s="39">
        <v>0</v>
      </c>
      <c r="K10" s="39"/>
      <c r="L10" s="34"/>
      <c r="M10" s="34"/>
      <c r="N10" s="40">
        <f>SUM(J10+L10)</f>
        <v>0</v>
      </c>
      <c r="O10" s="34"/>
    </row>
    <row r="11" spans="1:15" ht="18.75" customHeight="1">
      <c r="A11" s="7" t="s">
        <v>62</v>
      </c>
      <c r="C11" s="33">
        <f>C8+C9-C10</f>
        <v>3728</v>
      </c>
      <c r="D11" s="33"/>
      <c r="E11" s="33">
        <f>E8+E9-E10</f>
        <v>1515</v>
      </c>
      <c r="F11" s="33"/>
      <c r="G11" s="33">
        <f>C11+E11</f>
        <v>5243</v>
      </c>
      <c r="H11" s="43"/>
      <c r="I11" s="34"/>
      <c r="J11" s="34">
        <f>J8-J10</f>
        <v>0</v>
      </c>
      <c r="K11" s="34"/>
      <c r="L11" s="34">
        <f>L8+L9-L10</f>
        <v>49892</v>
      </c>
      <c r="M11" s="34"/>
      <c r="N11" s="34">
        <f>J11+L11</f>
        <v>49892</v>
      </c>
      <c r="O11" s="34"/>
    </row>
    <row r="12" spans="1:15" ht="39" customHeight="1">
      <c r="A12" s="35">
        <v>41671</v>
      </c>
      <c r="B12" s="33"/>
      <c r="C12" s="33"/>
      <c r="D12" s="33"/>
      <c r="E12" s="33"/>
      <c r="F12" s="33"/>
      <c r="G12" s="33"/>
      <c r="H12" s="43"/>
      <c r="I12" s="34"/>
      <c r="J12" s="34"/>
      <c r="K12" s="34"/>
      <c r="L12" s="34"/>
      <c r="M12" s="34"/>
      <c r="N12" s="34"/>
      <c r="O12" s="34"/>
    </row>
    <row r="13" spans="1:15" ht="18" customHeight="1">
      <c r="A13" s="7" t="s">
        <v>61</v>
      </c>
      <c r="B13" s="33" t="s">
        <v>52</v>
      </c>
      <c r="C13" s="33">
        <f>C11</f>
        <v>3728</v>
      </c>
      <c r="D13" s="33"/>
      <c r="E13" s="33">
        <f>E11</f>
        <v>1515</v>
      </c>
      <c r="F13" s="33"/>
      <c r="G13" s="37">
        <f>SUM(C13+E13)</f>
        <v>5243</v>
      </c>
      <c r="H13" s="43"/>
      <c r="I13" s="34"/>
      <c r="J13" s="34">
        <f>J11</f>
        <v>0</v>
      </c>
      <c r="K13" s="34"/>
      <c r="L13" s="34">
        <f>L11</f>
        <v>49892</v>
      </c>
      <c r="M13" s="34"/>
      <c r="N13" s="40">
        <f>J13+L13</f>
        <v>49892</v>
      </c>
      <c r="O13" s="34"/>
    </row>
    <row r="14" spans="1:15" ht="18" customHeight="1">
      <c r="A14" s="7" t="s">
        <v>70</v>
      </c>
      <c r="B14" s="33"/>
      <c r="C14" s="33">
        <v>0</v>
      </c>
      <c r="D14" s="33"/>
      <c r="E14" s="33">
        <v>0</v>
      </c>
      <c r="F14" s="33"/>
      <c r="G14" s="37">
        <f>SUM(C14+E14)</f>
        <v>0</v>
      </c>
      <c r="H14" s="43"/>
      <c r="I14" s="34"/>
      <c r="J14" s="34">
        <v>0</v>
      </c>
      <c r="K14" s="34"/>
      <c r="L14" s="34">
        <v>0</v>
      </c>
      <c r="M14" s="34"/>
      <c r="N14" s="40">
        <v>0</v>
      </c>
      <c r="O14" s="34"/>
    </row>
    <row r="15" spans="1:15" ht="18" customHeight="1">
      <c r="A15" s="7" t="s">
        <v>53</v>
      </c>
      <c r="B15" s="33"/>
      <c r="C15" s="33">
        <v>0</v>
      </c>
      <c r="D15" s="33"/>
      <c r="E15" s="33">
        <v>0</v>
      </c>
      <c r="F15" s="33"/>
      <c r="G15" s="37">
        <f>C15+E15</f>
        <v>0</v>
      </c>
      <c r="H15" s="43"/>
      <c r="I15" s="34"/>
      <c r="J15" s="34">
        <v>0</v>
      </c>
      <c r="K15" s="34"/>
      <c r="L15" s="34">
        <v>0</v>
      </c>
      <c r="M15" s="34"/>
      <c r="N15" s="40">
        <f>SUM(J15+L15)</f>
        <v>0</v>
      </c>
      <c r="O15" s="34"/>
    </row>
    <row r="16" spans="1:15" ht="18" customHeight="1">
      <c r="A16" s="7" t="s">
        <v>62</v>
      </c>
      <c r="B16" s="33"/>
      <c r="C16" s="33">
        <f>C13+C14-C15</f>
        <v>3728</v>
      </c>
      <c r="D16" s="33"/>
      <c r="E16" s="33">
        <f>E13+E14-E15</f>
        <v>1515</v>
      </c>
      <c r="F16" s="33"/>
      <c r="G16" s="33">
        <f>C16+E16</f>
        <v>5243</v>
      </c>
      <c r="H16" s="43"/>
      <c r="I16" s="34"/>
      <c r="J16" s="34">
        <f>J13-J15+J14</f>
        <v>0</v>
      </c>
      <c r="K16" s="34"/>
      <c r="L16" s="34">
        <f>L13+L14-L15</f>
        <v>49892</v>
      </c>
      <c r="M16" s="34"/>
      <c r="N16" s="34">
        <f>J16+L16</f>
        <v>49892</v>
      </c>
      <c r="O16" s="34"/>
    </row>
    <row r="17" spans="1:15" ht="30" customHeight="1">
      <c r="A17" s="35">
        <v>41699</v>
      </c>
      <c r="B17" s="33"/>
      <c r="C17" s="33"/>
      <c r="D17" s="33"/>
      <c r="E17" s="33"/>
      <c r="F17" s="33"/>
      <c r="G17" s="33"/>
      <c r="H17" s="43"/>
      <c r="I17" s="34"/>
      <c r="J17" s="34"/>
      <c r="K17" s="34"/>
      <c r="L17" s="34"/>
      <c r="M17" s="34"/>
      <c r="N17" s="34"/>
      <c r="O17" s="34"/>
    </row>
    <row r="18" spans="1:15" ht="18" customHeight="1">
      <c r="A18" s="7" t="s">
        <v>61</v>
      </c>
      <c r="B18" s="33"/>
      <c r="C18" s="33">
        <f>C16</f>
        <v>3728</v>
      </c>
      <c r="D18" s="33"/>
      <c r="E18" s="33">
        <f>E16</f>
        <v>1515</v>
      </c>
      <c r="F18" s="33"/>
      <c r="G18" s="37">
        <f>SUM(C18+E18)</f>
        <v>5243</v>
      </c>
      <c r="H18" s="43"/>
      <c r="I18" s="34"/>
      <c r="J18" s="34">
        <f>J16</f>
        <v>0</v>
      </c>
      <c r="K18" s="34"/>
      <c r="L18" s="34">
        <f>L16</f>
        <v>49892</v>
      </c>
      <c r="M18" s="34"/>
      <c r="N18" s="34">
        <f>N16</f>
        <v>49892</v>
      </c>
      <c r="O18" s="34"/>
    </row>
    <row r="19" spans="1:15" ht="18" customHeight="1">
      <c r="A19" s="7" t="s">
        <v>70</v>
      </c>
      <c r="B19" s="33"/>
      <c r="C19" s="33">
        <v>0</v>
      </c>
      <c r="D19" s="33"/>
      <c r="E19" s="33">
        <v>0</v>
      </c>
      <c r="F19" s="33"/>
      <c r="G19" s="37">
        <f>SUM(C19+E19)</f>
        <v>0</v>
      </c>
      <c r="H19" s="43"/>
      <c r="I19" s="34"/>
      <c r="J19" s="34">
        <v>0</v>
      </c>
      <c r="K19" s="34"/>
      <c r="L19" s="34"/>
      <c r="M19" s="34"/>
      <c r="N19" s="34"/>
      <c r="O19" s="34"/>
    </row>
    <row r="20" spans="1:15" ht="18" customHeight="1">
      <c r="A20" s="7" t="s">
        <v>53</v>
      </c>
      <c r="B20" s="33"/>
      <c r="C20" s="33">
        <v>0</v>
      </c>
      <c r="D20" s="33"/>
      <c r="E20" s="33">
        <v>0</v>
      </c>
      <c r="F20" s="33"/>
      <c r="G20" s="37">
        <f>C20+E20</f>
        <v>0</v>
      </c>
      <c r="H20" s="43"/>
      <c r="I20" s="34"/>
      <c r="J20" s="34">
        <v>0</v>
      </c>
      <c r="K20" s="34"/>
      <c r="L20" s="34">
        <v>0</v>
      </c>
      <c r="M20" s="34"/>
      <c r="N20" s="34">
        <f>J20+L20</f>
        <v>0</v>
      </c>
      <c r="O20" s="34"/>
    </row>
    <row r="21" spans="1:15" ht="18" customHeight="1">
      <c r="A21" s="7" t="s">
        <v>62</v>
      </c>
      <c r="B21" s="33"/>
      <c r="C21" s="33">
        <f>C18+C19-C20</f>
        <v>3728</v>
      </c>
      <c r="D21" s="33"/>
      <c r="E21" s="33">
        <f>E18+E19-E20</f>
        <v>1515</v>
      </c>
      <c r="F21" s="33"/>
      <c r="G21" s="33">
        <f>C21+E21</f>
        <v>5243</v>
      </c>
      <c r="H21" s="43"/>
      <c r="I21" s="34"/>
      <c r="J21" s="33">
        <f>J18+J19-J20</f>
        <v>0</v>
      </c>
      <c r="K21" s="33"/>
      <c r="L21" s="33">
        <f>L18+L19-L20</f>
        <v>49892</v>
      </c>
      <c r="M21" s="33"/>
      <c r="N21" s="33">
        <f>J21+L21</f>
        <v>49892</v>
      </c>
      <c r="O21" s="34"/>
    </row>
    <row r="22" spans="1:15" ht="27.75" customHeight="1">
      <c r="A22" s="35">
        <v>41730</v>
      </c>
      <c r="B22" s="33"/>
      <c r="C22" s="33"/>
      <c r="D22" s="33"/>
      <c r="E22" s="33"/>
      <c r="F22" s="33"/>
      <c r="G22" s="33"/>
      <c r="H22" s="43"/>
      <c r="I22" s="34"/>
      <c r="J22" s="34"/>
      <c r="K22" s="34"/>
      <c r="L22" s="34"/>
      <c r="M22" s="34"/>
      <c r="N22" s="34"/>
      <c r="O22" s="34"/>
    </row>
    <row r="23" spans="1:15" ht="18" customHeight="1">
      <c r="A23" s="7" t="s">
        <v>61</v>
      </c>
      <c r="B23" s="33"/>
      <c r="C23" s="33">
        <f>C21</f>
        <v>3728</v>
      </c>
      <c r="D23" s="33"/>
      <c r="E23" s="33">
        <f>E21</f>
        <v>1515</v>
      </c>
      <c r="F23" s="33"/>
      <c r="G23" s="37">
        <f>SUM(C23+E23)</f>
        <v>5243</v>
      </c>
      <c r="H23" s="43"/>
      <c r="I23" s="34"/>
      <c r="J23" s="34">
        <f>J21</f>
        <v>0</v>
      </c>
      <c r="K23" s="34"/>
      <c r="L23" s="34">
        <f>L21</f>
        <v>49892</v>
      </c>
      <c r="M23" s="34"/>
      <c r="N23" s="34">
        <f>J23+L23</f>
        <v>49892</v>
      </c>
      <c r="O23" s="34"/>
    </row>
    <row r="24" spans="1:15" ht="18" customHeight="1">
      <c r="A24" s="7" t="s">
        <v>70</v>
      </c>
      <c r="B24" s="33"/>
      <c r="C24" s="33">
        <v>768</v>
      </c>
      <c r="D24" s="33"/>
      <c r="E24" s="33">
        <v>0</v>
      </c>
      <c r="F24" s="33"/>
      <c r="G24" s="37">
        <f>SUM(C24+E24)</f>
        <v>768</v>
      </c>
      <c r="H24" s="43"/>
      <c r="I24" s="34"/>
      <c r="J24" s="34">
        <v>0</v>
      </c>
      <c r="K24" s="34"/>
      <c r="L24" s="34">
        <v>0</v>
      </c>
      <c r="M24" s="34"/>
      <c r="N24" s="34"/>
      <c r="O24" s="34"/>
    </row>
    <row r="25" spans="1:15" ht="18" customHeight="1">
      <c r="A25" s="7" t="s">
        <v>53</v>
      </c>
      <c r="B25" s="33"/>
      <c r="C25" s="46">
        <v>0</v>
      </c>
      <c r="D25" s="33"/>
      <c r="E25" s="33">
        <v>0</v>
      </c>
      <c r="F25" s="33"/>
      <c r="G25" s="37">
        <f>C25+E25</f>
        <v>0</v>
      </c>
      <c r="H25" s="43"/>
      <c r="I25" s="34"/>
      <c r="J25" s="34">
        <v>0</v>
      </c>
      <c r="K25" s="34"/>
      <c r="L25" s="34">
        <v>0</v>
      </c>
      <c r="M25" s="34"/>
      <c r="N25" s="34">
        <f>J25+L25</f>
        <v>0</v>
      </c>
      <c r="O25" s="34"/>
    </row>
    <row r="26" spans="1:15" ht="18" customHeight="1">
      <c r="A26" s="7" t="s">
        <v>62</v>
      </c>
      <c r="B26" s="33"/>
      <c r="C26" s="33">
        <f>C23+C24-C25</f>
        <v>4496</v>
      </c>
      <c r="D26" s="33"/>
      <c r="E26" s="33">
        <f>E23+E24-E25</f>
        <v>1515</v>
      </c>
      <c r="F26" s="33"/>
      <c r="G26" s="33">
        <f>C26+E26</f>
        <v>6011</v>
      </c>
      <c r="H26" s="43"/>
      <c r="I26" s="34"/>
      <c r="J26" s="34">
        <f>J23-J25</f>
        <v>0</v>
      </c>
      <c r="K26" s="34"/>
      <c r="L26" s="34">
        <f>L23-L25</f>
        <v>49892</v>
      </c>
      <c r="M26" s="34"/>
      <c r="N26" s="34">
        <f>N23-N25</f>
        <v>49892</v>
      </c>
      <c r="O26" s="34"/>
    </row>
    <row r="27" spans="1:15" ht="37.5" customHeight="1">
      <c r="A27" s="35">
        <v>41760</v>
      </c>
      <c r="B27" s="33"/>
      <c r="C27" s="33"/>
      <c r="D27" s="33"/>
      <c r="E27" s="33"/>
      <c r="F27" s="33"/>
      <c r="G27" s="33">
        <f>C27+E27</f>
        <v>0</v>
      </c>
      <c r="H27" s="43"/>
      <c r="I27" s="34"/>
      <c r="J27" s="34"/>
      <c r="K27" s="34"/>
      <c r="L27" s="34"/>
      <c r="M27" s="34"/>
      <c r="N27" s="34"/>
      <c r="O27" s="34"/>
    </row>
    <row r="28" spans="1:15" ht="18" customHeight="1">
      <c r="A28" s="7" t="s">
        <v>61</v>
      </c>
      <c r="B28" s="33"/>
      <c r="C28" s="33">
        <f>C26</f>
        <v>4496</v>
      </c>
      <c r="D28" s="33"/>
      <c r="E28" s="33">
        <f>E26</f>
        <v>1515</v>
      </c>
      <c r="F28" s="33"/>
      <c r="G28" s="37">
        <f>SUM(C28+E28)</f>
        <v>6011</v>
      </c>
      <c r="H28" s="43"/>
      <c r="I28" s="34"/>
      <c r="J28" s="34">
        <f>J26</f>
        <v>0</v>
      </c>
      <c r="K28" s="34"/>
      <c r="L28" s="34">
        <f>L26</f>
        <v>49892</v>
      </c>
      <c r="M28" s="34"/>
      <c r="N28" s="34">
        <f>J28+L28</f>
        <v>49892</v>
      </c>
      <c r="O28" s="34"/>
    </row>
    <row r="29" spans="1:15" ht="18" customHeight="1">
      <c r="A29" s="7" t="s">
        <v>70</v>
      </c>
      <c r="B29" s="33"/>
      <c r="C29" s="33">
        <v>39</v>
      </c>
      <c r="D29" s="33"/>
      <c r="E29" s="33">
        <v>0</v>
      </c>
      <c r="F29" s="33"/>
      <c r="G29" s="37">
        <f>SUM(C29+E29)</f>
        <v>39</v>
      </c>
      <c r="H29" s="43"/>
      <c r="I29" s="34"/>
      <c r="J29" s="34"/>
      <c r="K29" s="34"/>
      <c r="L29" s="34"/>
      <c r="M29" s="34"/>
      <c r="N29" s="34">
        <f>J29+L29</f>
        <v>0</v>
      </c>
      <c r="O29" s="34"/>
    </row>
    <row r="30" spans="1:15" ht="18" customHeight="1">
      <c r="A30" s="7" t="s">
        <v>53</v>
      </c>
      <c r="B30" s="33"/>
      <c r="C30" s="51">
        <f>265+170</f>
        <v>435</v>
      </c>
      <c r="D30" s="33"/>
      <c r="E30" s="33">
        <v>124</v>
      </c>
      <c r="F30" s="33"/>
      <c r="G30" s="37">
        <f>C30+E30</f>
        <v>559</v>
      </c>
      <c r="H30" s="43"/>
      <c r="I30" s="34"/>
      <c r="J30" s="34">
        <f>2502+1608</f>
        <v>4110</v>
      </c>
      <c r="K30" s="34"/>
      <c r="L30" s="34">
        <v>1170</v>
      </c>
      <c r="M30" s="34"/>
      <c r="N30" s="34">
        <f>J30+L30</f>
        <v>5280</v>
      </c>
      <c r="O30" s="34"/>
    </row>
    <row r="31" spans="1:15" ht="18" customHeight="1">
      <c r="A31" s="7" t="s">
        <v>62</v>
      </c>
      <c r="B31" s="33"/>
      <c r="C31" s="33">
        <f>C28+C29-C30</f>
        <v>4100</v>
      </c>
      <c r="D31" s="33"/>
      <c r="E31" s="33">
        <f>E28+E29-E30</f>
        <v>1391</v>
      </c>
      <c r="F31" s="33"/>
      <c r="G31" s="33">
        <f>C31+E31</f>
        <v>5491</v>
      </c>
      <c r="H31" s="43"/>
      <c r="I31" s="34"/>
      <c r="J31" s="33">
        <f>J28+J29-J30</f>
        <v>-4110</v>
      </c>
      <c r="K31" s="33"/>
      <c r="L31" s="33">
        <f>L28+L29-L30</f>
        <v>48722</v>
      </c>
      <c r="M31" s="33"/>
      <c r="N31" s="33">
        <f>J31+L31</f>
        <v>44612</v>
      </c>
      <c r="O31" s="34"/>
    </row>
    <row r="32" spans="1:15" ht="31.5" customHeight="1">
      <c r="A32" s="35">
        <v>41791</v>
      </c>
      <c r="B32" s="33"/>
      <c r="C32" s="33"/>
      <c r="D32" s="33"/>
      <c r="E32" s="33"/>
      <c r="F32" s="33"/>
      <c r="G32" s="33"/>
      <c r="H32" s="43"/>
      <c r="I32" s="34"/>
      <c r="J32" s="34"/>
      <c r="K32" s="34"/>
      <c r="L32" s="34"/>
      <c r="M32" s="34"/>
      <c r="N32" s="34"/>
      <c r="O32" s="34"/>
    </row>
    <row r="33" spans="1:15" ht="18" customHeight="1">
      <c r="A33" s="7" t="s">
        <v>61</v>
      </c>
      <c r="B33" s="33"/>
      <c r="C33" s="33">
        <f>C31</f>
        <v>4100</v>
      </c>
      <c r="D33" s="33"/>
      <c r="E33" s="33">
        <f>E31</f>
        <v>1391</v>
      </c>
      <c r="F33" s="33"/>
      <c r="G33" s="37">
        <f>SUM(C33+E33)</f>
        <v>5491</v>
      </c>
      <c r="H33" s="43"/>
      <c r="I33" s="34"/>
      <c r="J33" s="34">
        <f>J31</f>
        <v>-4110</v>
      </c>
      <c r="K33" s="34"/>
      <c r="L33" s="34">
        <f>L31</f>
        <v>48722</v>
      </c>
      <c r="M33" s="34"/>
      <c r="N33" s="34">
        <f>J33+L33</f>
        <v>44612</v>
      </c>
      <c r="O33" s="34"/>
    </row>
    <row r="34" spans="1:15" ht="18" customHeight="1">
      <c r="A34" s="7" t="s">
        <v>70</v>
      </c>
      <c r="B34" s="33"/>
      <c r="C34" s="33">
        <v>1899</v>
      </c>
      <c r="D34" s="33"/>
      <c r="E34" s="33">
        <v>0</v>
      </c>
      <c r="F34" s="33"/>
      <c r="G34" s="37">
        <f>SUM(C34+E34)</f>
        <v>1899</v>
      </c>
      <c r="H34" s="43"/>
      <c r="I34" s="34"/>
      <c r="J34" s="34">
        <f>0</f>
        <v>0</v>
      </c>
      <c r="K34" s="34"/>
      <c r="L34" s="34">
        <v>0</v>
      </c>
      <c r="M34" s="34"/>
      <c r="N34" s="34">
        <f>J34+L34</f>
        <v>0</v>
      </c>
      <c r="O34" s="34"/>
    </row>
    <row r="35" spans="1:15" ht="18" customHeight="1">
      <c r="A35" s="7" t="s">
        <v>53</v>
      </c>
      <c r="C35" s="33">
        <f>437+227</f>
        <v>664</v>
      </c>
      <c r="D35" s="33"/>
      <c r="E35" s="33">
        <v>136</v>
      </c>
      <c r="F35" s="33"/>
      <c r="G35" s="37">
        <f>C35+E35</f>
        <v>800</v>
      </c>
      <c r="H35" s="41"/>
      <c r="I35" s="20"/>
      <c r="J35" s="34">
        <f>4132+2140</f>
        <v>6272</v>
      </c>
      <c r="K35" s="34"/>
      <c r="L35" s="34">
        <v>1284</v>
      </c>
      <c r="M35" s="34"/>
      <c r="N35" s="34">
        <f>J35+L35</f>
        <v>7556</v>
      </c>
      <c r="O35" s="34"/>
    </row>
    <row r="36" spans="1:15" ht="18" customHeight="1">
      <c r="A36" s="7" t="s">
        <v>62</v>
      </c>
      <c r="C36" s="33">
        <f>C33+C34-C35</f>
        <v>5335</v>
      </c>
      <c r="D36" s="33"/>
      <c r="E36" s="33">
        <f>E33+E34-E35</f>
        <v>1255</v>
      </c>
      <c r="F36" s="33"/>
      <c r="G36" s="33">
        <f>C36+E36</f>
        <v>6590</v>
      </c>
      <c r="H36" s="41"/>
      <c r="J36" s="33">
        <f>J33+J34-J35</f>
        <v>-10382</v>
      </c>
      <c r="K36" s="33"/>
      <c r="L36" s="33">
        <f>L33+L34-L35</f>
        <v>47438</v>
      </c>
      <c r="M36" s="33"/>
      <c r="N36" s="33">
        <f>J36+L36</f>
        <v>37056</v>
      </c>
      <c r="O36" s="34"/>
    </row>
    <row r="37" spans="1:15" ht="15">
      <c r="A37" s="35">
        <v>41821</v>
      </c>
      <c r="B37" s="51"/>
      <c r="C37" s="51"/>
      <c r="D37" s="51"/>
      <c r="E37" s="51"/>
      <c r="F37" s="51"/>
      <c r="G37" s="51"/>
      <c r="H37" s="43"/>
      <c r="I37" s="34"/>
      <c r="J37" s="34"/>
      <c r="K37" s="34"/>
      <c r="L37" s="34"/>
      <c r="M37" s="34"/>
      <c r="N37" s="34"/>
      <c r="O37" s="34"/>
    </row>
    <row r="38" spans="1:15" ht="15">
      <c r="A38" s="7" t="s">
        <v>61</v>
      </c>
      <c r="B38" s="51"/>
      <c r="C38" s="51">
        <f>C36</f>
        <v>5335</v>
      </c>
      <c r="D38" s="51"/>
      <c r="E38" s="51">
        <f>E36</f>
        <v>1255</v>
      </c>
      <c r="F38" s="51"/>
      <c r="G38" s="37">
        <f>SUM(C38+E38)</f>
        <v>6590</v>
      </c>
      <c r="H38" s="43"/>
      <c r="I38" s="34"/>
      <c r="J38" s="34">
        <f>J36</f>
        <v>-10382</v>
      </c>
      <c r="K38" s="34"/>
      <c r="L38" s="34">
        <f>L36</f>
        <v>47438</v>
      </c>
      <c r="M38" s="34"/>
      <c r="N38" s="34">
        <f>J38+L38</f>
        <v>37056</v>
      </c>
      <c r="O38" s="34"/>
    </row>
    <row r="39" spans="1:15" ht="15">
      <c r="A39" s="7" t="s">
        <v>70</v>
      </c>
      <c r="B39" s="51"/>
      <c r="C39" s="58">
        <v>0</v>
      </c>
      <c r="D39" s="51"/>
      <c r="E39" s="51">
        <v>0</v>
      </c>
      <c r="F39" s="51"/>
      <c r="G39" s="37">
        <f>SUM(C39+E39)</f>
        <v>0</v>
      </c>
      <c r="H39" s="43"/>
      <c r="I39" s="34"/>
      <c r="J39" s="34">
        <f>0</f>
        <v>0</v>
      </c>
      <c r="K39" s="34"/>
      <c r="L39" s="34">
        <v>0</v>
      </c>
      <c r="M39" s="34"/>
      <c r="N39" s="34">
        <f>J39+L39</f>
        <v>0</v>
      </c>
      <c r="O39" s="34"/>
    </row>
    <row r="40" spans="1:15" ht="15">
      <c r="A40" s="7" t="s">
        <v>53</v>
      </c>
      <c r="C40" s="58">
        <f>334+243</f>
        <v>577</v>
      </c>
      <c r="D40" s="51"/>
      <c r="E40" s="51">
        <v>172</v>
      </c>
      <c r="F40" s="51"/>
      <c r="G40" s="37">
        <f>C40+E40</f>
        <v>749</v>
      </c>
      <c r="H40" s="41"/>
      <c r="I40" s="20"/>
      <c r="J40" s="59">
        <f>3158+2294</f>
        <v>5452</v>
      </c>
      <c r="K40" s="34"/>
      <c r="L40" s="59">
        <v>1623</v>
      </c>
      <c r="M40" s="34"/>
      <c r="N40" s="34">
        <f>J40+L40</f>
        <v>7075</v>
      </c>
      <c r="O40" s="34"/>
    </row>
    <row r="41" spans="1:15" ht="15">
      <c r="A41" s="7" t="s">
        <v>62</v>
      </c>
      <c r="C41" s="51">
        <f>C38+C39-C40</f>
        <v>4758</v>
      </c>
      <c r="D41" s="51"/>
      <c r="E41" s="51">
        <f>E38+E39-E40</f>
        <v>1083</v>
      </c>
      <c r="F41" s="51"/>
      <c r="G41" s="51">
        <f>C41+E41</f>
        <v>5841</v>
      </c>
      <c r="H41" s="41"/>
      <c r="J41" s="51">
        <f>J38+J39-J40</f>
        <v>-15834</v>
      </c>
      <c r="K41" s="51"/>
      <c r="L41" s="51">
        <f>L38+L39-L40</f>
        <v>45815</v>
      </c>
      <c r="M41" s="51"/>
      <c r="N41" s="51">
        <f>J41+L41</f>
        <v>29981</v>
      </c>
      <c r="O41" s="34"/>
    </row>
    <row r="42" spans="1:15" ht="15">
      <c r="A42" s="35">
        <v>41852</v>
      </c>
      <c r="B42" s="51"/>
      <c r="C42" s="51"/>
      <c r="D42" s="51"/>
      <c r="E42" s="51"/>
      <c r="F42" s="51"/>
      <c r="G42" s="51"/>
      <c r="H42" s="43"/>
      <c r="I42" s="34"/>
      <c r="J42" s="34"/>
      <c r="K42" s="34"/>
      <c r="L42" s="34"/>
      <c r="M42" s="34"/>
      <c r="N42" s="34"/>
      <c r="O42" s="34"/>
    </row>
    <row r="43" spans="1:15" ht="15">
      <c r="A43" s="7" t="s">
        <v>61</v>
      </c>
      <c r="B43" s="51"/>
      <c r="C43" s="51">
        <f>C41</f>
        <v>4758</v>
      </c>
      <c r="D43" s="51"/>
      <c r="E43" s="51">
        <f>E41</f>
        <v>1083</v>
      </c>
      <c r="F43" s="51"/>
      <c r="G43" s="37">
        <f>SUM(C43+E43)</f>
        <v>5841</v>
      </c>
      <c r="H43" s="43"/>
      <c r="I43" s="34"/>
      <c r="J43" s="34">
        <f>J41</f>
        <v>-15834</v>
      </c>
      <c r="K43" s="34"/>
      <c r="L43" s="34">
        <f>L41</f>
        <v>45815</v>
      </c>
      <c r="M43" s="34"/>
      <c r="N43" s="34">
        <f>J43+L43</f>
        <v>29981</v>
      </c>
      <c r="O43" s="34"/>
    </row>
    <row r="44" spans="1:15" ht="15">
      <c r="A44" s="7" t="s">
        <v>70</v>
      </c>
      <c r="B44" s="51"/>
      <c r="C44" s="51">
        <v>0</v>
      </c>
      <c r="D44" s="51"/>
      <c r="E44" s="51">
        <v>0</v>
      </c>
      <c r="F44" s="51"/>
      <c r="G44" s="37">
        <f>SUM(C44+E44)</f>
        <v>0</v>
      </c>
      <c r="H44" s="43"/>
      <c r="I44" s="34"/>
      <c r="J44" s="34">
        <f>0</f>
        <v>0</v>
      </c>
      <c r="K44" s="34"/>
      <c r="L44" s="34">
        <v>0</v>
      </c>
      <c r="M44" s="34"/>
      <c r="N44" s="34">
        <f>J44+L44</f>
        <v>0</v>
      </c>
      <c r="O44" s="34"/>
    </row>
    <row r="45" spans="1:15" ht="15">
      <c r="A45" s="7" t="s">
        <v>53</v>
      </c>
      <c r="C45" s="51">
        <f>381+277-1</f>
        <v>657</v>
      </c>
      <c r="D45" s="51"/>
      <c r="E45" s="51">
        <v>196</v>
      </c>
      <c r="F45" s="51"/>
      <c r="G45" s="37">
        <f>C45+E45</f>
        <v>853</v>
      </c>
      <c r="H45" s="41"/>
      <c r="I45" s="20"/>
      <c r="J45" s="34">
        <f>3596+2612+1</f>
        <v>6209</v>
      </c>
      <c r="K45" s="34"/>
      <c r="L45" s="34">
        <v>1848</v>
      </c>
      <c r="M45" s="34"/>
      <c r="N45" s="34">
        <f>J45+L45</f>
        <v>8057</v>
      </c>
      <c r="O45" s="34"/>
    </row>
    <row r="46" spans="1:15" ht="15">
      <c r="A46" s="7" t="s">
        <v>62</v>
      </c>
      <c r="C46" s="51">
        <f>C43+C44-C45</f>
        <v>4101</v>
      </c>
      <c r="D46" s="51"/>
      <c r="E46" s="51">
        <f>E43+E44-E45</f>
        <v>887</v>
      </c>
      <c r="F46" s="51"/>
      <c r="G46" s="51">
        <f>C46+E46</f>
        <v>4988</v>
      </c>
      <c r="H46" s="41"/>
      <c r="J46" s="51">
        <f>J43+J44-J45</f>
        <v>-22043</v>
      </c>
      <c r="K46" s="51"/>
      <c r="L46" s="51">
        <f>L43+L44-L45</f>
        <v>43967</v>
      </c>
      <c r="M46" s="51"/>
      <c r="N46" s="51">
        <f>J46+L46</f>
        <v>21924</v>
      </c>
      <c r="O46" s="34"/>
    </row>
    <row r="47" spans="1:15" ht="15">
      <c r="A47" s="35">
        <v>41883</v>
      </c>
      <c r="B47" s="58"/>
      <c r="C47" s="58"/>
      <c r="D47" s="58"/>
      <c r="E47" s="58"/>
      <c r="F47" s="58"/>
      <c r="G47" s="58"/>
      <c r="H47" s="43"/>
      <c r="I47" s="77"/>
      <c r="J47" s="77"/>
      <c r="K47" s="77"/>
      <c r="L47" s="77"/>
      <c r="M47" s="77"/>
      <c r="N47" s="77"/>
      <c r="O47" s="34"/>
    </row>
    <row r="48" spans="1:15" ht="15">
      <c r="A48" s="7" t="s">
        <v>61</v>
      </c>
      <c r="B48" s="58"/>
      <c r="C48" s="58">
        <f>C46</f>
        <v>4101</v>
      </c>
      <c r="D48" s="58"/>
      <c r="E48" s="58">
        <f>E46</f>
        <v>887</v>
      </c>
      <c r="F48" s="58"/>
      <c r="G48" s="37">
        <f>SUM(C48+E48)</f>
        <v>4988</v>
      </c>
      <c r="H48" s="43"/>
      <c r="I48" s="77"/>
      <c r="J48" s="77">
        <f>J46</f>
        <v>-22043</v>
      </c>
      <c r="K48" s="77"/>
      <c r="L48" s="77">
        <f>L46</f>
        <v>43967</v>
      </c>
      <c r="M48" s="77"/>
      <c r="N48" s="77">
        <f>J48+L48</f>
        <v>21924</v>
      </c>
      <c r="O48" s="34"/>
    </row>
    <row r="49" spans="1:15" ht="15">
      <c r="A49" s="7" t="s">
        <v>70</v>
      </c>
      <c r="B49" s="58"/>
      <c r="C49" s="58">
        <v>0</v>
      </c>
      <c r="D49" s="58"/>
      <c r="E49" s="58">
        <v>0</v>
      </c>
      <c r="F49" s="58"/>
      <c r="G49" s="37">
        <f>SUM(C49+E49)</f>
        <v>0</v>
      </c>
      <c r="H49" s="43"/>
      <c r="I49" s="77"/>
      <c r="J49" s="77">
        <f>0</f>
        <v>0</v>
      </c>
      <c r="K49" s="77"/>
      <c r="L49" s="77">
        <v>0</v>
      </c>
      <c r="M49" s="77"/>
      <c r="N49" s="77">
        <f>J49+L49</f>
        <v>0</v>
      </c>
      <c r="O49" s="34"/>
    </row>
    <row r="50" spans="1:15" ht="15">
      <c r="A50" s="7" t="s">
        <v>53</v>
      </c>
      <c r="C50" s="58">
        <f>181+300</f>
        <v>481</v>
      </c>
      <c r="D50" s="58"/>
      <c r="E50" s="58">
        <v>141</v>
      </c>
      <c r="F50" s="58"/>
      <c r="G50" s="37">
        <f>C50+E50</f>
        <v>622</v>
      </c>
      <c r="H50" s="41"/>
      <c r="I50" s="20"/>
      <c r="J50" s="77">
        <f>1710+2834</f>
        <v>4544</v>
      </c>
      <c r="K50" s="77"/>
      <c r="L50" s="77">
        <f>1332</f>
        <v>1332</v>
      </c>
      <c r="M50" s="77"/>
      <c r="N50" s="77">
        <f>J50+L50</f>
        <v>5876</v>
      </c>
      <c r="O50" s="34"/>
    </row>
    <row r="51" spans="1:15" ht="15">
      <c r="A51" s="7" t="s">
        <v>62</v>
      </c>
      <c r="C51" s="58">
        <f>C48+C49-C50</f>
        <v>3620</v>
      </c>
      <c r="D51" s="58"/>
      <c r="E51" s="58">
        <f>E48+E49-E50</f>
        <v>746</v>
      </c>
      <c r="F51" s="58"/>
      <c r="G51" s="58">
        <f>C51+E51</f>
        <v>4366</v>
      </c>
      <c r="H51" s="41"/>
      <c r="J51" s="58">
        <f>J48+J49-J50</f>
        <v>-26587</v>
      </c>
      <c r="K51" s="58"/>
      <c r="L51" s="58">
        <f>L48+L49-L50</f>
        <v>42635</v>
      </c>
      <c r="M51" s="58"/>
      <c r="N51" s="58">
        <f>J51+L51</f>
        <v>16048</v>
      </c>
      <c r="O51" s="34"/>
    </row>
    <row r="52" spans="10:15" ht="15">
      <c r="J52" s="34"/>
      <c r="K52" s="34"/>
      <c r="L52" s="34"/>
      <c r="M52" s="34"/>
      <c r="N52" s="34"/>
      <c r="O52" s="34"/>
    </row>
    <row r="53" spans="10:15" ht="15">
      <c r="J53" s="34"/>
      <c r="K53" s="34"/>
      <c r="L53" s="34"/>
      <c r="M53" s="34"/>
      <c r="N53" s="34"/>
      <c r="O53" s="34"/>
    </row>
    <row r="54" spans="10:15" ht="15">
      <c r="J54" s="34"/>
      <c r="K54" s="34"/>
      <c r="L54" s="34"/>
      <c r="M54" s="34"/>
      <c r="N54" s="34"/>
      <c r="O54" s="34"/>
    </row>
    <row r="55" spans="10:15" ht="15">
      <c r="J55" s="34"/>
      <c r="K55" s="34"/>
      <c r="L55" s="34"/>
      <c r="M55" s="34"/>
      <c r="N55" s="34"/>
      <c r="O55" s="34"/>
    </row>
  </sheetData>
  <sheetProtection/>
  <mergeCells count="4">
    <mergeCell ref="A1:N1"/>
    <mergeCell ref="A2:N2"/>
    <mergeCell ref="A3:N3"/>
    <mergeCell ref="J6:N6"/>
  </mergeCells>
  <printOptions/>
  <pageMargins left="0.7" right="0.7" top="0.75" bottom="0.75" header="0.3" footer="0.3"/>
  <pageSetup fitToHeight="1" fitToWidth="1" horizontalDpi="600" verticalDpi="600" orientation="portrait" scale="70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12.57421875" style="0" customWidth="1"/>
    <col min="3" max="3" width="15.28125" style="0" customWidth="1"/>
    <col min="4" max="4" width="3.00390625" style="0" customWidth="1"/>
    <col min="5" max="5" width="16.00390625" style="0" customWidth="1"/>
  </cols>
  <sheetData>
    <row r="1" spans="1:5" s="7" customFormat="1" ht="15">
      <c r="A1" s="110" t="s">
        <v>50</v>
      </c>
      <c r="B1" s="110"/>
      <c r="C1" s="110"/>
      <c r="D1" s="110"/>
      <c r="E1" s="110"/>
    </row>
    <row r="2" spans="1:5" s="7" customFormat="1" ht="15">
      <c r="A2" s="110" t="s">
        <v>92</v>
      </c>
      <c r="B2" s="110"/>
      <c r="C2" s="110"/>
      <c r="D2" s="110"/>
      <c r="E2" s="110"/>
    </row>
    <row r="3" spans="1:5" s="7" customFormat="1" ht="15">
      <c r="A3" s="111" t="s">
        <v>93</v>
      </c>
      <c r="B3" s="111"/>
      <c r="C3" s="111"/>
      <c r="D3" s="111"/>
      <c r="E3" s="111"/>
    </row>
    <row r="4" spans="1:5" s="7" customFormat="1" ht="15">
      <c r="A4" s="110">
        <v>2014</v>
      </c>
      <c r="B4" s="110"/>
      <c r="C4" s="110"/>
      <c r="D4" s="110"/>
      <c r="E4" s="110"/>
    </row>
    <row r="5" spans="1:5" s="7" customFormat="1" ht="15">
      <c r="A5" s="84"/>
      <c r="B5" s="84"/>
      <c r="C5" s="84"/>
      <c r="D5" s="84"/>
      <c r="E5" s="84"/>
    </row>
    <row r="6" spans="3:5" ht="15">
      <c r="C6" s="78" t="s">
        <v>88</v>
      </c>
      <c r="D6" s="78" t="s">
        <v>52</v>
      </c>
      <c r="E6" s="78" t="s">
        <v>77</v>
      </c>
    </row>
    <row r="7" spans="1:5" ht="15">
      <c r="A7" t="s">
        <v>81</v>
      </c>
      <c r="C7" s="79">
        <f>SUM(January!$E$19:$E$28)+January!$E$31</f>
        <v>228416.07708333334</v>
      </c>
      <c r="D7" s="79"/>
      <c r="E7" s="79">
        <f>SUM(January!H19:H28)+January!H30</f>
        <v>407334.22000000003</v>
      </c>
    </row>
    <row r="8" spans="1:5" ht="15">
      <c r="A8" t="s">
        <v>7</v>
      </c>
      <c r="C8" s="79">
        <f>SUM(February!$E$20:$E$29)+February!$E$31</f>
        <v>198898.15708333335</v>
      </c>
      <c r="D8" s="79"/>
      <c r="E8" s="79">
        <f>SUM(February!H20:H28)+February!H31</f>
        <v>315506.24</v>
      </c>
    </row>
    <row r="9" spans="1:5" ht="15">
      <c r="A9" t="s">
        <v>8</v>
      </c>
      <c r="C9" s="79">
        <f>SUM(March!$E$20:$E$29)+March!$E$31</f>
        <v>263143.77708333335</v>
      </c>
      <c r="D9" s="79"/>
      <c r="E9" s="79">
        <f>SUM(March!$H$20:$H$29)+March!$H$31</f>
        <v>439952.36999999994</v>
      </c>
    </row>
    <row r="10" spans="1:5" ht="15">
      <c r="A10" t="s">
        <v>9</v>
      </c>
      <c r="C10" s="79">
        <f>SUM(April!$E$20:$E$29)+April!$E$31</f>
        <v>298046.96708333335</v>
      </c>
      <c r="D10" s="79"/>
      <c r="E10" s="79">
        <f>SUM(April!$H$20:$H$29)+April!$H$31</f>
        <v>502777.15</v>
      </c>
    </row>
    <row r="11" spans="1:5" ht="15">
      <c r="A11" t="s">
        <v>10</v>
      </c>
      <c r="C11" s="79">
        <f>SUM(May!$E$20:$E$29)+May!$E$31</f>
        <v>233907.66708333336</v>
      </c>
      <c r="D11" s="79"/>
      <c r="E11" s="79">
        <f>SUM(May!$H$20:$H$29)+May!$H$31</f>
        <v>436945.57</v>
      </c>
    </row>
    <row r="12" spans="1:5" ht="15">
      <c r="A12" t="s">
        <v>11</v>
      </c>
      <c r="C12" s="79">
        <f>SUM(June!$E$20:$E$29)+June!$E$31</f>
        <v>164838.7670833333</v>
      </c>
      <c r="D12" s="79"/>
      <c r="E12" s="79">
        <f>SUM(June!$H$20:$H$29)+June!$H$31</f>
        <v>307863.24</v>
      </c>
    </row>
    <row r="13" spans="1:5" ht="15">
      <c r="A13" t="s">
        <v>82</v>
      </c>
      <c r="C13" s="79">
        <f>SUM(July!$E$20:$E$29)+July!$E$31</f>
        <v>295503.39708333334</v>
      </c>
      <c r="D13" s="79"/>
      <c r="E13" s="79">
        <f>SUM(July!$H$20:$H$29)+July!$H$31</f>
        <v>496823.02999999997</v>
      </c>
    </row>
    <row r="14" spans="1:5" ht="15">
      <c r="A14" t="s">
        <v>83</v>
      </c>
      <c r="C14" s="79">
        <f>SUM(August!$E$20:$E$29)+August!$E$31</f>
        <v>162503.06708333333</v>
      </c>
      <c r="D14" s="79"/>
      <c r="E14" s="79">
        <f>SUM(August!$H$20:$H$29)+August!$H$31</f>
        <v>210515.2</v>
      </c>
    </row>
    <row r="15" spans="1:5" ht="15">
      <c r="A15" t="s">
        <v>84</v>
      </c>
      <c r="C15" s="79">
        <f>SUM(September!$E$20:$E$29)+September!$E$31</f>
        <v>262421.41708333336</v>
      </c>
      <c r="D15" s="79"/>
      <c r="E15" s="79">
        <f>SUM(September!$H$20:$H$29)+September!$H$31</f>
        <v>361366.99</v>
      </c>
    </row>
    <row r="16" spans="1:5" ht="15">
      <c r="A16" t="s">
        <v>85</v>
      </c>
      <c r="C16" s="79">
        <f>AVERAGE(C7:C15)</f>
        <v>234186.58819444446</v>
      </c>
      <c r="D16" s="79"/>
      <c r="E16" s="79">
        <f>AVERAGE($E$7:$E$15)</f>
        <v>386564.88999999996</v>
      </c>
    </row>
    <row r="17" spans="1:5" ht="15">
      <c r="A17" t="s">
        <v>85</v>
      </c>
      <c r="C17" s="79">
        <f>C16</f>
        <v>234186.58819444446</v>
      </c>
      <c r="D17" s="79"/>
      <c r="E17" s="87">
        <f>AVERAGE($E$7:$E$15)</f>
        <v>386564.88999999996</v>
      </c>
    </row>
    <row r="18" spans="1:5" ht="15">
      <c r="A18" t="s">
        <v>85</v>
      </c>
      <c r="C18" s="79">
        <f>C16</f>
        <v>234186.58819444446</v>
      </c>
      <c r="D18" s="79"/>
      <c r="E18" s="87">
        <f>AVERAGE($E$7:$E$15)</f>
        <v>386564.88999999996</v>
      </c>
    </row>
    <row r="19" spans="1:5" ht="15">
      <c r="A19" t="s">
        <v>86</v>
      </c>
      <c r="C19" s="79">
        <f>SUM(C7:C18)</f>
        <v>2810239.058333333</v>
      </c>
      <c r="D19" s="79"/>
      <c r="E19" s="79">
        <f>SUM(E7:E18)</f>
        <v>4638778.68</v>
      </c>
    </row>
    <row r="20" spans="3:5" ht="15">
      <c r="C20" s="79"/>
      <c r="D20" s="79"/>
      <c r="E20" s="79"/>
    </row>
    <row r="21" spans="1:5" ht="15">
      <c r="A21" s="1" t="s">
        <v>87</v>
      </c>
      <c r="B21" s="1"/>
      <c r="C21" s="83">
        <f>0.125*C19</f>
        <v>351279.88229166664</v>
      </c>
      <c r="D21" s="83"/>
      <c r="E21" s="83">
        <f>0.125*E19</f>
        <v>579847.335</v>
      </c>
    </row>
    <row r="22" ht="15">
      <c r="A22" t="s">
        <v>91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6"/>
  <sheetViews>
    <sheetView tabSelected="1" zoomScalePageLayoutView="0" workbookViewId="0" topLeftCell="A1">
      <selection activeCell="G20" sqref="G20"/>
    </sheetView>
  </sheetViews>
  <sheetFormatPr defaultColWidth="8.8515625" defaultRowHeight="15"/>
  <cols>
    <col min="1" max="1" width="31.00390625" style="7" bestFit="1" customWidth="1"/>
    <col min="2" max="16384" width="8.8515625" style="7" customWidth="1"/>
  </cols>
  <sheetData>
    <row r="2" spans="1:2" ht="15">
      <c r="A2" s="7" t="s">
        <v>97</v>
      </c>
      <c r="B2" s="89">
        <v>0.021464</v>
      </c>
    </row>
    <row r="4" spans="1:2" ht="15">
      <c r="A4" s="7" t="s">
        <v>98</v>
      </c>
      <c r="B4" s="90">
        <v>0.6</v>
      </c>
    </row>
    <row r="6" spans="1:2" ht="15">
      <c r="A6" s="7" t="s">
        <v>99</v>
      </c>
      <c r="B6" s="90">
        <v>0.05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zoomScalePageLayoutView="0" workbookViewId="0" topLeftCell="A10">
      <selection activeCell="B38" sqref="B38"/>
    </sheetView>
  </sheetViews>
  <sheetFormatPr defaultColWidth="8.8515625" defaultRowHeight="15"/>
  <cols>
    <col min="1" max="1" width="12.421875" style="8" customWidth="1"/>
    <col min="2" max="2" width="19.28125" style="12" customWidth="1"/>
    <col min="3" max="3" width="19.57421875" style="7" customWidth="1"/>
    <col min="4" max="4" width="18.7109375" style="7" customWidth="1"/>
    <col min="5" max="5" width="8.8515625" style="7" customWidth="1"/>
    <col min="6" max="6" width="13.7109375" style="7" customWidth="1"/>
    <col min="7" max="7" width="15.8515625" style="7" customWidth="1"/>
    <col min="8" max="8" width="12.7109375" style="7" customWidth="1"/>
    <col min="9" max="9" width="8.8515625" style="7" customWidth="1"/>
    <col min="10" max="16384" width="8.8515625" style="7" customWidth="1"/>
  </cols>
  <sheetData>
    <row r="1" spans="1:4" ht="15">
      <c r="A1" s="102" t="s">
        <v>101</v>
      </c>
      <c r="B1" s="102"/>
      <c r="C1" s="102"/>
      <c r="D1" s="102"/>
    </row>
    <row r="2" spans="1:4" ht="15.75">
      <c r="A2" s="101" t="s">
        <v>104</v>
      </c>
      <c r="B2" s="101"/>
      <c r="C2" s="101"/>
      <c r="D2" s="101"/>
    </row>
    <row r="3" spans="1:4" ht="15.75">
      <c r="A3" s="101" t="s">
        <v>102</v>
      </c>
      <c r="B3" s="101"/>
      <c r="C3" s="101"/>
      <c r="D3" s="101"/>
    </row>
    <row r="4" spans="1:4" ht="15.75">
      <c r="A4" s="101"/>
      <c r="B4" s="101"/>
      <c r="C4" s="101"/>
      <c r="D4" s="101"/>
    </row>
    <row r="6" spans="1:4" ht="30">
      <c r="A6" s="13" t="s">
        <v>3</v>
      </c>
      <c r="B6" s="14" t="s">
        <v>4</v>
      </c>
      <c r="C6" s="16" t="s">
        <v>5</v>
      </c>
      <c r="D6" s="2" t="s">
        <v>0</v>
      </c>
    </row>
    <row r="7" spans="1:4" ht="15">
      <c r="A7" s="6">
        <v>2005</v>
      </c>
      <c r="B7" s="9">
        <v>2713191.5800000005</v>
      </c>
      <c r="C7" s="9">
        <v>724631.1037301858</v>
      </c>
      <c r="D7" s="11">
        <f>B7-C7</f>
        <v>1988560.4762698147</v>
      </c>
    </row>
    <row r="8" spans="1:4" ht="15">
      <c r="A8" s="94">
        <v>2006</v>
      </c>
      <c r="B8" s="9">
        <v>2520093.1199999996</v>
      </c>
      <c r="C8" s="9">
        <v>596733.9396393424</v>
      </c>
      <c r="D8" s="11">
        <f aca="true" t="shared" si="0" ref="D8:D15">B8-C8</f>
        <v>1923359.1803606572</v>
      </c>
    </row>
    <row r="9" spans="1:4" ht="15">
      <c r="A9" s="6">
        <v>2007</v>
      </c>
      <c r="B9" s="11">
        <v>306178992.05</v>
      </c>
      <c r="C9" s="11">
        <v>62431163.39279705</v>
      </c>
      <c r="D9" s="11">
        <f t="shared" si="0"/>
        <v>243747828.65720296</v>
      </c>
    </row>
    <row r="10" spans="1:4" ht="15">
      <c r="A10" s="6">
        <v>2008</v>
      </c>
      <c r="B10" s="11">
        <v>-8111.965</v>
      </c>
      <c r="C10" s="11">
        <v>-3197.064529063948</v>
      </c>
      <c r="D10" s="11">
        <f t="shared" si="0"/>
        <v>-4914.900470936052</v>
      </c>
    </row>
    <row r="11" spans="1:4" ht="15">
      <c r="A11" s="6">
        <v>2009</v>
      </c>
      <c r="B11" s="11">
        <v>9718886.555</v>
      </c>
      <c r="C11" s="11">
        <v>1775154.5636443929</v>
      </c>
      <c r="D11" s="11">
        <f t="shared" si="0"/>
        <v>7943731.991355607</v>
      </c>
    </row>
    <row r="12" spans="1:4" ht="15">
      <c r="A12" s="6">
        <v>2010</v>
      </c>
      <c r="B12" s="11">
        <v>542646.795</v>
      </c>
      <c r="C12" s="11">
        <v>58350.069843154764</v>
      </c>
      <c r="D12" s="11">
        <f t="shared" si="0"/>
        <v>484296.7251568453</v>
      </c>
    </row>
    <row r="13" spans="1:4" ht="15">
      <c r="A13" s="6">
        <v>2011</v>
      </c>
      <c r="B13" s="11">
        <v>2313405.915</v>
      </c>
      <c r="C13" s="11">
        <v>181253.25912961256</v>
      </c>
      <c r="D13" s="11">
        <f t="shared" si="0"/>
        <v>2132152.6558703873</v>
      </c>
    </row>
    <row r="14" spans="1:4" ht="15">
      <c r="A14" s="6">
        <v>2012</v>
      </c>
      <c r="B14" s="11">
        <v>760030.845</v>
      </c>
      <c r="C14" s="11">
        <v>60479.88647114566</v>
      </c>
      <c r="D14" s="11">
        <f t="shared" si="0"/>
        <v>699550.9585288543</v>
      </c>
    </row>
    <row r="15" spans="1:4" ht="15">
      <c r="A15" s="6">
        <v>2013</v>
      </c>
      <c r="B15" s="17">
        <v>2454277.0100000002</v>
      </c>
      <c r="C15" s="17">
        <v>35225.91676891453</v>
      </c>
      <c r="D15" s="17">
        <f t="shared" si="0"/>
        <v>2419051.0932310857</v>
      </c>
    </row>
    <row r="16" spans="1:4" ht="15">
      <c r="A16" s="6"/>
      <c r="B16" s="10">
        <f>SUM(B7:B15)</f>
        <v>327193411.9050001</v>
      </c>
      <c r="C16" s="10">
        <f>SUM(C7:C15)</f>
        <v>65859795.06749475</v>
      </c>
      <c r="D16" s="10">
        <f>SUM(D7:D15)</f>
        <v>261333616.83750525</v>
      </c>
    </row>
    <row r="17" spans="1:4" ht="15">
      <c r="A17" s="6"/>
      <c r="B17" s="11"/>
      <c r="C17" s="11"/>
      <c r="D17" s="11"/>
    </row>
    <row r="20" spans="1:4" ht="15">
      <c r="A20" s="3"/>
      <c r="B20" s="2"/>
      <c r="C20" s="2"/>
      <c r="D20" s="2"/>
    </row>
    <row r="21" spans="1:4" ht="15">
      <c r="A21" s="6"/>
      <c r="B21" s="9"/>
      <c r="C21" s="9"/>
      <c r="D21" s="9"/>
    </row>
    <row r="22" spans="1:4" ht="15">
      <c r="A22" s="6"/>
      <c r="B22" s="9"/>
      <c r="C22" s="9"/>
      <c r="D22" s="9"/>
    </row>
    <row r="23" spans="1:4" ht="15">
      <c r="A23" s="6"/>
      <c r="B23" s="9"/>
      <c r="C23" s="9"/>
      <c r="D23" s="9"/>
    </row>
    <row r="24" spans="1:4" ht="15">
      <c r="A24" s="6"/>
      <c r="B24" s="9"/>
      <c r="C24" s="9"/>
      <c r="D24" s="9"/>
    </row>
    <row r="25" spans="1:4" ht="15">
      <c r="A25" s="6"/>
      <c r="B25" s="9"/>
      <c r="C25" s="9"/>
      <c r="D25" s="9"/>
    </row>
    <row r="26" spans="1:4" ht="15">
      <c r="A26" s="6"/>
      <c r="B26" s="9"/>
      <c r="C26" s="9"/>
      <c r="D26" s="9"/>
    </row>
    <row r="27" spans="1:4" ht="15">
      <c r="A27" s="6"/>
      <c r="B27" s="9"/>
      <c r="C27" s="9"/>
      <c r="D27" s="9"/>
    </row>
    <row r="28" spans="1:4" ht="15">
      <c r="A28" s="6"/>
      <c r="B28" s="15"/>
      <c r="C28" s="15"/>
      <c r="D28" s="15"/>
    </row>
    <row r="29" spans="1:4" ht="15">
      <c r="A29" s="6"/>
      <c r="B29" s="5"/>
      <c r="C29" s="5"/>
      <c r="D29" s="5"/>
    </row>
    <row r="30" spans="1:4" ht="15">
      <c r="A30" s="6"/>
      <c r="B30" s="9"/>
      <c r="C30" s="9"/>
      <c r="D30" s="9"/>
    </row>
    <row r="31" spans="1:4" ht="15">
      <c r="A31" s="6"/>
      <c r="B31" s="9"/>
      <c r="C31" s="9"/>
      <c r="D31" s="9"/>
    </row>
    <row r="33" spans="2:10" ht="15">
      <c r="B33" s="8"/>
      <c r="D33" s="8"/>
      <c r="E33" s="8"/>
      <c r="F33" s="9"/>
      <c r="G33" s="9"/>
      <c r="H33" s="9"/>
      <c r="I33" s="9"/>
      <c r="J33" s="94"/>
    </row>
    <row r="34" spans="2:10" ht="15">
      <c r="B34" s="8"/>
      <c r="D34" s="8"/>
      <c r="E34" s="8"/>
      <c r="F34" s="9"/>
      <c r="G34" s="9"/>
      <c r="H34" s="9"/>
      <c r="I34" s="9"/>
      <c r="J34" s="94"/>
    </row>
    <row r="35" spans="2:10" ht="15">
      <c r="B35" s="8"/>
      <c r="D35" s="8"/>
      <c r="E35" s="8"/>
      <c r="F35" s="9"/>
      <c r="G35" s="9"/>
      <c r="H35" s="9"/>
      <c r="I35" s="9"/>
      <c r="J35" s="94"/>
    </row>
    <row r="36" spans="2:10" ht="15">
      <c r="B36" s="8"/>
      <c r="D36" s="8"/>
      <c r="E36" s="8"/>
      <c r="F36" s="9"/>
      <c r="G36" s="9"/>
      <c r="H36" s="9"/>
      <c r="I36" s="9"/>
      <c r="J36" s="94"/>
    </row>
    <row r="37" spans="2:10" ht="15">
      <c r="B37" s="8"/>
      <c r="D37" s="8"/>
      <c r="E37" s="8"/>
      <c r="F37" s="9"/>
      <c r="G37" s="9"/>
      <c r="H37" s="9"/>
      <c r="I37" s="9"/>
      <c r="J37" s="94"/>
    </row>
    <row r="38" spans="2:10" ht="15">
      <c r="B38" s="8"/>
      <c r="D38" s="8"/>
      <c r="E38" s="8"/>
      <c r="F38" s="9"/>
      <c r="G38" s="9"/>
      <c r="H38" s="9"/>
      <c r="I38" s="9"/>
      <c r="J38" s="94"/>
    </row>
    <row r="39" spans="2:10" ht="15">
      <c r="B39" s="8"/>
      <c r="D39" s="8"/>
      <c r="E39" s="8"/>
      <c r="F39" s="9"/>
      <c r="G39" s="9"/>
      <c r="H39" s="9"/>
      <c r="I39" s="9"/>
      <c r="J39" s="94"/>
    </row>
    <row r="40" spans="2:10" ht="15">
      <c r="B40" s="8"/>
      <c r="D40" s="8"/>
      <c r="E40" s="8"/>
      <c r="F40" s="9"/>
      <c r="G40" s="9"/>
      <c r="H40" s="9"/>
      <c r="I40" s="9"/>
      <c r="J40" s="94"/>
    </row>
    <row r="41" spans="2:10" ht="15">
      <c r="B41" s="8"/>
      <c r="D41" s="8"/>
      <c r="E41" s="8"/>
      <c r="F41" s="9"/>
      <c r="G41" s="9"/>
      <c r="H41" s="9"/>
      <c r="I41" s="9"/>
      <c r="J41" s="94"/>
    </row>
    <row r="42" spans="2:10" ht="15">
      <c r="B42" s="8"/>
      <c r="D42" s="8"/>
      <c r="E42" s="8"/>
      <c r="F42" s="9"/>
      <c r="G42" s="9"/>
      <c r="H42" s="9"/>
      <c r="I42" s="9"/>
      <c r="J42" s="94"/>
    </row>
    <row r="43" spans="2:10" ht="15">
      <c r="B43" s="8"/>
      <c r="D43" s="8"/>
      <c r="E43" s="8"/>
      <c r="F43" s="9"/>
      <c r="G43" s="9"/>
      <c r="H43" s="9"/>
      <c r="I43" s="9"/>
      <c r="J43" s="94"/>
    </row>
    <row r="44" spans="2:10" ht="15">
      <c r="B44" s="8"/>
      <c r="D44" s="8"/>
      <c r="E44" s="8"/>
      <c r="F44" s="9"/>
      <c r="G44" s="9"/>
      <c r="H44" s="9"/>
      <c r="I44" s="9"/>
      <c r="J44" s="94"/>
    </row>
    <row r="45" spans="2:10" ht="15">
      <c r="B45" s="8"/>
      <c r="D45" s="8"/>
      <c r="E45" s="8"/>
      <c r="F45" s="9"/>
      <c r="G45" s="9"/>
      <c r="H45" s="9"/>
      <c r="I45" s="9"/>
      <c r="J45" s="94"/>
    </row>
    <row r="46" spans="2:10" ht="15">
      <c r="B46" s="8"/>
      <c r="D46" s="8"/>
      <c r="E46" s="8"/>
      <c r="F46" s="9"/>
      <c r="G46" s="9"/>
      <c r="H46" s="9"/>
      <c r="I46" s="9"/>
      <c r="J46" s="94"/>
    </row>
    <row r="47" spans="2:10" ht="15">
      <c r="B47" s="8"/>
      <c r="D47" s="8"/>
      <c r="E47" s="8"/>
      <c r="F47" s="9"/>
      <c r="G47" s="9"/>
      <c r="H47" s="9"/>
      <c r="I47" s="9"/>
      <c r="J47" s="94"/>
    </row>
    <row r="48" spans="2:10" ht="15">
      <c r="B48" s="8"/>
      <c r="D48" s="8"/>
      <c r="E48" s="8"/>
      <c r="F48" s="9"/>
      <c r="G48" s="9"/>
      <c r="H48" s="9"/>
      <c r="I48" s="9"/>
      <c r="J48" s="94"/>
    </row>
    <row r="49" spans="2:10" ht="15">
      <c r="B49" s="8"/>
      <c r="D49" s="8"/>
      <c r="E49" s="8"/>
      <c r="F49" s="9"/>
      <c r="G49" s="9"/>
      <c r="H49" s="9"/>
      <c r="I49" s="9"/>
      <c r="J49" s="94"/>
    </row>
    <row r="50" spans="2:10" ht="15">
      <c r="B50" s="8"/>
      <c r="D50" s="8"/>
      <c r="E50" s="8"/>
      <c r="F50" s="9"/>
      <c r="G50" s="9"/>
      <c r="H50" s="9"/>
      <c r="I50" s="9"/>
      <c r="J50" s="94"/>
    </row>
    <row r="51" spans="2:10" ht="15">
      <c r="B51" s="8"/>
      <c r="D51" s="8"/>
      <c r="E51" s="8"/>
      <c r="F51" s="9"/>
      <c r="G51" s="9"/>
      <c r="H51" s="9"/>
      <c r="I51" s="9"/>
      <c r="J51" s="94"/>
    </row>
    <row r="52" spans="2:10" ht="15">
      <c r="B52" s="8"/>
      <c r="D52" s="8"/>
      <c r="E52" s="8"/>
      <c r="F52" s="9"/>
      <c r="G52" s="9"/>
      <c r="H52" s="9"/>
      <c r="I52" s="9"/>
      <c r="J52" s="94"/>
    </row>
    <row r="53" spans="2:10" ht="15">
      <c r="B53" s="8"/>
      <c r="D53" s="8"/>
      <c r="E53" s="8"/>
      <c r="F53" s="9"/>
      <c r="G53" s="9"/>
      <c r="H53" s="9"/>
      <c r="I53" s="9"/>
      <c r="J53" s="94"/>
    </row>
    <row r="54" spans="2:10" ht="15">
      <c r="B54" s="8"/>
      <c r="D54" s="8"/>
      <c r="E54" s="8"/>
      <c r="F54" s="9"/>
      <c r="G54" s="9"/>
      <c r="H54" s="9"/>
      <c r="I54" s="9"/>
      <c r="J54" s="94"/>
    </row>
    <row r="55" spans="2:10" ht="15">
      <c r="B55" s="8"/>
      <c r="D55" s="8"/>
      <c r="E55" s="8"/>
      <c r="F55" s="9"/>
      <c r="G55" s="9"/>
      <c r="H55" s="9"/>
      <c r="I55" s="9"/>
      <c r="J55" s="94"/>
    </row>
    <row r="56" spans="2:10" ht="15">
      <c r="B56" s="8"/>
      <c r="D56" s="8"/>
      <c r="E56" s="8"/>
      <c r="F56" s="9"/>
      <c r="G56" s="9"/>
      <c r="H56" s="9"/>
      <c r="I56" s="9"/>
      <c r="J56" s="94"/>
    </row>
    <row r="57" spans="2:10" ht="15">
      <c r="B57" s="8"/>
      <c r="D57" s="8"/>
      <c r="E57" s="8"/>
      <c r="F57" s="9"/>
      <c r="G57" s="9"/>
      <c r="H57" s="9"/>
      <c r="I57" s="9"/>
      <c r="J57" s="94"/>
    </row>
    <row r="58" spans="2:10" ht="15">
      <c r="B58" s="8"/>
      <c r="D58" s="8"/>
      <c r="E58" s="8"/>
      <c r="F58" s="9"/>
      <c r="G58" s="9"/>
      <c r="H58" s="9"/>
      <c r="I58" s="9"/>
      <c r="J58" s="94"/>
    </row>
    <row r="59" spans="2:10" ht="15">
      <c r="B59" s="8"/>
      <c r="D59" s="8"/>
      <c r="E59" s="8"/>
      <c r="F59" s="9"/>
      <c r="G59" s="9"/>
      <c r="H59" s="9"/>
      <c r="I59" s="9"/>
      <c r="J59" s="94"/>
    </row>
    <row r="60" spans="2:10" ht="15">
      <c r="B60" s="8"/>
      <c r="D60" s="8"/>
      <c r="E60" s="8"/>
      <c r="F60" s="9"/>
      <c r="G60" s="9"/>
      <c r="H60" s="9"/>
      <c r="I60" s="9"/>
      <c r="J60" s="94"/>
    </row>
    <row r="61" spans="2:10" ht="15">
      <c r="B61" s="8"/>
      <c r="D61" s="8"/>
      <c r="E61" s="8"/>
      <c r="F61" s="9"/>
      <c r="G61" s="9"/>
      <c r="H61" s="9"/>
      <c r="I61" s="9"/>
      <c r="J61" s="94"/>
    </row>
    <row r="62" spans="2:10" ht="15">
      <c r="B62" s="8"/>
      <c r="D62" s="8"/>
      <c r="E62" s="8"/>
      <c r="F62" s="9"/>
      <c r="G62" s="9"/>
      <c r="H62" s="9"/>
      <c r="I62" s="9"/>
      <c r="J62" s="94"/>
    </row>
    <row r="63" spans="2:10" ht="15">
      <c r="B63" s="8"/>
      <c r="D63" s="8"/>
      <c r="E63" s="8"/>
      <c r="F63" s="9"/>
      <c r="G63" s="9"/>
      <c r="H63" s="9"/>
      <c r="I63" s="9"/>
      <c r="J63" s="94"/>
    </row>
    <row r="64" spans="2:10" ht="15">
      <c r="B64" s="8"/>
      <c r="D64" s="8"/>
      <c r="E64" s="8"/>
      <c r="F64" s="9"/>
      <c r="G64" s="9"/>
      <c r="H64" s="9"/>
      <c r="I64" s="9"/>
      <c r="J64" s="94"/>
    </row>
    <row r="65" spans="2:10" ht="15">
      <c r="B65" s="8"/>
      <c r="D65" s="8"/>
      <c r="E65" s="8"/>
      <c r="F65" s="9"/>
      <c r="G65" s="9"/>
      <c r="H65" s="9"/>
      <c r="I65" s="9"/>
      <c r="J65" s="94"/>
    </row>
    <row r="66" spans="2:10" ht="15">
      <c r="B66" s="8"/>
      <c r="D66" s="8"/>
      <c r="E66" s="8"/>
      <c r="F66" s="9"/>
      <c r="G66" s="9"/>
      <c r="H66" s="9"/>
      <c r="I66" s="9"/>
      <c r="J66" s="94"/>
    </row>
    <row r="67" spans="2:10" ht="15">
      <c r="B67" s="8"/>
      <c r="D67" s="8"/>
      <c r="E67" s="8"/>
      <c r="F67" s="9"/>
      <c r="G67" s="9"/>
      <c r="H67" s="9"/>
      <c r="I67" s="9"/>
      <c r="J67" s="94"/>
    </row>
    <row r="68" spans="2:10" ht="15">
      <c r="B68" s="8"/>
      <c r="D68" s="8"/>
      <c r="E68" s="8"/>
      <c r="F68" s="9"/>
      <c r="G68" s="9"/>
      <c r="H68" s="9"/>
      <c r="I68" s="9"/>
      <c r="J68" s="94"/>
    </row>
    <row r="69" spans="2:10" ht="15">
      <c r="B69" s="8"/>
      <c r="D69" s="8"/>
      <c r="E69" s="8"/>
      <c r="F69" s="9"/>
      <c r="G69" s="9"/>
      <c r="H69" s="9"/>
      <c r="I69" s="9"/>
      <c r="J69" s="94"/>
    </row>
    <row r="70" spans="2:10" ht="15">
      <c r="B70" s="8"/>
      <c r="D70" s="8"/>
      <c r="E70" s="8"/>
      <c r="F70" s="9"/>
      <c r="G70" s="9"/>
      <c r="H70" s="9"/>
      <c r="I70" s="9"/>
      <c r="J70" s="94"/>
    </row>
    <row r="71" spans="2:10" ht="15">
      <c r="B71" s="8"/>
      <c r="D71" s="8"/>
      <c r="E71" s="8"/>
      <c r="F71" s="9"/>
      <c r="G71" s="9"/>
      <c r="H71" s="9"/>
      <c r="I71" s="9"/>
      <c r="J71" s="94"/>
    </row>
    <row r="72" spans="2:10" ht="15">
      <c r="B72" s="8"/>
      <c r="D72" s="8"/>
      <c r="E72" s="8"/>
      <c r="F72" s="9"/>
      <c r="G72" s="9"/>
      <c r="H72" s="9"/>
      <c r="I72" s="9"/>
      <c r="J72" s="94"/>
    </row>
    <row r="73" spans="2:10" ht="15">
      <c r="B73" s="8"/>
      <c r="D73" s="8"/>
      <c r="E73" s="8"/>
      <c r="F73" s="9"/>
      <c r="G73" s="9"/>
      <c r="H73" s="9"/>
      <c r="I73" s="9"/>
      <c r="J73" s="94"/>
    </row>
    <row r="74" spans="2:10" ht="15">
      <c r="B74" s="8"/>
      <c r="D74" s="8"/>
      <c r="E74" s="8"/>
      <c r="F74" s="9"/>
      <c r="G74" s="9"/>
      <c r="H74" s="9"/>
      <c r="I74" s="9"/>
      <c r="J74" s="94"/>
    </row>
    <row r="75" spans="1:10" s="63" customFormat="1" ht="15">
      <c r="A75" s="8"/>
      <c r="B75" s="8"/>
      <c r="C75" s="7"/>
      <c r="D75" s="8"/>
      <c r="E75" s="8"/>
      <c r="F75" s="9"/>
      <c r="G75" s="9"/>
      <c r="H75" s="9"/>
      <c r="I75" s="9"/>
      <c r="J75" s="94"/>
    </row>
    <row r="76" spans="2:10" ht="15">
      <c r="B76" s="8"/>
      <c r="D76" s="8"/>
      <c r="E76" s="8"/>
      <c r="F76" s="9"/>
      <c r="G76" s="9"/>
      <c r="H76" s="9"/>
      <c r="I76" s="9"/>
      <c r="J76" s="94"/>
    </row>
    <row r="77" spans="2:10" ht="15">
      <c r="B77" s="8"/>
      <c r="D77" s="8"/>
      <c r="E77" s="8"/>
      <c r="F77" s="9"/>
      <c r="G77" s="9"/>
      <c r="H77" s="9"/>
      <c r="I77" s="9"/>
      <c r="J77" s="94"/>
    </row>
    <row r="78" spans="2:10" ht="15">
      <c r="B78" s="8"/>
      <c r="D78" s="8"/>
      <c r="E78" s="8"/>
      <c r="F78" s="9"/>
      <c r="G78" s="9"/>
      <c r="H78" s="9"/>
      <c r="I78" s="9"/>
      <c r="J78" s="94"/>
    </row>
    <row r="79" spans="2:10" ht="15">
      <c r="B79" s="8"/>
      <c r="D79" s="8"/>
      <c r="E79" s="8"/>
      <c r="F79" s="9"/>
      <c r="G79" s="9"/>
      <c r="H79" s="9"/>
      <c r="I79" s="9"/>
      <c r="J79" s="94"/>
    </row>
    <row r="80" spans="2:10" ht="15">
      <c r="B80" s="8"/>
      <c r="D80" s="8"/>
      <c r="E80" s="8"/>
      <c r="F80" s="9"/>
      <c r="G80" s="9"/>
      <c r="H80" s="9"/>
      <c r="I80" s="9"/>
      <c r="J80" s="94"/>
    </row>
    <row r="81" spans="2:10" ht="15">
      <c r="B81" s="8"/>
      <c r="D81" s="8"/>
      <c r="E81" s="8"/>
      <c r="F81" s="9"/>
      <c r="G81" s="9"/>
      <c r="H81" s="9"/>
      <c r="I81" s="9"/>
      <c r="J81" s="94"/>
    </row>
    <row r="82" spans="2:10" ht="15">
      <c r="B82" s="8"/>
      <c r="D82" s="8"/>
      <c r="E82" s="8"/>
      <c r="F82" s="9"/>
      <c r="G82" s="9"/>
      <c r="H82" s="9"/>
      <c r="I82" s="9"/>
      <c r="J82" s="94"/>
    </row>
    <row r="83" spans="2:10" ht="15">
      <c r="B83" s="8"/>
      <c r="D83" s="8"/>
      <c r="E83" s="8"/>
      <c r="F83" s="9"/>
      <c r="G83" s="9"/>
      <c r="H83" s="9"/>
      <c r="I83" s="9"/>
      <c r="J83" s="94"/>
    </row>
    <row r="84" spans="2:10" ht="15">
      <c r="B84" s="8"/>
      <c r="D84" s="8"/>
      <c r="E84" s="8"/>
      <c r="F84" s="9"/>
      <c r="G84" s="9"/>
      <c r="H84" s="9"/>
      <c r="I84" s="9"/>
      <c r="J84" s="94"/>
    </row>
    <row r="85" spans="2:10" ht="15">
      <c r="B85" s="8"/>
      <c r="D85" s="8"/>
      <c r="E85" s="8"/>
      <c r="F85" s="9"/>
      <c r="G85" s="9"/>
      <c r="H85" s="9"/>
      <c r="I85" s="9"/>
      <c r="J85" s="94"/>
    </row>
    <row r="86" spans="2:10" ht="15">
      <c r="B86" s="8"/>
      <c r="D86" s="8"/>
      <c r="E86" s="8"/>
      <c r="F86" s="9"/>
      <c r="G86" s="9"/>
      <c r="H86" s="9"/>
      <c r="I86" s="9"/>
      <c r="J86" s="94"/>
    </row>
    <row r="87" spans="2:10" ht="15">
      <c r="B87" s="8"/>
      <c r="D87" s="8"/>
      <c r="E87" s="8"/>
      <c r="F87" s="9"/>
      <c r="G87" s="9"/>
      <c r="H87" s="9"/>
      <c r="I87" s="9"/>
      <c r="J87" s="94"/>
    </row>
    <row r="88" spans="2:10" ht="15">
      <c r="B88" s="8"/>
      <c r="D88" s="8"/>
      <c r="E88" s="8"/>
      <c r="F88" s="9"/>
      <c r="G88" s="9"/>
      <c r="H88" s="9"/>
      <c r="I88" s="9"/>
      <c r="J88" s="94"/>
    </row>
    <row r="89" spans="2:10" ht="15">
      <c r="B89" s="8"/>
      <c r="D89" s="8"/>
      <c r="E89" s="8"/>
      <c r="F89" s="9"/>
      <c r="G89" s="9"/>
      <c r="H89" s="9"/>
      <c r="I89" s="9"/>
      <c r="J89" s="94"/>
    </row>
    <row r="90" spans="2:10" ht="15">
      <c r="B90" s="8"/>
      <c r="D90" s="8"/>
      <c r="E90" s="8"/>
      <c r="F90" s="9"/>
      <c r="G90" s="9"/>
      <c r="H90" s="9"/>
      <c r="I90" s="9"/>
      <c r="J90" s="94"/>
    </row>
    <row r="91" spans="2:10" ht="15">
      <c r="B91" s="8"/>
      <c r="D91" s="8"/>
      <c r="E91" s="8"/>
      <c r="F91" s="9"/>
      <c r="G91" s="9"/>
      <c r="H91" s="9"/>
      <c r="I91" s="9"/>
      <c r="J91" s="94"/>
    </row>
    <row r="92" spans="2:10" ht="15">
      <c r="B92" s="8"/>
      <c r="D92" s="8"/>
      <c r="E92" s="8"/>
      <c r="F92" s="9"/>
      <c r="G92" s="9"/>
      <c r="H92" s="9"/>
      <c r="I92" s="9"/>
      <c r="J92" s="94"/>
    </row>
    <row r="93" spans="2:10" ht="15">
      <c r="B93" s="8"/>
      <c r="D93" s="8"/>
      <c r="E93" s="8"/>
      <c r="F93" s="9"/>
      <c r="G93" s="9"/>
      <c r="H93" s="9"/>
      <c r="I93" s="9"/>
      <c r="J93" s="94"/>
    </row>
    <row r="94" spans="2:10" ht="15">
      <c r="B94" s="8"/>
      <c r="D94" s="8"/>
      <c r="E94" s="8"/>
      <c r="F94" s="9"/>
      <c r="G94" s="9"/>
      <c r="H94" s="9"/>
      <c r="I94" s="9"/>
      <c r="J94" s="94"/>
    </row>
    <row r="95" spans="2:10" ht="15">
      <c r="B95" s="8"/>
      <c r="D95" s="8"/>
      <c r="E95" s="8"/>
      <c r="F95" s="9"/>
      <c r="G95" s="9"/>
      <c r="H95" s="9"/>
      <c r="I95" s="9"/>
      <c r="J95" s="94"/>
    </row>
    <row r="96" spans="2:10" ht="15">
      <c r="B96" s="8"/>
      <c r="D96" s="8"/>
      <c r="E96" s="8"/>
      <c r="F96" s="9"/>
      <c r="G96" s="9"/>
      <c r="H96" s="9"/>
      <c r="I96" s="9"/>
      <c r="J96" s="94"/>
    </row>
    <row r="97" spans="2:10" ht="15">
      <c r="B97" s="8"/>
      <c r="D97" s="8"/>
      <c r="E97" s="8"/>
      <c r="F97" s="9"/>
      <c r="G97" s="9"/>
      <c r="H97" s="9"/>
      <c r="I97" s="9"/>
      <c r="J97" s="94"/>
    </row>
    <row r="98" spans="2:10" ht="15">
      <c r="B98" s="8"/>
      <c r="D98" s="8"/>
      <c r="E98" s="8"/>
      <c r="F98" s="9"/>
      <c r="G98" s="9"/>
      <c r="H98" s="9"/>
      <c r="I98" s="9"/>
      <c r="J98" s="94"/>
    </row>
    <row r="99" spans="2:10" ht="15">
      <c r="B99" s="8"/>
      <c r="D99" s="8"/>
      <c r="E99" s="8"/>
      <c r="F99" s="9"/>
      <c r="G99" s="9"/>
      <c r="H99" s="9"/>
      <c r="I99" s="9"/>
      <c r="J99" s="94"/>
    </row>
    <row r="100" spans="2:10" ht="15">
      <c r="B100" s="8"/>
      <c r="D100" s="8"/>
      <c r="E100" s="8"/>
      <c r="F100" s="9"/>
      <c r="G100" s="9"/>
      <c r="H100" s="9"/>
      <c r="I100" s="9"/>
      <c r="J100" s="94"/>
    </row>
    <row r="101" spans="2:10" ht="15">
      <c r="B101" s="8"/>
      <c r="D101" s="8"/>
      <c r="E101" s="8"/>
      <c r="F101" s="9"/>
      <c r="G101" s="9"/>
      <c r="H101" s="9"/>
      <c r="I101" s="9"/>
      <c r="J101" s="94"/>
    </row>
    <row r="102" spans="2:10" ht="15">
      <c r="B102" s="8"/>
      <c r="D102" s="8"/>
      <c r="E102" s="8"/>
      <c r="F102" s="9"/>
      <c r="G102" s="9"/>
      <c r="H102" s="9"/>
      <c r="I102" s="9"/>
      <c r="J102" s="94"/>
    </row>
    <row r="103" spans="2:10" ht="15">
      <c r="B103" s="8"/>
      <c r="D103" s="8"/>
      <c r="E103" s="8"/>
      <c r="F103" s="9"/>
      <c r="G103" s="9"/>
      <c r="H103" s="9"/>
      <c r="I103" s="9"/>
      <c r="J103" s="94"/>
    </row>
    <row r="104" spans="2:10" ht="15">
      <c r="B104" s="8"/>
      <c r="D104" s="8"/>
      <c r="E104" s="8"/>
      <c r="F104" s="9"/>
      <c r="G104" s="9"/>
      <c r="H104" s="9"/>
      <c r="I104" s="9"/>
      <c r="J104" s="94"/>
    </row>
    <row r="105" spans="2:10" ht="15">
      <c r="B105" s="8"/>
      <c r="D105" s="8"/>
      <c r="E105" s="8"/>
      <c r="F105" s="9"/>
      <c r="G105" s="9"/>
      <c r="H105" s="9"/>
      <c r="I105" s="9"/>
      <c r="J105" s="94"/>
    </row>
    <row r="106" spans="2:10" ht="15">
      <c r="B106" s="8"/>
      <c r="D106" s="8"/>
      <c r="E106" s="8"/>
      <c r="F106" s="9"/>
      <c r="G106" s="9"/>
      <c r="H106" s="9"/>
      <c r="I106" s="9"/>
      <c r="J106" s="94"/>
    </row>
    <row r="107" spans="2:10" ht="15">
      <c r="B107" s="8"/>
      <c r="D107" s="8"/>
      <c r="E107" s="8"/>
      <c r="F107" s="9"/>
      <c r="G107" s="9"/>
      <c r="H107" s="9"/>
      <c r="I107" s="9"/>
      <c r="J107" s="94"/>
    </row>
    <row r="108" spans="2:10" ht="15">
      <c r="B108" s="8"/>
      <c r="D108" s="8"/>
      <c r="E108" s="8"/>
      <c r="F108" s="9"/>
      <c r="G108" s="9"/>
      <c r="H108" s="9"/>
      <c r="I108" s="9"/>
      <c r="J108" s="94"/>
    </row>
    <row r="109" spans="2:10" ht="15">
      <c r="B109" s="8"/>
      <c r="D109" s="8"/>
      <c r="E109" s="8"/>
      <c r="F109" s="9"/>
      <c r="G109" s="9"/>
      <c r="H109" s="9"/>
      <c r="I109" s="9"/>
      <c r="J109" s="94"/>
    </row>
    <row r="110" spans="2:10" ht="15">
      <c r="B110" s="8"/>
      <c r="D110" s="8"/>
      <c r="E110" s="8"/>
      <c r="F110" s="9"/>
      <c r="G110" s="9"/>
      <c r="H110" s="9"/>
      <c r="I110" s="9"/>
      <c r="J110" s="94"/>
    </row>
    <row r="111" spans="2:10" ht="15">
      <c r="B111" s="8"/>
      <c r="D111" s="8"/>
      <c r="E111" s="8"/>
      <c r="F111" s="9"/>
      <c r="G111" s="9"/>
      <c r="H111" s="9"/>
      <c r="I111" s="9"/>
      <c r="J111" s="94"/>
    </row>
    <row r="112" spans="2:10" ht="15">
      <c r="B112" s="8"/>
      <c r="D112" s="8"/>
      <c r="E112" s="8"/>
      <c r="F112" s="9"/>
      <c r="G112" s="9"/>
      <c r="H112" s="9"/>
      <c r="I112" s="9"/>
      <c r="J112" s="94"/>
    </row>
    <row r="113" spans="2:10" ht="15">
      <c r="B113" s="8"/>
      <c r="D113" s="8"/>
      <c r="E113" s="8"/>
      <c r="F113" s="9"/>
      <c r="G113" s="9"/>
      <c r="H113" s="9"/>
      <c r="I113" s="9"/>
      <c r="J113" s="94"/>
    </row>
    <row r="114" spans="2:10" ht="15">
      <c r="B114" s="8"/>
      <c r="D114" s="8"/>
      <c r="E114" s="8"/>
      <c r="F114" s="9"/>
      <c r="G114" s="9"/>
      <c r="H114" s="9"/>
      <c r="I114" s="9"/>
      <c r="J114" s="94"/>
    </row>
    <row r="115" spans="2:10" ht="15">
      <c r="B115" s="8"/>
      <c r="D115" s="8"/>
      <c r="E115" s="8"/>
      <c r="F115" s="9"/>
      <c r="G115" s="9"/>
      <c r="H115" s="9"/>
      <c r="I115" s="9"/>
      <c r="J115" s="94"/>
    </row>
    <row r="116" spans="2:10" ht="15">
      <c r="B116" s="8"/>
      <c r="D116" s="8"/>
      <c r="E116" s="8"/>
      <c r="F116" s="9"/>
      <c r="G116" s="9"/>
      <c r="H116" s="9"/>
      <c r="I116" s="9"/>
      <c r="J116" s="94"/>
    </row>
    <row r="117" spans="2:10" ht="15">
      <c r="B117" s="8"/>
      <c r="D117" s="8"/>
      <c r="E117" s="8"/>
      <c r="F117" s="9"/>
      <c r="G117" s="9"/>
      <c r="H117" s="9"/>
      <c r="I117" s="9"/>
      <c r="J117" s="94"/>
    </row>
    <row r="118" spans="2:10" ht="15">
      <c r="B118" s="8"/>
      <c r="D118" s="8"/>
      <c r="E118" s="8"/>
      <c r="F118" s="9"/>
      <c r="G118" s="9"/>
      <c r="H118" s="9"/>
      <c r="I118" s="9"/>
      <c r="J118" s="94"/>
    </row>
    <row r="119" spans="2:10" ht="15">
      <c r="B119" s="8"/>
      <c r="D119" s="8"/>
      <c r="E119" s="8"/>
      <c r="F119" s="9"/>
      <c r="G119" s="9"/>
      <c r="H119" s="9"/>
      <c r="I119" s="9"/>
      <c r="J119" s="94"/>
    </row>
    <row r="120" spans="2:10" ht="15">
      <c r="B120" s="8"/>
      <c r="D120" s="8"/>
      <c r="E120" s="8"/>
      <c r="F120" s="9"/>
      <c r="G120" s="9"/>
      <c r="H120" s="9"/>
      <c r="I120" s="9"/>
      <c r="J120" s="94"/>
    </row>
    <row r="121" spans="2:10" ht="15">
      <c r="B121" s="8"/>
      <c r="D121" s="8"/>
      <c r="E121" s="8"/>
      <c r="F121" s="9"/>
      <c r="G121" s="9"/>
      <c r="H121" s="9"/>
      <c r="I121" s="9"/>
      <c r="J121" s="94"/>
    </row>
    <row r="122" spans="2:10" ht="15">
      <c r="B122" s="8"/>
      <c r="D122" s="8"/>
      <c r="E122" s="8"/>
      <c r="F122" s="9"/>
      <c r="G122" s="9"/>
      <c r="H122" s="9"/>
      <c r="I122" s="9"/>
      <c r="J122" s="94"/>
    </row>
    <row r="123" spans="2:10" ht="15">
      <c r="B123" s="8"/>
      <c r="D123" s="8"/>
      <c r="E123" s="8"/>
      <c r="F123" s="9"/>
      <c r="G123" s="9"/>
      <c r="H123" s="9"/>
      <c r="I123" s="9"/>
      <c r="J123" s="94"/>
    </row>
    <row r="124" spans="2:10" ht="15">
      <c r="B124" s="8"/>
      <c r="D124" s="8"/>
      <c r="E124" s="8"/>
      <c r="F124" s="9"/>
      <c r="G124" s="9"/>
      <c r="H124" s="9"/>
      <c r="I124" s="9"/>
      <c r="J124" s="94"/>
    </row>
    <row r="125" spans="2:10" ht="15">
      <c r="B125" s="8"/>
      <c r="D125" s="8"/>
      <c r="E125" s="8"/>
      <c r="F125" s="9"/>
      <c r="G125" s="9"/>
      <c r="H125" s="9"/>
      <c r="I125" s="9"/>
      <c r="J125" s="94"/>
    </row>
    <row r="126" spans="2:10" ht="15">
      <c r="B126" s="8"/>
      <c r="D126" s="8"/>
      <c r="E126" s="8"/>
      <c r="F126" s="9"/>
      <c r="G126" s="9"/>
      <c r="H126" s="9"/>
      <c r="I126" s="9"/>
      <c r="J126" s="94"/>
    </row>
    <row r="127" spans="2:10" ht="15">
      <c r="B127" s="8"/>
      <c r="D127" s="8"/>
      <c r="E127" s="8"/>
      <c r="F127" s="9"/>
      <c r="G127" s="9"/>
      <c r="H127" s="9"/>
      <c r="I127" s="9"/>
      <c r="J127" s="94"/>
    </row>
    <row r="128" spans="2:10" ht="15">
      <c r="B128" s="8"/>
      <c r="D128" s="8"/>
      <c r="E128" s="8"/>
      <c r="F128" s="9"/>
      <c r="G128" s="9"/>
      <c r="H128" s="9"/>
      <c r="I128" s="9"/>
      <c r="J128" s="94"/>
    </row>
    <row r="129" spans="2:10" ht="15">
      <c r="B129" s="8"/>
      <c r="D129" s="8"/>
      <c r="E129" s="8"/>
      <c r="F129" s="9"/>
      <c r="G129" s="9"/>
      <c r="H129" s="9"/>
      <c r="I129" s="9"/>
      <c r="J129" s="94"/>
    </row>
    <row r="130" spans="2:10" ht="15">
      <c r="B130" s="8"/>
      <c r="D130" s="8"/>
      <c r="E130" s="8"/>
      <c r="F130" s="9"/>
      <c r="G130" s="9"/>
      <c r="H130" s="9"/>
      <c r="I130" s="9"/>
      <c r="J130" s="94"/>
    </row>
    <row r="131" spans="2:10" ht="15">
      <c r="B131" s="8"/>
      <c r="D131" s="8"/>
      <c r="E131" s="8"/>
      <c r="F131" s="9"/>
      <c r="G131" s="9"/>
      <c r="H131" s="9"/>
      <c r="I131" s="9"/>
      <c r="J131" s="94"/>
    </row>
    <row r="132" spans="2:10" ht="15">
      <c r="B132" s="8"/>
      <c r="D132" s="8"/>
      <c r="E132" s="8"/>
      <c r="F132" s="9"/>
      <c r="G132" s="9"/>
      <c r="H132" s="9"/>
      <c r="I132" s="9"/>
      <c r="J132" s="94"/>
    </row>
    <row r="133" spans="2:10" ht="15">
      <c r="B133" s="8"/>
      <c r="D133" s="8"/>
      <c r="E133" s="8"/>
      <c r="F133" s="9"/>
      <c r="G133" s="9"/>
      <c r="H133" s="9"/>
      <c r="I133" s="9"/>
      <c r="J133" s="94"/>
    </row>
    <row r="134" spans="2:10" ht="15">
      <c r="B134" s="8"/>
      <c r="D134" s="8"/>
      <c r="E134" s="8"/>
      <c r="F134" s="9"/>
      <c r="G134" s="9"/>
      <c r="H134" s="9"/>
      <c r="I134" s="9"/>
      <c r="J134" s="94"/>
    </row>
    <row r="135" spans="2:10" ht="15">
      <c r="B135" s="8"/>
      <c r="D135" s="8"/>
      <c r="E135" s="8"/>
      <c r="F135" s="9"/>
      <c r="G135" s="9"/>
      <c r="H135" s="9"/>
      <c r="I135" s="9"/>
      <c r="J135" s="94"/>
    </row>
    <row r="136" spans="2:10" ht="15">
      <c r="B136" s="8"/>
      <c r="D136" s="8"/>
      <c r="E136" s="8"/>
      <c r="F136" s="9"/>
      <c r="G136" s="9"/>
      <c r="H136" s="9"/>
      <c r="I136" s="9"/>
      <c r="J136" s="94"/>
    </row>
    <row r="137" spans="2:10" ht="15">
      <c r="B137" s="8"/>
      <c r="D137" s="8"/>
      <c r="E137" s="8"/>
      <c r="F137" s="9"/>
      <c r="G137" s="9"/>
      <c r="H137" s="9"/>
      <c r="I137" s="9"/>
      <c r="J137" s="94"/>
    </row>
    <row r="138" spans="2:10" ht="15">
      <c r="B138" s="8"/>
      <c r="D138" s="8"/>
      <c r="E138" s="8"/>
      <c r="F138" s="9"/>
      <c r="G138" s="9"/>
      <c r="H138" s="9"/>
      <c r="I138" s="9"/>
      <c r="J138" s="94"/>
    </row>
    <row r="139" spans="2:10" ht="15">
      <c r="B139" s="8"/>
      <c r="D139" s="8"/>
      <c r="E139" s="8"/>
      <c r="F139" s="9"/>
      <c r="G139" s="9"/>
      <c r="H139" s="9"/>
      <c r="I139" s="9"/>
      <c r="J139" s="94"/>
    </row>
    <row r="140" spans="2:10" ht="15">
      <c r="B140" s="8"/>
      <c r="D140" s="8"/>
      <c r="E140" s="8"/>
      <c r="F140" s="9"/>
      <c r="G140" s="9"/>
      <c r="H140" s="9"/>
      <c r="I140" s="9"/>
      <c r="J140" s="94"/>
    </row>
    <row r="141" spans="2:10" ht="15">
      <c r="B141" s="8"/>
      <c r="D141" s="8"/>
      <c r="E141" s="8"/>
      <c r="F141" s="9"/>
      <c r="G141" s="9"/>
      <c r="H141" s="9"/>
      <c r="I141" s="9"/>
      <c r="J141" s="94"/>
    </row>
    <row r="142" spans="2:10" ht="15">
      <c r="B142" s="8"/>
      <c r="D142" s="8"/>
      <c r="E142" s="8"/>
      <c r="F142" s="9"/>
      <c r="G142" s="9"/>
      <c r="H142" s="9"/>
      <c r="I142" s="9"/>
      <c r="J142" s="94"/>
    </row>
    <row r="143" spans="2:10" ht="15">
      <c r="B143" s="8"/>
      <c r="D143" s="8"/>
      <c r="E143" s="8"/>
      <c r="F143" s="9"/>
      <c r="G143" s="9"/>
      <c r="H143" s="9"/>
      <c r="I143" s="9"/>
      <c r="J143" s="94"/>
    </row>
    <row r="144" spans="2:10" ht="15">
      <c r="B144" s="8"/>
      <c r="D144" s="8"/>
      <c r="E144" s="8"/>
      <c r="F144" s="9"/>
      <c r="G144" s="9"/>
      <c r="H144" s="9"/>
      <c r="I144" s="9"/>
      <c r="J144" s="94"/>
    </row>
    <row r="145" spans="2:10" ht="15">
      <c r="B145" s="8"/>
      <c r="D145" s="8"/>
      <c r="E145" s="8"/>
      <c r="F145" s="9"/>
      <c r="G145" s="9"/>
      <c r="H145" s="9"/>
      <c r="I145" s="9"/>
      <c r="J145" s="94"/>
    </row>
    <row r="146" spans="2:10" ht="15">
      <c r="B146" s="8"/>
      <c r="D146" s="8"/>
      <c r="E146" s="8"/>
      <c r="F146" s="9"/>
      <c r="G146" s="9"/>
      <c r="H146" s="9"/>
      <c r="I146" s="9"/>
      <c r="J146" s="94"/>
    </row>
    <row r="147" spans="2:10" ht="15">
      <c r="B147" s="8"/>
      <c r="D147" s="8"/>
      <c r="E147" s="8"/>
      <c r="F147" s="9"/>
      <c r="G147" s="9"/>
      <c r="H147" s="9"/>
      <c r="I147" s="9"/>
      <c r="J147" s="94"/>
    </row>
    <row r="148" spans="2:10" ht="15">
      <c r="B148" s="8"/>
      <c r="D148" s="8"/>
      <c r="E148" s="8"/>
      <c r="F148" s="9"/>
      <c r="G148" s="9"/>
      <c r="H148" s="9"/>
      <c r="I148" s="9"/>
      <c r="J148" s="94"/>
    </row>
    <row r="149" spans="2:10" ht="15">
      <c r="B149" s="8"/>
      <c r="D149" s="8"/>
      <c r="E149" s="8"/>
      <c r="F149" s="9"/>
      <c r="G149" s="9"/>
      <c r="H149" s="9"/>
      <c r="I149" s="9"/>
      <c r="J149" s="94"/>
    </row>
    <row r="150" spans="2:10" ht="15">
      <c r="B150" s="8"/>
      <c r="D150" s="8"/>
      <c r="E150" s="8"/>
      <c r="F150" s="9"/>
      <c r="G150" s="9"/>
      <c r="H150" s="9"/>
      <c r="I150" s="9"/>
      <c r="J150" s="94"/>
    </row>
    <row r="151" spans="2:10" ht="15">
      <c r="B151" s="8"/>
      <c r="D151" s="8"/>
      <c r="E151" s="8"/>
      <c r="F151" s="9"/>
      <c r="G151" s="9"/>
      <c r="H151" s="9"/>
      <c r="I151" s="9"/>
      <c r="J151" s="94"/>
    </row>
    <row r="152" spans="2:10" ht="15">
      <c r="B152" s="8"/>
      <c r="D152" s="8"/>
      <c r="E152" s="8"/>
      <c r="F152" s="9"/>
      <c r="G152" s="9"/>
      <c r="H152" s="9"/>
      <c r="I152" s="9"/>
      <c r="J152" s="94"/>
    </row>
    <row r="153" spans="2:10" ht="15">
      <c r="B153" s="8"/>
      <c r="D153" s="8"/>
      <c r="E153" s="8"/>
      <c r="F153" s="9"/>
      <c r="G153" s="9"/>
      <c r="H153" s="9"/>
      <c r="I153" s="9"/>
      <c r="J153" s="94"/>
    </row>
    <row r="154" spans="2:10" ht="15">
      <c r="B154" s="8"/>
      <c r="D154" s="8"/>
      <c r="E154" s="8"/>
      <c r="F154" s="9"/>
      <c r="G154" s="9"/>
      <c r="H154" s="9"/>
      <c r="I154" s="9"/>
      <c r="J154" s="94"/>
    </row>
    <row r="155" spans="2:10" ht="15">
      <c r="B155" s="8"/>
      <c r="D155" s="8"/>
      <c r="E155" s="8"/>
      <c r="F155" s="9"/>
      <c r="G155" s="9"/>
      <c r="H155" s="9"/>
      <c r="I155" s="9"/>
      <c r="J155" s="94"/>
    </row>
    <row r="156" spans="2:10" ht="15">
      <c r="B156" s="8"/>
      <c r="D156" s="8"/>
      <c r="E156" s="8"/>
      <c r="F156" s="9"/>
      <c r="G156" s="9"/>
      <c r="H156" s="9"/>
      <c r="I156" s="9"/>
      <c r="J156" s="94"/>
    </row>
    <row r="157" spans="2:10" ht="15">
      <c r="B157" s="8"/>
      <c r="D157" s="8"/>
      <c r="E157" s="8"/>
      <c r="F157" s="9"/>
      <c r="G157" s="9"/>
      <c r="H157" s="9"/>
      <c r="I157" s="9"/>
      <c r="J157" s="94"/>
    </row>
    <row r="158" spans="2:10" ht="15">
      <c r="B158" s="8"/>
      <c r="D158" s="8"/>
      <c r="E158" s="8"/>
      <c r="F158" s="9"/>
      <c r="G158" s="9"/>
      <c r="H158" s="9"/>
      <c r="I158" s="9"/>
      <c r="J158" s="94"/>
    </row>
    <row r="159" spans="2:10" ht="15">
      <c r="B159" s="8"/>
      <c r="D159" s="8"/>
      <c r="E159" s="8"/>
      <c r="F159" s="9"/>
      <c r="G159" s="9"/>
      <c r="H159" s="9"/>
      <c r="I159" s="9"/>
      <c r="J159" s="94"/>
    </row>
    <row r="160" spans="2:10" ht="15">
      <c r="B160" s="8"/>
      <c r="D160" s="8"/>
      <c r="E160" s="8"/>
      <c r="F160" s="9"/>
      <c r="G160" s="9"/>
      <c r="H160" s="9"/>
      <c r="I160" s="9"/>
      <c r="J160" s="94"/>
    </row>
    <row r="161" spans="2:10" ht="15">
      <c r="B161" s="8"/>
      <c r="D161" s="8"/>
      <c r="E161" s="8"/>
      <c r="F161" s="9"/>
      <c r="G161" s="9"/>
      <c r="H161" s="9"/>
      <c r="I161" s="9"/>
      <c r="J161" s="94"/>
    </row>
    <row r="162" spans="2:10" ht="15">
      <c r="B162" s="8"/>
      <c r="D162" s="8"/>
      <c r="E162" s="8"/>
      <c r="F162" s="9"/>
      <c r="G162" s="9"/>
      <c r="H162" s="9"/>
      <c r="I162" s="9"/>
      <c r="J162" s="94"/>
    </row>
    <row r="163" spans="2:10" ht="15">
      <c r="B163" s="8"/>
      <c r="D163" s="8"/>
      <c r="E163" s="8"/>
      <c r="F163" s="9"/>
      <c r="G163" s="9"/>
      <c r="H163" s="9"/>
      <c r="I163" s="9"/>
      <c r="J163" s="94"/>
    </row>
    <row r="164" spans="2:10" ht="15">
      <c r="B164" s="8"/>
      <c r="D164" s="8"/>
      <c r="E164" s="8"/>
      <c r="F164" s="9"/>
      <c r="G164" s="9"/>
      <c r="H164" s="9"/>
      <c r="I164" s="9"/>
      <c r="J164" s="94"/>
    </row>
    <row r="165" spans="2:10" ht="15">
      <c r="B165" s="8"/>
      <c r="D165" s="8"/>
      <c r="E165" s="8"/>
      <c r="F165" s="9"/>
      <c r="G165" s="9"/>
      <c r="H165" s="9"/>
      <c r="I165" s="9"/>
      <c r="J165" s="94"/>
    </row>
    <row r="166" spans="2:10" ht="15">
      <c r="B166" s="8"/>
      <c r="D166" s="8"/>
      <c r="E166" s="8"/>
      <c r="F166" s="9"/>
      <c r="G166" s="9"/>
      <c r="H166" s="9"/>
      <c r="I166" s="9"/>
      <c r="J166" s="94"/>
    </row>
    <row r="167" spans="2:10" ht="15">
      <c r="B167" s="8"/>
      <c r="D167" s="8"/>
      <c r="E167" s="8"/>
      <c r="F167" s="9"/>
      <c r="G167" s="9"/>
      <c r="H167" s="9"/>
      <c r="I167" s="9"/>
      <c r="J167" s="94"/>
    </row>
    <row r="168" spans="2:10" ht="15">
      <c r="B168" s="8"/>
      <c r="D168" s="8"/>
      <c r="E168" s="8"/>
      <c r="F168" s="9"/>
      <c r="G168" s="9"/>
      <c r="H168" s="9"/>
      <c r="I168" s="9"/>
      <c r="J168" s="94"/>
    </row>
    <row r="169" spans="2:10" ht="15">
      <c r="B169" s="8"/>
      <c r="D169" s="8"/>
      <c r="E169" s="8"/>
      <c r="F169" s="9"/>
      <c r="G169" s="9"/>
      <c r="H169" s="9"/>
      <c r="I169" s="9"/>
      <c r="J169" s="94"/>
    </row>
    <row r="170" spans="2:10" ht="15">
      <c r="B170" s="8"/>
      <c r="D170" s="8"/>
      <c r="E170" s="8"/>
      <c r="F170" s="9"/>
      <c r="G170" s="9"/>
      <c r="H170" s="9"/>
      <c r="I170" s="9"/>
      <c r="J170" s="94"/>
    </row>
    <row r="171" spans="2:10" ht="15">
      <c r="B171" s="8"/>
      <c r="D171" s="8"/>
      <c r="E171" s="8"/>
      <c r="F171" s="9"/>
      <c r="G171" s="9"/>
      <c r="H171" s="9"/>
      <c r="I171" s="9"/>
      <c r="J171" s="94"/>
    </row>
    <row r="172" spans="2:10" ht="15">
      <c r="B172" s="8"/>
      <c r="D172" s="8"/>
      <c r="E172" s="8"/>
      <c r="F172" s="9"/>
      <c r="G172" s="9"/>
      <c r="H172" s="9"/>
      <c r="I172" s="9"/>
      <c r="J172" s="94"/>
    </row>
    <row r="173" spans="2:10" ht="15">
      <c r="B173" s="8"/>
      <c r="D173" s="8"/>
      <c r="E173" s="8"/>
      <c r="F173" s="9"/>
      <c r="G173" s="9"/>
      <c r="H173" s="9"/>
      <c r="I173" s="9"/>
      <c r="J173" s="94"/>
    </row>
    <row r="174" spans="2:10" ht="15">
      <c r="B174" s="8"/>
      <c r="D174" s="8"/>
      <c r="E174" s="8"/>
      <c r="F174" s="9"/>
      <c r="G174" s="9"/>
      <c r="H174" s="9"/>
      <c r="I174" s="9"/>
      <c r="J174" s="94"/>
    </row>
    <row r="175" spans="2:10" ht="15">
      <c r="B175" s="8"/>
      <c r="D175" s="8"/>
      <c r="E175" s="8"/>
      <c r="F175" s="9"/>
      <c r="G175" s="9"/>
      <c r="H175" s="9"/>
      <c r="I175" s="9"/>
      <c r="J175" s="94"/>
    </row>
    <row r="176" spans="2:10" ht="15">
      <c r="B176" s="8"/>
      <c r="D176" s="8"/>
      <c r="E176" s="8"/>
      <c r="F176" s="9"/>
      <c r="G176" s="9"/>
      <c r="H176" s="9"/>
      <c r="I176" s="9"/>
      <c r="J176" s="94"/>
    </row>
    <row r="177" spans="2:10" ht="15">
      <c r="B177" s="8"/>
      <c r="D177" s="8"/>
      <c r="E177" s="8"/>
      <c r="F177" s="9"/>
      <c r="G177" s="9"/>
      <c r="H177" s="9"/>
      <c r="I177" s="9"/>
      <c r="J177" s="94"/>
    </row>
    <row r="178" spans="2:10" ht="15">
      <c r="B178" s="8"/>
      <c r="D178" s="8"/>
      <c r="E178" s="8"/>
      <c r="F178" s="9"/>
      <c r="G178" s="9"/>
      <c r="H178" s="9"/>
      <c r="I178" s="9"/>
      <c r="J178" s="94"/>
    </row>
    <row r="179" spans="2:10" ht="15">
      <c r="B179" s="8"/>
      <c r="D179" s="8"/>
      <c r="E179" s="8"/>
      <c r="F179" s="9"/>
      <c r="G179" s="9"/>
      <c r="H179" s="9"/>
      <c r="I179" s="9"/>
      <c r="J179" s="94"/>
    </row>
    <row r="180" spans="2:10" ht="15">
      <c r="B180" s="8"/>
      <c r="D180" s="8"/>
      <c r="E180" s="8"/>
      <c r="F180" s="9"/>
      <c r="G180" s="9"/>
      <c r="H180" s="9"/>
      <c r="I180" s="9"/>
      <c r="J180" s="94"/>
    </row>
    <row r="181" spans="2:10" ht="15">
      <c r="B181" s="8"/>
      <c r="D181" s="8"/>
      <c r="E181" s="8"/>
      <c r="F181" s="9"/>
      <c r="G181" s="9"/>
      <c r="H181" s="9"/>
      <c r="I181" s="9"/>
      <c r="J181" s="94"/>
    </row>
    <row r="182" spans="2:10" ht="15">
      <c r="B182" s="8"/>
      <c r="D182" s="8"/>
      <c r="E182" s="8"/>
      <c r="F182" s="9"/>
      <c r="G182" s="9"/>
      <c r="H182" s="9"/>
      <c r="I182" s="9"/>
      <c r="J182" s="94"/>
    </row>
    <row r="183" spans="2:10" ht="15">
      <c r="B183" s="8"/>
      <c r="D183" s="8"/>
      <c r="E183" s="8"/>
      <c r="F183" s="9"/>
      <c r="G183" s="9"/>
      <c r="H183" s="9"/>
      <c r="I183" s="9"/>
      <c r="J183" s="94"/>
    </row>
    <row r="184" spans="2:10" ht="15">
      <c r="B184" s="8"/>
      <c r="D184" s="8"/>
      <c r="E184" s="8"/>
      <c r="F184" s="9"/>
      <c r="G184" s="9"/>
      <c r="H184" s="9"/>
      <c r="I184" s="9"/>
      <c r="J184" s="94"/>
    </row>
    <row r="185" spans="2:10" ht="15">
      <c r="B185" s="8"/>
      <c r="D185" s="8"/>
      <c r="E185" s="8"/>
      <c r="F185" s="9"/>
      <c r="G185" s="9"/>
      <c r="H185" s="9"/>
      <c r="I185" s="9"/>
      <c r="J185" s="94"/>
    </row>
    <row r="186" spans="2:10" ht="15">
      <c r="B186" s="8"/>
      <c r="D186" s="8"/>
      <c r="E186" s="8"/>
      <c r="F186" s="9"/>
      <c r="G186" s="9"/>
      <c r="H186" s="9"/>
      <c r="I186" s="9"/>
      <c r="J186" s="94"/>
    </row>
    <row r="187" spans="2:10" ht="15">
      <c r="B187" s="8"/>
      <c r="D187" s="8"/>
      <c r="E187" s="8"/>
      <c r="F187" s="9"/>
      <c r="G187" s="9"/>
      <c r="H187" s="9"/>
      <c r="I187" s="9"/>
      <c r="J187" s="94"/>
    </row>
    <row r="188" spans="2:10" ht="15">
      <c r="B188" s="8"/>
      <c r="D188" s="8"/>
      <c r="E188" s="8"/>
      <c r="F188" s="9"/>
      <c r="G188" s="9"/>
      <c r="H188" s="9"/>
      <c r="I188" s="9"/>
      <c r="J188" s="94"/>
    </row>
    <row r="189" spans="2:10" ht="15">
      <c r="B189" s="8"/>
      <c r="D189" s="8"/>
      <c r="E189" s="8"/>
      <c r="F189" s="9"/>
      <c r="G189" s="9"/>
      <c r="H189" s="9"/>
      <c r="I189" s="9"/>
      <c r="J189" s="94"/>
    </row>
    <row r="190" spans="2:10" ht="15">
      <c r="B190" s="8"/>
      <c r="D190" s="8"/>
      <c r="E190" s="8"/>
      <c r="F190" s="9"/>
      <c r="G190" s="9"/>
      <c r="H190" s="9"/>
      <c r="I190" s="9"/>
      <c r="J190" s="94"/>
    </row>
    <row r="191" spans="2:10" ht="15">
      <c r="B191" s="8"/>
      <c r="D191" s="8"/>
      <c r="E191" s="8"/>
      <c r="F191" s="9"/>
      <c r="G191" s="9"/>
      <c r="H191" s="9"/>
      <c r="I191" s="9"/>
      <c r="J191" s="94"/>
    </row>
    <row r="192" spans="2:10" ht="15">
      <c r="B192" s="8"/>
      <c r="D192" s="8"/>
      <c r="E192" s="8"/>
      <c r="F192" s="9"/>
      <c r="G192" s="9"/>
      <c r="H192" s="9"/>
      <c r="I192" s="9"/>
      <c r="J192" s="94"/>
    </row>
    <row r="193" spans="2:10" ht="15">
      <c r="B193" s="8"/>
      <c r="D193" s="8"/>
      <c r="E193" s="8"/>
      <c r="F193" s="9"/>
      <c r="G193" s="9"/>
      <c r="H193" s="9"/>
      <c r="I193" s="9"/>
      <c r="J193" s="94"/>
    </row>
    <row r="194" spans="2:10" ht="15">
      <c r="B194" s="8"/>
      <c r="D194" s="8"/>
      <c r="E194" s="8"/>
      <c r="F194" s="9"/>
      <c r="G194" s="9"/>
      <c r="H194" s="9"/>
      <c r="I194" s="9"/>
      <c r="J194" s="94"/>
    </row>
    <row r="195" spans="2:10" ht="15">
      <c r="B195" s="8"/>
      <c r="D195" s="8"/>
      <c r="E195" s="8"/>
      <c r="F195" s="9"/>
      <c r="G195" s="9"/>
      <c r="H195" s="9"/>
      <c r="I195" s="9"/>
      <c r="J195" s="94"/>
    </row>
    <row r="196" spans="2:10" ht="15">
      <c r="B196" s="8"/>
      <c r="D196" s="8"/>
      <c r="E196" s="8"/>
      <c r="F196" s="9"/>
      <c r="G196" s="9"/>
      <c r="H196" s="9"/>
      <c r="I196" s="9"/>
      <c r="J196" s="94"/>
    </row>
    <row r="197" spans="2:10" ht="15">
      <c r="B197" s="8"/>
      <c r="D197" s="8"/>
      <c r="E197" s="8"/>
      <c r="F197" s="9"/>
      <c r="G197" s="9"/>
      <c r="H197" s="9"/>
      <c r="I197" s="9"/>
      <c r="J197" s="94"/>
    </row>
    <row r="198" spans="2:10" ht="15">
      <c r="B198" s="8"/>
      <c r="D198" s="8"/>
      <c r="E198" s="8"/>
      <c r="F198" s="9"/>
      <c r="G198" s="9"/>
      <c r="H198" s="9"/>
      <c r="I198" s="9"/>
      <c r="J198" s="94"/>
    </row>
    <row r="199" spans="2:10" ht="15">
      <c r="B199" s="8"/>
      <c r="D199" s="8"/>
      <c r="E199" s="8"/>
      <c r="F199" s="9"/>
      <c r="G199" s="9"/>
      <c r="H199" s="9"/>
      <c r="I199" s="9"/>
      <c r="J199" s="94"/>
    </row>
    <row r="200" spans="2:10" ht="15">
      <c r="B200" s="8"/>
      <c r="D200" s="8"/>
      <c r="E200" s="8"/>
      <c r="F200" s="9"/>
      <c r="G200" s="9"/>
      <c r="H200" s="9"/>
      <c r="I200" s="9"/>
      <c r="J200" s="94"/>
    </row>
    <row r="201" spans="2:10" ht="15">
      <c r="B201" s="8"/>
      <c r="D201" s="8"/>
      <c r="E201" s="8"/>
      <c r="F201" s="9"/>
      <c r="G201" s="9"/>
      <c r="H201" s="9"/>
      <c r="I201" s="9"/>
      <c r="J201" s="94"/>
    </row>
    <row r="202" spans="2:10" ht="15">
      <c r="B202" s="8"/>
      <c r="D202" s="8"/>
      <c r="E202" s="8"/>
      <c r="F202" s="9"/>
      <c r="G202" s="9"/>
      <c r="H202" s="9"/>
      <c r="I202" s="9"/>
      <c r="J202" s="94"/>
    </row>
    <row r="203" spans="2:10" ht="15">
      <c r="B203" s="8"/>
      <c r="D203" s="8"/>
      <c r="E203" s="8"/>
      <c r="F203" s="9"/>
      <c r="G203" s="9"/>
      <c r="H203" s="9"/>
      <c r="I203" s="9"/>
      <c r="J203" s="94"/>
    </row>
    <row r="204" spans="2:10" ht="15">
      <c r="B204" s="8"/>
      <c r="D204" s="8"/>
      <c r="E204" s="8"/>
      <c r="F204" s="9"/>
      <c r="G204" s="9"/>
      <c r="H204" s="9"/>
      <c r="I204" s="9"/>
      <c r="J204" s="94"/>
    </row>
    <row r="205" spans="2:10" ht="15">
      <c r="B205" s="8"/>
      <c r="D205" s="8"/>
      <c r="E205" s="8"/>
      <c r="F205" s="9"/>
      <c r="G205" s="9"/>
      <c r="H205" s="9"/>
      <c r="I205" s="9"/>
      <c r="J205" s="94"/>
    </row>
    <row r="206" spans="2:10" ht="15">
      <c r="B206" s="8"/>
      <c r="D206" s="8"/>
      <c r="E206" s="8"/>
      <c r="F206" s="9"/>
      <c r="G206" s="9"/>
      <c r="H206" s="9"/>
      <c r="I206" s="9"/>
      <c r="J206" s="94"/>
    </row>
    <row r="207" spans="2:10" ht="15">
      <c r="B207" s="8"/>
      <c r="D207" s="8"/>
      <c r="E207" s="8"/>
      <c r="F207" s="9"/>
      <c r="G207" s="9"/>
      <c r="H207" s="9"/>
      <c r="I207" s="9"/>
      <c r="J207" s="94"/>
    </row>
  </sheetData>
  <sheetProtection/>
  <mergeCells count="4">
    <mergeCell ref="A2:D2"/>
    <mergeCell ref="A3:D3"/>
    <mergeCell ref="A4:D4"/>
    <mergeCell ref="A1:D1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0.421875" style="0" customWidth="1"/>
    <col min="2" max="2" width="17.57421875" style="0" customWidth="1"/>
    <col min="3" max="4" width="19.140625" style="0" customWidth="1"/>
    <col min="5" max="5" width="19.00390625" style="0" customWidth="1"/>
  </cols>
  <sheetData>
    <row r="1" spans="1:5" s="1" customFormat="1" ht="15">
      <c r="A1" s="103"/>
      <c r="B1" s="103"/>
      <c r="C1" s="103"/>
      <c r="D1" s="103"/>
      <c r="E1" s="103"/>
    </row>
    <row r="2" spans="1:5" s="1" customFormat="1" ht="15">
      <c r="A2" s="103"/>
      <c r="B2" s="103"/>
      <c r="C2" s="103"/>
      <c r="D2" s="103"/>
      <c r="E2" s="103"/>
    </row>
    <row r="3" spans="1:5" s="1" customFormat="1" ht="15">
      <c r="A3" s="103"/>
      <c r="B3" s="103"/>
      <c r="C3" s="103"/>
      <c r="D3" s="103"/>
      <c r="E3" s="103"/>
    </row>
    <row r="5" spans="1:5" ht="30">
      <c r="A5" s="3" t="s">
        <v>2</v>
      </c>
      <c r="B5" s="3" t="s">
        <v>3</v>
      </c>
      <c r="C5" s="93" t="s">
        <v>71</v>
      </c>
      <c r="D5" s="92" t="s">
        <v>5</v>
      </c>
      <c r="E5" s="93" t="s">
        <v>0</v>
      </c>
    </row>
    <row r="6" spans="1:5" ht="15">
      <c r="A6" s="4" t="s">
        <v>1</v>
      </c>
      <c r="B6" s="94">
        <v>2001</v>
      </c>
      <c r="C6" s="9">
        <f>'By VY'!D6</f>
        <v>639077</v>
      </c>
      <c r="D6" s="9">
        <f>'By VY'!E6</f>
        <v>252787.77178291074</v>
      </c>
      <c r="E6" s="9">
        <f aca="true" t="shared" si="0" ref="E6:E18">C6-D6</f>
        <v>386289.22821708926</v>
      </c>
    </row>
    <row r="7" spans="1:5" ht="15">
      <c r="A7" s="4" t="s">
        <v>1</v>
      </c>
      <c r="B7" s="94">
        <v>2002</v>
      </c>
      <c r="C7" s="9">
        <f>'By VY'!D7</f>
        <v>3163066.5</v>
      </c>
      <c r="D7" s="9">
        <f>'By VY'!E7</f>
        <v>1150388.3915460182</v>
      </c>
      <c r="E7" s="9">
        <f t="shared" si="0"/>
        <v>2012678.1084539818</v>
      </c>
    </row>
    <row r="8" spans="1:5" ht="15">
      <c r="A8" s="4" t="s">
        <v>1</v>
      </c>
      <c r="B8" s="94">
        <v>2003</v>
      </c>
      <c r="C8" s="9">
        <f>'By VY'!D8</f>
        <v>222547.5</v>
      </c>
      <c r="D8" s="9">
        <f>'By VY'!E8</f>
        <v>72569.68772054817</v>
      </c>
      <c r="E8" s="9">
        <f t="shared" si="0"/>
        <v>149977.8122794518</v>
      </c>
    </row>
    <row r="9" spans="1:5" ht="15">
      <c r="A9" s="4" t="s">
        <v>1</v>
      </c>
      <c r="B9" s="94">
        <v>2004</v>
      </c>
      <c r="C9" s="9">
        <f>'By VY'!D9</f>
        <v>400773</v>
      </c>
      <c r="D9" s="9">
        <f>'By VY'!E9</f>
        <v>114973.29751624756</v>
      </c>
      <c r="E9" s="9">
        <f t="shared" si="0"/>
        <v>285799.70248375245</v>
      </c>
    </row>
    <row r="10" spans="1:5" ht="15">
      <c r="A10" s="4" t="s">
        <v>1</v>
      </c>
      <c r="B10" s="94">
        <v>2005</v>
      </c>
      <c r="C10" s="9">
        <f>'By VY'!D10-FGD!B7</f>
        <v>16066118.42</v>
      </c>
      <c r="D10" s="9">
        <f>'By VY'!E10-FGD!C7</f>
        <v>4282434.962183107</v>
      </c>
      <c r="E10" s="9">
        <f t="shared" si="0"/>
        <v>11783683.457816893</v>
      </c>
    </row>
    <row r="11" spans="1:5" ht="15">
      <c r="A11" s="4" t="s">
        <v>1</v>
      </c>
      <c r="B11" s="94">
        <v>2006</v>
      </c>
      <c r="C11" s="9">
        <f>'By VY'!D11-FGD!B8</f>
        <v>8159482.880000001</v>
      </c>
      <c r="D11" s="9">
        <f>'By VY'!E11-FGD!C8</f>
        <v>1932580.3209244502</v>
      </c>
      <c r="E11" s="9">
        <f t="shared" si="0"/>
        <v>6226902.559075551</v>
      </c>
    </row>
    <row r="12" spans="1:5" ht="15">
      <c r="A12" s="4" t="s">
        <v>1</v>
      </c>
      <c r="B12" s="94">
        <v>2007</v>
      </c>
      <c r="C12" s="9">
        <f>'By VY'!D12-FGD!B9</f>
        <v>203490905.33499998</v>
      </c>
      <c r="D12" s="9">
        <f>'By VY'!E12-FGD!C9</f>
        <v>41446882.7937216</v>
      </c>
      <c r="E12" s="9">
        <f t="shared" si="0"/>
        <v>162044022.54127836</v>
      </c>
    </row>
    <row r="13" spans="1:5" ht="15">
      <c r="A13" s="4" t="s">
        <v>1</v>
      </c>
      <c r="B13" s="94">
        <v>2008</v>
      </c>
      <c r="C13" s="9">
        <f>'By VY'!D13-FGD!B10</f>
        <v>16259750.274999999</v>
      </c>
      <c r="D13" s="9">
        <f>'By VY'!E13-FGD!C10</f>
        <v>6408246.442833551</v>
      </c>
      <c r="E13" s="9">
        <f t="shared" si="0"/>
        <v>9851503.832166448</v>
      </c>
    </row>
    <row r="14" spans="1:5" ht="15">
      <c r="A14" s="4" t="s">
        <v>1</v>
      </c>
      <c r="B14" s="94">
        <v>2009</v>
      </c>
      <c r="C14" s="9">
        <f>'By VY'!D14-FGD!B11</f>
        <v>1667116.4700002652</v>
      </c>
      <c r="D14" s="9">
        <f>'By VY'!E14-FGD!C11</f>
        <v>301940.6040763359</v>
      </c>
      <c r="E14" s="9">
        <f t="shared" si="0"/>
        <v>1365175.8659239293</v>
      </c>
    </row>
    <row r="15" spans="1:5" ht="15">
      <c r="A15" s="4" t="s">
        <v>1</v>
      </c>
      <c r="B15" s="94">
        <v>2010</v>
      </c>
      <c r="C15" s="9">
        <f>'By VY'!D15-FGD!B12</f>
        <v>-665487.1849999999</v>
      </c>
      <c r="D15" s="9">
        <f>'By VY'!E15-FGD!C12</f>
        <v>-71587.48830881427</v>
      </c>
      <c r="E15" s="9">
        <f t="shared" si="0"/>
        <v>-593899.6966911857</v>
      </c>
    </row>
    <row r="16" spans="1:5" ht="15">
      <c r="A16" s="4" t="s">
        <v>1</v>
      </c>
      <c r="B16" s="94">
        <v>2011</v>
      </c>
      <c r="C16" s="9">
        <f>'By VY'!D16-FGD!B13</f>
        <v>1579643.9500000007</v>
      </c>
      <c r="D16" s="9">
        <f>'By VY'!E16-FGD!C13</f>
        <v>104759.48205892547</v>
      </c>
      <c r="E16" s="9">
        <f t="shared" si="0"/>
        <v>1474884.467941075</v>
      </c>
    </row>
    <row r="17" spans="1:5" ht="15">
      <c r="A17" s="4" t="s">
        <v>1</v>
      </c>
      <c r="B17" s="94">
        <v>2012</v>
      </c>
      <c r="C17" s="9">
        <f>'By VY'!D17-FGD!B14</f>
        <v>2067495.204999999</v>
      </c>
      <c r="D17" s="9">
        <f>'By VY'!E17-FGD!C14</f>
        <v>163166.84170842427</v>
      </c>
      <c r="E17" s="9">
        <f t="shared" si="0"/>
        <v>1904328.3632915746</v>
      </c>
    </row>
    <row r="18" spans="1:5" ht="15">
      <c r="A18" s="4" t="s">
        <v>1</v>
      </c>
      <c r="B18" s="94">
        <v>2013</v>
      </c>
      <c r="C18" s="9">
        <f>'By VY'!D18-FGD!B15</f>
        <v>175191.9500000002</v>
      </c>
      <c r="D18" s="9">
        <f>'By VY'!E18-FGD!C15</f>
        <v>2247.2560169880453</v>
      </c>
      <c r="E18" s="9">
        <f t="shared" si="0"/>
        <v>172944.69398301214</v>
      </c>
    </row>
    <row r="19" spans="3:5" s="1" customFormat="1" ht="15">
      <c r="C19" s="5">
        <f>SUM(C6:C18)</f>
        <v>253225681.30000025</v>
      </c>
      <c r="D19" s="5">
        <f>SUM(D6:D18)</f>
        <v>56161390.36378028</v>
      </c>
      <c r="E19" s="5">
        <f>SUM(E6:E18)</f>
        <v>197064290.93621993</v>
      </c>
    </row>
    <row r="23" spans="2:4" ht="15">
      <c r="B23" t="s">
        <v>90</v>
      </c>
      <c r="C23" s="9">
        <f>FGD!B16+'Non-FGD'!C19</f>
        <v>580419093.2050004</v>
      </c>
      <c r="D23" s="9">
        <f>FGD!C16+'Non-FGD'!D19</f>
        <v>122021185.43127504</v>
      </c>
    </row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="90" zoomScaleNormal="90" zoomScalePageLayoutView="0" workbookViewId="0" topLeftCell="A1">
      <selection activeCell="G14" sqref="G14"/>
    </sheetView>
  </sheetViews>
  <sheetFormatPr defaultColWidth="9.140625" defaultRowHeight="15"/>
  <cols>
    <col min="1" max="1" width="27.28125" style="7" customWidth="1"/>
    <col min="2" max="2" width="1.28515625" style="7" customWidth="1"/>
    <col min="3" max="3" width="16.7109375" style="7" customWidth="1"/>
    <col min="4" max="4" width="1.1484375" style="7" customWidth="1"/>
    <col min="5" max="5" width="7.8515625" style="7" hidden="1" customWidth="1"/>
    <col min="6" max="6" width="0.42578125" style="7" hidden="1" customWidth="1"/>
    <col min="7" max="7" width="13.57421875" style="7" customWidth="1"/>
    <col min="8" max="8" width="1.28515625" style="7" customWidth="1"/>
    <col min="9" max="9" width="16.57421875" style="0" customWidth="1"/>
  </cols>
  <sheetData>
    <row r="1" s="7" customFormat="1" ht="15"/>
    <row r="2" spans="1:9" ht="14.25" customHeight="1">
      <c r="A2" s="103" t="s">
        <v>13</v>
      </c>
      <c r="B2" s="103"/>
      <c r="C2" s="103"/>
      <c r="D2" s="103"/>
      <c r="E2" s="103"/>
      <c r="F2" s="103"/>
      <c r="G2" s="103"/>
      <c r="H2" s="103"/>
      <c r="I2" s="103"/>
    </row>
    <row r="3" spans="3:8" ht="14.25" customHeight="1">
      <c r="C3" s="103" t="s">
        <v>65</v>
      </c>
      <c r="D3" s="1"/>
      <c r="E3" s="1"/>
      <c r="F3" s="1"/>
      <c r="G3" s="104" t="s">
        <v>12</v>
      </c>
      <c r="H3" s="1"/>
    </row>
    <row r="4" spans="1:9" ht="66" customHeight="1">
      <c r="A4" s="1"/>
      <c r="C4" s="103"/>
      <c r="D4" s="1"/>
      <c r="F4" s="1"/>
      <c r="G4" s="104"/>
      <c r="H4" s="1"/>
      <c r="I4" s="19" t="s">
        <v>64</v>
      </c>
    </row>
    <row r="5" spans="1:9" s="7" customFormat="1" ht="18.75" customHeight="1">
      <c r="A5" s="1" t="s">
        <v>66</v>
      </c>
      <c r="C5" s="91">
        <f>'By VY'!$C$21-FGD!$B$16</f>
        <v>253225681.30000007</v>
      </c>
      <c r="D5" s="1"/>
      <c r="F5" s="1"/>
      <c r="G5" s="29"/>
      <c r="H5" s="1"/>
      <c r="I5" s="18">
        <f>'Non-FGD'!D19</f>
        <v>56161390.36378028</v>
      </c>
    </row>
    <row r="6" spans="1:9" ht="15">
      <c r="A6" s="1" t="s">
        <v>6</v>
      </c>
      <c r="C6" s="91">
        <f>'By VY'!$C$21-FGD!$B$16</f>
        <v>253225681.30000007</v>
      </c>
      <c r="D6" s="18"/>
      <c r="F6" s="18"/>
      <c r="G6" s="18">
        <f>(C6-$C$35)*0.0313/12+$C$35*0.125/12</f>
        <v>724448.1367848336</v>
      </c>
      <c r="I6" s="18">
        <f aca="true" t="shared" si="0" ref="I6:I11">I5+G6</f>
        <v>56885838.50056512</v>
      </c>
    </row>
    <row r="7" spans="1:9" ht="15">
      <c r="A7" s="1" t="s">
        <v>7</v>
      </c>
      <c r="C7" s="91">
        <f>'By VY'!$C$21-FGD!$B$16</f>
        <v>253225681.30000007</v>
      </c>
      <c r="D7" s="18"/>
      <c r="F7" s="18"/>
      <c r="G7" s="18">
        <f aca="true" t="shared" si="1" ref="G7:G14">(C7-$C$35)*0.0313/12+$C$35*0.125/12</f>
        <v>724448.1367848336</v>
      </c>
      <c r="I7" s="18">
        <f t="shared" si="0"/>
        <v>57610286.637349956</v>
      </c>
    </row>
    <row r="8" spans="1:9" ht="15">
      <c r="A8" s="1" t="s">
        <v>8</v>
      </c>
      <c r="C8" s="91">
        <f>'By VY'!$C$21-FGD!$B$16</f>
        <v>253225681.30000007</v>
      </c>
      <c r="D8" s="18"/>
      <c r="F8" s="18"/>
      <c r="G8" s="18">
        <f t="shared" si="1"/>
        <v>724448.1367848336</v>
      </c>
      <c r="I8" s="18">
        <f t="shared" si="0"/>
        <v>58334734.77413479</v>
      </c>
    </row>
    <row r="9" spans="1:9" ht="15">
      <c r="A9" s="1" t="s">
        <v>9</v>
      </c>
      <c r="C9" s="91">
        <f>'By VY'!$C$21-FGD!$B$16</f>
        <v>253225681.30000007</v>
      </c>
      <c r="D9" s="18"/>
      <c r="F9" s="18"/>
      <c r="G9" s="18">
        <f t="shared" si="1"/>
        <v>724448.1367848336</v>
      </c>
      <c r="I9" s="18">
        <f t="shared" si="0"/>
        <v>59059182.91091963</v>
      </c>
    </row>
    <row r="10" spans="1:9" ht="15">
      <c r="A10" s="1" t="s">
        <v>10</v>
      </c>
      <c r="C10" s="91">
        <f>'By VY'!$C$21-FGD!$B$16</f>
        <v>253225681.30000007</v>
      </c>
      <c r="D10" s="18"/>
      <c r="F10" s="18"/>
      <c r="G10" s="18">
        <f t="shared" si="1"/>
        <v>724448.1367848336</v>
      </c>
      <c r="I10" s="18">
        <f t="shared" si="0"/>
        <v>59783631.047704466</v>
      </c>
    </row>
    <row r="11" spans="1:9" ht="15">
      <c r="A11" s="1" t="s">
        <v>11</v>
      </c>
      <c r="C11" s="91">
        <f>'By VY'!$C$21-FGD!$B$16</f>
        <v>253225681.30000007</v>
      </c>
      <c r="D11" s="18"/>
      <c r="F11" s="18"/>
      <c r="G11" s="18">
        <f t="shared" si="1"/>
        <v>724448.1367848336</v>
      </c>
      <c r="I11" s="18">
        <f t="shared" si="0"/>
        <v>60508079.1844893</v>
      </c>
    </row>
    <row r="12" spans="1:9" ht="15">
      <c r="A12" s="1" t="s">
        <v>82</v>
      </c>
      <c r="C12" s="91">
        <f>'By VY'!$C$21-FGD!$B$16</f>
        <v>253225681.30000007</v>
      </c>
      <c r="D12" s="18"/>
      <c r="F12" s="18"/>
      <c r="G12" s="18">
        <f t="shared" si="1"/>
        <v>724448.1367848336</v>
      </c>
      <c r="I12" s="18">
        <f>I11+G12</f>
        <v>61232527.32127414</v>
      </c>
    </row>
    <row r="13" spans="1:9" ht="15">
      <c r="A13" s="1" t="s">
        <v>83</v>
      </c>
      <c r="C13" s="91">
        <f>'By VY'!$C$21-FGD!$B$16</f>
        <v>253225681.30000007</v>
      </c>
      <c r="D13" s="18"/>
      <c r="F13" s="18"/>
      <c r="G13" s="18">
        <f t="shared" si="1"/>
        <v>724448.1367848336</v>
      </c>
      <c r="I13" s="18">
        <f>I12+G13</f>
        <v>61956975.458058976</v>
      </c>
    </row>
    <row r="14" spans="1:9" ht="15">
      <c r="A14" s="1" t="s">
        <v>84</v>
      </c>
      <c r="C14" s="91">
        <f>'By VY'!$C$21-FGD!$B$16</f>
        <v>253225681.30000007</v>
      </c>
      <c r="D14" s="18"/>
      <c r="F14" s="18"/>
      <c r="G14" s="18">
        <f t="shared" si="1"/>
        <v>724448.1367848336</v>
      </c>
      <c r="I14" s="18">
        <f>I13+G14</f>
        <v>62681423.59484381</v>
      </c>
    </row>
    <row r="16" spans="1:9" ht="15">
      <c r="A16" s="103" t="s">
        <v>14</v>
      </c>
      <c r="B16" s="103"/>
      <c r="C16" s="103"/>
      <c r="D16" s="103"/>
      <c r="E16" s="103"/>
      <c r="F16" s="103"/>
      <c r="G16" s="103"/>
      <c r="H16" s="103"/>
      <c r="I16" s="103"/>
    </row>
    <row r="18" spans="3:9" ht="14.25" customHeight="1">
      <c r="C18" s="103" t="s">
        <v>65</v>
      </c>
      <c r="D18" s="1"/>
      <c r="E18" s="1"/>
      <c r="F18" s="1"/>
      <c r="G18" s="104" t="s">
        <v>12</v>
      </c>
      <c r="H18" s="1"/>
      <c r="I18" s="103" t="s">
        <v>5</v>
      </c>
    </row>
    <row r="19" spans="3:9" s="1" customFormat="1" ht="29.25" customHeight="1">
      <c r="C19" s="103"/>
      <c r="G19" s="104"/>
      <c r="I19" s="103"/>
    </row>
    <row r="20" spans="1:9" s="7" customFormat="1" ht="15">
      <c r="A20" s="1" t="s">
        <v>66</v>
      </c>
      <c r="C20" s="18">
        <v>327193411.905</v>
      </c>
      <c r="D20" s="1"/>
      <c r="F20" s="1"/>
      <c r="G20" s="29"/>
      <c r="H20" s="1"/>
      <c r="I20" s="18">
        <f aca="true" t="shared" si="2" ref="I20:I27">I21-G21</f>
        <v>68432116.65553017</v>
      </c>
    </row>
    <row r="21" spans="1:9" ht="15">
      <c r="A21" s="1" t="s">
        <v>6</v>
      </c>
      <c r="C21" s="18">
        <v>327193411.905</v>
      </c>
      <c r="D21" s="18"/>
      <c r="F21" s="18"/>
      <c r="G21" s="95">
        <f>C21*0.0313/12</f>
        <v>853429.482718875</v>
      </c>
      <c r="I21" s="18">
        <f t="shared" si="2"/>
        <v>69285546.13824904</v>
      </c>
    </row>
    <row r="22" spans="1:9" ht="15">
      <c r="A22" s="1" t="s">
        <v>7</v>
      </c>
      <c r="C22" s="18">
        <v>327193411.905</v>
      </c>
      <c r="D22" s="18"/>
      <c r="F22" s="18"/>
      <c r="G22" s="95">
        <f aca="true" t="shared" si="3" ref="G22:G29">C22*0.0313/12</f>
        <v>853429.482718875</v>
      </c>
      <c r="I22" s="18">
        <f t="shared" si="2"/>
        <v>70138975.62096791</v>
      </c>
    </row>
    <row r="23" spans="1:9" ht="15">
      <c r="A23" s="1" t="s">
        <v>8</v>
      </c>
      <c r="C23" s="18">
        <v>327193411.905</v>
      </c>
      <c r="D23" s="18"/>
      <c r="F23" s="18"/>
      <c r="G23" s="95">
        <f t="shared" si="3"/>
        <v>853429.482718875</v>
      </c>
      <c r="I23" s="18">
        <f t="shared" si="2"/>
        <v>70992405.10368678</v>
      </c>
    </row>
    <row r="24" spans="1:9" s="1" customFormat="1" ht="15">
      <c r="A24" s="1" t="s">
        <v>9</v>
      </c>
      <c r="C24" s="18">
        <v>327193411.905</v>
      </c>
      <c r="D24" s="73"/>
      <c r="F24" s="73"/>
      <c r="G24" s="95">
        <f t="shared" si="3"/>
        <v>853429.482718875</v>
      </c>
      <c r="I24" s="18">
        <f t="shared" si="2"/>
        <v>71845834.58640565</v>
      </c>
    </row>
    <row r="25" spans="1:9" ht="15">
      <c r="A25" s="1" t="s">
        <v>10</v>
      </c>
      <c r="C25" s="18">
        <v>327193411.905</v>
      </c>
      <c r="D25" s="18"/>
      <c r="F25" s="18"/>
      <c r="G25" s="95">
        <f t="shared" si="3"/>
        <v>853429.482718875</v>
      </c>
      <c r="I25" s="18">
        <f t="shared" si="2"/>
        <v>72699264.06912452</v>
      </c>
    </row>
    <row r="26" spans="1:9" ht="15">
      <c r="A26" s="1" t="s">
        <v>11</v>
      </c>
      <c r="C26" s="18">
        <v>327193411.905</v>
      </c>
      <c r="D26" s="18"/>
      <c r="F26" s="18"/>
      <c r="G26" s="95">
        <f t="shared" si="3"/>
        <v>853429.482718875</v>
      </c>
      <c r="I26" s="18">
        <f t="shared" si="2"/>
        <v>73552693.55184339</v>
      </c>
    </row>
    <row r="27" spans="1:9" ht="15">
      <c r="A27" s="1" t="s">
        <v>82</v>
      </c>
      <c r="C27" s="18">
        <v>327193411.905</v>
      </c>
      <c r="D27" s="18"/>
      <c r="F27" s="18"/>
      <c r="G27" s="95">
        <f t="shared" si="3"/>
        <v>853429.482718875</v>
      </c>
      <c r="I27" s="18">
        <f t="shared" si="2"/>
        <v>74406123.03456226</v>
      </c>
    </row>
    <row r="28" spans="1:9" ht="15">
      <c r="A28" s="1" t="s">
        <v>83</v>
      </c>
      <c r="C28" s="18">
        <v>327193411.905</v>
      </c>
      <c r="D28" s="18"/>
      <c r="F28" s="18"/>
      <c r="G28" s="95">
        <f t="shared" si="3"/>
        <v>853429.482718875</v>
      </c>
      <c r="I28" s="18">
        <f>I29-G29</f>
        <v>75259552.51728113</v>
      </c>
    </row>
    <row r="29" spans="1:9" ht="15">
      <c r="A29" s="1" t="s">
        <v>84</v>
      </c>
      <c r="C29" s="18">
        <v>327193411.905</v>
      </c>
      <c r="D29" s="18"/>
      <c r="F29" s="18"/>
      <c r="G29" s="95">
        <f t="shared" si="3"/>
        <v>853429.482718875</v>
      </c>
      <c r="I29" s="18">
        <v>76112982</v>
      </c>
    </row>
    <row r="31" ht="15">
      <c r="C31" s="9" t="s">
        <v>52</v>
      </c>
    </row>
    <row r="35" spans="1:7" s="1" customFormat="1" ht="15">
      <c r="A35" s="1" t="s">
        <v>105</v>
      </c>
      <c r="C35" s="77">
        <v>8190115.4399999995</v>
      </c>
      <c r="D35" s="77"/>
      <c r="E35" s="77"/>
      <c r="F35" s="77"/>
      <c r="G35" s="77">
        <f>C35*0.125/12</f>
        <v>85313.7025</v>
      </c>
    </row>
    <row r="37" ht="15">
      <c r="A37" s="7" t="s">
        <v>103</v>
      </c>
    </row>
    <row r="40" spans="1:3" ht="15">
      <c r="A40" s="7" t="s">
        <v>90</v>
      </c>
      <c r="C40" s="18">
        <f>(C26+C11)*2</f>
        <v>1160838186.41</v>
      </c>
    </row>
    <row r="45" ht="15" customHeight="1"/>
  </sheetData>
  <sheetProtection/>
  <mergeCells count="7">
    <mergeCell ref="A2:I2"/>
    <mergeCell ref="A16:I16"/>
    <mergeCell ref="I18:I19"/>
    <mergeCell ref="C3:C4"/>
    <mergeCell ref="G3:G4"/>
    <mergeCell ref="C18:C19"/>
    <mergeCell ref="G18:G19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7">
      <selection activeCell="L30" sqref="L30"/>
    </sheetView>
  </sheetViews>
  <sheetFormatPr defaultColWidth="8.8515625" defaultRowHeight="15"/>
  <cols>
    <col min="1" max="1" width="5.28125" style="6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8.8515625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8.421875" style="7" customWidth="1"/>
    <col min="11" max="16384" width="8.8515625" style="7" customWidth="1"/>
  </cols>
  <sheetData>
    <row r="1" spans="1:10" ht="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>
      <c r="A3" s="106" t="s">
        <v>48</v>
      </c>
      <c r="B3" s="105"/>
      <c r="C3" s="105"/>
      <c r="D3" s="105"/>
      <c r="E3" s="105"/>
      <c r="F3" s="105"/>
      <c r="G3" s="105"/>
      <c r="H3" s="105"/>
      <c r="I3" s="105"/>
      <c r="J3" s="105"/>
    </row>
    <row r="5" spans="1:10" s="1" customFormat="1" ht="15">
      <c r="A5" s="103" t="s">
        <v>47</v>
      </c>
      <c r="E5" s="103" t="s">
        <v>46</v>
      </c>
      <c r="H5" s="103" t="s">
        <v>45</v>
      </c>
      <c r="J5" s="103" t="s">
        <v>44</v>
      </c>
    </row>
    <row r="6" spans="1:10" s="1" customFormat="1" ht="15">
      <c r="A6" s="103"/>
      <c r="C6" s="2" t="s">
        <v>43</v>
      </c>
      <c r="E6" s="103"/>
      <c r="H6" s="103"/>
      <c r="J6" s="103"/>
    </row>
    <row r="7" ht="2.25" customHeight="1"/>
    <row r="8" spans="1:10" ht="15">
      <c r="A8" s="6">
        <v>1</v>
      </c>
      <c r="C8" s="7" t="s">
        <v>42</v>
      </c>
      <c r="E8" s="23">
        <f>'Non-FGD'!C19</f>
        <v>253225681.30000025</v>
      </c>
      <c r="F8" s="20"/>
      <c r="G8" s="20"/>
      <c r="H8" s="18">
        <v>327193411.905</v>
      </c>
      <c r="I8" s="20"/>
      <c r="J8" s="20">
        <f>E8+H8</f>
        <v>580419093.2050002</v>
      </c>
    </row>
    <row r="9" spans="1:10" ht="15">
      <c r="A9" s="6">
        <f aca="true" t="shared" si="0" ref="A9:A37">A8+1</f>
        <v>2</v>
      </c>
      <c r="C9" s="7" t="s">
        <v>41</v>
      </c>
      <c r="E9" s="20">
        <f>Depreciation!I6</f>
        <v>56885838.50056512</v>
      </c>
      <c r="F9" s="20"/>
      <c r="G9" s="20"/>
      <c r="H9" s="20">
        <f>Depreciation!I21</f>
        <v>69285546.13824904</v>
      </c>
      <c r="I9" s="20"/>
      <c r="J9" s="20">
        <f>E9+H9</f>
        <v>126171384.63881415</v>
      </c>
    </row>
    <row r="10" spans="1:10" s="63" customFormat="1" ht="15">
      <c r="A10" s="96">
        <f t="shared" si="0"/>
        <v>3</v>
      </c>
      <c r="C10" s="63" t="s">
        <v>40</v>
      </c>
      <c r="E10" s="65">
        <f>ADFIT!C4</f>
        <v>20569189</v>
      </c>
      <c r="F10" s="65"/>
      <c r="G10" s="65"/>
      <c r="H10" s="65">
        <f>ADFIT!G4</f>
        <v>23778041</v>
      </c>
      <c r="I10" s="65"/>
      <c r="J10" s="65">
        <f>SUM(E10+H10)</f>
        <v>44347230</v>
      </c>
    </row>
    <row r="11" spans="1:10" ht="15">
      <c r="A11" s="6">
        <f t="shared" si="0"/>
        <v>4</v>
      </c>
      <c r="C11" s="7" t="s">
        <v>39</v>
      </c>
      <c r="E11" s="55">
        <f aca="true" t="shared" si="1" ref="E11:J11">E8-E9-E10</f>
        <v>175770653.79943514</v>
      </c>
      <c r="F11" s="55">
        <f t="shared" si="1"/>
        <v>0</v>
      </c>
      <c r="G11" s="55">
        <f t="shared" si="1"/>
        <v>0</v>
      </c>
      <c r="H11" s="55">
        <f t="shared" si="1"/>
        <v>234129824.76675093</v>
      </c>
      <c r="I11" s="55">
        <f t="shared" si="1"/>
        <v>0</v>
      </c>
      <c r="J11" s="55">
        <f t="shared" si="1"/>
        <v>409900478.566186</v>
      </c>
    </row>
    <row r="12" spans="1:10" ht="15">
      <c r="A12" s="6">
        <f t="shared" si="0"/>
        <v>5</v>
      </c>
      <c r="C12" s="7" t="s">
        <v>38</v>
      </c>
      <c r="E12" s="20">
        <f>'S2'!L11</f>
        <v>2904864.73</v>
      </c>
      <c r="F12" s="20"/>
      <c r="G12" s="20"/>
      <c r="H12" s="20">
        <v>0</v>
      </c>
      <c r="I12" s="20"/>
      <c r="J12" s="20">
        <f>'S2'!L11</f>
        <v>2904864.73</v>
      </c>
    </row>
    <row r="13" spans="1:10" ht="15">
      <c r="A13" s="6">
        <f t="shared" si="0"/>
        <v>6</v>
      </c>
      <c r="C13" s="7" t="s">
        <v>37</v>
      </c>
      <c r="E13" s="20">
        <f>'AN'!L11+NOx!L11</f>
        <v>216243</v>
      </c>
      <c r="F13" s="20"/>
      <c r="G13" s="20"/>
      <c r="H13" s="20">
        <v>0</v>
      </c>
      <c r="I13" s="20"/>
      <c r="J13" s="20">
        <f>NOx!L11+'AN'!L11</f>
        <v>216243</v>
      </c>
    </row>
    <row r="14" spans="1:10" ht="15">
      <c r="A14" s="6">
        <f t="shared" si="0"/>
        <v>7</v>
      </c>
      <c r="C14" s="7" t="s">
        <v>36</v>
      </c>
      <c r="E14" s="52">
        <f>'Cash Working Capital'!$C$21</f>
        <v>351279.88229166664</v>
      </c>
      <c r="F14" s="20"/>
      <c r="G14" s="20"/>
      <c r="H14" s="52">
        <f>'Cash Working Capital'!$E$21</f>
        <v>579847.335</v>
      </c>
      <c r="I14" s="20"/>
      <c r="J14" s="52">
        <f>SUM(E14+H14)</f>
        <v>931127.2172916667</v>
      </c>
    </row>
    <row r="15" spans="1:10" s="1" customFormat="1" ht="15.75" thickBot="1">
      <c r="A15" s="2">
        <f t="shared" si="0"/>
        <v>8</v>
      </c>
      <c r="C15" s="21" t="s">
        <v>35</v>
      </c>
      <c r="E15" s="54">
        <f aca="true" t="shared" si="2" ref="E15:J15">SUM(E11:E14)</f>
        <v>179243041.4117268</v>
      </c>
      <c r="F15" s="55">
        <f t="shared" si="2"/>
        <v>0</v>
      </c>
      <c r="G15" s="55">
        <f t="shared" si="2"/>
        <v>0</v>
      </c>
      <c r="H15" s="54">
        <f t="shared" si="2"/>
        <v>234709672.10175094</v>
      </c>
      <c r="I15" s="55">
        <f t="shared" si="2"/>
        <v>0</v>
      </c>
      <c r="J15" s="54">
        <f t="shared" si="2"/>
        <v>413952713.5134777</v>
      </c>
    </row>
    <row r="16" spans="1:10" ht="15.75" thickTop="1">
      <c r="A16" s="6">
        <f t="shared" si="0"/>
        <v>9</v>
      </c>
      <c r="C16" s="7" t="s">
        <v>34</v>
      </c>
      <c r="D16" s="48">
        <v>0.1069</v>
      </c>
      <c r="F16" s="20"/>
      <c r="G16" s="20"/>
      <c r="H16" s="48" t="s">
        <v>52</v>
      </c>
      <c r="I16" s="20"/>
      <c r="J16" s="20"/>
    </row>
    <row r="17" spans="1:12" ht="15">
      <c r="A17" s="6">
        <f t="shared" si="0"/>
        <v>10</v>
      </c>
      <c r="C17" s="7" t="s">
        <v>33</v>
      </c>
      <c r="E17" s="26">
        <f>D16/12</f>
        <v>0.008908333333333332</v>
      </c>
      <c r="F17" s="26">
        <v>0.0772</v>
      </c>
      <c r="G17" s="26">
        <v>0.0772</v>
      </c>
      <c r="H17" s="48">
        <f>E17</f>
        <v>0.008908333333333332</v>
      </c>
      <c r="I17" s="26"/>
      <c r="J17" s="32">
        <f>H17</f>
        <v>0.008908333333333332</v>
      </c>
      <c r="L17" s="7" t="s">
        <v>90</v>
      </c>
    </row>
    <row r="18" spans="1:10" ht="15">
      <c r="A18" s="6">
        <f t="shared" si="0"/>
        <v>11</v>
      </c>
      <c r="C18" s="7" t="s">
        <v>32</v>
      </c>
      <c r="E18" s="20">
        <f>E15*E17</f>
        <v>1596756.7605761327</v>
      </c>
      <c r="F18" s="20"/>
      <c r="G18" s="20"/>
      <c r="H18" s="20">
        <f>H15*H17</f>
        <v>2090871.9956397645</v>
      </c>
      <c r="I18" s="20"/>
      <c r="J18" s="20">
        <f>J15*J17</f>
        <v>3687628.7562158965</v>
      </c>
    </row>
    <row r="19" spans="1:12" ht="15">
      <c r="A19" s="6">
        <f t="shared" si="0"/>
        <v>12</v>
      </c>
      <c r="C19" s="7" t="s">
        <v>31</v>
      </c>
      <c r="E19" s="7">
        <v>0</v>
      </c>
      <c r="F19" s="20"/>
      <c r="G19" s="20"/>
      <c r="H19" s="20">
        <f>158.72+30532.55+4.83-14050.78-2974.61+1337.75+348.26-75000-5252.5-27328</f>
        <v>-92223.78</v>
      </c>
      <c r="I19" s="20"/>
      <c r="J19" s="20">
        <f>SUM(H19+E19)</f>
        <v>-92223.78</v>
      </c>
      <c r="L19" s="7">
        <f>158.72+30532.55+4.83-14050.78-2974.64+1337.75+348.26-27328.09-75000-5252.5</f>
        <v>-92223.9</v>
      </c>
    </row>
    <row r="20" spans="1:12" ht="15">
      <c r="A20" s="6">
        <f t="shared" si="0"/>
        <v>13</v>
      </c>
      <c r="C20" s="7" t="s">
        <v>30</v>
      </c>
      <c r="E20" s="20">
        <f>52.98+141255.47+4.72+0.05</f>
        <v>141313.22</v>
      </c>
      <c r="F20" s="20"/>
      <c r="G20" s="20"/>
      <c r="H20" s="20">
        <v>0</v>
      </c>
      <c r="I20" s="20"/>
      <c r="J20" s="20">
        <f aca="true" t="shared" si="3" ref="J20:J28">SUM(H20+E20)</f>
        <v>141313.22</v>
      </c>
      <c r="L20" s="7">
        <f>52.98+141255.47+4.72</f>
        <v>141313.17</v>
      </c>
    </row>
    <row r="21" spans="1:12" ht="15">
      <c r="A21" s="6">
        <f t="shared" si="0"/>
        <v>14</v>
      </c>
      <c r="C21" s="7" t="s">
        <v>29</v>
      </c>
      <c r="E21" s="20">
        <f>35.3+26150.78+3.15+0.03</f>
        <v>26189.26</v>
      </c>
      <c r="F21" s="20"/>
      <c r="G21" s="20"/>
      <c r="H21" s="20">
        <v>0</v>
      </c>
      <c r="I21" s="20"/>
      <c r="J21" s="20">
        <f t="shared" si="3"/>
        <v>26189.26</v>
      </c>
      <c r="L21" s="7">
        <f>35.3+26150.78+3.15+0.03</f>
        <v>26189.26</v>
      </c>
    </row>
    <row r="22" spans="1:12" ht="15">
      <c r="A22" s="6">
        <f t="shared" si="0"/>
        <v>15</v>
      </c>
      <c r="C22" s="7" t="s">
        <v>28</v>
      </c>
      <c r="E22" s="20"/>
      <c r="F22" s="20"/>
      <c r="G22" s="20"/>
      <c r="H22" s="20">
        <v>340846</v>
      </c>
      <c r="I22" s="20"/>
      <c r="J22" s="20">
        <f t="shared" si="3"/>
        <v>340846</v>
      </c>
      <c r="L22" s="7">
        <f>125.7+25482.61+313982.69+2.69+1064.65-1739.17+1897.35+29.39</f>
        <v>340845.91000000003</v>
      </c>
    </row>
    <row r="23" spans="1:12" ht="15">
      <c r="A23" s="25">
        <f t="shared" si="0"/>
        <v>16</v>
      </c>
      <c r="C23" s="7" t="s">
        <v>54</v>
      </c>
      <c r="E23" s="20">
        <v>0</v>
      </c>
      <c r="F23" s="20"/>
      <c r="G23" s="20"/>
      <c r="H23" s="20">
        <v>895</v>
      </c>
      <c r="I23" s="20"/>
      <c r="J23" s="20">
        <f t="shared" si="3"/>
        <v>895</v>
      </c>
      <c r="L23" s="7">
        <f>3.86+879.2+5+5.57+0.93</f>
        <v>894.5600000000001</v>
      </c>
    </row>
    <row r="24" spans="1:12" ht="15">
      <c r="A24" s="25">
        <f t="shared" si="0"/>
        <v>17</v>
      </c>
      <c r="C24" s="7" t="s">
        <v>55</v>
      </c>
      <c r="E24" s="20">
        <v>0</v>
      </c>
      <c r="F24" s="20"/>
      <c r="G24" s="20"/>
      <c r="H24" s="20">
        <v>1452</v>
      </c>
      <c r="I24" s="20"/>
      <c r="J24" s="20">
        <f t="shared" si="3"/>
        <v>1452</v>
      </c>
      <c r="L24" s="7">
        <v>1452</v>
      </c>
    </row>
    <row r="25" spans="1:10" ht="15">
      <c r="A25" s="25">
        <f t="shared" si="0"/>
        <v>18</v>
      </c>
      <c r="C25" s="7" t="s">
        <v>27</v>
      </c>
      <c r="E25" s="20">
        <f>0.5*143774.81/12</f>
        <v>5990.6170833333335</v>
      </c>
      <c r="F25" s="20"/>
      <c r="G25" s="20"/>
      <c r="H25" s="20">
        <v>0</v>
      </c>
      <c r="I25" s="20"/>
      <c r="J25" s="20">
        <f t="shared" si="3"/>
        <v>5990.6170833333335</v>
      </c>
    </row>
    <row r="26" spans="1:10" ht="15">
      <c r="A26" s="25">
        <f t="shared" si="0"/>
        <v>19</v>
      </c>
      <c r="C26" s="7" t="s">
        <v>26</v>
      </c>
      <c r="E26" s="20">
        <f>'S2'!L10</f>
        <v>33162.27</v>
      </c>
      <c r="F26" s="20"/>
      <c r="G26" s="20"/>
      <c r="H26" s="20">
        <v>0</v>
      </c>
      <c r="I26" s="20"/>
      <c r="J26" s="20">
        <f t="shared" si="3"/>
        <v>33162.27</v>
      </c>
    </row>
    <row r="27" spans="1:10" ht="15">
      <c r="A27" s="25">
        <f t="shared" si="0"/>
        <v>20</v>
      </c>
      <c r="C27" s="7" t="s">
        <v>25</v>
      </c>
      <c r="E27" s="20">
        <v>0</v>
      </c>
      <c r="F27" s="20"/>
      <c r="G27" s="20"/>
      <c r="H27" s="20">
        <v>0</v>
      </c>
      <c r="I27" s="20"/>
      <c r="J27" s="20">
        <f t="shared" si="3"/>
        <v>0</v>
      </c>
    </row>
    <row r="28" spans="1:10" ht="17.25">
      <c r="A28" s="25">
        <f t="shared" si="0"/>
        <v>21</v>
      </c>
      <c r="C28" s="7" t="s">
        <v>24</v>
      </c>
      <c r="E28" s="53">
        <f>'AN'!L10</f>
        <v>2207</v>
      </c>
      <c r="F28" s="20"/>
      <c r="G28" s="20"/>
      <c r="H28" s="49">
        <v>0</v>
      </c>
      <c r="I28" s="20"/>
      <c r="J28" s="20">
        <f t="shared" si="3"/>
        <v>2207</v>
      </c>
    </row>
    <row r="29" spans="1:10" s="1" customFormat="1" ht="15.75" thickBot="1">
      <c r="A29" s="2">
        <f t="shared" si="0"/>
        <v>22</v>
      </c>
      <c r="C29" s="21" t="s">
        <v>23</v>
      </c>
      <c r="E29" s="54">
        <f>SUM(E18:E28)</f>
        <v>1805619.1276594661</v>
      </c>
      <c r="F29" s="55"/>
      <c r="G29" s="55"/>
      <c r="H29" s="54">
        <f>SUM(H17:H28)</f>
        <v>2341841.2245480977</v>
      </c>
      <c r="I29" s="55"/>
      <c r="J29" s="54">
        <f>SUM(J18:J28)</f>
        <v>4147460.34329923</v>
      </c>
    </row>
    <row r="30" spans="1:12" ht="15.75" thickTop="1">
      <c r="A30" s="25">
        <f>A29+1</f>
        <v>23</v>
      </c>
      <c r="C30" s="7" t="s">
        <v>22</v>
      </c>
      <c r="E30" s="22" t="s">
        <v>21</v>
      </c>
      <c r="F30" s="20"/>
      <c r="G30" s="20"/>
      <c r="H30" s="20">
        <f>378.94+55634.76+66408.91+409.69+28429.47+229.14+4788.94+85.15</f>
        <v>156365.00000000003</v>
      </c>
      <c r="I30" s="20"/>
      <c r="J30" s="20">
        <f>H30</f>
        <v>156365.00000000003</v>
      </c>
      <c r="K30" s="76"/>
      <c r="L30" s="7">
        <f>378.94+55634.76+66408.91+409.69+28429.47+229.14+4788.94+85.15</f>
        <v>156365.00000000003</v>
      </c>
    </row>
    <row r="31" spans="1:12" ht="15">
      <c r="A31" s="25">
        <f t="shared" si="0"/>
        <v>24</v>
      </c>
      <c r="C31" s="7" t="s">
        <v>89</v>
      </c>
      <c r="E31" s="20">
        <f>32.87+711.61+0.74+-3903.93+402.09+7.42+5490.59+60.9+9926.07+2064.1+11.11+3334.91+792.57+13.87+1.81+302.28+40.17+264.53</f>
        <v>19553.71</v>
      </c>
      <c r="F31" s="20"/>
      <c r="G31" s="20"/>
      <c r="H31" s="20"/>
      <c r="I31" s="20"/>
      <c r="J31" s="20">
        <f>SUM(E31)</f>
        <v>19553.71</v>
      </c>
      <c r="L31" s="7">
        <f>60.9+9926.07+2064.1+11.11+3334.91+792.57+13.87+32.87+5490.59+711.61+0.74-3903.93+402.09+7.42+1.81+302.28+40.17+264.53</f>
        <v>19553.71</v>
      </c>
    </row>
    <row r="32" spans="1:10" s="1" customFormat="1" ht="15.75" thickBot="1">
      <c r="A32" s="2">
        <f t="shared" si="0"/>
        <v>25</v>
      </c>
      <c r="C32" s="21" t="s">
        <v>20</v>
      </c>
      <c r="E32" s="54">
        <f>SUM(E30:E31)</f>
        <v>19553.71</v>
      </c>
      <c r="F32" s="54"/>
      <c r="G32" s="54"/>
      <c r="H32" s="54">
        <f>SUM(H30:H31)</f>
        <v>156365.00000000003</v>
      </c>
      <c r="I32" s="54"/>
      <c r="J32" s="54">
        <f>SUM(J30:J31)</f>
        <v>175918.71000000002</v>
      </c>
    </row>
    <row r="33" spans="1:10" ht="15.75" thickTop="1">
      <c r="A33" s="25">
        <f>A32+1</f>
        <v>26</v>
      </c>
      <c r="C33" s="7" t="s">
        <v>19</v>
      </c>
      <c r="E33" s="20">
        <f>Depreciation!G6</f>
        <v>724448.1367848336</v>
      </c>
      <c r="F33" s="20"/>
      <c r="G33" s="20"/>
      <c r="H33" s="20">
        <f>Depreciation!G21</f>
        <v>853429.482718875</v>
      </c>
      <c r="I33" s="20"/>
      <c r="J33" s="20">
        <f>SUM(E33+H33)</f>
        <v>1577877.6195037086</v>
      </c>
    </row>
    <row r="34" spans="1:10" ht="15">
      <c r="A34" s="25">
        <f t="shared" si="0"/>
        <v>27</v>
      </c>
      <c r="C34" s="7" t="s">
        <v>18</v>
      </c>
      <c r="E34" s="20">
        <f>8190115.44*0.125/12</f>
        <v>85313.7025</v>
      </c>
      <c r="F34" s="20"/>
      <c r="G34" s="20"/>
      <c r="H34" s="20">
        <v>0</v>
      </c>
      <c r="I34" s="20"/>
      <c r="J34" s="20">
        <f>SUM(E34:H34)</f>
        <v>85313.7025</v>
      </c>
    </row>
    <row r="35" spans="1:10" ht="15">
      <c r="A35" s="25">
        <f t="shared" si="0"/>
        <v>28</v>
      </c>
      <c r="C35" s="7" t="s">
        <v>17</v>
      </c>
      <c r="E35" s="47">
        <f>(E8*Marshall_Rate*WV_List*PC_Percent)/12</f>
        <v>13588.090058558015</v>
      </c>
      <c r="F35" s="20"/>
      <c r="G35" s="20"/>
      <c r="H35" s="47">
        <f>(H8*Marshall_Rate*WV_List*PC_Percent)/12</f>
        <v>17557.198482822296</v>
      </c>
      <c r="I35" s="20"/>
      <c r="J35" s="20">
        <f>E35+H35</f>
        <v>31145.28854138031</v>
      </c>
    </row>
    <row r="36" spans="1:10" s="1" customFormat="1" ht="15.75" thickBot="1">
      <c r="A36" s="2">
        <f t="shared" si="0"/>
        <v>29</v>
      </c>
      <c r="C36" s="21" t="s">
        <v>16</v>
      </c>
      <c r="E36" s="54">
        <f aca="true" t="shared" si="4" ref="E36:J36">SUM(E33:E35)</f>
        <v>823349.9293433917</v>
      </c>
      <c r="F36" s="54">
        <f t="shared" si="4"/>
        <v>0</v>
      </c>
      <c r="G36" s="54">
        <f t="shared" si="4"/>
        <v>0</v>
      </c>
      <c r="H36" s="54">
        <f t="shared" si="4"/>
        <v>870986.6812016973</v>
      </c>
      <c r="I36" s="54">
        <f t="shared" si="4"/>
        <v>0</v>
      </c>
      <c r="J36" s="54">
        <f t="shared" si="4"/>
        <v>1694336.6105450888</v>
      </c>
    </row>
    <row r="37" spans="1:10" s="1" customFormat="1" ht="15.75" thickTop="1">
      <c r="A37" s="2">
        <f t="shared" si="0"/>
        <v>30</v>
      </c>
      <c r="C37" s="21" t="s">
        <v>15</v>
      </c>
      <c r="E37" s="55">
        <f aca="true" t="shared" si="5" ref="E37:J37">SUM(E29+E32+E36)</f>
        <v>2648522.7670028578</v>
      </c>
      <c r="F37" s="55">
        <f t="shared" si="5"/>
        <v>0</v>
      </c>
      <c r="G37" s="55">
        <f t="shared" si="5"/>
        <v>0</v>
      </c>
      <c r="H37" s="55">
        <f t="shared" si="5"/>
        <v>3369192.905749795</v>
      </c>
      <c r="I37" s="55">
        <f t="shared" si="5"/>
        <v>0</v>
      </c>
      <c r="J37" s="55">
        <f t="shared" si="5"/>
        <v>6017715.663844319</v>
      </c>
    </row>
    <row r="38" ht="15">
      <c r="A38" s="25"/>
    </row>
    <row r="42" ht="15">
      <c r="C42" s="85" t="s">
        <v>52</v>
      </c>
    </row>
    <row r="43" ht="15">
      <c r="C43" s="7" t="s">
        <v>52</v>
      </c>
    </row>
    <row r="44" ht="15">
      <c r="C44" s="7" t="s">
        <v>52</v>
      </c>
    </row>
    <row r="45" ht="15">
      <c r="C45" s="7" t="s">
        <v>52</v>
      </c>
    </row>
  </sheetData>
  <sheetProtection/>
  <mergeCells count="7">
    <mergeCell ref="E5:E6"/>
    <mergeCell ref="H5:H6"/>
    <mergeCell ref="J5:J6"/>
    <mergeCell ref="A5:A6"/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A1">
      <selection activeCell="J9" sqref="J9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4.25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72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57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56" t="s">
        <v>43</v>
      </c>
      <c r="D7" s="1"/>
      <c r="E7" s="103"/>
      <c r="F7" s="1"/>
      <c r="G7" s="1"/>
      <c r="H7" s="103"/>
      <c r="I7" s="1"/>
      <c r="J7" s="103"/>
    </row>
    <row r="8" ht="15">
      <c r="A8" s="57"/>
    </row>
    <row r="9" spans="1:10" ht="15">
      <c r="A9" s="57">
        <v>1</v>
      </c>
      <c r="C9" s="7" t="s">
        <v>42</v>
      </c>
      <c r="E9" s="97">
        <f>Depreciation!C7</f>
        <v>253225681.30000007</v>
      </c>
      <c r="F9" s="20"/>
      <c r="G9" s="20"/>
      <c r="H9" s="18">
        <f>January!H8</f>
        <v>327193411.905</v>
      </c>
      <c r="I9" s="20"/>
      <c r="J9" s="20">
        <f>E9+H9</f>
        <v>580419093.205</v>
      </c>
    </row>
    <row r="10" spans="1:10" ht="15">
      <c r="A10" s="57">
        <f aca="true" t="shared" si="0" ref="A10:A38">A9+1</f>
        <v>2</v>
      </c>
      <c r="C10" s="7" t="s">
        <v>41</v>
      </c>
      <c r="E10" s="20">
        <f>Depreciation!I7</f>
        <v>57610286.637349956</v>
      </c>
      <c r="F10" s="20"/>
      <c r="G10" s="20"/>
      <c r="H10" s="20">
        <f>Depreciation!I22</f>
        <v>70138975.62096791</v>
      </c>
      <c r="I10" s="20"/>
      <c r="J10" s="20">
        <f>E10+H10</f>
        <v>127749262.25831786</v>
      </c>
    </row>
    <row r="11" spans="1:10" ht="15">
      <c r="A11" s="57">
        <f t="shared" si="0"/>
        <v>3</v>
      </c>
      <c r="C11" s="7" t="s">
        <v>40</v>
      </c>
      <c r="E11" s="20">
        <f>ADFIT!C5</f>
        <v>20624958</v>
      </c>
      <c r="F11" s="20"/>
      <c r="G11" s="20"/>
      <c r="H11" s="20">
        <f>ADFIT!G5</f>
        <v>23897956</v>
      </c>
      <c r="I11" s="20"/>
      <c r="J11" s="20">
        <f>SUM(E11+H11)</f>
        <v>44522914</v>
      </c>
    </row>
    <row r="12" spans="1:10" ht="15">
      <c r="A12" s="57">
        <f t="shared" si="0"/>
        <v>4</v>
      </c>
      <c r="C12" s="7" t="s">
        <v>39</v>
      </c>
      <c r="E12" s="55">
        <f aca="true" t="shared" si="1" ref="E12:J12">E9-E10-E11</f>
        <v>174990436.6626501</v>
      </c>
      <c r="F12" s="55">
        <f t="shared" si="1"/>
        <v>0</v>
      </c>
      <c r="G12" s="55">
        <f t="shared" si="1"/>
        <v>0</v>
      </c>
      <c r="H12" s="55">
        <f t="shared" si="1"/>
        <v>233156480.28403205</v>
      </c>
      <c r="I12" s="55">
        <f t="shared" si="1"/>
        <v>0</v>
      </c>
      <c r="J12" s="55">
        <f t="shared" si="1"/>
        <v>408146916.9466822</v>
      </c>
    </row>
    <row r="13" spans="1:10" ht="15">
      <c r="A13" s="57">
        <f t="shared" si="0"/>
        <v>5</v>
      </c>
      <c r="C13" s="7" t="s">
        <v>38</v>
      </c>
      <c r="E13" s="20">
        <f>'S2'!L16</f>
        <v>2880759.26</v>
      </c>
      <c r="F13" s="20"/>
      <c r="G13" s="20"/>
      <c r="H13" s="20"/>
      <c r="I13" s="20"/>
      <c r="J13" s="20">
        <f>SUM(E13:H13)</f>
        <v>2880759.26</v>
      </c>
    </row>
    <row r="14" spans="1:10" ht="15">
      <c r="A14" s="57">
        <f t="shared" si="0"/>
        <v>6</v>
      </c>
      <c r="C14" s="7" t="s">
        <v>37</v>
      </c>
      <c r="E14" s="65">
        <f>NOx!L16+'AN'!L16</f>
        <v>214325</v>
      </c>
      <c r="F14" s="20"/>
      <c r="G14" s="20"/>
      <c r="H14" s="20"/>
      <c r="I14" s="20"/>
      <c r="J14" s="20">
        <f>SUM(E14:H14)</f>
        <v>214325</v>
      </c>
    </row>
    <row r="15" spans="1:10" ht="15">
      <c r="A15" s="57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56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178436800.80494177</v>
      </c>
      <c r="F16" s="55">
        <f t="shared" si="2"/>
        <v>0</v>
      </c>
      <c r="G16" s="55">
        <f t="shared" si="2"/>
        <v>0</v>
      </c>
      <c r="H16" s="54">
        <f t="shared" si="2"/>
        <v>233736327.61903206</v>
      </c>
      <c r="I16" s="55">
        <f t="shared" si="2"/>
        <v>0</v>
      </c>
      <c r="J16" s="54">
        <f t="shared" si="2"/>
        <v>412173128.42397386</v>
      </c>
    </row>
    <row r="17" spans="1:10" ht="15.75" thickTop="1">
      <c r="A17" s="57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57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57">
        <f t="shared" si="0"/>
        <v>11</v>
      </c>
      <c r="C19" s="7" t="s">
        <v>32</v>
      </c>
      <c r="E19" s="20">
        <f>E16*E18</f>
        <v>1589574.5005040227</v>
      </c>
      <c r="F19" s="20"/>
      <c r="G19" s="20"/>
      <c r="H19" s="20">
        <f>H16*H18</f>
        <v>2082201.1185395436</v>
      </c>
      <c r="I19" s="20"/>
      <c r="J19" s="20">
        <f>J16*J18</f>
        <v>3671775.6190435668</v>
      </c>
    </row>
    <row r="20" spans="1:12" ht="15">
      <c r="A20" s="57">
        <f t="shared" si="0"/>
        <v>12</v>
      </c>
      <c r="C20" s="7" t="s">
        <v>31</v>
      </c>
      <c r="E20" s="20">
        <v>0</v>
      </c>
      <c r="F20" s="20"/>
      <c r="G20" s="20"/>
      <c r="H20" s="20">
        <f>155.86+1403.33+10.03+1173.57+314.87-79474.54+11229.32</f>
        <v>-65187.55999999999</v>
      </c>
      <c r="I20" s="20"/>
      <c r="J20" s="20">
        <f>SUM(H20+E20)</f>
        <v>-65187.55999999999</v>
      </c>
      <c r="L20" s="7">
        <f>155.86+1403.33+10.03+1173.57+314.87-79474.54+11229.32</f>
        <v>-65187.55999999999</v>
      </c>
    </row>
    <row r="21" spans="1:12" ht="15">
      <c r="A21" s="57">
        <f t="shared" si="0"/>
        <v>13</v>
      </c>
      <c r="C21" s="7" t="s">
        <v>30</v>
      </c>
      <c r="E21" s="20">
        <f>133479.24+0.39+440.92</f>
        <v>133920.55000000002</v>
      </c>
      <c r="F21" s="20"/>
      <c r="G21" s="20"/>
      <c r="H21" s="20"/>
      <c r="I21" s="20"/>
      <c r="J21" s="20">
        <f aca="true" t="shared" si="3" ref="J21:J27">SUM(H21+E21)</f>
        <v>133920.55000000002</v>
      </c>
      <c r="L21" s="7">
        <f>133479.24+440.92+0.39</f>
        <v>133920.55000000002</v>
      </c>
    </row>
    <row r="22" spans="1:10" ht="15">
      <c r="A22" s="57">
        <f t="shared" si="0"/>
        <v>14</v>
      </c>
      <c r="C22" s="7" t="s">
        <v>29</v>
      </c>
      <c r="E22" s="20">
        <f>32963.13+0.39</f>
        <v>32963.52</v>
      </c>
      <c r="F22" s="20"/>
      <c r="G22" s="20"/>
      <c r="H22" s="20">
        <v>0</v>
      </c>
      <c r="I22" s="20"/>
      <c r="J22" s="20">
        <f t="shared" si="3"/>
        <v>32963.52</v>
      </c>
    </row>
    <row r="23" spans="1:12" ht="15">
      <c r="A23" s="57">
        <f t="shared" si="0"/>
        <v>15</v>
      </c>
      <c r="C23" s="7" t="s">
        <v>28</v>
      </c>
      <c r="E23" s="20">
        <v>0</v>
      </c>
      <c r="F23" s="20"/>
      <c r="G23" s="20"/>
      <c r="H23" s="20">
        <f>1044.8+233778.55+753.99+121.83+100.12</f>
        <v>235799.28999999995</v>
      </c>
      <c r="I23" s="20"/>
      <c r="J23" s="20">
        <f t="shared" si="3"/>
        <v>235799.28999999995</v>
      </c>
      <c r="L23" s="7">
        <f>100.12+1044.8+233778.55+753.99+121.83</f>
        <v>235799.28999999998</v>
      </c>
    </row>
    <row r="24" spans="1:12" ht="15">
      <c r="A24" s="57">
        <f t="shared" si="0"/>
        <v>16</v>
      </c>
      <c r="C24" s="7" t="s">
        <v>54</v>
      </c>
      <c r="E24" s="20">
        <v>0</v>
      </c>
      <c r="F24" s="20"/>
      <c r="G24" s="20"/>
      <c r="H24" s="20">
        <f>58.66+443.72+0.88+808.25</f>
        <v>1311.51</v>
      </c>
      <c r="I24" s="20"/>
      <c r="J24" s="20">
        <f t="shared" si="3"/>
        <v>1311.51</v>
      </c>
      <c r="L24" s="7">
        <f>58.66+443.72+808.25+0.88</f>
        <v>1311.5100000000002</v>
      </c>
    </row>
    <row r="25" spans="1:10" ht="15">
      <c r="A25" s="57">
        <f t="shared" si="0"/>
        <v>17</v>
      </c>
      <c r="C25" s="7" t="s">
        <v>55</v>
      </c>
      <c r="E25" s="20">
        <v>0</v>
      </c>
      <c r="F25" s="20"/>
      <c r="G25" s="20"/>
      <c r="H25" s="20">
        <v>0</v>
      </c>
      <c r="I25" s="20"/>
      <c r="J25" s="20">
        <f t="shared" si="3"/>
        <v>0</v>
      </c>
    </row>
    <row r="26" spans="1:10" ht="15">
      <c r="A26" s="57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/>
      <c r="I26" s="20"/>
      <c r="J26" s="20">
        <f t="shared" si="3"/>
        <v>5990.6170833333335</v>
      </c>
    </row>
    <row r="27" spans="1:10" ht="15">
      <c r="A27" s="57">
        <f t="shared" si="0"/>
        <v>19</v>
      </c>
      <c r="C27" s="7" t="s">
        <v>26</v>
      </c>
      <c r="E27" s="20">
        <f>'S2'!L15</f>
        <v>24105.47</v>
      </c>
      <c r="F27" s="20"/>
      <c r="G27" s="20"/>
      <c r="H27" s="20"/>
      <c r="I27" s="20"/>
      <c r="J27" s="20">
        <f t="shared" si="3"/>
        <v>24105.47</v>
      </c>
    </row>
    <row r="28" spans="1:10" ht="15">
      <c r="A28" s="57">
        <f t="shared" si="0"/>
        <v>20</v>
      </c>
      <c r="C28" s="7" t="s">
        <v>25</v>
      </c>
      <c r="E28" s="20">
        <f>NOx!L15</f>
        <v>0</v>
      </c>
      <c r="F28" s="20"/>
      <c r="G28" s="20"/>
      <c r="H28" s="20"/>
      <c r="I28" s="20"/>
      <c r="J28" s="20">
        <f>SUM(H28+E28)</f>
        <v>0</v>
      </c>
    </row>
    <row r="29" spans="1:10" ht="17.25">
      <c r="A29" s="57">
        <f t="shared" si="0"/>
        <v>21</v>
      </c>
      <c r="C29" s="7" t="s">
        <v>24</v>
      </c>
      <c r="E29" s="53">
        <f>'AN'!L15</f>
        <v>1918</v>
      </c>
      <c r="F29" s="20"/>
      <c r="G29" s="20"/>
      <c r="H29" s="49"/>
      <c r="I29" s="20"/>
      <c r="J29" s="20">
        <f>SUM(H29+E29)</f>
        <v>1918</v>
      </c>
    </row>
    <row r="30" spans="1:10" ht="15.75" thickBot="1">
      <c r="A30" s="56">
        <f t="shared" si="0"/>
        <v>22</v>
      </c>
      <c r="B30" s="1"/>
      <c r="C30" s="21" t="s">
        <v>23</v>
      </c>
      <c r="D30" s="1"/>
      <c r="E30" s="54">
        <f>SUM(E19:E29)</f>
        <v>1788472.6575873562</v>
      </c>
      <c r="F30" s="55"/>
      <c r="G30" s="55"/>
      <c r="H30" s="54">
        <f>SUM(H18:H29)</f>
        <v>2254124.3674478764</v>
      </c>
      <c r="I30" s="55"/>
      <c r="J30" s="54">
        <f>SUM(J19:J29)</f>
        <v>4042597.0161269</v>
      </c>
    </row>
    <row r="31" spans="1:12" ht="15.75" thickTop="1">
      <c r="A31" s="57">
        <f t="shared" si="0"/>
        <v>23</v>
      </c>
      <c r="C31" s="7" t="s">
        <v>22</v>
      </c>
      <c r="E31" s="22">
        <v>0</v>
      </c>
      <c r="F31" s="20"/>
      <c r="G31" s="20"/>
      <c r="H31" s="20">
        <v>143583</v>
      </c>
      <c r="I31" s="20"/>
      <c r="J31" s="20">
        <f>E31+H31</f>
        <v>143583</v>
      </c>
      <c r="L31" s="7">
        <f>485.39+8652.36+85941.97+2010.96+42772.15+192.54+3517.21+7.88</f>
        <v>143580.46000000002</v>
      </c>
    </row>
    <row r="32" spans="1:12" ht="15">
      <c r="A32" s="57">
        <f t="shared" si="0"/>
        <v>24</v>
      </c>
      <c r="C32" s="7" t="s">
        <v>89</v>
      </c>
      <c r="E32" s="20">
        <f>363.37+103.76+781.96+1385.39+1.55+12.89+94.92+1167.5+0.19+158.87+241.5+189.45</f>
        <v>4501.35</v>
      </c>
      <c r="F32" s="20"/>
      <c r="G32" s="80"/>
      <c r="H32" s="20">
        <v>0</v>
      </c>
      <c r="I32" s="80"/>
      <c r="J32" s="20">
        <f>E32+H32</f>
        <v>4501.35</v>
      </c>
      <c r="L32" s="7">
        <f>363.37+103.76+781.96+1385.39+1.55+12.89+94.92+1167.5+0.19+158.87+241.5+189.45</f>
        <v>4501.35</v>
      </c>
    </row>
    <row r="33" spans="1:10" ht="15.75" thickBot="1">
      <c r="A33" s="56">
        <f t="shared" si="0"/>
        <v>25</v>
      </c>
      <c r="B33" s="1"/>
      <c r="C33" s="21" t="s">
        <v>20</v>
      </c>
      <c r="D33" s="1"/>
      <c r="E33" s="54">
        <f>SUM(E31:E32)</f>
        <v>4501.35</v>
      </c>
      <c r="F33" s="54"/>
      <c r="G33" s="81"/>
      <c r="H33" s="54">
        <f>SUM(H31:H32)</f>
        <v>143583</v>
      </c>
      <c r="I33" s="81"/>
      <c r="J33" s="54">
        <f>SUM(J31:J32)</f>
        <v>148084.35</v>
      </c>
    </row>
    <row r="34" spans="1:10" ht="15.75" thickTop="1">
      <c r="A34" s="57">
        <f t="shared" si="0"/>
        <v>26</v>
      </c>
      <c r="C34" s="7" t="s">
        <v>19</v>
      </c>
      <c r="E34" s="20">
        <f>Depreciation!G7</f>
        <v>724448.1367848336</v>
      </c>
      <c r="F34" s="20"/>
      <c r="G34" s="80"/>
      <c r="H34" s="20">
        <f>Depreciation!G22</f>
        <v>853429.482718875</v>
      </c>
      <c r="I34" s="80"/>
      <c r="J34" s="20">
        <f>SUM(E34+H34)</f>
        <v>1577877.6195037086</v>
      </c>
    </row>
    <row r="35" spans="1:10" ht="15">
      <c r="A35" s="57">
        <f t="shared" si="0"/>
        <v>27</v>
      </c>
      <c r="C35" s="7" t="s">
        <v>18</v>
      </c>
      <c r="E35" s="20">
        <f>January!E34</f>
        <v>85313.7025</v>
      </c>
      <c r="F35" s="20"/>
      <c r="G35" s="80"/>
      <c r="H35" s="20"/>
      <c r="I35" s="80"/>
      <c r="J35" s="20">
        <f>E35+H35</f>
        <v>85313.7025</v>
      </c>
    </row>
    <row r="36" spans="1:10" ht="15">
      <c r="A36" s="57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80"/>
      <c r="H36" s="47">
        <f>(H9*Marshall_Rate*WV_List*PC_Percent)/12</f>
        <v>17557.198482822296</v>
      </c>
      <c r="I36" s="80"/>
      <c r="J36" s="20">
        <f>E36+H36</f>
        <v>31145.2885413803</v>
      </c>
    </row>
    <row r="37" spans="1:10" ht="15.75" thickBot="1">
      <c r="A37" s="56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81">
        <f t="shared" si="4"/>
        <v>0</v>
      </c>
      <c r="H37" s="54">
        <f t="shared" si="4"/>
        <v>870986.6812016973</v>
      </c>
      <c r="I37" s="81">
        <f t="shared" si="4"/>
        <v>0</v>
      </c>
      <c r="J37" s="54">
        <f t="shared" si="4"/>
        <v>1694336.6105450888</v>
      </c>
    </row>
    <row r="38" spans="1:10" ht="15.75" thickTop="1">
      <c r="A38" s="56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2616323.9369307477</v>
      </c>
      <c r="F38" s="55">
        <f t="shared" si="5"/>
        <v>0</v>
      </c>
      <c r="G38" s="81">
        <f t="shared" si="5"/>
        <v>0</v>
      </c>
      <c r="H38" s="55">
        <f t="shared" si="5"/>
        <v>3268694.0486495737</v>
      </c>
      <c r="I38" s="81">
        <f t="shared" si="5"/>
        <v>0</v>
      </c>
      <c r="J38" s="55">
        <f t="shared" si="5"/>
        <v>5885017.976671989</v>
      </c>
    </row>
    <row r="39" ht="15">
      <c r="I39" s="82"/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J9" sqref="J9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1" width="8.8515625" style="7" customWidth="1"/>
    <col min="12" max="12" width="12.140625" style="7" bestFit="1" customWidth="1"/>
    <col min="13" max="16384" width="8.8515625" style="7" customWidth="1"/>
  </cols>
  <sheetData>
    <row r="1" ht="15">
      <c r="A1" s="24" t="s">
        <v>51</v>
      </c>
    </row>
    <row r="2" spans="1:10" ht="14.25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73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57"/>
    </row>
    <row r="6" spans="1:10" ht="14.25" customHeight="1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56" t="s">
        <v>43</v>
      </c>
      <c r="D7" s="1"/>
      <c r="E7" s="103"/>
      <c r="F7" s="1"/>
      <c r="G7" s="1"/>
      <c r="H7" s="103"/>
      <c r="I7" s="1"/>
      <c r="J7" s="103"/>
    </row>
    <row r="8" ht="15">
      <c r="A8" s="57"/>
    </row>
    <row r="9" spans="1:10" ht="15">
      <c r="A9" s="57">
        <v>1</v>
      </c>
      <c r="C9" s="7" t="s">
        <v>42</v>
      </c>
      <c r="E9" s="97">
        <f>Depreciation!C8</f>
        <v>253225681.30000007</v>
      </c>
      <c r="F9" s="20"/>
      <c r="G9" s="20"/>
      <c r="H9" s="18">
        <f>January!H8</f>
        <v>327193411.905</v>
      </c>
      <c r="I9" s="20"/>
      <c r="J9" s="20">
        <f>E9+H9</f>
        <v>580419093.205</v>
      </c>
    </row>
    <row r="10" spans="1:10" ht="15">
      <c r="A10" s="57">
        <f aca="true" t="shared" si="0" ref="A10:A38">A9+1</f>
        <v>2</v>
      </c>
      <c r="C10" s="7" t="s">
        <v>41</v>
      </c>
      <c r="E10" s="20">
        <f>Depreciation!I8</f>
        <v>58334734.77413479</v>
      </c>
      <c r="F10" s="20"/>
      <c r="G10" s="20"/>
      <c r="H10" s="20">
        <f>Depreciation!I23</f>
        <v>70992405.10368678</v>
      </c>
      <c r="I10" s="20"/>
      <c r="J10" s="20">
        <f>E10+H10</f>
        <v>129327139.87782156</v>
      </c>
    </row>
    <row r="11" spans="1:10" ht="15">
      <c r="A11" s="57">
        <f t="shared" si="0"/>
        <v>3</v>
      </c>
      <c r="C11" s="7" t="s">
        <v>40</v>
      </c>
      <c r="E11" s="20">
        <f>ADFIT!C6</f>
        <v>20680727</v>
      </c>
      <c r="F11" s="20"/>
      <c r="G11" s="20"/>
      <c r="H11" s="20">
        <f>ADFIT!G6</f>
        <v>24017871</v>
      </c>
      <c r="I11" s="20"/>
      <c r="J11" s="20">
        <f>SUM(E11+H11)</f>
        <v>44698598</v>
      </c>
    </row>
    <row r="12" spans="1:10" ht="15">
      <c r="A12" s="57">
        <f t="shared" si="0"/>
        <v>4</v>
      </c>
      <c r="C12" s="7" t="s">
        <v>39</v>
      </c>
      <c r="E12" s="55">
        <f aca="true" t="shared" si="1" ref="E12:J12">E9-E10-E11</f>
        <v>174210219.5258653</v>
      </c>
      <c r="F12" s="55">
        <f t="shared" si="1"/>
        <v>0</v>
      </c>
      <c r="G12" s="55">
        <f t="shared" si="1"/>
        <v>0</v>
      </c>
      <c r="H12" s="55">
        <f t="shared" si="1"/>
        <v>232183135.8013132</v>
      </c>
      <c r="I12" s="55">
        <f t="shared" si="1"/>
        <v>0</v>
      </c>
      <c r="J12" s="55">
        <f t="shared" si="1"/>
        <v>406393355.3271785</v>
      </c>
    </row>
    <row r="13" spans="1:10" ht="15">
      <c r="A13" s="57">
        <f t="shared" si="0"/>
        <v>5</v>
      </c>
      <c r="C13" s="7" t="s">
        <v>38</v>
      </c>
      <c r="E13" s="77">
        <f>'S2'!L21</f>
        <v>2841596.4</v>
      </c>
      <c r="F13" s="20"/>
      <c r="G13" s="20"/>
      <c r="H13" s="20">
        <v>0</v>
      </c>
      <c r="I13" s="20"/>
      <c r="J13" s="20">
        <f>SUM(E13:H13)</f>
        <v>2841596.4</v>
      </c>
    </row>
    <row r="14" spans="1:10" ht="15">
      <c r="A14" s="57">
        <f t="shared" si="0"/>
        <v>6</v>
      </c>
      <c r="C14" s="7" t="s">
        <v>37</v>
      </c>
      <c r="E14" s="20">
        <f>'AN'!L21+NOx!L21</f>
        <v>211797</v>
      </c>
      <c r="F14" s="20"/>
      <c r="G14" s="20"/>
      <c r="H14" s="20">
        <v>0</v>
      </c>
      <c r="I14" s="20"/>
      <c r="J14" s="20">
        <f>SUM(E14:H14)</f>
        <v>211797</v>
      </c>
    </row>
    <row r="15" spans="1:10" ht="15">
      <c r="A15" s="57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56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177614892.80815697</v>
      </c>
      <c r="F16" s="55">
        <f t="shared" si="2"/>
        <v>0</v>
      </c>
      <c r="G16" s="55">
        <f t="shared" si="2"/>
        <v>0</v>
      </c>
      <c r="H16" s="54">
        <f t="shared" si="2"/>
        <v>232762983.1363132</v>
      </c>
      <c r="I16" s="55">
        <f t="shared" si="2"/>
        <v>0</v>
      </c>
      <c r="J16" s="54">
        <f t="shared" si="2"/>
        <v>410377875.9444701</v>
      </c>
    </row>
    <row r="17" spans="1:10" ht="15.75" thickTop="1">
      <c r="A17" s="57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57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57">
        <f t="shared" si="0"/>
        <v>11</v>
      </c>
      <c r="C19" s="7" t="s">
        <v>32</v>
      </c>
      <c r="E19" s="20">
        <f>E16*E18</f>
        <v>1582252.6700993315</v>
      </c>
      <c r="F19" s="20"/>
      <c r="G19" s="20"/>
      <c r="H19" s="20">
        <f>H16*H18</f>
        <v>2073530.2414393232</v>
      </c>
      <c r="I19" s="20"/>
      <c r="J19" s="20">
        <f>J16*J18</f>
        <v>3655782.911538654</v>
      </c>
    </row>
    <row r="20" spans="1:12" ht="15">
      <c r="A20" s="57">
        <f t="shared" si="0"/>
        <v>12</v>
      </c>
      <c r="C20" s="7" t="s">
        <v>31</v>
      </c>
      <c r="E20" s="68">
        <v>0</v>
      </c>
      <c r="F20" s="20"/>
      <c r="G20" s="20"/>
      <c r="H20" s="20">
        <f>221.21+3688.86+82.91+152.69+4361.14+458.31-39782+11224.84</f>
        <v>-19592.039999999997</v>
      </c>
      <c r="I20" s="20"/>
      <c r="J20" s="20">
        <f>SUM(H20+E20)</f>
        <v>-19592.039999999997</v>
      </c>
      <c r="L20" s="7">
        <f>221.21+3688.86+82.91+152.69+4361.14+458.31-39782+11224.84</f>
        <v>-19592.039999999997</v>
      </c>
    </row>
    <row r="21" spans="1:12" ht="15">
      <c r="A21" s="57">
        <f t="shared" si="0"/>
        <v>13</v>
      </c>
      <c r="C21" s="7" t="s">
        <v>30</v>
      </c>
      <c r="E21" s="20">
        <f>179787.07+464.47</f>
        <v>180251.54</v>
      </c>
      <c r="F21" s="20"/>
      <c r="G21" s="20"/>
      <c r="H21" s="20">
        <v>0</v>
      </c>
      <c r="I21" s="20"/>
      <c r="J21" s="20">
        <f aca="true" t="shared" si="3" ref="J21:J29">SUM(H21+E21)</f>
        <v>180251.54</v>
      </c>
      <c r="L21" s="7">
        <f>179787.07+464.47</f>
        <v>180251.54</v>
      </c>
    </row>
    <row r="22" spans="1:12" ht="15">
      <c r="A22" s="57">
        <f t="shared" si="0"/>
        <v>14</v>
      </c>
      <c r="C22" s="7" t="s">
        <v>29</v>
      </c>
      <c r="E22" s="20">
        <v>35210.76</v>
      </c>
      <c r="F22" s="20"/>
      <c r="G22" s="20"/>
      <c r="H22" s="20">
        <v>0</v>
      </c>
      <c r="I22" s="20"/>
      <c r="J22" s="20">
        <f t="shared" si="3"/>
        <v>35210.76</v>
      </c>
      <c r="L22" s="7">
        <v>35211</v>
      </c>
    </row>
    <row r="23" spans="1:12" ht="15">
      <c r="A23" s="57">
        <f t="shared" si="0"/>
        <v>15</v>
      </c>
      <c r="C23" s="7" t="s">
        <v>28</v>
      </c>
      <c r="E23" s="20">
        <v>0</v>
      </c>
      <c r="F23" s="20"/>
      <c r="G23" s="20"/>
      <c r="H23" s="20">
        <v>367343.62999999995</v>
      </c>
      <c r="I23" s="20"/>
      <c r="J23" s="20">
        <f t="shared" si="3"/>
        <v>367343.62999999995</v>
      </c>
      <c r="L23" s="7">
        <f>103.38+1131.45+363974.12+37.22+221.05+1873.11+3.3</f>
        <v>367343.62999999995</v>
      </c>
    </row>
    <row r="24" spans="1:12" ht="15">
      <c r="A24" s="57">
        <f t="shared" si="0"/>
        <v>16</v>
      </c>
      <c r="C24" s="7" t="s">
        <v>54</v>
      </c>
      <c r="E24" s="20">
        <v>0</v>
      </c>
      <c r="F24" s="20"/>
      <c r="G24" s="20"/>
      <c r="H24" s="20">
        <v>2956.29</v>
      </c>
      <c r="I24" s="20"/>
      <c r="J24" s="20">
        <f t="shared" si="3"/>
        <v>2956.29</v>
      </c>
      <c r="L24" s="7">
        <f>78.8+1455.23+21.79+1398.07+2.4</f>
        <v>2956.29</v>
      </c>
    </row>
    <row r="25" spans="1:10" ht="15">
      <c r="A25" s="57">
        <f t="shared" si="0"/>
        <v>17</v>
      </c>
      <c r="C25" s="7" t="s">
        <v>55</v>
      </c>
      <c r="E25" s="20">
        <v>0</v>
      </c>
      <c r="F25" s="20"/>
      <c r="G25" s="20"/>
      <c r="H25" s="20">
        <v>0</v>
      </c>
      <c r="I25" s="20"/>
      <c r="J25" s="20">
        <f t="shared" si="3"/>
        <v>0</v>
      </c>
    </row>
    <row r="26" spans="1:10" ht="15">
      <c r="A26" s="57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57">
        <f t="shared" si="0"/>
        <v>19</v>
      </c>
      <c r="C27" s="7" t="s">
        <v>26</v>
      </c>
      <c r="E27" s="20">
        <v>39162.86</v>
      </c>
      <c r="F27" s="20"/>
      <c r="G27" s="20"/>
      <c r="H27" s="20">
        <v>0</v>
      </c>
      <c r="I27" s="20"/>
      <c r="J27" s="20">
        <f t="shared" si="3"/>
        <v>39162.86</v>
      </c>
    </row>
    <row r="28" spans="1:10" ht="15">
      <c r="A28" s="57">
        <f t="shared" si="0"/>
        <v>20</v>
      </c>
      <c r="C28" s="7" t="s">
        <v>25</v>
      </c>
      <c r="E28" s="20">
        <v>0</v>
      </c>
      <c r="F28" s="20"/>
      <c r="G28" s="20"/>
      <c r="H28" s="20">
        <v>0</v>
      </c>
      <c r="I28" s="20"/>
      <c r="J28" s="20">
        <f t="shared" si="3"/>
        <v>0</v>
      </c>
    </row>
    <row r="29" spans="1:10" ht="17.25">
      <c r="A29" s="57">
        <f t="shared" si="0"/>
        <v>21</v>
      </c>
      <c r="C29" s="7" t="s">
        <v>24</v>
      </c>
      <c r="E29" s="53">
        <v>2528</v>
      </c>
      <c r="F29" s="20"/>
      <c r="G29" s="20"/>
      <c r="H29" s="49">
        <v>0</v>
      </c>
      <c r="I29" s="20"/>
      <c r="J29" s="20">
        <f t="shared" si="3"/>
        <v>2528</v>
      </c>
    </row>
    <row r="30" spans="1:12" ht="15.75" thickBot="1">
      <c r="A30" s="56">
        <f t="shared" si="0"/>
        <v>22</v>
      </c>
      <c r="B30" s="1"/>
      <c r="C30" s="21" t="s">
        <v>23</v>
      </c>
      <c r="D30" s="1"/>
      <c r="E30" s="54">
        <f>SUM(E19:E29)</f>
        <v>1845396.447182665</v>
      </c>
      <c r="F30" s="55"/>
      <c r="G30" s="55"/>
      <c r="H30" s="54">
        <f>SUM(H18:H29)</f>
        <v>2424238.1303476566</v>
      </c>
      <c r="I30" s="55"/>
      <c r="J30" s="54">
        <f>SUM(J19:J29)</f>
        <v>4269634.5686219875</v>
      </c>
      <c r="L30" s="47" t="s">
        <v>52</v>
      </c>
    </row>
    <row r="31" spans="1:12" ht="15.75" thickTop="1">
      <c r="A31" s="57">
        <f t="shared" si="0"/>
        <v>23</v>
      </c>
      <c r="C31" s="7" t="s">
        <v>22</v>
      </c>
      <c r="E31" s="22">
        <v>0</v>
      </c>
      <c r="F31" s="20"/>
      <c r="G31" s="20"/>
      <c r="H31" s="20">
        <f>567.51+8287.86+44561.74+185.79+25270.69+10353.46+17.44</f>
        <v>89244.48999999999</v>
      </c>
      <c r="I31" s="20"/>
      <c r="J31" s="20">
        <f>E31+H31</f>
        <v>89244.48999999999</v>
      </c>
      <c r="L31" s="7">
        <v>89244</v>
      </c>
    </row>
    <row r="32" spans="1:12" ht="15">
      <c r="A32" s="57">
        <f t="shared" si="0"/>
        <v>24</v>
      </c>
      <c r="C32" s="7" t="s">
        <v>89</v>
      </c>
      <c r="E32" s="7">
        <f>401.85+1145.03+18375.1+129.19+2360.41+9019.93+3.95+38.58+825.33+8.04+135.23-13600+0.25+4.81-8.99+1015.35</f>
        <v>19854.06</v>
      </c>
      <c r="F32" s="20"/>
      <c r="G32" s="20"/>
      <c r="H32" s="20">
        <v>0</v>
      </c>
      <c r="I32" s="20"/>
      <c r="J32" s="20">
        <f>E32+H32</f>
        <v>19854.06</v>
      </c>
      <c r="L32" s="7">
        <f>401.85+1145.03+18375.1+129.19+2360.41+9019.93+3.95+38.58+825.33+8.04+135.23-13600+0.25+4.81-8.99+1015.35</f>
        <v>19854.06</v>
      </c>
    </row>
    <row r="33" spans="1:10" ht="15.75" thickBot="1">
      <c r="A33" s="56">
        <f t="shared" si="0"/>
        <v>25</v>
      </c>
      <c r="B33" s="1"/>
      <c r="C33" s="21" t="s">
        <v>20</v>
      </c>
      <c r="D33" s="1"/>
      <c r="E33" s="54">
        <f>SUM(E31:E32)</f>
        <v>19854.06</v>
      </c>
      <c r="F33" s="54"/>
      <c r="G33" s="81"/>
      <c r="H33" s="54">
        <f>SUM(H31:H32)</f>
        <v>89244.48999999999</v>
      </c>
      <c r="I33" s="81"/>
      <c r="J33" s="54">
        <f>SUM(J31:J32)</f>
        <v>109098.54999999999</v>
      </c>
    </row>
    <row r="34" spans="1:10" ht="15.75" thickTop="1">
      <c r="A34" s="57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57">
        <f t="shared" si="0"/>
        <v>27</v>
      </c>
      <c r="C35" s="7" t="s">
        <v>18</v>
      </c>
      <c r="E35" s="20">
        <f>February!E35</f>
        <v>85313.7025</v>
      </c>
      <c r="F35" s="20"/>
      <c r="G35" s="20"/>
      <c r="H35" s="20"/>
      <c r="I35" s="20"/>
      <c r="J35" s="20"/>
    </row>
    <row r="36" spans="1:10" ht="15">
      <c r="A36" s="57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2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56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1609022.9080450889</v>
      </c>
    </row>
    <row r="38" spans="1:10" ht="15.75" thickTop="1">
      <c r="A38" s="56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2688600.436526057</v>
      </c>
      <c r="F38" s="55">
        <f t="shared" si="5"/>
        <v>0</v>
      </c>
      <c r="G38" s="55">
        <f t="shared" si="5"/>
        <v>0</v>
      </c>
      <c r="H38" s="55">
        <f t="shared" si="5"/>
        <v>3384469.3015493536</v>
      </c>
      <c r="I38" s="55">
        <f t="shared" si="5"/>
        <v>0</v>
      </c>
      <c r="J38" s="55">
        <f t="shared" si="5"/>
        <v>5987756.026667076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PageLayoutView="0" workbookViewId="0" topLeftCell="B1">
      <selection activeCell="J9" sqref="J9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7.14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74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57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56" t="s">
        <v>43</v>
      </c>
      <c r="D7" s="1"/>
      <c r="E7" s="103"/>
      <c r="F7" s="1"/>
      <c r="G7" s="1"/>
      <c r="H7" s="103"/>
      <c r="I7" s="1"/>
      <c r="J7" s="103"/>
    </row>
    <row r="8" ht="15">
      <c r="A8" s="57"/>
    </row>
    <row r="9" spans="1:10" ht="15">
      <c r="A9" s="57">
        <v>1</v>
      </c>
      <c r="C9" s="7" t="s">
        <v>42</v>
      </c>
      <c r="E9" s="97">
        <f>Depreciation!C9</f>
        <v>253225681.30000007</v>
      </c>
      <c r="F9" s="20"/>
      <c r="G9" s="20"/>
      <c r="H9" s="18">
        <f>January!H8</f>
        <v>327193411.905</v>
      </c>
      <c r="I9" s="20"/>
      <c r="J9" s="20">
        <f>E9+H9</f>
        <v>580419093.205</v>
      </c>
    </row>
    <row r="10" spans="1:10" ht="15">
      <c r="A10" s="57">
        <f aca="true" t="shared" si="0" ref="A10:A38">A9+1</f>
        <v>2</v>
      </c>
      <c r="C10" s="7" t="s">
        <v>41</v>
      </c>
      <c r="E10" s="20">
        <f>Depreciation!I9</f>
        <v>59059182.91091963</v>
      </c>
      <c r="F10" s="20"/>
      <c r="G10" s="20"/>
      <c r="H10" s="20">
        <f>Depreciation!I24</f>
        <v>71845834.58640565</v>
      </c>
      <c r="I10" s="20"/>
      <c r="J10" s="20">
        <f>E10+H10</f>
        <v>130905017.49732527</v>
      </c>
    </row>
    <row r="11" spans="1:10" ht="15">
      <c r="A11" s="57">
        <f t="shared" si="0"/>
        <v>3</v>
      </c>
      <c r="C11" s="7" t="s">
        <v>40</v>
      </c>
      <c r="E11" s="20">
        <f>ADFIT!C7</f>
        <v>20736496</v>
      </c>
      <c r="F11" s="20"/>
      <c r="G11" s="20"/>
      <c r="H11" s="20">
        <f>ADFIT!G7</f>
        <v>24137786</v>
      </c>
      <c r="I11" s="20"/>
      <c r="J11" s="20">
        <f>SUM(E11+H11)</f>
        <v>44874282</v>
      </c>
    </row>
    <row r="12" spans="1:10" ht="15">
      <c r="A12" s="57">
        <f t="shared" si="0"/>
        <v>4</v>
      </c>
      <c r="C12" s="7" t="s">
        <v>39</v>
      </c>
      <c r="E12" s="55">
        <f aca="true" t="shared" si="1" ref="E12:J12">E9-E10-E11</f>
        <v>173430002.38908044</v>
      </c>
      <c r="F12" s="55">
        <f t="shared" si="1"/>
        <v>0</v>
      </c>
      <c r="G12" s="55">
        <f t="shared" si="1"/>
        <v>0</v>
      </c>
      <c r="H12" s="55">
        <f t="shared" si="1"/>
        <v>231209791.31859434</v>
      </c>
      <c r="I12" s="55">
        <f t="shared" si="1"/>
        <v>0</v>
      </c>
      <c r="J12" s="55">
        <f t="shared" si="1"/>
        <v>404639793.70767474</v>
      </c>
    </row>
    <row r="13" spans="1:10" ht="15">
      <c r="A13" s="57">
        <f t="shared" si="0"/>
        <v>5</v>
      </c>
      <c r="C13" s="7" t="s">
        <v>38</v>
      </c>
      <c r="E13" s="20">
        <f>'S2'!L26</f>
        <v>2791671.1</v>
      </c>
      <c r="F13" s="20"/>
      <c r="G13" s="20"/>
      <c r="H13" s="20"/>
      <c r="I13" s="20"/>
      <c r="J13" s="20">
        <f>SUM(E13:H13)</f>
        <v>2791671.1</v>
      </c>
    </row>
    <row r="14" spans="1:10" ht="15">
      <c r="A14" s="57">
        <f t="shared" si="0"/>
        <v>6</v>
      </c>
      <c r="C14" s="7" t="s">
        <v>37</v>
      </c>
      <c r="E14" s="20">
        <f>'AN'!L26+NOx!L26</f>
        <v>209599</v>
      </c>
      <c r="F14" s="20"/>
      <c r="G14" s="20"/>
      <c r="H14" s="20"/>
      <c r="I14" s="20"/>
      <c r="J14" s="20">
        <f>SUM(E14:H14)</f>
        <v>209599</v>
      </c>
    </row>
    <row r="15" spans="1:10" ht="15">
      <c r="A15" s="57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56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176782552.3713721</v>
      </c>
      <c r="F16" s="55">
        <f t="shared" si="2"/>
        <v>0</v>
      </c>
      <c r="G16" s="55">
        <f t="shared" si="2"/>
        <v>0</v>
      </c>
      <c r="H16" s="54">
        <f t="shared" si="2"/>
        <v>231789638.65359434</v>
      </c>
      <c r="I16" s="55">
        <f t="shared" si="2"/>
        <v>0</v>
      </c>
      <c r="J16" s="54">
        <f t="shared" si="2"/>
        <v>408572191.0249664</v>
      </c>
    </row>
    <row r="17" spans="1:10" ht="15.75" thickTop="1">
      <c r="A17" s="57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57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48">
        <v>0.0772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57">
        <f t="shared" si="0"/>
        <v>11</v>
      </c>
      <c r="C19" s="7" t="s">
        <v>32</v>
      </c>
      <c r="E19" s="20">
        <f>E16*E18</f>
        <v>1574837.9040416398</v>
      </c>
      <c r="F19" s="20"/>
      <c r="G19" s="20"/>
      <c r="H19" s="20">
        <f>H16*H18</f>
        <v>2064859.3643391028</v>
      </c>
      <c r="I19" s="20"/>
      <c r="J19" s="20">
        <f>J16*J18</f>
        <v>3639697.268380742</v>
      </c>
    </row>
    <row r="20" spans="1:12" ht="15">
      <c r="A20" s="57">
        <f t="shared" si="0"/>
        <v>12</v>
      </c>
      <c r="C20" s="7" t="s">
        <v>31</v>
      </c>
      <c r="E20" s="20">
        <v>0</v>
      </c>
      <c r="F20" s="20"/>
      <c r="G20" s="20"/>
      <c r="H20" s="20">
        <f>127.78+2990.33+141.56+46.35+21806.84+454.51+4032.8+1766.35-72868.79+11074.85</f>
        <v>-30427.42</v>
      </c>
      <c r="I20" s="20"/>
      <c r="J20" s="20">
        <f>H20+E20</f>
        <v>-30427.42</v>
      </c>
      <c r="L20" s="7">
        <f>127.78+2990.33+141.56+46.35+21806.84+454.51+4032.8+1766.35+11074.85-72868.79</f>
        <v>-30427.42</v>
      </c>
    </row>
    <row r="21" spans="1:12" ht="15">
      <c r="A21" s="57">
        <f t="shared" si="0"/>
        <v>13</v>
      </c>
      <c r="C21" s="7" t="s">
        <v>30</v>
      </c>
      <c r="E21" s="20">
        <f>209992.73+5.19+1254.82</f>
        <v>211252.74000000002</v>
      </c>
      <c r="F21" s="20"/>
      <c r="G21" s="20"/>
      <c r="H21" s="20">
        <v>0</v>
      </c>
      <c r="I21" s="20"/>
      <c r="J21" s="20">
        <f aca="true" t="shared" si="3" ref="J21:J29">SUM(H21+E21)</f>
        <v>211252.74000000002</v>
      </c>
      <c r="L21" s="7">
        <f>209992.73+5.19+1254.82</f>
        <v>211252.74000000002</v>
      </c>
    </row>
    <row r="22" spans="1:12" ht="15">
      <c r="A22" s="57">
        <f t="shared" si="0"/>
        <v>14</v>
      </c>
      <c r="C22" s="7" t="s">
        <v>29</v>
      </c>
      <c r="E22" s="20">
        <f>28675.12+5.19</f>
        <v>28680.309999999998</v>
      </c>
      <c r="F22" s="20"/>
      <c r="G22" s="20"/>
      <c r="H22" s="20">
        <v>0</v>
      </c>
      <c r="I22" s="20"/>
      <c r="J22" s="20">
        <f t="shared" si="3"/>
        <v>28680.309999999998</v>
      </c>
      <c r="L22" s="7">
        <f>28675.12+5.19+0.01</f>
        <v>28680.319999999996</v>
      </c>
    </row>
    <row r="23" spans="1:12" ht="15">
      <c r="A23" s="57">
        <f t="shared" si="0"/>
        <v>15</v>
      </c>
      <c r="C23" s="7" t="s">
        <v>28</v>
      </c>
      <c r="E23" s="20">
        <v>0</v>
      </c>
      <c r="F23" s="20"/>
      <c r="G23" s="20"/>
      <c r="H23" s="20">
        <v>492186.42</v>
      </c>
      <c r="I23" s="20"/>
      <c r="J23" s="20">
        <f t="shared" si="3"/>
        <v>492186.42</v>
      </c>
      <c r="L23" s="7">
        <f>52.46+1030.42+488975.95+19.29+1600.89+507.41</f>
        <v>492186.42</v>
      </c>
    </row>
    <row r="24" spans="1:12" ht="15">
      <c r="A24" s="57">
        <f t="shared" si="0"/>
        <v>16</v>
      </c>
      <c r="C24" s="7" t="s">
        <v>54</v>
      </c>
      <c r="E24" s="20">
        <v>0</v>
      </c>
      <c r="F24" s="20"/>
      <c r="G24" s="20"/>
      <c r="H24" s="20">
        <v>2490.3700000000003</v>
      </c>
      <c r="I24" s="20"/>
      <c r="J24" s="20">
        <f t="shared" si="3"/>
        <v>2490.3700000000003</v>
      </c>
      <c r="L24" s="7">
        <f>40.41+1180.19+14.77+1254.39+0.61</f>
        <v>2490.3700000000003</v>
      </c>
    </row>
    <row r="25" spans="1:12" ht="15">
      <c r="A25" s="57">
        <f t="shared" si="0"/>
        <v>17</v>
      </c>
      <c r="C25" s="7" t="s">
        <v>55</v>
      </c>
      <c r="E25" s="20">
        <v>0</v>
      </c>
      <c r="F25" s="20"/>
      <c r="G25" s="20"/>
      <c r="H25" s="20">
        <v>1470.44</v>
      </c>
      <c r="I25" s="20"/>
      <c r="J25" s="20">
        <f t="shared" si="3"/>
        <v>1470.44</v>
      </c>
      <c r="L25" s="7">
        <v>1470</v>
      </c>
    </row>
    <row r="26" spans="1:10" ht="15">
      <c r="A26" s="57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57">
        <f t="shared" si="0"/>
        <v>19</v>
      </c>
      <c r="C27" s="7" t="s">
        <v>26</v>
      </c>
      <c r="E27" s="20">
        <f>'S2'!L25</f>
        <v>49925.3</v>
      </c>
      <c r="F27" s="20"/>
      <c r="G27" s="20"/>
      <c r="H27" s="20">
        <v>0</v>
      </c>
      <c r="I27" s="20"/>
      <c r="J27" s="20">
        <f t="shared" si="3"/>
        <v>49925.3</v>
      </c>
    </row>
    <row r="28" spans="1:10" ht="15">
      <c r="A28" s="57">
        <f t="shared" si="0"/>
        <v>20</v>
      </c>
      <c r="C28" s="7" t="s">
        <v>25</v>
      </c>
      <c r="E28" s="20">
        <f>NOx!L25</f>
        <v>0</v>
      </c>
      <c r="F28" s="20"/>
      <c r="G28" s="20"/>
      <c r="H28" s="20">
        <v>0</v>
      </c>
      <c r="I28" s="20"/>
      <c r="J28" s="20">
        <f t="shared" si="3"/>
        <v>0</v>
      </c>
    </row>
    <row r="29" spans="1:10" ht="17.25">
      <c r="A29" s="57">
        <f t="shared" si="0"/>
        <v>21</v>
      </c>
      <c r="C29" s="7" t="s">
        <v>24</v>
      </c>
      <c r="E29" s="53">
        <f>'AN'!L25</f>
        <v>2198</v>
      </c>
      <c r="F29" s="20"/>
      <c r="G29" s="20"/>
      <c r="H29" s="49">
        <v>0</v>
      </c>
      <c r="I29" s="20"/>
      <c r="J29" s="20">
        <f t="shared" si="3"/>
        <v>2198</v>
      </c>
    </row>
    <row r="30" spans="1:10" ht="15.75" thickBot="1">
      <c r="A30" s="56">
        <f t="shared" si="0"/>
        <v>22</v>
      </c>
      <c r="B30" s="1"/>
      <c r="C30" s="21" t="s">
        <v>23</v>
      </c>
      <c r="D30" s="1"/>
      <c r="E30" s="54">
        <f>SUM(E19:E29)</f>
        <v>1872884.8711249733</v>
      </c>
      <c r="F30" s="55"/>
      <c r="G30" s="55"/>
      <c r="H30" s="54">
        <f>SUM(H18:H29)</f>
        <v>2530579.1832474363</v>
      </c>
      <c r="I30" s="55"/>
      <c r="J30" s="54">
        <f>SUM(J19:J29)</f>
        <v>4403464.045464076</v>
      </c>
    </row>
    <row r="31" spans="1:12" ht="15.75" thickTop="1">
      <c r="A31" s="57">
        <f t="shared" si="0"/>
        <v>23</v>
      </c>
      <c r="C31" s="7" t="s">
        <v>22</v>
      </c>
      <c r="E31" s="22">
        <v>0</v>
      </c>
      <c r="F31" s="20"/>
      <c r="G31" s="20"/>
      <c r="H31" s="20">
        <f>316.97+9168.47+1032.54+460.14+16820.63+9253.54+5.05</f>
        <v>37057.340000000004</v>
      </c>
      <c r="I31" s="20"/>
      <c r="J31" s="20">
        <f>E31+H31</f>
        <v>37057.340000000004</v>
      </c>
      <c r="L31" s="7">
        <f>316.97+9168.47+1032.54+460.14+16820.63+9253.54+5.05</f>
        <v>37057.340000000004</v>
      </c>
    </row>
    <row r="32" spans="1:12" ht="15">
      <c r="A32" s="57">
        <f t="shared" si="0"/>
        <v>24</v>
      </c>
      <c r="C32" s="7" t="s">
        <v>89</v>
      </c>
      <c r="E32" s="20">
        <f>-64.81+18372.14+67.07+1976.81+5963.17+1.07+24.49+1.46+0.42+9.15+1305.36+2.94+64.76+0.05</f>
        <v>27724.079999999994</v>
      </c>
      <c r="F32" s="20"/>
      <c r="G32" s="20"/>
      <c r="H32" s="20">
        <v>0</v>
      </c>
      <c r="I32" s="20"/>
      <c r="J32" s="20">
        <f>E32+H32</f>
        <v>27724.079999999994</v>
      </c>
      <c r="L32" s="7">
        <f>1305.36+2.94+64.76+0.05+18372.14-64.81+67.07+1976.81+5963.17+1.07+24.49+1.46+0.42+9.15</f>
        <v>27724.079999999998</v>
      </c>
    </row>
    <row r="33" spans="1:10" ht="15.75" thickBot="1">
      <c r="A33" s="56">
        <f t="shared" si="0"/>
        <v>25</v>
      </c>
      <c r="B33" s="1"/>
      <c r="C33" s="21" t="s">
        <v>20</v>
      </c>
      <c r="D33" s="1"/>
      <c r="E33" s="54">
        <f>SUM(E31:E32)</f>
        <v>27724.079999999994</v>
      </c>
      <c r="F33" s="54"/>
      <c r="G33" s="81"/>
      <c r="H33" s="54">
        <f>SUM(H31:H32)</f>
        <v>37057.340000000004</v>
      </c>
      <c r="I33" s="81"/>
      <c r="J33" s="54">
        <f>SUM(J31:J32)</f>
        <v>64781.42</v>
      </c>
    </row>
    <row r="34" spans="1:10" ht="15.75" thickTop="1">
      <c r="A34" s="57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57">
        <f t="shared" si="0"/>
        <v>27</v>
      </c>
      <c r="C35" s="7" t="s">
        <v>18</v>
      </c>
      <c r="E35" s="20">
        <f>March!E35</f>
        <v>85313.7025</v>
      </c>
      <c r="F35" s="20"/>
      <c r="G35" s="20"/>
      <c r="H35" s="20">
        <v>0</v>
      </c>
      <c r="I35" s="20"/>
      <c r="J35" s="20">
        <f>E35+H35</f>
        <v>85313.7025</v>
      </c>
    </row>
    <row r="36" spans="1:10" ht="15">
      <c r="A36" s="57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2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56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56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2723958.880468365</v>
      </c>
      <c r="F38" s="55">
        <f t="shared" si="5"/>
        <v>0</v>
      </c>
      <c r="G38" s="55">
        <f t="shared" si="5"/>
        <v>0</v>
      </c>
      <c r="H38" s="55">
        <f t="shared" si="5"/>
        <v>3438623.2044491335</v>
      </c>
      <c r="I38" s="55">
        <f t="shared" si="5"/>
        <v>0</v>
      </c>
      <c r="J38" s="55">
        <f t="shared" si="5"/>
        <v>6162582.076009165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PageLayoutView="0" workbookViewId="0" topLeftCell="A1">
      <selection activeCell="N35" sqref="N35:N36"/>
    </sheetView>
  </sheetViews>
  <sheetFormatPr defaultColWidth="8.8515625" defaultRowHeight="15"/>
  <cols>
    <col min="1" max="1" width="5.28125" style="7" customWidth="1"/>
    <col min="2" max="2" width="1.28515625" style="7" customWidth="1"/>
    <col min="3" max="3" width="40.28125" style="7" customWidth="1"/>
    <col min="4" max="4" width="8.57421875" style="7" customWidth="1"/>
    <col min="5" max="5" width="18.140625" style="7" customWidth="1"/>
    <col min="6" max="6" width="0" style="7" hidden="1" customWidth="1"/>
    <col min="7" max="7" width="1.28515625" style="7" customWidth="1"/>
    <col min="8" max="8" width="18.8515625" style="7" customWidth="1"/>
    <col min="9" max="9" width="1.7109375" style="7" customWidth="1"/>
    <col min="10" max="10" width="18.00390625" style="7" customWidth="1"/>
    <col min="11" max="16384" width="8.8515625" style="7" customWidth="1"/>
  </cols>
  <sheetData>
    <row r="2" spans="1:10" ht="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106" t="s">
        <v>76</v>
      </c>
      <c r="B4" s="105"/>
      <c r="C4" s="105"/>
      <c r="D4" s="105"/>
      <c r="E4" s="105"/>
      <c r="F4" s="105"/>
      <c r="G4" s="105"/>
      <c r="H4" s="105"/>
      <c r="I4" s="105"/>
      <c r="J4" s="105"/>
    </row>
    <row r="5" ht="15">
      <c r="A5" s="57"/>
    </row>
    <row r="6" spans="1:10" ht="15">
      <c r="A6" s="103" t="s">
        <v>47</v>
      </c>
      <c r="B6" s="1"/>
      <c r="C6" s="1"/>
      <c r="D6" s="1"/>
      <c r="E6" s="103" t="s">
        <v>46</v>
      </c>
      <c r="F6" s="1"/>
      <c r="G6" s="1"/>
      <c r="H6" s="103" t="s">
        <v>45</v>
      </c>
      <c r="I6" s="1"/>
      <c r="J6" s="103" t="s">
        <v>44</v>
      </c>
    </row>
    <row r="7" spans="1:10" ht="15">
      <c r="A7" s="103"/>
      <c r="B7" s="1"/>
      <c r="C7" s="56" t="s">
        <v>43</v>
      </c>
      <c r="D7" s="1"/>
      <c r="E7" s="103"/>
      <c r="F7" s="1"/>
      <c r="G7" s="1"/>
      <c r="H7" s="103"/>
      <c r="I7" s="1"/>
      <c r="J7" s="103"/>
    </row>
    <row r="8" ht="15">
      <c r="A8" s="57"/>
    </row>
    <row r="9" spans="1:10" ht="15">
      <c r="A9" s="57">
        <v>1</v>
      </c>
      <c r="C9" s="7" t="s">
        <v>42</v>
      </c>
      <c r="E9" s="97">
        <f>Depreciation!C10</f>
        <v>253225681.30000007</v>
      </c>
      <c r="F9" s="20"/>
      <c r="G9" s="20"/>
      <c r="H9" s="18">
        <f>January!H8</f>
        <v>327193411.905</v>
      </c>
      <c r="I9" s="20"/>
      <c r="J9" s="20">
        <f>E9+H9</f>
        <v>580419093.205</v>
      </c>
    </row>
    <row r="10" spans="1:10" ht="15">
      <c r="A10" s="57">
        <f aca="true" t="shared" si="0" ref="A10:A38">A9+1</f>
        <v>2</v>
      </c>
      <c r="C10" s="7" t="s">
        <v>41</v>
      </c>
      <c r="E10" s="20">
        <f>Depreciation!I10</f>
        <v>59783631.047704466</v>
      </c>
      <c r="F10" s="20"/>
      <c r="G10" s="20"/>
      <c r="H10" s="20">
        <f>Depreciation!I25</f>
        <v>72699264.06912452</v>
      </c>
      <c r="I10" s="20"/>
      <c r="J10" s="20">
        <f>E10+H10</f>
        <v>132482895.11682898</v>
      </c>
    </row>
    <row r="11" spans="1:10" ht="15">
      <c r="A11" s="57">
        <f t="shared" si="0"/>
        <v>3</v>
      </c>
      <c r="C11" s="7" t="s">
        <v>40</v>
      </c>
      <c r="E11" s="20">
        <f>ADFIT!C8</f>
        <v>20792265</v>
      </c>
      <c r="F11" s="20"/>
      <c r="G11" s="20"/>
      <c r="H11" s="20">
        <f>ADFIT!G8</f>
        <v>24257701</v>
      </c>
      <c r="I11" s="20"/>
      <c r="J11" s="20">
        <f>SUM(E11+H11)</f>
        <v>45049966</v>
      </c>
    </row>
    <row r="12" spans="1:10" ht="15">
      <c r="A12" s="57">
        <f t="shared" si="0"/>
        <v>4</v>
      </c>
      <c r="C12" s="7" t="s">
        <v>39</v>
      </c>
      <c r="E12" s="55">
        <f aca="true" t="shared" si="1" ref="E12:J12">E9-E10-E11</f>
        <v>172649785.2522956</v>
      </c>
      <c r="F12" s="55">
        <f t="shared" si="1"/>
        <v>0</v>
      </c>
      <c r="G12" s="55">
        <f t="shared" si="1"/>
        <v>0</v>
      </c>
      <c r="H12" s="55">
        <f t="shared" si="1"/>
        <v>230236446.83587545</v>
      </c>
      <c r="I12" s="55">
        <f t="shared" si="1"/>
        <v>0</v>
      </c>
      <c r="J12" s="55">
        <f t="shared" si="1"/>
        <v>402886232.08817106</v>
      </c>
    </row>
    <row r="13" spans="1:10" ht="15">
      <c r="A13" s="57">
        <f t="shared" si="0"/>
        <v>5</v>
      </c>
      <c r="C13" s="7" t="s">
        <v>38</v>
      </c>
      <c r="E13" s="20">
        <f>'S2'!L31</f>
        <v>2766006.02</v>
      </c>
      <c r="F13" s="20"/>
      <c r="G13" s="20"/>
      <c r="H13" s="20">
        <v>0</v>
      </c>
      <c r="I13" s="20"/>
      <c r="J13" s="20">
        <f>SUM(E13:H13)</f>
        <v>2766006.02</v>
      </c>
    </row>
    <row r="14" spans="1:10" ht="15">
      <c r="A14" s="57">
        <f t="shared" si="0"/>
        <v>6</v>
      </c>
      <c r="C14" s="7" t="s">
        <v>37</v>
      </c>
      <c r="E14" s="65">
        <f>'AN'!L31+NOx!L31</f>
        <v>206654</v>
      </c>
      <c r="F14" s="20"/>
      <c r="G14" s="20"/>
      <c r="H14" s="20">
        <v>0</v>
      </c>
      <c r="I14" s="20"/>
      <c r="J14" s="20">
        <f>SUM(E14:H14)</f>
        <v>206654</v>
      </c>
    </row>
    <row r="15" spans="1:10" ht="15">
      <c r="A15" s="57">
        <f t="shared" si="0"/>
        <v>7</v>
      </c>
      <c r="C15" s="7" t="s">
        <v>36</v>
      </c>
      <c r="E15" s="52">
        <f>'Cash Working Capital'!$C$21</f>
        <v>351279.88229166664</v>
      </c>
      <c r="F15" s="20"/>
      <c r="G15" s="20"/>
      <c r="H15" s="52">
        <f>'Cash Working Capital'!$E$21</f>
        <v>579847.335</v>
      </c>
      <c r="I15" s="20"/>
      <c r="J15" s="52">
        <f>SUM(E15+H15)</f>
        <v>931127.2172916667</v>
      </c>
    </row>
    <row r="16" spans="1:10" ht="15.75" thickBot="1">
      <c r="A16" s="56">
        <f t="shared" si="0"/>
        <v>8</v>
      </c>
      <c r="B16" s="1"/>
      <c r="C16" s="21" t="s">
        <v>35</v>
      </c>
      <c r="D16" s="1"/>
      <c r="E16" s="54">
        <f aca="true" t="shared" si="2" ref="E16:J16">SUM(E12:E15)</f>
        <v>175973725.1545873</v>
      </c>
      <c r="F16" s="55">
        <f t="shared" si="2"/>
        <v>0</v>
      </c>
      <c r="G16" s="55">
        <f t="shared" si="2"/>
        <v>0</v>
      </c>
      <c r="H16" s="54">
        <f t="shared" si="2"/>
        <v>230816294.17087546</v>
      </c>
      <c r="I16" s="55">
        <f t="shared" si="2"/>
        <v>0</v>
      </c>
      <c r="J16" s="54">
        <f t="shared" si="2"/>
        <v>406790019.3254627</v>
      </c>
    </row>
    <row r="17" spans="1:10" ht="15.75" thickTop="1">
      <c r="A17" s="57">
        <f t="shared" si="0"/>
        <v>9</v>
      </c>
      <c r="C17" s="7" t="s">
        <v>34</v>
      </c>
      <c r="D17" s="48">
        <f>January!D16</f>
        <v>0.1069</v>
      </c>
      <c r="F17" s="20"/>
      <c r="G17" s="20"/>
      <c r="H17" s="48" t="s">
        <v>52</v>
      </c>
      <c r="I17" s="20"/>
      <c r="J17" s="20"/>
    </row>
    <row r="18" spans="1:10" ht="15">
      <c r="A18" s="57">
        <f t="shared" si="0"/>
        <v>10</v>
      </c>
      <c r="C18" s="7" t="s">
        <v>33</v>
      </c>
      <c r="E18" s="48">
        <f>D17/12</f>
        <v>0.008908333333333332</v>
      </c>
      <c r="F18" s="48">
        <v>0.0772</v>
      </c>
      <c r="G18" s="98" t="s">
        <v>52</v>
      </c>
      <c r="H18" s="48">
        <f>E18</f>
        <v>0.008908333333333332</v>
      </c>
      <c r="I18" s="48"/>
      <c r="J18" s="48">
        <f>H18</f>
        <v>0.008908333333333332</v>
      </c>
    </row>
    <row r="19" spans="1:10" ht="15">
      <c r="A19" s="57">
        <f t="shared" si="0"/>
        <v>11</v>
      </c>
      <c r="C19" s="7" t="s">
        <v>32</v>
      </c>
      <c r="E19" s="20">
        <f>E16*E18</f>
        <v>1567632.6015854483</v>
      </c>
      <c r="F19" s="20"/>
      <c r="G19" s="20"/>
      <c r="H19" s="20">
        <f>H16*H18</f>
        <v>2056188.4872388819</v>
      </c>
      <c r="I19" s="20"/>
      <c r="J19" s="20">
        <f>J16*J18</f>
        <v>3623821.08882433</v>
      </c>
    </row>
    <row r="20" spans="1:12" ht="15">
      <c r="A20" s="57">
        <f t="shared" si="0"/>
        <v>12</v>
      </c>
      <c r="C20" s="7" t="s">
        <v>31</v>
      </c>
      <c r="E20" s="69">
        <v>0</v>
      </c>
      <c r="F20" s="20"/>
      <c r="G20" s="20"/>
      <c r="H20" s="20">
        <v>7215</v>
      </c>
      <c r="I20" s="20"/>
      <c r="J20" s="20">
        <f>SUM(H20+E20)</f>
        <v>7215</v>
      </c>
      <c r="K20" s="7" t="s">
        <v>52</v>
      </c>
      <c r="L20" s="7">
        <f>230.72+5406.6+1116.97+30048.52+337.44+4135.45+765.61-45323.63+10497.26</f>
        <v>7214.9400000000005</v>
      </c>
    </row>
    <row r="21" spans="1:12" ht="15">
      <c r="A21" s="57">
        <f t="shared" si="0"/>
        <v>13</v>
      </c>
      <c r="C21" s="7" t="s">
        <v>30</v>
      </c>
      <c r="E21" s="20">
        <f>165053.73+2.91+1302.31</f>
        <v>166358.95</v>
      </c>
      <c r="F21" s="20"/>
      <c r="G21" s="20"/>
      <c r="H21" s="20">
        <v>0</v>
      </c>
      <c r="I21" s="20"/>
      <c r="J21" s="20">
        <f aca="true" t="shared" si="3" ref="J21:J29">SUM(H21+E21)</f>
        <v>166358.95</v>
      </c>
      <c r="L21" s="7">
        <f>165053.73+2.91+1302.31</f>
        <v>166358.95</v>
      </c>
    </row>
    <row r="22" spans="1:12" ht="15">
      <c r="A22" s="57">
        <f t="shared" si="0"/>
        <v>14</v>
      </c>
      <c r="C22" s="7" t="s">
        <v>29</v>
      </c>
      <c r="E22" s="20">
        <f>32608.29+2.91+336.82</f>
        <v>32948.020000000004</v>
      </c>
      <c r="F22" s="20"/>
      <c r="G22" s="20"/>
      <c r="H22" s="20">
        <v>0</v>
      </c>
      <c r="I22" s="20"/>
      <c r="J22" s="20">
        <f t="shared" si="3"/>
        <v>32948.020000000004</v>
      </c>
      <c r="L22" s="7">
        <f>32608.29+2.91+336.82</f>
        <v>32948.020000000004</v>
      </c>
    </row>
    <row r="23" spans="1:12" ht="15">
      <c r="A23" s="57">
        <f t="shared" si="0"/>
        <v>15</v>
      </c>
      <c r="C23" s="7" t="s">
        <v>28</v>
      </c>
      <c r="E23" s="20">
        <v>0</v>
      </c>
      <c r="F23" s="20"/>
      <c r="G23" s="20"/>
      <c r="H23" s="20">
        <v>329091.65</v>
      </c>
      <c r="I23" s="20"/>
      <c r="J23" s="20">
        <f>H23+E23</f>
        <v>329091.65</v>
      </c>
      <c r="L23" s="7">
        <f>184.55+4127.7+319480.35+31.68+3010.03+2257.34</f>
        <v>329091.65</v>
      </c>
    </row>
    <row r="24" spans="1:12" ht="15">
      <c r="A24" s="57">
        <f t="shared" si="0"/>
        <v>16</v>
      </c>
      <c r="C24" s="7" t="s">
        <v>54</v>
      </c>
      <c r="E24" s="69">
        <v>0</v>
      </c>
      <c r="F24" s="20"/>
      <c r="G24" s="20"/>
      <c r="H24" s="20">
        <v>2695.92</v>
      </c>
      <c r="I24" s="20"/>
      <c r="J24" s="20">
        <f>E24</f>
        <v>0</v>
      </c>
      <c r="L24" s="7">
        <f>73.24+1390.57+9.96+1220+2.15</f>
        <v>2695.92</v>
      </c>
    </row>
    <row r="25" spans="1:12" ht="15">
      <c r="A25" s="57">
        <f t="shared" si="0"/>
        <v>17</v>
      </c>
      <c r="C25" s="7" t="s">
        <v>55</v>
      </c>
      <c r="E25" s="20">
        <v>0</v>
      </c>
      <c r="F25" s="20"/>
      <c r="G25" s="20"/>
      <c r="H25" s="20">
        <v>3418</v>
      </c>
      <c r="I25" s="20"/>
      <c r="J25" s="20">
        <f t="shared" si="3"/>
        <v>3418</v>
      </c>
      <c r="L25" s="7">
        <f>2801.86+616.58</f>
        <v>3418.44</v>
      </c>
    </row>
    <row r="26" spans="1:10" ht="15">
      <c r="A26" s="57">
        <f t="shared" si="0"/>
        <v>18</v>
      </c>
      <c r="C26" s="7" t="s">
        <v>27</v>
      </c>
      <c r="E26" s="20">
        <f>0.5*143774.81/12</f>
        <v>5990.6170833333335</v>
      </c>
      <c r="F26" s="20"/>
      <c r="G26" s="20"/>
      <c r="H26" s="20">
        <v>0</v>
      </c>
      <c r="I26" s="20"/>
      <c r="J26" s="20">
        <f t="shared" si="3"/>
        <v>5990.6170833333335</v>
      </c>
    </row>
    <row r="27" spans="1:10" ht="15">
      <c r="A27" s="57">
        <f t="shared" si="0"/>
        <v>19</v>
      </c>
      <c r="C27" s="7" t="s">
        <v>26</v>
      </c>
      <c r="E27" s="20">
        <f>'S2'!L30</f>
        <v>25665.08</v>
      </c>
      <c r="F27" s="20"/>
      <c r="G27" s="20"/>
      <c r="H27" s="20">
        <v>0</v>
      </c>
      <c r="I27" s="20"/>
      <c r="J27" s="20">
        <f t="shared" si="3"/>
        <v>25665.08</v>
      </c>
    </row>
    <row r="28" spans="1:10" ht="15">
      <c r="A28" s="57">
        <f t="shared" si="0"/>
        <v>20</v>
      </c>
      <c r="C28" s="7" t="s">
        <v>25</v>
      </c>
      <c r="E28" s="20">
        <f>NOx!L30</f>
        <v>1170</v>
      </c>
      <c r="F28" s="20"/>
      <c r="G28" s="20"/>
      <c r="H28" s="20">
        <v>0</v>
      </c>
      <c r="I28" s="20"/>
      <c r="J28" s="20">
        <f t="shared" si="3"/>
        <v>1170</v>
      </c>
    </row>
    <row r="29" spans="1:10" ht="15">
      <c r="A29" s="57">
        <f t="shared" si="0"/>
        <v>21</v>
      </c>
      <c r="C29" s="7" t="s">
        <v>24</v>
      </c>
      <c r="E29" s="53">
        <f>'AN'!L30</f>
        <v>1775</v>
      </c>
      <c r="F29" s="20"/>
      <c r="G29" s="20"/>
      <c r="H29" s="20">
        <v>0</v>
      </c>
      <c r="I29" s="20"/>
      <c r="J29" s="20">
        <f t="shared" si="3"/>
        <v>1775</v>
      </c>
    </row>
    <row r="30" spans="1:10" ht="15.75" thickBot="1">
      <c r="A30" s="56">
        <f t="shared" si="0"/>
        <v>22</v>
      </c>
      <c r="B30" s="1"/>
      <c r="C30" s="21" t="s">
        <v>23</v>
      </c>
      <c r="D30" s="1"/>
      <c r="E30" s="54">
        <f>SUM(E19:E29)</f>
        <v>1801540.2686687817</v>
      </c>
      <c r="F30" s="55"/>
      <c r="G30" s="55"/>
      <c r="H30" s="54">
        <f>SUM(H18:H29)</f>
        <v>2398609.066147215</v>
      </c>
      <c r="I30" s="55"/>
      <c r="J30" s="54">
        <f>SUM(J19:J29)</f>
        <v>4197453.4059076635</v>
      </c>
    </row>
    <row r="31" spans="1:12" ht="15.75" thickTop="1">
      <c r="A31" s="57">
        <f t="shared" si="0"/>
        <v>23</v>
      </c>
      <c r="C31" s="7" t="s">
        <v>22</v>
      </c>
      <c r="E31" s="22">
        <v>0</v>
      </c>
      <c r="F31" s="20"/>
      <c r="G31" s="20"/>
      <c r="H31" s="20">
        <v>94525</v>
      </c>
      <c r="I31" s="20"/>
      <c r="J31" s="20">
        <f>E31+H31</f>
        <v>94525</v>
      </c>
      <c r="L31" s="7">
        <f>574.97+17909.18+11285+2461.02+52687.83+9590.19+16.83</f>
        <v>94525.02</v>
      </c>
    </row>
    <row r="32" spans="1:12" ht="15">
      <c r="A32" s="57">
        <f t="shared" si="0"/>
        <v>24</v>
      </c>
      <c r="C32" s="7" t="s">
        <v>89</v>
      </c>
      <c r="E32" s="20">
        <f>6.91+83.37+9863.66+0.21+1.24+1.11+13.91+0.02+0.93+3767.52+3.22+72.54+624.08+0.09+445.17+3508.03+22.57+489.61+214.13+0.64+2.47+0.23+4.52+0.23+3.19+72.14+327.22+0.09+2.15+26.02+0.08+35007+4.77+102.73+0.14-6167.5+375+0.09-739+805.5+0.74+1.06+24.24+0.02+120.87+1950.53+6980.71+3.55+32.37</f>
        <v>58060.119999999995</v>
      </c>
      <c r="F32" s="20"/>
      <c r="G32" s="20"/>
      <c r="H32" s="20">
        <v>0</v>
      </c>
      <c r="I32" s="20"/>
      <c r="J32" s="20">
        <f>E32+H32</f>
        <v>58060.119999999995</v>
      </c>
      <c r="L32" s="7">
        <f>6.91+83.37+9863.66+0.21+1.24+1.11+13.91+0.02+0.93+3767.52+3.22+72.54+624.08+0.09+445.17+3508.03+22.57+489.61+214.13+0.64+2.47+0.23+4.52+0.23+3.19+72.14+327.22+0.09+805.5+0.74+1.06+24.24+0.02+2.15+26.02+0.08+35007+120.87+1950.53+6980.71+3.55+32.37+4.77+102.73+0.14-6167.5+375+0.09-739</f>
        <v>58060.12000000002</v>
      </c>
    </row>
    <row r="33" spans="1:10" ht="15.75" thickBot="1">
      <c r="A33" s="56">
        <f t="shared" si="0"/>
        <v>25</v>
      </c>
      <c r="B33" s="1"/>
      <c r="C33" s="21" t="s">
        <v>20</v>
      </c>
      <c r="D33" s="1"/>
      <c r="E33" s="54">
        <f>SUM(E31:E32)</f>
        <v>58060.119999999995</v>
      </c>
      <c r="F33" s="54"/>
      <c r="G33" s="81"/>
      <c r="H33" s="54">
        <f>SUM(H31:H32)</f>
        <v>94525</v>
      </c>
      <c r="I33" s="81"/>
      <c r="J33" s="54">
        <f>SUM(J31:J32)</f>
        <v>152585.12</v>
      </c>
    </row>
    <row r="34" spans="1:10" ht="15.75" thickTop="1">
      <c r="A34" s="57">
        <f t="shared" si="0"/>
        <v>26</v>
      </c>
      <c r="C34" s="7" t="s">
        <v>19</v>
      </c>
      <c r="E34" s="20">
        <f>Depreciation!G7</f>
        <v>724448.1367848336</v>
      </c>
      <c r="F34" s="20"/>
      <c r="G34" s="20"/>
      <c r="H34" s="20">
        <f>Depreciation!G22</f>
        <v>853429.482718875</v>
      </c>
      <c r="I34" s="20"/>
      <c r="J34" s="20">
        <f>SUM(E34+H34)</f>
        <v>1577877.6195037086</v>
      </c>
    </row>
    <row r="35" spans="1:10" ht="15">
      <c r="A35" s="57">
        <f t="shared" si="0"/>
        <v>27</v>
      </c>
      <c r="C35" s="7" t="s">
        <v>18</v>
      </c>
      <c r="E35" s="20">
        <f>April!E35</f>
        <v>85313.7025</v>
      </c>
      <c r="F35" s="20"/>
      <c r="G35" s="20"/>
      <c r="H35" s="20"/>
      <c r="I35" s="20"/>
      <c r="J35" s="20">
        <f>E35+H35</f>
        <v>85313.7025</v>
      </c>
    </row>
    <row r="36" spans="1:10" ht="15">
      <c r="A36" s="57">
        <f t="shared" si="0"/>
        <v>28</v>
      </c>
      <c r="C36" s="7" t="s">
        <v>17</v>
      </c>
      <c r="E36" s="47">
        <f>(E9*Marshall_Rate*WV_List*PC_Percent)/12</f>
        <v>13588.090058558004</v>
      </c>
      <c r="F36" s="20"/>
      <c r="G36" s="20"/>
      <c r="H36" s="47">
        <f>(H9*Marshall_Rate*WV_List*PC_Percent)/12</f>
        <v>17557.198482822296</v>
      </c>
      <c r="I36" s="20"/>
      <c r="J36" s="20">
        <f>E36+H36</f>
        <v>31145.2885413803</v>
      </c>
    </row>
    <row r="37" spans="1:10" ht="15.75" thickBot="1">
      <c r="A37" s="56">
        <f t="shared" si="0"/>
        <v>29</v>
      </c>
      <c r="B37" s="1"/>
      <c r="C37" s="21" t="s">
        <v>16</v>
      </c>
      <c r="D37" s="1"/>
      <c r="E37" s="54">
        <f aca="true" t="shared" si="4" ref="E37:J37">SUM(E34:E36)</f>
        <v>823349.9293433917</v>
      </c>
      <c r="F37" s="54">
        <f t="shared" si="4"/>
        <v>0</v>
      </c>
      <c r="G37" s="54">
        <f t="shared" si="4"/>
        <v>0</v>
      </c>
      <c r="H37" s="54">
        <f t="shared" si="4"/>
        <v>870986.6812016973</v>
      </c>
      <c r="I37" s="54">
        <f t="shared" si="4"/>
        <v>0</v>
      </c>
      <c r="J37" s="54">
        <f t="shared" si="4"/>
        <v>1694336.6105450888</v>
      </c>
    </row>
    <row r="38" spans="1:10" ht="15.75" thickTop="1">
      <c r="A38" s="56">
        <f t="shared" si="0"/>
        <v>30</v>
      </c>
      <c r="B38" s="1"/>
      <c r="C38" s="21" t="s">
        <v>15</v>
      </c>
      <c r="D38" s="1"/>
      <c r="E38" s="55">
        <f aca="true" t="shared" si="5" ref="E38:J38">SUM(E30+E33+E37)</f>
        <v>2682950.3180121733</v>
      </c>
      <c r="F38" s="55">
        <f t="shared" si="5"/>
        <v>0</v>
      </c>
      <c r="G38" s="55">
        <f t="shared" si="5"/>
        <v>0</v>
      </c>
      <c r="H38" s="55">
        <f t="shared" si="5"/>
        <v>3364120.7473489125</v>
      </c>
      <c r="I38" s="55">
        <f t="shared" si="5"/>
        <v>0</v>
      </c>
      <c r="J38" s="55">
        <f t="shared" si="5"/>
        <v>6044375.136452752</v>
      </c>
    </row>
  </sheetData>
  <sheetProtection/>
  <mergeCells count="7">
    <mergeCell ref="A2:J2"/>
    <mergeCell ref="A3:J3"/>
    <mergeCell ref="A4:J4"/>
    <mergeCell ref="A6:A7"/>
    <mergeCell ref="E6:E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AEP</cp:lastModifiedBy>
  <cp:lastPrinted>2014-11-25T14:23:20Z</cp:lastPrinted>
  <dcterms:created xsi:type="dcterms:W3CDTF">2014-05-23T15:04:27Z</dcterms:created>
  <dcterms:modified xsi:type="dcterms:W3CDTF">2014-11-25T20:37:06Z</dcterms:modified>
  <cp:category/>
  <cp:version/>
  <cp:contentType/>
  <cp:contentStatus/>
</cp:coreProperties>
</file>