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20100" windowHeight="9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Sheet1!$I$5:$P$25</definedName>
  </definedNames>
  <calcPr calcId="125725"/>
</workbook>
</file>

<file path=xl/calcChain.xml><?xml version="1.0" encoding="utf-8"?>
<calcChain xmlns="http://schemas.openxmlformats.org/spreadsheetml/2006/main">
  <c r="K28" i="1"/>
  <c r="L28"/>
  <c r="K29"/>
  <c r="L29"/>
  <c r="K30"/>
  <c r="L30"/>
  <c r="K8"/>
  <c r="L8"/>
  <c r="K9"/>
  <c r="L9"/>
  <c r="K10"/>
  <c r="L10"/>
  <c r="K13"/>
  <c r="L13"/>
  <c r="K14"/>
  <c r="L14"/>
  <c r="K15"/>
  <c r="L15"/>
  <c r="P30" l="1"/>
  <c r="O30"/>
  <c r="N30"/>
  <c r="M30"/>
  <c r="G47"/>
  <c r="F47"/>
  <c r="E47"/>
  <c r="D47"/>
  <c r="C47"/>
  <c r="B47"/>
  <c r="D32"/>
  <c r="G32"/>
  <c r="F32"/>
  <c r="E32"/>
  <c r="C32"/>
  <c r="B32"/>
  <c r="B17"/>
  <c r="G17"/>
  <c r="F17"/>
  <c r="E17"/>
  <c r="D17"/>
  <c r="C17"/>
  <c r="P25"/>
  <c r="O25"/>
  <c r="N25"/>
  <c r="M25"/>
  <c r="P24"/>
  <c r="O24"/>
  <c r="N24"/>
  <c r="M24"/>
  <c r="P23"/>
  <c r="O23"/>
  <c r="N23"/>
  <c r="M23"/>
  <c r="P20"/>
  <c r="O20"/>
  <c r="N20"/>
  <c r="M20"/>
  <c r="P19"/>
  <c r="O19"/>
  <c r="N19"/>
  <c r="M19"/>
  <c r="P18"/>
  <c r="O18"/>
  <c r="N18"/>
  <c r="M18"/>
  <c r="P15"/>
  <c r="O15"/>
  <c r="N15"/>
  <c r="M15"/>
  <c r="P14"/>
  <c r="O14"/>
  <c r="N14"/>
  <c r="M14"/>
  <c r="P13"/>
  <c r="O13"/>
  <c r="N13"/>
  <c r="M13"/>
  <c r="P10"/>
  <c r="O10"/>
  <c r="N10"/>
  <c r="M10"/>
  <c r="P9"/>
  <c r="O9"/>
  <c r="N9"/>
  <c r="M9"/>
  <c r="P8"/>
  <c r="O8"/>
  <c r="N8"/>
  <c r="M8"/>
  <c r="P29"/>
  <c r="O29"/>
  <c r="N29"/>
  <c r="M29"/>
  <c r="P28"/>
  <c r="O28"/>
  <c r="N28"/>
  <c r="M28"/>
  <c r="B24"/>
  <c r="G24"/>
  <c r="F24"/>
  <c r="E24"/>
  <c r="D24"/>
  <c r="C24"/>
  <c r="F42"/>
  <c r="F41"/>
  <c r="C12"/>
  <c r="G45"/>
  <c r="F45"/>
  <c r="E45"/>
  <c r="D45"/>
  <c r="G44"/>
  <c r="F44"/>
  <c r="E44"/>
  <c r="D44"/>
  <c r="G42"/>
  <c r="E42"/>
  <c r="D42"/>
  <c r="C42"/>
  <c r="B42"/>
  <c r="G41"/>
  <c r="E41"/>
  <c r="D41"/>
  <c r="C41"/>
  <c r="B41"/>
  <c r="G39"/>
  <c r="F39"/>
  <c r="E39"/>
  <c r="D39"/>
  <c r="C39"/>
  <c r="B39"/>
  <c r="G30"/>
  <c r="F30"/>
  <c r="E30"/>
  <c r="D30"/>
  <c r="G29"/>
  <c r="F29"/>
  <c r="E29"/>
  <c r="D29"/>
  <c r="E15"/>
  <c r="G27"/>
  <c r="F27"/>
  <c r="E27"/>
  <c r="D27"/>
  <c r="C27"/>
  <c r="B27"/>
  <c r="G26"/>
  <c r="F26"/>
  <c r="E26"/>
  <c r="D26"/>
  <c r="C26"/>
  <c r="B26"/>
  <c r="G15"/>
  <c r="F15"/>
  <c r="D15"/>
  <c r="G14"/>
  <c r="F14"/>
  <c r="E14"/>
  <c r="D14"/>
  <c r="G12"/>
  <c r="F12"/>
  <c r="E12"/>
  <c r="D12"/>
  <c r="B12"/>
  <c r="G11"/>
  <c r="F11"/>
  <c r="E11"/>
  <c r="D11"/>
  <c r="C11"/>
  <c r="B11"/>
  <c r="G9"/>
  <c r="F9"/>
  <c r="E9"/>
  <c r="D9"/>
  <c r="C9"/>
  <c r="B9"/>
</calcChain>
</file>

<file path=xl/sharedStrings.xml><?xml version="1.0" encoding="utf-8"?>
<sst xmlns="http://schemas.openxmlformats.org/spreadsheetml/2006/main" count="74" uniqueCount="24">
  <si>
    <t>Big Sandy 1</t>
  </si>
  <si>
    <t>Big Sandy 2</t>
  </si>
  <si>
    <t>Big Sandy Plant</t>
  </si>
  <si>
    <t>Rockort 1</t>
  </si>
  <si>
    <t>Rockport 2</t>
  </si>
  <si>
    <t>Mitchell 1</t>
  </si>
  <si>
    <t>Mitchell 2</t>
  </si>
  <si>
    <t>Nov. 2013</t>
  </si>
  <si>
    <t>Dec. 2013</t>
  </si>
  <si>
    <t>Jan. 2014</t>
  </si>
  <si>
    <t>Feb. 2014</t>
  </si>
  <si>
    <t>Mar. 2014</t>
  </si>
  <si>
    <t>Apr. 2014</t>
  </si>
  <si>
    <t>Fuel Cost $ Per MWH By Generating Plant</t>
  </si>
  <si>
    <t>Fuel Cost $ Per MWH Allocated to Off-System Sales</t>
  </si>
  <si>
    <t>Fuel Cost $ Per MWH Allocated to Native Load</t>
  </si>
  <si>
    <t xml:space="preserve">      Fuel Cost $ Per MWH By Generating Plant</t>
  </si>
  <si>
    <t xml:space="preserve">      Fuel Cost $ Per MWH Allocated to Off-System Sales</t>
  </si>
  <si>
    <t xml:space="preserve">      Fuel Cost $ Per MWH Allocated to Native Load</t>
  </si>
  <si>
    <t>Rockport 1</t>
  </si>
  <si>
    <t>TOTAL SYSTEM</t>
  </si>
  <si>
    <t>KENTUCKY POWER COMPANY</t>
  </si>
  <si>
    <t xml:space="preserve">COMPARISON OF ACTUAL FUEL EXPENSE PER MWH, FUEL EXPENSE PER MWH CHARGED TO RETAIL NATIVE LOAD CUSTOMERS, </t>
  </si>
  <si>
    <t>AND FUEL EXPENSE PER MWH ALLOCATED TO OFF-SYSTEM SALES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</si>
</sst>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/>
    <xf numFmtId="2" fontId="0" fillId="0" borderId="0" xfId="1" applyNumberFormat="1" applyFont="1" applyAlignment="1">
      <alignment horizontal="center"/>
    </xf>
    <xf numFmtId="0" fontId="3" fillId="0" borderId="0" xfId="0" applyFont="1"/>
    <xf numFmtId="0" fontId="1" fillId="2" borderId="0" xfId="2"/>
    <xf numFmtId="2" fontId="1" fillId="2" borderId="0" xfId="2" applyNumberFormat="1" applyAlignment="1">
      <alignment horizontal="center"/>
    </xf>
    <xf numFmtId="2" fontId="1" fillId="2" borderId="1" xfId="2" applyNumberFormat="1" applyBorder="1" applyAlignment="1">
      <alignment horizontal="center"/>
    </xf>
    <xf numFmtId="0" fontId="3" fillId="2" borderId="0" xfId="2" applyFont="1"/>
    <xf numFmtId="0" fontId="1" fillId="0" borderId="0" xfId="2" applyFill="1"/>
    <xf numFmtId="2" fontId="1" fillId="0" borderId="0" xfId="2" applyNumberFormat="1" applyFill="1" applyAlignment="1">
      <alignment horizontal="center"/>
    </xf>
    <xf numFmtId="0" fontId="0" fillId="0" borderId="0" xfId="0" applyFill="1"/>
    <xf numFmtId="2" fontId="3" fillId="2" borderId="0" xfId="2" applyNumberFormat="1" applyFont="1" applyAlignment="1">
      <alignment horizontal="center"/>
    </xf>
    <xf numFmtId="2" fontId="5" fillId="2" borderId="0" xfId="2" applyNumberFormat="1" applyFont="1" applyAlignment="1">
      <alignment horizontal="center"/>
    </xf>
    <xf numFmtId="0" fontId="0" fillId="3" borderId="0" xfId="0" applyFill="1"/>
    <xf numFmtId="2" fontId="0" fillId="0" borderId="0" xfId="1" applyNumberFormat="1" applyFont="1" applyFill="1" applyAlignment="1">
      <alignment horizontal="center"/>
    </xf>
    <xf numFmtId="2" fontId="1" fillId="0" borderId="0" xfId="2" applyNumberFormat="1" applyFill="1" applyBorder="1" applyAlignment="1">
      <alignment horizontal="center"/>
    </xf>
    <xf numFmtId="2" fontId="3" fillId="0" borderId="0" xfId="2" applyNumberFormat="1" applyFont="1" applyFill="1" applyAlignment="1">
      <alignment horizontal="center"/>
    </xf>
    <xf numFmtId="2" fontId="5" fillId="0" borderId="0" xfId="2" applyNumberFormat="1" applyFont="1" applyFill="1" applyAlignment="1">
      <alignment horizontal="center"/>
    </xf>
    <xf numFmtId="2" fontId="4" fillId="3" borderId="0" xfId="2" applyNumberFormat="1" applyFont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0" fontId="4" fillId="0" borderId="0" xfId="0" applyFont="1" applyFill="1"/>
    <xf numFmtId="0" fontId="4" fillId="3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2" fillId="0" borderId="0" xfId="0" applyFont="1" applyFill="1"/>
    <xf numFmtId="2" fontId="0" fillId="3" borderId="1" xfId="1" applyNumberFormat="1" applyFont="1" applyFill="1" applyBorder="1" applyAlignment="1">
      <alignment horizontal="center"/>
    </xf>
    <xf numFmtId="2" fontId="2" fillId="0" borderId="1" xfId="2" applyNumberFormat="1" applyFont="1" applyFill="1" applyBorder="1" applyAlignment="1">
      <alignment horizontal="center"/>
    </xf>
    <xf numFmtId="0" fontId="3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0" fontId="6" fillId="0" borderId="0" xfId="2" applyFont="1" applyFill="1" applyAlignment="1"/>
    <xf numFmtId="0" fontId="6" fillId="0" borderId="0" xfId="2" applyFont="1" applyFill="1" applyAlignment="1">
      <alignment wrapText="1"/>
    </xf>
    <xf numFmtId="0" fontId="1" fillId="0" borderId="0" xfId="2" applyFill="1" applyAlignment="1">
      <alignment horizontal="right"/>
    </xf>
    <xf numFmtId="0" fontId="3" fillId="0" borderId="0" xfId="2" applyFont="1" applyFill="1"/>
    <xf numFmtId="0" fontId="4" fillId="0" borderId="0" xfId="2" applyFont="1" applyFill="1" applyAlignment="1">
      <alignment wrapText="1"/>
    </xf>
    <xf numFmtId="2" fontId="1" fillId="0" borderId="0" xfId="2" applyNumberFormat="1" applyFont="1" applyFill="1" applyAlignment="1">
      <alignment horizontal="center"/>
    </xf>
    <xf numFmtId="0" fontId="3" fillId="0" borderId="0" xfId="0" applyFont="1" applyFill="1"/>
    <xf numFmtId="0" fontId="3" fillId="0" borderId="0" xfId="2" applyFont="1" applyFill="1" applyAlignment="1"/>
    <xf numFmtId="0" fontId="2" fillId="0" borderId="0" xfId="0" applyFont="1" applyAlignment="1">
      <alignment horizontal="centerContinuous"/>
    </xf>
  </cellXfs>
  <cellStyles count="3">
    <cellStyle name="20% - Accent1" xfId="2" builtinId="3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>
      <selection activeCell="I1" sqref="I1:P30"/>
    </sheetView>
  </sheetViews>
  <sheetFormatPr defaultRowHeight="15"/>
  <cols>
    <col min="1" max="1" width="18.85546875" customWidth="1"/>
    <col min="2" max="7" width="11.28515625" style="2" customWidth="1"/>
    <col min="8" max="8" width="11.28515625" style="14" customWidth="1"/>
    <col min="9" max="9" width="27.7109375" customWidth="1"/>
    <col min="10" max="10" width="16.7109375" customWidth="1"/>
    <col min="11" max="16" width="12" customWidth="1"/>
  </cols>
  <sheetData>
    <row r="1" spans="1:16">
      <c r="I1" s="36" t="s">
        <v>21</v>
      </c>
      <c r="J1" s="36"/>
      <c r="K1" s="36"/>
      <c r="L1" s="36"/>
      <c r="M1" s="36"/>
      <c r="N1" s="36"/>
      <c r="O1" s="36"/>
      <c r="P1" s="36"/>
    </row>
    <row r="2" spans="1:16">
      <c r="I2" s="36" t="s">
        <v>22</v>
      </c>
      <c r="J2" s="36"/>
      <c r="K2" s="36"/>
      <c r="L2" s="36"/>
      <c r="M2" s="36"/>
      <c r="N2" s="36"/>
      <c r="O2" s="36"/>
      <c r="P2" s="36"/>
    </row>
    <row r="3" spans="1:16">
      <c r="I3" s="36" t="s">
        <v>23</v>
      </c>
      <c r="J3" s="36"/>
      <c r="K3" s="36"/>
      <c r="L3" s="36"/>
      <c r="M3" s="36"/>
      <c r="N3" s="36"/>
      <c r="O3" s="36"/>
      <c r="P3" s="36"/>
    </row>
    <row r="4" spans="1:16">
      <c r="I4" s="36"/>
      <c r="J4" s="36"/>
      <c r="K4" s="36"/>
      <c r="L4" s="36"/>
      <c r="M4" s="36"/>
      <c r="N4" s="36"/>
      <c r="O4" s="36"/>
      <c r="P4" s="36"/>
    </row>
    <row r="5" spans="1:16" ht="16.899999999999999" customHeight="1">
      <c r="A5" s="7" t="s">
        <v>13</v>
      </c>
      <c r="B5" s="5"/>
      <c r="C5" s="5"/>
      <c r="D5" s="5"/>
      <c r="E5" s="5"/>
      <c r="F5" s="5"/>
      <c r="G5" s="5"/>
      <c r="H5" s="9"/>
      <c r="I5" s="8"/>
      <c r="J5" s="8"/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5" t="s">
        <v>12</v>
      </c>
    </row>
    <row r="6" spans="1:16" s="1" customFormat="1" ht="15.75">
      <c r="A6" s="4"/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15"/>
      <c r="I6" s="30"/>
      <c r="J6" s="30"/>
      <c r="K6" s="16"/>
      <c r="L6" s="16"/>
      <c r="M6" s="16"/>
      <c r="N6" s="16"/>
      <c r="O6" s="16"/>
      <c r="P6" s="16"/>
    </row>
    <row r="7" spans="1:16" ht="14.45" customHeight="1">
      <c r="A7" s="4" t="s">
        <v>0</v>
      </c>
      <c r="B7" s="5"/>
      <c r="C7" s="5"/>
      <c r="D7" s="5"/>
      <c r="E7" s="5"/>
      <c r="F7" s="5"/>
      <c r="G7" s="5"/>
      <c r="H7" s="9"/>
      <c r="I7" s="31" t="s">
        <v>19</v>
      </c>
      <c r="J7" s="31"/>
      <c r="K7" s="16"/>
      <c r="L7" s="16"/>
      <c r="M7" s="16"/>
      <c r="N7" s="16"/>
      <c r="O7" s="16"/>
      <c r="P7" s="16"/>
    </row>
    <row r="8" spans="1:16">
      <c r="A8" s="4" t="s">
        <v>1</v>
      </c>
      <c r="B8" s="5"/>
      <c r="C8" s="5"/>
      <c r="D8" s="5"/>
      <c r="E8" s="5"/>
      <c r="F8" s="5"/>
      <c r="G8" s="5"/>
      <c r="H8" s="9"/>
      <c r="I8" s="28" t="s">
        <v>16</v>
      </c>
      <c r="J8" s="28"/>
      <c r="K8" s="9">
        <f>2907930/113853</f>
        <v>25.541092461331719</v>
      </c>
      <c r="L8" s="9">
        <f>3497660/137910</f>
        <v>25.36190269016025</v>
      </c>
      <c r="M8" s="9">
        <f>3274170/135241</f>
        <v>24.20989197063021</v>
      </c>
      <c r="N8" s="9">
        <f>2459420/94746</f>
        <v>25.958035167711564</v>
      </c>
      <c r="O8" s="9">
        <f>3191500/143800</f>
        <v>22.194019471488179</v>
      </c>
      <c r="P8" s="9">
        <f>2790040/109938</f>
        <v>25.378304135057942</v>
      </c>
    </row>
    <row r="9" spans="1:16">
      <c r="A9" s="4" t="s">
        <v>2</v>
      </c>
      <c r="B9" s="5">
        <f>2075970/SUM(35583+286)</f>
        <v>57.876439265103571</v>
      </c>
      <c r="C9" s="5">
        <f>13224760/SUM(124779+255015)</f>
        <v>34.820876580462041</v>
      </c>
      <c r="D9" s="5">
        <f>19054150/SUM(141915+469235)</f>
        <v>31.177534156917286</v>
      </c>
      <c r="E9" s="5">
        <f>17147650/SUM(154971+425614)</f>
        <v>29.535124055909126</v>
      </c>
      <c r="F9" s="5">
        <f>9283760/SUM(149784+146071)</f>
        <v>31.379425732199895</v>
      </c>
      <c r="G9" s="5">
        <f>14450190/SUM(78200+399940)</f>
        <v>30.22167147697327</v>
      </c>
      <c r="H9" s="9"/>
      <c r="I9" s="28" t="s">
        <v>17</v>
      </c>
      <c r="J9" s="29"/>
      <c r="K9" s="9">
        <f>406400/17421</f>
        <v>23.32816715458355</v>
      </c>
      <c r="L9" s="9">
        <f>1178970/50799</f>
        <v>23.208527726923759</v>
      </c>
      <c r="M9" s="9">
        <f>1262860/57057</f>
        <v>22.133305291200028</v>
      </c>
      <c r="N9" s="9">
        <f>1167490/49491</f>
        <v>23.589945646683237</v>
      </c>
      <c r="O9" s="9">
        <f>1207740/53897</f>
        <v>22.408297307827894</v>
      </c>
      <c r="P9" s="9">
        <f>1480580/64711</f>
        <v>22.879881318477537</v>
      </c>
    </row>
    <row r="10" spans="1:16">
      <c r="A10" s="4"/>
      <c r="B10" s="5"/>
      <c r="C10" s="5"/>
      <c r="D10" s="5"/>
      <c r="E10" s="5"/>
      <c r="F10" s="5"/>
      <c r="G10" s="5"/>
      <c r="H10" s="9"/>
      <c r="I10" s="28" t="s">
        <v>18</v>
      </c>
      <c r="J10" s="29"/>
      <c r="K10" s="9">
        <f>2501530/96432</f>
        <v>25.940870250539241</v>
      </c>
      <c r="L10" s="9">
        <f>2318690/87111</f>
        <v>26.617648747000953</v>
      </c>
      <c r="M10" s="9">
        <f>2011310/78184</f>
        <v>25.725340223063544</v>
      </c>
      <c r="N10" s="9">
        <f>1291930/45255</f>
        <v>28.547784775162967</v>
      </c>
      <c r="O10" s="9">
        <f>1983760/89903</f>
        <v>22.065559547512319</v>
      </c>
      <c r="P10" s="9">
        <f>1309460/45227</f>
        <v>28.953059013421186</v>
      </c>
    </row>
    <row r="11" spans="1:16">
      <c r="A11" s="4" t="s">
        <v>3</v>
      </c>
      <c r="B11" s="5">
        <f>2907930/113853</f>
        <v>25.541092461331719</v>
      </c>
      <c r="C11" s="5">
        <f>3497660/137910</f>
        <v>25.36190269016025</v>
      </c>
      <c r="D11" s="5">
        <f>3274170/135241</f>
        <v>24.20989197063021</v>
      </c>
      <c r="E11" s="5">
        <f>2459420/94746</f>
        <v>25.958035167711564</v>
      </c>
      <c r="F11" s="5">
        <f>3191500/143800</f>
        <v>22.194019471488179</v>
      </c>
      <c r="G11" s="5">
        <f>2790040/109938</f>
        <v>25.378304135057942</v>
      </c>
      <c r="H11" s="9"/>
      <c r="I11" s="8"/>
      <c r="J11" s="8"/>
      <c r="K11" s="9"/>
      <c r="L11" s="9"/>
      <c r="M11" s="9"/>
      <c r="N11" s="9"/>
      <c r="O11" s="9"/>
      <c r="P11" s="9"/>
    </row>
    <row r="12" spans="1:16" ht="15.75">
      <c r="A12" s="4" t="s">
        <v>4</v>
      </c>
      <c r="B12" s="5">
        <f>3204090/126399</f>
        <v>25.349013837134788</v>
      </c>
      <c r="C12" s="5">
        <f>3396930/135072</f>
        <v>25.149031627576402</v>
      </c>
      <c r="D12" s="5">
        <f>3080780/128673</f>
        <v>23.942707483310407</v>
      </c>
      <c r="E12" s="5">
        <f>2539070/95240</f>
        <v>26.659701805963881</v>
      </c>
      <c r="F12" s="5">
        <f>3081680/138629</f>
        <v>22.229692200044724</v>
      </c>
      <c r="G12" s="5">
        <f>2352530/90024</f>
        <v>26.132253621256552</v>
      </c>
      <c r="H12" s="9"/>
      <c r="I12" s="31" t="s">
        <v>4</v>
      </c>
      <c r="J12" s="8"/>
      <c r="K12" s="9"/>
      <c r="L12" s="9"/>
      <c r="M12" s="9"/>
      <c r="N12" s="9"/>
      <c r="O12" s="9"/>
      <c r="P12" s="9"/>
    </row>
    <row r="13" spans="1:16">
      <c r="A13" s="4"/>
      <c r="B13" s="5"/>
      <c r="C13" s="5"/>
      <c r="D13" s="5"/>
      <c r="E13" s="5"/>
      <c r="F13" s="5"/>
      <c r="G13" s="5"/>
      <c r="H13" s="9"/>
      <c r="I13" s="28" t="s">
        <v>16</v>
      </c>
      <c r="J13" s="28"/>
      <c r="K13" s="9">
        <f>3204090/126399</f>
        <v>25.349013837134788</v>
      </c>
      <c r="L13" s="9">
        <f>3396930/135072</f>
        <v>25.149031627576402</v>
      </c>
      <c r="M13" s="9">
        <f>3080780/128673</f>
        <v>23.942707483310407</v>
      </c>
      <c r="N13" s="9">
        <f>2539070/95240</f>
        <v>26.659701805963881</v>
      </c>
      <c r="O13" s="9">
        <f>3081680/138629</f>
        <v>22.229692200044724</v>
      </c>
      <c r="P13" s="9">
        <f>2352530/90024</f>
        <v>26.132253621256552</v>
      </c>
    </row>
    <row r="14" spans="1:16" ht="15.75">
      <c r="A14" s="4" t="s">
        <v>5</v>
      </c>
      <c r="B14" s="5"/>
      <c r="C14" s="5"/>
      <c r="D14" s="5">
        <f>4450960/139495</f>
        <v>31.907666941467436</v>
      </c>
      <c r="E14" s="5">
        <f>1968710/52281</f>
        <v>37.656318739121289</v>
      </c>
      <c r="F14" s="5">
        <f>5522940/180246</f>
        <v>30.64112379747678</v>
      </c>
      <c r="G14" s="5">
        <f>5255910/217935</f>
        <v>24.116869708858147</v>
      </c>
      <c r="H14" s="9"/>
      <c r="I14" s="28" t="s">
        <v>17</v>
      </c>
      <c r="J14" s="32"/>
      <c r="K14" s="33">
        <f>425940/18332</f>
        <v>23.234780711324461</v>
      </c>
      <c r="L14" s="33">
        <f>1004960/43615</f>
        <v>23.041614123581336</v>
      </c>
      <c r="M14" s="33">
        <f>1090060/49753</f>
        <v>21.909432597029326</v>
      </c>
      <c r="N14" s="33">
        <f>895530/38437</f>
        <v>23.298644535213466</v>
      </c>
      <c r="O14" s="33">
        <f>997260/45385</f>
        <v>21.973339208989753</v>
      </c>
      <c r="P14" s="33">
        <f>1150850/50853</f>
        <v>22.63091656342792</v>
      </c>
    </row>
    <row r="15" spans="1:16">
      <c r="A15" s="4" t="s">
        <v>6</v>
      </c>
      <c r="B15" s="5"/>
      <c r="C15" s="5"/>
      <c r="D15" s="5">
        <f>6403180/219535</f>
        <v>29.167012093743594</v>
      </c>
      <c r="E15" s="5">
        <f>7335770/249044</f>
        <v>29.455718668187149</v>
      </c>
      <c r="F15" s="5">
        <f>6347640/250451</f>
        <v>25.344837912406021</v>
      </c>
      <c r="G15" s="5">
        <f>4294640/150979</f>
        <v>28.445280469469264</v>
      </c>
      <c r="H15" s="9"/>
      <c r="I15" s="28" t="s">
        <v>18</v>
      </c>
      <c r="J15" s="29"/>
      <c r="K15" s="9">
        <f>2778150/108068</f>
        <v>25.70742495465818</v>
      </c>
      <c r="L15" s="9">
        <f>2391970/91457</f>
        <v>26.154039603310846</v>
      </c>
      <c r="M15" s="9">
        <f>1990720/78920</f>
        <v>25.224531170805879</v>
      </c>
      <c r="N15" s="9">
        <f>1643530/56804</f>
        <v>28.93334976410112</v>
      </c>
      <c r="O15" s="9">
        <f>2084420/93244</f>
        <v>22.354467847797178</v>
      </c>
      <c r="P15" s="9">
        <f>1201680/39171</f>
        <v>30.677797350080418</v>
      </c>
    </row>
    <row r="16" spans="1:16" s="10" customFormat="1" ht="15.75">
      <c r="A16" s="4"/>
      <c r="B16" s="6"/>
      <c r="C16" s="6"/>
      <c r="D16" s="6"/>
      <c r="E16" s="6"/>
      <c r="F16" s="6"/>
      <c r="G16" s="6"/>
      <c r="H16" s="9"/>
      <c r="I16" s="34"/>
      <c r="J16" s="34"/>
    </row>
    <row r="17" spans="1:16" s="20" customFormat="1" ht="15.75">
      <c r="A17" s="21" t="s">
        <v>20</v>
      </c>
      <c r="B17" s="18">
        <f>SUM(2075970+2907930+3204090)/SUM(35583+286+113853+126399)</f>
        <v>29.653630111436652</v>
      </c>
      <c r="C17" s="18">
        <f>SUM(13224760+3497660+3396930)/SUM(124779+255015+137910+135072)</f>
        <v>30.821215853524027</v>
      </c>
      <c r="D17" s="18">
        <f>SUM(19054150+3274170+3080780+4450960+6403180)/SUM(141915+469235+135241+128673+139495+219535)</f>
        <v>29.384503935680751</v>
      </c>
      <c r="E17" s="18">
        <f>SUM(17147650+2459420+2539070+1968710+7335770)/SUM(154971+425614+94746+95240+52281+249044)</f>
        <v>29.34111145111093</v>
      </c>
      <c r="F17" s="18">
        <f>SUM(9283760+3191500+3081680+5522940+6347640)/SUM(149784+146071+143800+138629+180246+250451)</f>
        <v>27.183386010242018</v>
      </c>
      <c r="G17" s="18">
        <f>SUM(14450190+2790040+2352530+5255910+4294640)/SUM(78200+399940+109938+90024+217935+150979)</f>
        <v>27.834636719973716</v>
      </c>
      <c r="H17" s="19"/>
      <c r="I17" s="35" t="s">
        <v>5</v>
      </c>
      <c r="J17" s="10"/>
      <c r="K17" s="23"/>
      <c r="L17" s="23"/>
      <c r="M17" s="23"/>
      <c r="N17" s="23"/>
      <c r="O17" s="23"/>
      <c r="P17" s="23"/>
    </row>
    <row r="18" spans="1:16" s="3" customFormat="1" ht="15.75">
      <c r="A18" s="8"/>
      <c r="B18" s="9"/>
      <c r="C18" s="9"/>
      <c r="D18" s="9"/>
      <c r="E18" s="9"/>
      <c r="F18" s="9"/>
      <c r="G18" s="9"/>
      <c r="H18" s="16"/>
      <c r="I18" s="28" t="s">
        <v>16</v>
      </c>
      <c r="J18" s="28"/>
      <c r="K18" s="9"/>
      <c r="L18" s="9"/>
      <c r="M18" s="9">
        <f>4450960/139495</f>
        <v>31.907666941467436</v>
      </c>
      <c r="N18" s="9">
        <f>1968710/52281</f>
        <v>37.656318739121289</v>
      </c>
      <c r="O18" s="9">
        <f>5522940/180246</f>
        <v>30.64112379747678</v>
      </c>
      <c r="P18" s="9">
        <f>5255910/217935</f>
        <v>24.116869708858147</v>
      </c>
    </row>
    <row r="19" spans="1:16" ht="15.75">
      <c r="A19" s="7" t="s">
        <v>14</v>
      </c>
      <c r="B19" s="11"/>
      <c r="C19" s="11"/>
      <c r="D19" s="11"/>
      <c r="E19" s="11"/>
      <c r="F19" s="11"/>
      <c r="G19" s="11"/>
      <c r="H19" s="9"/>
      <c r="I19" s="28" t="s">
        <v>17</v>
      </c>
      <c r="J19" s="29"/>
      <c r="K19" s="9"/>
      <c r="L19" s="9"/>
      <c r="M19" s="9">
        <f>637280/26741</f>
        <v>23.831569500018698</v>
      </c>
      <c r="N19" s="9">
        <f>77760/3248</f>
        <v>23.940886699507388</v>
      </c>
      <c r="O19" s="9">
        <f>1960970/79491</f>
        <v>24.669082034444152</v>
      </c>
      <c r="P19" s="9">
        <f>1881980/103339</f>
        <v>18.211710970688703</v>
      </c>
    </row>
    <row r="20" spans="1:16" s="1" customFormat="1">
      <c r="A20" s="4"/>
      <c r="B20" s="5"/>
      <c r="C20" s="5"/>
      <c r="D20" s="5"/>
      <c r="E20" s="5"/>
      <c r="F20" s="5"/>
      <c r="G20" s="5"/>
      <c r="H20" s="15"/>
      <c r="I20" s="28" t="s">
        <v>18</v>
      </c>
      <c r="J20" s="29"/>
      <c r="K20" s="9"/>
      <c r="L20" s="9"/>
      <c r="M20" s="9">
        <f>3813680/112754</f>
        <v>33.823012930805113</v>
      </c>
      <c r="N20" s="9">
        <f>1890950/49033</f>
        <v>38.564844084596089</v>
      </c>
      <c r="O20" s="9">
        <f>3561970/100755</f>
        <v>35.352786462210311</v>
      </c>
      <c r="P20" s="9">
        <f>3373930/114596</f>
        <v>29.441952598694545</v>
      </c>
    </row>
    <row r="21" spans="1:16">
      <c r="A21" s="4"/>
      <c r="B21" s="6" t="s">
        <v>7</v>
      </c>
      <c r="C21" s="6" t="s">
        <v>8</v>
      </c>
      <c r="D21" s="6" t="s">
        <v>9</v>
      </c>
      <c r="E21" s="6" t="s">
        <v>10</v>
      </c>
      <c r="F21" s="6" t="s">
        <v>11</v>
      </c>
      <c r="G21" s="6" t="s">
        <v>12</v>
      </c>
      <c r="H21" s="17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4" t="s">
        <v>0</v>
      </c>
      <c r="B22" s="12"/>
      <c r="C22" s="12"/>
      <c r="D22" s="12"/>
      <c r="E22" s="12"/>
      <c r="F22" s="12"/>
      <c r="G22" s="12"/>
      <c r="H22" s="17"/>
      <c r="I22" s="35" t="s">
        <v>6</v>
      </c>
      <c r="J22" s="10"/>
      <c r="K22" s="10"/>
      <c r="L22" s="10"/>
      <c r="M22" s="10"/>
      <c r="N22" s="10"/>
      <c r="O22" s="10"/>
      <c r="P22" s="10"/>
    </row>
    <row r="23" spans="1:16">
      <c r="A23" s="4" t="s">
        <v>1</v>
      </c>
      <c r="B23" s="12"/>
      <c r="C23" s="12"/>
      <c r="D23" s="12"/>
      <c r="E23" s="12"/>
      <c r="F23" s="12"/>
      <c r="G23" s="12"/>
      <c r="H23" s="9"/>
      <c r="I23" s="28" t="s">
        <v>16</v>
      </c>
      <c r="J23" s="28"/>
      <c r="K23" s="9"/>
      <c r="L23" s="9"/>
      <c r="M23" s="9">
        <f>6403180/219535</f>
        <v>29.167012093743594</v>
      </c>
      <c r="N23" s="9">
        <f>7335770/249044</f>
        <v>29.455718668187149</v>
      </c>
      <c r="O23" s="9">
        <f>6347640/250451</f>
        <v>25.344837912406021</v>
      </c>
      <c r="P23" s="9">
        <f>4294640/150979</f>
        <v>28.445280469469264</v>
      </c>
    </row>
    <row r="24" spans="1:16">
      <c r="A24" s="4" t="s">
        <v>2</v>
      </c>
      <c r="B24" s="5">
        <f>174960/5467</f>
        <v>32.002926650813976</v>
      </c>
      <c r="C24" s="5">
        <f>SUM(2872680+6529530)/SUM(45784+126687)</f>
        <v>54.514730012581822</v>
      </c>
      <c r="D24" s="5">
        <f>SUM(1697450+4934040)/SUM(58702+200463)</f>
        <v>25.587907317731947</v>
      </c>
      <c r="E24" s="5">
        <f>SUM(2353300+5778340)/SUM(79303+224174)</f>
        <v>26.794913617835949</v>
      </c>
      <c r="F24" s="5">
        <f>SUM(1517600+2250130)/SUM(49943+93761)</f>
        <v>26.218685631576019</v>
      </c>
      <c r="G24" s="5">
        <f>SUM(1264620+5781290)/SUM(42678+241962)</f>
        <v>24.753759134345138</v>
      </c>
      <c r="H24" s="9"/>
      <c r="I24" s="28" t="s">
        <v>17</v>
      </c>
      <c r="J24" s="29"/>
      <c r="K24" s="10"/>
      <c r="L24" s="10"/>
      <c r="M24" s="9">
        <f>1149150/48331</f>
        <v>23.776665080383189</v>
      </c>
      <c r="N24" s="9">
        <f>866170/34638</f>
        <v>25.006351405970321</v>
      </c>
      <c r="O24" s="9">
        <f>1738600/74136</f>
        <v>23.451494550555736</v>
      </c>
      <c r="P24" s="9">
        <f>1207180/67373</f>
        <v>17.917860270434744</v>
      </c>
    </row>
    <row r="25" spans="1:16">
      <c r="A25" s="4"/>
      <c r="B25" s="5"/>
      <c r="C25" s="5"/>
      <c r="D25" s="5"/>
      <c r="E25" s="5"/>
      <c r="F25" s="5"/>
      <c r="G25" s="5"/>
      <c r="H25" s="9"/>
      <c r="I25" s="28" t="s">
        <v>18</v>
      </c>
      <c r="J25" s="29"/>
      <c r="K25" s="10"/>
      <c r="L25" s="10"/>
      <c r="M25" s="9">
        <f>5254030/171204</f>
        <v>30.688710544146165</v>
      </c>
      <c r="N25" s="9">
        <f>6469600/214406</f>
        <v>30.174528697890917</v>
      </c>
      <c r="O25" s="9">
        <f>4609040/176315</f>
        <v>26.14094092958625</v>
      </c>
      <c r="P25" s="9">
        <f>3087460/83606</f>
        <v>36.928689328517095</v>
      </c>
    </row>
    <row r="26" spans="1:16">
      <c r="A26" s="4" t="s">
        <v>3</v>
      </c>
      <c r="B26" s="5">
        <f>406400/17421</f>
        <v>23.32816715458355</v>
      </c>
      <c r="C26" s="5">
        <f>1178970/50799</f>
        <v>23.208527726923759</v>
      </c>
      <c r="D26" s="5">
        <f>1262860/57057</f>
        <v>22.133305291200028</v>
      </c>
      <c r="E26" s="5">
        <f>1167490/49491</f>
        <v>23.589945646683237</v>
      </c>
      <c r="F26" s="5">
        <f>1207740/53897</f>
        <v>22.408297307827894</v>
      </c>
      <c r="G26" s="5">
        <f>1480580/64711</f>
        <v>22.879881318477537</v>
      </c>
      <c r="H26" s="9"/>
    </row>
    <row r="27" spans="1:16" ht="15.75">
      <c r="A27" s="4" t="s">
        <v>4</v>
      </c>
      <c r="B27" s="5">
        <f>425940/18332</f>
        <v>23.234780711324461</v>
      </c>
      <c r="C27" s="5">
        <f>1004960/43615</f>
        <v>23.041614123581336</v>
      </c>
      <c r="D27" s="5">
        <f>1090060/49753</f>
        <v>21.909432597029326</v>
      </c>
      <c r="E27" s="5">
        <f>895530/38437</f>
        <v>23.298644535213466</v>
      </c>
      <c r="F27" s="5">
        <f>997260/45385</f>
        <v>21.973339208989753</v>
      </c>
      <c r="G27" s="5">
        <f>1150850/50853</f>
        <v>22.63091656342792</v>
      </c>
      <c r="H27" s="9"/>
      <c r="I27" s="26" t="s">
        <v>2</v>
      </c>
      <c r="J27" s="27"/>
      <c r="K27" s="9"/>
      <c r="L27" s="9"/>
      <c r="M27" s="9"/>
      <c r="N27" s="9"/>
      <c r="O27" s="9"/>
      <c r="P27" s="9"/>
    </row>
    <row r="28" spans="1:16">
      <c r="A28" s="4"/>
      <c r="B28" s="5"/>
      <c r="C28" s="5"/>
      <c r="D28" s="5"/>
      <c r="E28" s="5"/>
      <c r="F28" s="5"/>
      <c r="G28" s="5"/>
      <c r="H28" s="9"/>
      <c r="I28" s="28" t="s">
        <v>16</v>
      </c>
      <c r="J28" s="28"/>
      <c r="K28" s="9">
        <f>2075970/SUM(35583+286)</f>
        <v>57.876439265103571</v>
      </c>
      <c r="L28" s="9">
        <f>13224760/SUM(124779+255015)</f>
        <v>34.820876580462041</v>
      </c>
      <c r="M28" s="9">
        <f>19054150/SUM(141915+469235)</f>
        <v>31.177534156917286</v>
      </c>
      <c r="N28" s="9">
        <f>17147650/SUM(154971+425614)</f>
        <v>29.535124055909126</v>
      </c>
      <c r="O28" s="9">
        <f>9283760/SUM(149784+146071)</f>
        <v>31.379425732199895</v>
      </c>
      <c r="P28" s="9">
        <f>14450190/SUM(78200+399940)</f>
        <v>30.22167147697327</v>
      </c>
    </row>
    <row r="29" spans="1:16">
      <c r="A29" s="4" t="s">
        <v>5</v>
      </c>
      <c r="B29" s="5"/>
      <c r="C29" s="5"/>
      <c r="D29" s="5">
        <f>637280/26741</f>
        <v>23.831569500018698</v>
      </c>
      <c r="E29" s="5">
        <f>77760/3248</f>
        <v>23.940886699507388</v>
      </c>
      <c r="F29" s="5">
        <f>1960970/79491</f>
        <v>24.669082034444152</v>
      </c>
      <c r="G29" s="5">
        <f>1881980/103339</f>
        <v>18.211710970688703</v>
      </c>
      <c r="H29" s="9"/>
      <c r="I29" s="28" t="s">
        <v>17</v>
      </c>
      <c r="J29" s="29"/>
      <c r="K29" s="9">
        <f>174960/5467</f>
        <v>32.002926650813976</v>
      </c>
      <c r="L29" s="9">
        <f>SUM(2872680+6529530)/SUM(45784+126687)</f>
        <v>54.514730012581822</v>
      </c>
      <c r="M29" s="9">
        <f>SUM(1697450+4934040)/SUM(58702+200463)</f>
        <v>25.587907317731947</v>
      </c>
      <c r="N29" s="9">
        <f>SUM(2353300+5778340)/SUM(79303+224174)</f>
        <v>26.794913617835949</v>
      </c>
      <c r="O29" s="9">
        <f>SUM(1517600+2250130)/SUM(49943+93761)</f>
        <v>26.218685631576019</v>
      </c>
      <c r="P29" s="9">
        <f>SUM(1264620+5781290)/SUM(42678+241962)</f>
        <v>24.753759134345138</v>
      </c>
    </row>
    <row r="30" spans="1:16">
      <c r="A30" s="4" t="s">
        <v>6</v>
      </c>
      <c r="B30" s="5"/>
      <c r="C30" s="5"/>
      <c r="D30" s="5">
        <f>1149150/48331</f>
        <v>23.776665080383189</v>
      </c>
      <c r="E30" s="5">
        <f>866170/34638</f>
        <v>25.006351405970321</v>
      </c>
      <c r="F30" s="5">
        <f>1738600/74136</f>
        <v>23.451494550555736</v>
      </c>
      <c r="G30" s="5">
        <f>1207180/67373</f>
        <v>17.917860270434744</v>
      </c>
      <c r="H30" s="9"/>
      <c r="I30" s="28" t="s">
        <v>18</v>
      </c>
      <c r="J30" s="29"/>
      <c r="K30" s="9">
        <f>1901010/SUM(30116+286)</f>
        <v>62.529109926978485</v>
      </c>
      <c r="L30" s="9">
        <f>3822550/SUM(78995+128328)</f>
        <v>18.437655252914535</v>
      </c>
      <c r="M30" s="9">
        <f>12422660/SUM(83213+268772)</f>
        <v>35.293151696805261</v>
      </c>
      <c r="N30" s="9">
        <f>9016010/SUM(75668+201440)</f>
        <v>32.536087013005762</v>
      </c>
      <c r="O30" s="9">
        <f>5516030/SUM(99841+52310)</f>
        <v>36.253655907618089</v>
      </c>
      <c r="P30" s="9">
        <f>7404280/SUM(35522+157978)</f>
        <v>38.265012919896641</v>
      </c>
    </row>
    <row r="31" spans="1:16" ht="21" customHeight="1">
      <c r="A31" s="4"/>
      <c r="B31" s="6"/>
      <c r="C31" s="6"/>
      <c r="D31" s="6"/>
      <c r="E31" s="6"/>
      <c r="F31" s="6"/>
      <c r="G31" s="6"/>
      <c r="I31" s="1"/>
      <c r="J31" s="1"/>
    </row>
    <row r="32" spans="1:16" ht="15.75">
      <c r="A32" s="21" t="s">
        <v>20</v>
      </c>
      <c r="B32" s="18">
        <f>SUM(174960+406400+425940)/SUM(5467+17421+18332)</f>
        <v>24.437166424065989</v>
      </c>
      <c r="C32" s="18">
        <f>SUM(2872680+6529530+1178970+1004960)/SUM(45784+126687+50799+43615)</f>
        <v>43.412481031155743</v>
      </c>
      <c r="D32" s="18">
        <f>SUM(1697450+4934040+1262860+1090060+637280+1149150)/SUM(58702+200463+57057+49753+26741+48331)</f>
        <v>24.421070770235371</v>
      </c>
      <c r="E32" s="18">
        <f>SUM(2353300+5778340+1167490+895530+77760+866170)/SUM(79303+224174+49491+38437+3248+34638)</f>
        <v>25.946479194765324</v>
      </c>
      <c r="F32" s="18">
        <f>SUM(1517600+2250130+1207740+997260+1960970+1738600)/SUM(49943+93761+53897+45385+79491+74136)</f>
        <v>24.387249031171443</v>
      </c>
      <c r="G32" s="18">
        <f>SUM(1264620+5781290+1480580+1150850+1881980+1207180)/SUM(42678+241962+64711+50853+103339+67373)</f>
        <v>22.36143320558541</v>
      </c>
      <c r="H32" s="9"/>
    </row>
    <row r="33" spans="1:16" s="10" customFormat="1" ht="15.75">
      <c r="A33" s="22"/>
      <c r="B33" s="19"/>
      <c r="C33" s="19"/>
      <c r="D33" s="19"/>
      <c r="E33" s="19"/>
      <c r="F33" s="19"/>
      <c r="G33" s="19"/>
      <c r="H33" s="9"/>
      <c r="I33"/>
      <c r="J33"/>
      <c r="K33"/>
      <c r="L33"/>
      <c r="M33"/>
      <c r="N33"/>
      <c r="O33"/>
      <c r="P33"/>
    </row>
    <row r="34" spans="1:16" ht="15.75">
      <c r="A34" s="7" t="s">
        <v>15</v>
      </c>
      <c r="B34" s="5"/>
      <c r="C34" s="5"/>
      <c r="D34" s="5"/>
      <c r="E34" s="5"/>
      <c r="F34" s="5"/>
      <c r="G34" s="5"/>
      <c r="H34" s="9"/>
    </row>
    <row r="35" spans="1:16" s="1" customFormat="1">
      <c r="A35" s="4"/>
      <c r="B35" s="5"/>
      <c r="C35" s="5"/>
      <c r="D35" s="5"/>
      <c r="E35" s="5"/>
      <c r="F35" s="5"/>
      <c r="G35" s="5"/>
      <c r="H35" s="15"/>
      <c r="I35"/>
      <c r="J35"/>
      <c r="K35"/>
      <c r="L35"/>
      <c r="M35"/>
      <c r="N35"/>
      <c r="O35"/>
      <c r="P35"/>
    </row>
    <row r="36" spans="1:16">
      <c r="A36" s="4"/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  <c r="G36" s="6" t="s">
        <v>12</v>
      </c>
      <c r="H36" s="9"/>
    </row>
    <row r="37" spans="1:16">
      <c r="A37" s="4" t="s">
        <v>0</v>
      </c>
      <c r="B37" s="5"/>
      <c r="C37" s="5"/>
      <c r="D37" s="5"/>
      <c r="E37" s="5"/>
      <c r="F37" s="5"/>
      <c r="G37" s="5"/>
      <c r="H37" s="9"/>
    </row>
    <row r="38" spans="1:16">
      <c r="A38" s="4" t="s">
        <v>1</v>
      </c>
      <c r="B38" s="5"/>
      <c r="C38" s="5"/>
      <c r="D38" s="5"/>
      <c r="E38" s="5"/>
      <c r="F38" s="5"/>
      <c r="G38" s="5"/>
      <c r="H38" s="9"/>
    </row>
    <row r="39" spans="1:16">
      <c r="A39" s="4" t="s">
        <v>2</v>
      </c>
      <c r="B39" s="5">
        <f>1901010/SUM(30116+286)</f>
        <v>62.529109926978485</v>
      </c>
      <c r="C39" s="5">
        <f>3822550/SUM(78995+128328)</f>
        <v>18.437655252914535</v>
      </c>
      <c r="D39" s="5">
        <f>12422660/SUM(83213+268772)</f>
        <v>35.293151696805261</v>
      </c>
      <c r="E39" s="5">
        <f>9016010/SUM(75668+201440)</f>
        <v>32.536087013005762</v>
      </c>
      <c r="F39" s="5">
        <f>5516030/SUM(99841+52310)</f>
        <v>36.253655907618089</v>
      </c>
      <c r="G39" s="5">
        <f>7404280/SUM(35522+157978)</f>
        <v>38.265012919896641</v>
      </c>
      <c r="H39" s="9"/>
    </row>
    <row r="40" spans="1:16">
      <c r="A40" s="4"/>
      <c r="B40" s="5"/>
      <c r="C40" s="5"/>
      <c r="D40" s="5"/>
      <c r="E40" s="5"/>
      <c r="F40" s="5"/>
      <c r="G40" s="5"/>
      <c r="H40" s="9"/>
    </row>
    <row r="41" spans="1:16">
      <c r="A41" s="4" t="s">
        <v>3</v>
      </c>
      <c r="B41" s="5">
        <f>2501530/96432</f>
        <v>25.940870250539241</v>
      </c>
      <c r="C41" s="5">
        <f>2318690/87111</f>
        <v>26.617648747000953</v>
      </c>
      <c r="D41" s="5">
        <f>2011310/78184</f>
        <v>25.725340223063544</v>
      </c>
      <c r="E41" s="5">
        <f>1291930/45255</f>
        <v>28.547784775162967</v>
      </c>
      <c r="F41" s="5">
        <f>1983760/89903</f>
        <v>22.065559547512319</v>
      </c>
      <c r="G41" s="5">
        <f>1309460/45227</f>
        <v>28.953059013421186</v>
      </c>
      <c r="H41" s="9"/>
    </row>
    <row r="42" spans="1:16">
      <c r="A42" s="4" t="s">
        <v>4</v>
      </c>
      <c r="B42" s="5">
        <f>2778150/108068</f>
        <v>25.70742495465818</v>
      </c>
      <c r="C42" s="5">
        <f>2391970/91457</f>
        <v>26.154039603310846</v>
      </c>
      <c r="D42" s="5">
        <f>1990720/78920</f>
        <v>25.224531170805879</v>
      </c>
      <c r="E42" s="5">
        <f>1643530/56804</f>
        <v>28.93334976410112</v>
      </c>
      <c r="F42" s="5">
        <f>2084420/93244</f>
        <v>22.354467847797178</v>
      </c>
      <c r="G42" s="5">
        <f>1201680/39171</f>
        <v>30.677797350080418</v>
      </c>
      <c r="H42" s="9"/>
    </row>
    <row r="43" spans="1:16">
      <c r="A43" s="4"/>
      <c r="B43" s="5"/>
      <c r="C43" s="5"/>
      <c r="D43" s="5"/>
      <c r="E43" s="5"/>
      <c r="F43" s="5"/>
      <c r="G43" s="5"/>
      <c r="H43" s="9"/>
    </row>
    <row r="44" spans="1:16">
      <c r="A44" s="4" t="s">
        <v>5</v>
      </c>
      <c r="B44" s="5"/>
      <c r="C44" s="5"/>
      <c r="D44" s="5">
        <f>3813680/112754</f>
        <v>33.823012930805113</v>
      </c>
      <c r="E44" s="5">
        <f>1890950/49033</f>
        <v>38.564844084596089</v>
      </c>
      <c r="F44" s="5">
        <f>3561970/100755</f>
        <v>35.352786462210311</v>
      </c>
      <c r="G44" s="5">
        <f>3373930/114596</f>
        <v>29.441952598694545</v>
      </c>
      <c r="H44" s="9"/>
    </row>
    <row r="45" spans="1:16">
      <c r="A45" s="4" t="s">
        <v>6</v>
      </c>
      <c r="B45" s="5"/>
      <c r="C45" s="5"/>
      <c r="D45" s="5">
        <f>5254030/171204</f>
        <v>30.688710544146165</v>
      </c>
      <c r="E45" s="5">
        <f>6469600/214406</f>
        <v>30.174528697890917</v>
      </c>
      <c r="F45" s="5">
        <f>4609040/176315</f>
        <v>26.14094092958625</v>
      </c>
      <c r="G45" s="5">
        <f>3087460/83606</f>
        <v>36.928689328517095</v>
      </c>
    </row>
    <row r="46" spans="1:16">
      <c r="A46" s="13"/>
      <c r="B46" s="24"/>
      <c r="C46" s="24"/>
      <c r="D46" s="24"/>
      <c r="E46" s="24"/>
      <c r="F46" s="24"/>
      <c r="G46" s="24"/>
    </row>
    <row r="47" spans="1:16" ht="15.75">
      <c r="A47" s="21" t="s">
        <v>20</v>
      </c>
      <c r="B47" s="18">
        <f>SUM(1901010+2501530+2778150)/SUM(30116+286+96432+108068)</f>
        <v>30.568875531072532</v>
      </c>
      <c r="C47" s="18">
        <f>SUM(3822550+2318690+2391970)/SUM(78995+128328+87111+91457)</f>
        <v>22.113006004286184</v>
      </c>
      <c r="D47" s="18">
        <f>SUM(12422660+2011310+1990720+3813680+5254030)/SUM(83231+268772+78184+78920+112754+171204)</f>
        <v>32.144149596817414</v>
      </c>
      <c r="E47" s="18">
        <f>SUM(9016010+1291930+1643530+1890950+6469600)/SUM(75668+201440+45255+56804+49033+214406)</f>
        <v>31.608824069492037</v>
      </c>
      <c r="F47" s="18">
        <f>SUM(5516030+1983760+2084420+3561970+4609040)/SUM(99841+52310+89903+93244+100755+176315)</f>
        <v>28.994362866772921</v>
      </c>
      <c r="G47" s="18">
        <f>SUM(7404280+1309460+1201680+3373930+3087460)/SUM(35522+157978+45227+39171+114596+83606)</f>
        <v>34.397836588951904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Walton</dc:creator>
  <cp:lastModifiedBy>Lane Kollen</cp:lastModifiedBy>
  <cp:lastPrinted>2014-09-12T16:24:25Z</cp:lastPrinted>
  <dcterms:created xsi:type="dcterms:W3CDTF">2014-09-11T18:13:00Z</dcterms:created>
  <dcterms:modified xsi:type="dcterms:W3CDTF">2014-09-30T12:48:52Z</dcterms:modified>
</cp:coreProperties>
</file>