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000" windowWidth="19230" windowHeight="6045" tabRatio="858"/>
  </bookViews>
  <sheets>
    <sheet name="Exhibit" sheetId="18" r:id="rId1"/>
    <sheet name="Jan14Act - KP NER" sheetId="8" r:id="rId2"/>
    <sheet name="Feb14Act - KP NER" sheetId="10" r:id="rId3"/>
    <sheet name="Mar14Act - KP NER" sheetId="12" r:id="rId4"/>
    <sheet name="Apr14Act - KP NER" sheetId="14" r:id="rId5"/>
    <sheet name="Purchases" sheetId="6" r:id="rId6"/>
    <sheet name="No Load" sheetId="7" r:id="rId7"/>
  </sheets>
  <externalReferences>
    <externalReference r:id="rId8"/>
  </externalReferences>
  <definedNames>
    <definedName name="AdjAcct5550.035MWH" localSheetId="4">'[1]APPVII PG3'!#REF!</definedName>
    <definedName name="AdjAcct5550.035MWH" localSheetId="2">'[1]APPVII PG3'!#REF!</definedName>
    <definedName name="AdjAcct5550.035MWH" localSheetId="1">'[1]APPVII PG3'!#REF!</definedName>
    <definedName name="AdjAcct5550.035MWH" localSheetId="3">'[1]APPVII PG3'!#REF!</definedName>
    <definedName name="AdjAcct5550.035MWH">'[1]APPVII PG3'!#REF!</definedName>
    <definedName name="EastDirectAllcTotal" localSheetId="4">'[1]APPVIII PG 1'!#REF!</definedName>
    <definedName name="EastDirectAllcTotal" localSheetId="2">'[1]APPVIII PG 1'!#REF!</definedName>
    <definedName name="EastDirectAllcTotal" localSheetId="1">'[1]APPVIII PG 1'!#REF!</definedName>
    <definedName name="EastDirectAllcTotal" localSheetId="3">'[1]APPVIII PG 1'!#REF!</definedName>
    <definedName name="EastDirectAllcTotal">'[1]APPVIII PG 1'!#REF!</definedName>
    <definedName name="_xlnm.Print_Area" localSheetId="4">'Apr14Act - KP NER'!$A$3:$Q$62</definedName>
    <definedName name="_xlnm.Print_Area" localSheetId="2">'Feb14Act - KP NER'!$A$3:$Q$62</definedName>
    <definedName name="_xlnm.Print_Area" localSheetId="1">'Jan14Act - KP NER'!$A$3:$Q$62</definedName>
    <definedName name="_xlnm.Print_Area" localSheetId="3">'Mar14Act - KP NER'!$A$3:$Q$62</definedName>
    <definedName name="_xlnm.Print_Area" localSheetId="6">'No Load'!$A$3:$E$16</definedName>
    <definedName name="WestDirectAllcTotal" localSheetId="4">'[1]APPVIII PG 1'!#REF!</definedName>
    <definedName name="WestDirectAllcTotal" localSheetId="2">'[1]APPVIII PG 1'!#REF!</definedName>
    <definedName name="WestDirectAllcTotal" localSheetId="1">'[1]APPVIII PG 1'!#REF!</definedName>
    <definedName name="WestDirectAllcTotal" localSheetId="3">'[1]APPVIII PG 1'!#REF!</definedName>
    <definedName name="WestDirectAllcTotal">'[1]APPVIII PG 1'!#REF!</definedName>
  </definedNames>
  <calcPr calcId="145621"/>
</workbook>
</file>

<file path=xl/calcChain.xml><?xml version="1.0" encoding="utf-8"?>
<calcChain xmlns="http://schemas.openxmlformats.org/spreadsheetml/2006/main">
  <c r="D22" i="8" l="1"/>
  <c r="E22" i="8" s="1"/>
  <c r="C22" i="8"/>
  <c r="D35" i="10"/>
  <c r="C35" i="10"/>
  <c r="E35" i="10" s="1"/>
  <c r="D24" i="10"/>
  <c r="C24" i="10"/>
  <c r="D22" i="10"/>
  <c r="C22" i="10"/>
  <c r="D18" i="10"/>
  <c r="E18" i="10" s="1"/>
  <c r="C18" i="10"/>
  <c r="D35" i="12"/>
  <c r="E35" i="12" s="1"/>
  <c r="C35" i="12"/>
  <c r="D24" i="12"/>
  <c r="C24" i="12"/>
  <c r="D22" i="12"/>
  <c r="E22" i="12" s="1"/>
  <c r="C22" i="12"/>
  <c r="D18" i="12"/>
  <c r="C18" i="12"/>
  <c r="D35" i="14"/>
  <c r="C35" i="14"/>
  <c r="D22" i="14"/>
  <c r="E22" i="14" s="1"/>
  <c r="C22" i="14"/>
  <c r="D18" i="14"/>
  <c r="E18" i="14" s="1"/>
  <c r="C18" i="14"/>
  <c r="C24" i="14"/>
  <c r="C24" i="8"/>
  <c r="D35" i="8"/>
  <c r="E35" i="8" s="1"/>
  <c r="C35" i="8"/>
  <c r="C18" i="8"/>
  <c r="E18" i="8" s="1"/>
  <c r="D18" i="8"/>
  <c r="E35" i="14"/>
  <c r="E34" i="14"/>
  <c r="E33" i="14"/>
  <c r="E32" i="14"/>
  <c r="E31" i="14"/>
  <c r="E30" i="14"/>
  <c r="E29" i="14"/>
  <c r="E34" i="12"/>
  <c r="E33" i="12"/>
  <c r="E32" i="12"/>
  <c r="E31" i="12"/>
  <c r="E30" i="12"/>
  <c r="E29" i="12"/>
  <c r="E34" i="10"/>
  <c r="E33" i="10"/>
  <c r="E32" i="10"/>
  <c r="E31" i="10"/>
  <c r="E30" i="10"/>
  <c r="E29" i="10"/>
  <c r="E21" i="14"/>
  <c r="E17" i="14"/>
  <c r="E16" i="14"/>
  <c r="E15" i="14"/>
  <c r="E14" i="14"/>
  <c r="E13" i="14"/>
  <c r="E21" i="12"/>
  <c r="E17" i="12"/>
  <c r="E16" i="12"/>
  <c r="E15" i="12"/>
  <c r="E14" i="12"/>
  <c r="E13" i="12"/>
  <c r="E22" i="10"/>
  <c r="E21" i="10"/>
  <c r="E17" i="10"/>
  <c r="E16" i="10"/>
  <c r="E15" i="10"/>
  <c r="E14" i="10"/>
  <c r="E13" i="10"/>
  <c r="E29" i="8"/>
  <c r="E34" i="8"/>
  <c r="E33" i="8"/>
  <c r="E32" i="8"/>
  <c r="E31" i="8"/>
  <c r="E30" i="8"/>
  <c r="E21" i="8"/>
  <c r="E17" i="8"/>
  <c r="E16" i="8"/>
  <c r="E15" i="8"/>
  <c r="E14" i="8"/>
  <c r="E13" i="8"/>
  <c r="D24" i="8" l="1"/>
  <c r="E24" i="8" s="1"/>
  <c r="E24" i="10"/>
  <c r="E24" i="12"/>
  <c r="E18" i="12"/>
  <c r="D24" i="14"/>
  <c r="E24" i="14" s="1"/>
  <c r="G33" i="14"/>
  <c r="G32" i="14"/>
  <c r="G29" i="14"/>
  <c r="C39" i="12" l="1"/>
  <c r="O53" i="14" l="1"/>
  <c r="O53" i="12"/>
  <c r="O53" i="10"/>
  <c r="C16" i="18"/>
  <c r="C15" i="18" l="1"/>
  <c r="C14" i="18"/>
  <c r="G38" i="14" l="1"/>
  <c r="O53" i="8"/>
  <c r="H34" i="12"/>
  <c r="H30" i="14"/>
  <c r="H39" i="14" s="1"/>
  <c r="H31" i="14"/>
  <c r="H40" i="14" s="1"/>
  <c r="N17" i="14"/>
  <c r="O17" i="14" s="1"/>
  <c r="O33" i="14" s="1"/>
  <c r="N16" i="14"/>
  <c r="N13" i="14"/>
  <c r="M17" i="14"/>
  <c r="M16" i="14"/>
  <c r="M13" i="14"/>
  <c r="M18" i="14" s="1"/>
  <c r="D43" i="14"/>
  <c r="C43" i="14"/>
  <c r="D42" i="14"/>
  <c r="C42" i="14"/>
  <c r="D41" i="14"/>
  <c r="C41" i="14"/>
  <c r="E41" i="14" s="1"/>
  <c r="G40" i="14"/>
  <c r="D40" i="14"/>
  <c r="C40" i="14"/>
  <c r="G39" i="14"/>
  <c r="D39" i="14"/>
  <c r="C39" i="14"/>
  <c r="D38" i="14"/>
  <c r="C38" i="14"/>
  <c r="I34" i="14"/>
  <c r="G34" i="14"/>
  <c r="G35" i="14" s="1"/>
  <c r="M33" i="14"/>
  <c r="I17" i="14"/>
  <c r="H17" i="14"/>
  <c r="G17" i="14"/>
  <c r="G42" i="14" s="1"/>
  <c r="M42" i="14" s="1"/>
  <c r="I16" i="14"/>
  <c r="H16" i="14"/>
  <c r="G16" i="14"/>
  <c r="I13" i="14"/>
  <c r="H13" i="14"/>
  <c r="H18" i="14"/>
  <c r="I18" i="14" s="1"/>
  <c r="G13" i="14"/>
  <c r="G18" i="14"/>
  <c r="I34" i="12"/>
  <c r="I34" i="10"/>
  <c r="N17" i="12"/>
  <c r="O17" i="12" s="1"/>
  <c r="O33" i="12" s="1"/>
  <c r="N16" i="12"/>
  <c r="N13" i="12"/>
  <c r="O13" i="12" s="1"/>
  <c r="O29" i="12" s="1"/>
  <c r="N29" i="12" s="1"/>
  <c r="H29" i="12" s="1"/>
  <c r="M17" i="12"/>
  <c r="M16" i="12"/>
  <c r="M13" i="12"/>
  <c r="M18" i="12"/>
  <c r="D43" i="12"/>
  <c r="E43" i="12" s="1"/>
  <c r="C43" i="12"/>
  <c r="E42" i="12"/>
  <c r="D42" i="12"/>
  <c r="C42" i="12"/>
  <c r="D41" i="12"/>
  <c r="E41" i="12"/>
  <c r="C41" i="12"/>
  <c r="G40" i="12"/>
  <c r="M40" i="12" s="1"/>
  <c r="D40" i="12"/>
  <c r="E40" i="12"/>
  <c r="O40" i="12" s="1"/>
  <c r="C40" i="12"/>
  <c r="G39" i="12"/>
  <c r="D39" i="12"/>
  <c r="E39" i="12" s="1"/>
  <c r="O39" i="12" s="1"/>
  <c r="D38" i="12"/>
  <c r="D44" i="12" s="1"/>
  <c r="C38" i="12"/>
  <c r="C44" i="12"/>
  <c r="G34" i="12"/>
  <c r="G33" i="12"/>
  <c r="M33" i="12" s="1"/>
  <c r="G32" i="12"/>
  <c r="M32" i="12"/>
  <c r="H31" i="12"/>
  <c r="H30" i="12"/>
  <c r="H39" i="12" s="1"/>
  <c r="N39" i="12" s="1"/>
  <c r="G29" i="12"/>
  <c r="I17" i="12"/>
  <c r="H17" i="12"/>
  <c r="G17" i="12"/>
  <c r="G42" i="12"/>
  <c r="M42" i="12" s="1"/>
  <c r="I16" i="12"/>
  <c r="H16" i="12"/>
  <c r="G16" i="12"/>
  <c r="G41" i="12" s="1"/>
  <c r="M41" i="12" s="1"/>
  <c r="I13" i="12"/>
  <c r="H13" i="12"/>
  <c r="H18" i="12" s="1"/>
  <c r="I18" i="12" s="1"/>
  <c r="G13" i="12"/>
  <c r="G38" i="12" s="1"/>
  <c r="M38" i="12" s="1"/>
  <c r="N17" i="10"/>
  <c r="N16" i="10"/>
  <c r="N13" i="10"/>
  <c r="M33" i="10"/>
  <c r="M29" i="10"/>
  <c r="M17" i="10"/>
  <c r="M16" i="10"/>
  <c r="M18" i="10" s="1"/>
  <c r="M13" i="10"/>
  <c r="D43" i="10"/>
  <c r="E43" i="10"/>
  <c r="C43" i="10"/>
  <c r="G42" i="10"/>
  <c r="M42" i="10" s="1"/>
  <c r="D42" i="10"/>
  <c r="E42" i="10" s="1"/>
  <c r="C42" i="10"/>
  <c r="D41" i="10"/>
  <c r="E41" i="10" s="1"/>
  <c r="C41" i="10"/>
  <c r="C44" i="10" s="1"/>
  <c r="H40" i="10"/>
  <c r="N40" i="10" s="1"/>
  <c r="G40" i="10"/>
  <c r="M40" i="10" s="1"/>
  <c r="D40" i="10"/>
  <c r="E40" i="10" s="1"/>
  <c r="O40" i="10" s="1"/>
  <c r="C40" i="10"/>
  <c r="H39" i="10"/>
  <c r="G39" i="10"/>
  <c r="M39" i="10"/>
  <c r="D39" i="10"/>
  <c r="E39" i="10" s="1"/>
  <c r="O39" i="10" s="1"/>
  <c r="C39" i="10"/>
  <c r="D38" i="10"/>
  <c r="D44" i="10" s="1"/>
  <c r="C38" i="10"/>
  <c r="H34" i="10"/>
  <c r="G34" i="10"/>
  <c r="G33" i="10"/>
  <c r="G32" i="10"/>
  <c r="M32" i="10" s="1"/>
  <c r="G29" i="10"/>
  <c r="G35" i="10"/>
  <c r="I17" i="10"/>
  <c r="H17" i="10"/>
  <c r="G17" i="10"/>
  <c r="I16" i="10"/>
  <c r="H16" i="10"/>
  <c r="G16" i="10"/>
  <c r="G41" i="10" s="1"/>
  <c r="M41" i="10" s="1"/>
  <c r="I13" i="10"/>
  <c r="H13" i="10"/>
  <c r="H18" i="10"/>
  <c r="G13" i="10"/>
  <c r="G38" i="10"/>
  <c r="M38" i="10" s="1"/>
  <c r="M32" i="8"/>
  <c r="M41" i="8"/>
  <c r="N17" i="8"/>
  <c r="O17" i="8" s="1"/>
  <c r="O33" i="8" s="1"/>
  <c r="N16" i="8"/>
  <c r="M17" i="8"/>
  <c r="M16" i="8"/>
  <c r="M13" i="8"/>
  <c r="M18" i="8" s="1"/>
  <c r="N13" i="8"/>
  <c r="D43" i="8"/>
  <c r="C43" i="8"/>
  <c r="D42" i="8"/>
  <c r="E42" i="8" s="1"/>
  <c r="C42" i="8"/>
  <c r="E41" i="8"/>
  <c r="D41" i="8"/>
  <c r="C41" i="8"/>
  <c r="H40" i="8"/>
  <c r="N40" i="8"/>
  <c r="G40" i="8"/>
  <c r="M40" i="8" s="1"/>
  <c r="D40" i="8"/>
  <c r="C40" i="8"/>
  <c r="E40" i="8"/>
  <c r="O40" i="8" s="1"/>
  <c r="H39" i="8"/>
  <c r="N39" i="8" s="1"/>
  <c r="G39" i="8"/>
  <c r="M39" i="8"/>
  <c r="D39" i="8"/>
  <c r="E39" i="8" s="1"/>
  <c r="O39" i="8" s="1"/>
  <c r="C39" i="8"/>
  <c r="D38" i="8"/>
  <c r="E38" i="8" s="1"/>
  <c r="C38" i="8"/>
  <c r="C44" i="8" s="1"/>
  <c r="E44" i="8" s="1"/>
  <c r="I34" i="8"/>
  <c r="H34" i="8"/>
  <c r="G34" i="8"/>
  <c r="G33" i="8"/>
  <c r="G42" i="8" s="1"/>
  <c r="M42" i="8" s="1"/>
  <c r="G32" i="8"/>
  <c r="G29" i="8"/>
  <c r="M29" i="8" s="1"/>
  <c r="I17" i="8"/>
  <c r="H17" i="8"/>
  <c r="G17" i="8"/>
  <c r="I16" i="8"/>
  <c r="H16" i="8"/>
  <c r="G16" i="8"/>
  <c r="G41" i="8"/>
  <c r="I13" i="8"/>
  <c r="H13" i="8"/>
  <c r="H18" i="8" s="1"/>
  <c r="G13" i="8"/>
  <c r="G38" i="8" s="1"/>
  <c r="M38" i="8" s="1"/>
  <c r="E13" i="7"/>
  <c r="D13" i="7"/>
  <c r="C13" i="7"/>
  <c r="B13" i="7"/>
  <c r="H21" i="12"/>
  <c r="G21" i="12"/>
  <c r="G21" i="10"/>
  <c r="G21" i="8"/>
  <c r="D44" i="8"/>
  <c r="G18" i="12"/>
  <c r="O13" i="10"/>
  <c r="O29" i="10" s="1"/>
  <c r="N29" i="10" s="1"/>
  <c r="H29" i="10" s="1"/>
  <c r="E38" i="10"/>
  <c r="H21" i="14"/>
  <c r="E38" i="12"/>
  <c r="M39" i="12"/>
  <c r="M29" i="12"/>
  <c r="M39" i="14"/>
  <c r="G41" i="14"/>
  <c r="M41" i="14" s="1"/>
  <c r="E42" i="14" l="1"/>
  <c r="E38" i="14"/>
  <c r="E40" i="14"/>
  <c r="O40" i="14" s="1"/>
  <c r="E43" i="14"/>
  <c r="M38" i="14"/>
  <c r="H22" i="14"/>
  <c r="H24" i="14" s="1"/>
  <c r="H43" i="14"/>
  <c r="E39" i="14"/>
  <c r="O39" i="14" s="1"/>
  <c r="M40" i="14"/>
  <c r="C44" i="14"/>
  <c r="O16" i="12"/>
  <c r="O32" i="12" s="1"/>
  <c r="N32" i="12" s="1"/>
  <c r="H32" i="12" s="1"/>
  <c r="H41" i="12" s="1"/>
  <c r="N18" i="12"/>
  <c r="O18" i="12" s="1"/>
  <c r="C12" i="6"/>
  <c r="N39" i="14"/>
  <c r="D44" i="14"/>
  <c r="C17" i="18" s="1"/>
  <c r="M29" i="14"/>
  <c r="O16" i="14"/>
  <c r="O32" i="14" s="1"/>
  <c r="M32" i="14"/>
  <c r="N33" i="14"/>
  <c r="H33" i="14" s="1"/>
  <c r="H42" i="14" s="1"/>
  <c r="N40" i="14"/>
  <c r="E44" i="12"/>
  <c r="G35" i="12"/>
  <c r="N33" i="12"/>
  <c r="H33" i="12" s="1"/>
  <c r="H42" i="12" s="1"/>
  <c r="N18" i="14"/>
  <c r="O18" i="14" s="1"/>
  <c r="O13" i="14"/>
  <c r="O29" i="14" s="1"/>
  <c r="H38" i="12"/>
  <c r="I29" i="12"/>
  <c r="I32" i="12"/>
  <c r="I18" i="10"/>
  <c r="E44" i="10"/>
  <c r="N18" i="10"/>
  <c r="O18" i="10" s="1"/>
  <c r="N39" i="10"/>
  <c r="O16" i="10"/>
  <c r="O32" i="10" s="1"/>
  <c r="N32" i="10" s="1"/>
  <c r="H32" i="10" s="1"/>
  <c r="H41" i="10" s="1"/>
  <c r="G18" i="10"/>
  <c r="O17" i="10"/>
  <c r="O33" i="10" s="1"/>
  <c r="N33" i="10" s="1"/>
  <c r="H33" i="10" s="1"/>
  <c r="I33" i="10" s="1"/>
  <c r="H40" i="12"/>
  <c r="N40" i="12" s="1"/>
  <c r="H38" i="10"/>
  <c r="I29" i="10"/>
  <c r="H21" i="8"/>
  <c r="I21" i="8" s="1"/>
  <c r="G35" i="8"/>
  <c r="E43" i="8"/>
  <c r="M33" i="8"/>
  <c r="N33" i="8" s="1"/>
  <c r="H33" i="8" s="1"/>
  <c r="N18" i="8"/>
  <c r="O18" i="8" s="1"/>
  <c r="G18" i="8"/>
  <c r="I18" i="8" s="1"/>
  <c r="O13" i="8"/>
  <c r="O29" i="8" s="1"/>
  <c r="N29" i="8" s="1"/>
  <c r="H29" i="8" s="1"/>
  <c r="H38" i="8" s="1"/>
  <c r="O16" i="8"/>
  <c r="O32" i="8" s="1"/>
  <c r="N32" i="8" s="1"/>
  <c r="H32" i="8" s="1"/>
  <c r="H41" i="8" s="1"/>
  <c r="G22" i="8"/>
  <c r="G43" i="8"/>
  <c r="G43" i="10"/>
  <c r="G22" i="10"/>
  <c r="G24" i="10" s="1"/>
  <c r="G22" i="12"/>
  <c r="G24" i="12" s="1"/>
  <c r="G43" i="12"/>
  <c r="H43" i="12"/>
  <c r="H22" i="12"/>
  <c r="I21" i="12"/>
  <c r="I22" i="12" s="1"/>
  <c r="B12" i="6"/>
  <c r="H21" i="10"/>
  <c r="G21" i="14"/>
  <c r="H24" i="12" l="1"/>
  <c r="I24" i="12" s="1"/>
  <c r="N29" i="14"/>
  <c r="H29" i="14" s="1"/>
  <c r="I29" i="14" s="1"/>
  <c r="N32" i="14"/>
  <c r="H32" i="14" s="1"/>
  <c r="I32" i="14" s="1"/>
  <c r="H42" i="10"/>
  <c r="I42" i="10" s="1"/>
  <c r="O42" i="10" s="1"/>
  <c r="I29" i="8"/>
  <c r="H35" i="12"/>
  <c r="I33" i="14"/>
  <c r="H35" i="8"/>
  <c r="I35" i="8" s="1"/>
  <c r="H35" i="10"/>
  <c r="E44" i="14"/>
  <c r="I33" i="12"/>
  <c r="N42" i="14"/>
  <c r="I42" i="14"/>
  <c r="O42" i="14" s="1"/>
  <c r="N41" i="12"/>
  <c r="I41" i="12"/>
  <c r="O41" i="12" s="1"/>
  <c r="N42" i="12"/>
  <c r="I42" i="12"/>
  <c r="O42" i="12" s="1"/>
  <c r="N38" i="12"/>
  <c r="I38" i="12"/>
  <c r="O38" i="12" s="1"/>
  <c r="I32" i="10"/>
  <c r="I38" i="10"/>
  <c r="O38" i="10" s="1"/>
  <c r="N38" i="10"/>
  <c r="N41" i="10"/>
  <c r="I41" i="10"/>
  <c r="O41" i="10" s="1"/>
  <c r="H43" i="8"/>
  <c r="N43" i="8" s="1"/>
  <c r="H22" i="8"/>
  <c r="H24" i="8" s="1"/>
  <c r="I22" i="8"/>
  <c r="N43" i="14"/>
  <c r="I33" i="8"/>
  <c r="H42" i="8"/>
  <c r="N42" i="8" s="1"/>
  <c r="G24" i="8"/>
  <c r="I32" i="8"/>
  <c r="I41" i="8"/>
  <c r="O41" i="8" s="1"/>
  <c r="N41" i="8"/>
  <c r="N38" i="8"/>
  <c r="I38" i="8"/>
  <c r="O38" i="8" s="1"/>
  <c r="G43" i="14"/>
  <c r="I21" i="14"/>
  <c r="I22" i="14" s="1"/>
  <c r="G22" i="14"/>
  <c r="G24" i="14" s="1"/>
  <c r="M43" i="8"/>
  <c r="M44" i="8" s="1"/>
  <c r="G44" i="8"/>
  <c r="F14" i="18" s="1"/>
  <c r="M43" i="12"/>
  <c r="M44" i="12" s="1"/>
  <c r="G44" i="12"/>
  <c r="I43" i="12"/>
  <c r="O43" i="12" s="1"/>
  <c r="N43" i="12"/>
  <c r="H44" i="12"/>
  <c r="D16" i="18" s="1"/>
  <c r="H22" i="10"/>
  <c r="H24" i="10" s="1"/>
  <c r="I24" i="10" s="1"/>
  <c r="I21" i="10"/>
  <c r="I22" i="10" s="1"/>
  <c r="H43" i="10"/>
  <c r="G44" i="10"/>
  <c r="M43" i="10"/>
  <c r="M44" i="10" s="1"/>
  <c r="F15" i="18" l="1"/>
  <c r="G53" i="10"/>
  <c r="M53" i="10" s="1"/>
  <c r="F16" i="18"/>
  <c r="G53" i="12"/>
  <c r="M53" i="12" s="1"/>
  <c r="H41" i="14"/>
  <c r="I41" i="14" s="1"/>
  <c r="O41" i="14" s="1"/>
  <c r="H35" i="14"/>
  <c r="I35" i="14" s="1"/>
  <c r="H38" i="14"/>
  <c r="I35" i="12"/>
  <c r="H53" i="12"/>
  <c r="I35" i="10"/>
  <c r="N42" i="10"/>
  <c r="I42" i="8"/>
  <c r="O42" i="8" s="1"/>
  <c r="I24" i="8"/>
  <c r="N44" i="8"/>
  <c r="C18" i="18"/>
  <c r="N44" i="12"/>
  <c r="I43" i="8"/>
  <c r="O43" i="8" s="1"/>
  <c r="H44" i="8"/>
  <c r="I44" i="8" s="1"/>
  <c r="O44" i="8" s="1"/>
  <c r="G44" i="14"/>
  <c r="M43" i="14"/>
  <c r="M44" i="14" s="1"/>
  <c r="I43" i="14"/>
  <c r="O43" i="14" s="1"/>
  <c r="I44" i="12"/>
  <c r="O44" i="12" s="1"/>
  <c r="G53" i="8"/>
  <c r="I24" i="14"/>
  <c r="N43" i="10"/>
  <c r="H44" i="10"/>
  <c r="D15" i="18" s="1"/>
  <c r="I43" i="10"/>
  <c r="O43" i="10" s="1"/>
  <c r="N41" i="14" l="1"/>
  <c r="N44" i="14" s="1"/>
  <c r="H44" i="14"/>
  <c r="D17" i="18" s="1"/>
  <c r="I38" i="14"/>
  <c r="O38" i="14" s="1"/>
  <c r="N38" i="14"/>
  <c r="F17" i="18"/>
  <c r="G53" i="14"/>
  <c r="M53" i="14" s="1"/>
  <c r="H53" i="10"/>
  <c r="N53" i="12"/>
  <c r="I53" i="12"/>
  <c r="N44" i="10"/>
  <c r="H53" i="8"/>
  <c r="N53" i="8" s="1"/>
  <c r="D14" i="18"/>
  <c r="E14" i="18" s="1"/>
  <c r="E17" i="18"/>
  <c r="E16" i="18"/>
  <c r="G16" i="18" s="1"/>
  <c r="I44" i="10"/>
  <c r="O44" i="10" s="1"/>
  <c r="M53" i="8"/>
  <c r="I44" i="14" l="1"/>
  <c r="O44" i="14" s="1"/>
  <c r="H53" i="14"/>
  <c r="N53" i="14" s="1"/>
  <c r="I53" i="14"/>
  <c r="I53" i="10"/>
  <c r="N53" i="10"/>
  <c r="I53" i="8"/>
  <c r="G14" i="18"/>
  <c r="G17" i="18"/>
  <c r="F18" i="18" l="1"/>
  <c r="E15" i="18"/>
  <c r="D18" i="18"/>
  <c r="G15" i="18" l="1"/>
  <c r="E18" i="18"/>
  <c r="G18" i="18" s="1"/>
</calcChain>
</file>

<file path=xl/sharedStrings.xml><?xml version="1.0" encoding="utf-8"?>
<sst xmlns="http://schemas.openxmlformats.org/spreadsheetml/2006/main" count="472" uniqueCount="103">
  <si>
    <t>KENTUCKY POWER COMPANY</t>
  </si>
  <si>
    <t>SOURCES AND DISPOSITION OF ENERGY FOR</t>
  </si>
  <si>
    <t>FERC TYPE FUEL COST ADJUSTMENT CLAUSE</t>
  </si>
  <si>
    <t>FUEL IDENTIFIED PORTION (A/C 151 FUEL BASIS)</t>
  </si>
  <si>
    <t xml:space="preserve"> </t>
  </si>
  <si>
    <t>SOURCES OF ENERGY</t>
  </si>
  <si>
    <t>MWH</t>
  </si>
  <si>
    <t>AMOUNT</t>
  </si>
  <si>
    <t>$ / MWH</t>
  </si>
  <si>
    <t>($)</t>
  </si>
  <si>
    <t>1.</t>
  </si>
  <si>
    <t>NET GENERATION:</t>
  </si>
  <si>
    <t xml:space="preserve">   Big Sandy</t>
  </si>
  <si>
    <t xml:space="preserve">  KP Share of Mitchell Unit 1</t>
  </si>
  <si>
    <t xml:space="preserve">  KP Share of Mitchell Unit 2</t>
  </si>
  <si>
    <t xml:space="preserve">  UNIT POWER PURCHASE (AEG) ROCKPORT #1</t>
  </si>
  <si>
    <t xml:space="preserve">  UNIT POWER PURCHASE (AEG) ROCKPORT #2</t>
  </si>
  <si>
    <t xml:space="preserve">    TOTAL</t>
  </si>
  <si>
    <t>2.</t>
  </si>
  <si>
    <t>OTHER PURCHASES (CASH SETTLED):</t>
  </si>
  <si>
    <t xml:space="preserve">  Third Party Power Purchase</t>
  </si>
  <si>
    <t>3.</t>
  </si>
  <si>
    <t>TOTAL SOURCES (1+2)</t>
  </si>
  <si>
    <t>DISPOSITION OF ENERGY</t>
  </si>
  <si>
    <t>4.</t>
  </si>
  <si>
    <t>OFF SYSTEM ALLOCATION OF SOURCES:</t>
  </si>
  <si>
    <t xml:space="preserve">  Big Sandy</t>
  </si>
  <si>
    <t xml:space="preserve"> Third Party Power Purchase</t>
  </si>
  <si>
    <t>5.</t>
  </si>
  <si>
    <t>FUEL IDENTIFIED FOR NER (3-4)</t>
  </si>
  <si>
    <t>6.</t>
  </si>
  <si>
    <t>TOTAL (4+5)</t>
  </si>
  <si>
    <t>A.</t>
  </si>
  <si>
    <t>B.</t>
  </si>
  <si>
    <t>C.</t>
  </si>
  <si>
    <t>D.</t>
  </si>
  <si>
    <t>E.</t>
  </si>
  <si>
    <t>F.</t>
  </si>
  <si>
    <t>G.</t>
  </si>
  <si>
    <t>Actual</t>
  </si>
  <si>
    <t>Estimate w/o Mitchell</t>
  </si>
  <si>
    <t>---</t>
  </si>
  <si>
    <t>KP Spot Market Energy - Day-Ahead Position</t>
  </si>
  <si>
    <t>Purchase MW</t>
  </si>
  <si>
    <t>Cost</t>
  </si>
  <si>
    <t>Jan</t>
  </si>
  <si>
    <t>Feb</t>
  </si>
  <si>
    <t>Mar</t>
  </si>
  <si>
    <t>Apr</t>
  </si>
  <si>
    <t>Total</t>
  </si>
  <si>
    <t>Jan Act</t>
  </si>
  <si>
    <t>Feb Act</t>
  </si>
  <si>
    <t>Mar Act</t>
  </si>
  <si>
    <t>Big Sandy 1</t>
  </si>
  <si>
    <t>Big Sandy 2</t>
  </si>
  <si>
    <t>Mitchell 1 KP</t>
  </si>
  <si>
    <t>Mitchell 2 KP</t>
  </si>
  <si>
    <t>Rockport 1 KP AEG</t>
  </si>
  <si>
    <t>Rockport 2 KP AEG</t>
  </si>
  <si>
    <t>Cost Impact on OSS</t>
  </si>
  <si>
    <t>Actual as Occurred</t>
  </si>
  <si>
    <t>Estimate without Mitchell</t>
  </si>
  <si>
    <t>January</t>
  </si>
  <si>
    <t>February</t>
  </si>
  <si>
    <t>March</t>
  </si>
  <si>
    <t>FEBRUARY 2014 ACTUAL</t>
  </si>
  <si>
    <t>JANUARY 2014 ACTUAL</t>
  </si>
  <si>
    <t>MARCH 2014 ACTUAL</t>
  </si>
  <si>
    <t>Apr Act</t>
  </si>
  <si>
    <t>(provided in Staff 1-29)</t>
  </si>
  <si>
    <t>Page 1 of 1</t>
  </si>
  <si>
    <t>KPCO Internal Load Fuel Cost</t>
  </si>
  <si>
    <t>Estimated Jan-April 2014 Impact without Mitchell</t>
  </si>
  <si>
    <t>Internal Load (GWhs)</t>
  </si>
  <si>
    <t>(1)</t>
  </si>
  <si>
    <t>(2)</t>
  </si>
  <si>
    <t>(3)</t>
  </si>
  <si>
    <t>(4)=(2)-(3)</t>
  </si>
  <si>
    <t>(5)</t>
  </si>
  <si>
    <t>(6)=(4)/(5)</t>
  </si>
  <si>
    <r>
      <rPr>
        <b/>
        <sz val="11"/>
        <rFont val="Arial"/>
        <family val="2"/>
      </rPr>
      <t>Fuel</t>
    </r>
    <r>
      <rPr>
        <b/>
        <sz val="11"/>
        <color indexed="10"/>
        <rFont val="Arial"/>
        <family val="2"/>
      </rPr>
      <t xml:space="preserve"> (Decrease) </t>
    </r>
    <r>
      <rPr>
        <b/>
        <sz val="11"/>
        <rFont val="Arial"/>
        <family val="2"/>
      </rPr>
      <t>/Increase due to Mitchell</t>
    </r>
  </si>
  <si>
    <t>(Dollars in $Millions unless noted)</t>
  </si>
  <si>
    <t>Notes</t>
  </si>
  <si>
    <t>A</t>
  </si>
  <si>
    <t>B</t>
  </si>
  <si>
    <t>D</t>
  </si>
  <si>
    <t>C</t>
  </si>
  <si>
    <t>Incremental Cost (excl. No Load)</t>
  </si>
  <si>
    <t>Remove all fuel cost of Mitchell, including, as applicable, no-load and incremental fuel cost.</t>
  </si>
  <si>
    <t>E</t>
  </si>
  <si>
    <t>Estimated increase in purchases required to serve internal load.</t>
  </si>
  <si>
    <t>F</t>
  </si>
  <si>
    <t>G</t>
  </si>
  <si>
    <t>Remaining cost used to serve internal load without Mitchell.  Still assigns Big Sandy and Rockport no load cost to internal load.</t>
  </si>
  <si>
    <t>Assume no changes to Big Sandy  or Rockport dispatch and cost.</t>
  </si>
  <si>
    <t>For Off System Sales (OSS) adjustment, reduce total fuel cost by no-load cost to determine total $/MWh incremental cost.</t>
  </si>
  <si>
    <t>Estimated reduction in MWhs and cost allocated to OSS from remaining units that must now be retained in order to serve internal load.</t>
  </si>
  <si>
    <t>Conservatively assume all purchases originally assigned to OSS were still allocated to OSS (i.e., none were retained for internal load needs).</t>
  </si>
  <si>
    <r>
      <t xml:space="preserve">$/MWh Impact </t>
    </r>
    <r>
      <rPr>
        <b/>
        <sz val="11"/>
        <color rgb="FFFF0000"/>
        <rFont val="Arial"/>
        <family val="2"/>
      </rPr>
      <t>(Decrease</t>
    </r>
    <r>
      <rPr>
        <b/>
        <sz val="11"/>
        <rFont val="Arial"/>
        <family val="2"/>
      </rPr>
      <t>) /Increase</t>
    </r>
  </si>
  <si>
    <t>April 2014 ACTUAL</t>
  </si>
  <si>
    <t>No Load Costs</t>
  </si>
  <si>
    <t>April</t>
  </si>
  <si>
    <t>Exhibit KDP-5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</si>
</sst>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mm/dd/yy"/>
    <numFmt numFmtId="166" formatCode="0.000_)"/>
    <numFmt numFmtId="167" formatCode="0.000"/>
    <numFmt numFmtId="168" formatCode="0.00000_)"/>
    <numFmt numFmtId="169" formatCode="General_)"/>
    <numFmt numFmtId="170" formatCode="#,##0.000_);\(#,##0.000\)"/>
    <numFmt numFmtId="171" formatCode="_(* #,##0_);_(* \(#,##0\);_(* &quot;-&quot;??_);_(@_)"/>
    <numFmt numFmtId="172" formatCode="_(* #,##0.000_);_(* \(#,##0.000\);_(* &quot;-&quot;??_);_(@_)"/>
    <numFmt numFmtId="173" formatCode="&quot;$&quot;#,##0.0_);[Red]\(&quot;$&quot;#,##0.0\)"/>
  </numFmts>
  <fonts count="32">
    <font>
      <sz val="10"/>
      <name val="Arial"/>
    </font>
    <font>
      <sz val="10"/>
      <name val="Arial"/>
      <family val="2"/>
    </font>
    <font>
      <b/>
      <sz val="8"/>
      <name val="Century Gothic"/>
      <family val="2"/>
    </font>
    <font>
      <b/>
      <sz val="12"/>
      <name val="Century Gothic"/>
      <family val="2"/>
    </font>
    <font>
      <sz val="8"/>
      <name val="Century Gothic"/>
      <family val="2"/>
    </font>
    <font>
      <b/>
      <u/>
      <sz val="8"/>
      <name val="Century Gothic"/>
      <family val="2"/>
    </font>
    <font>
      <u/>
      <sz val="8"/>
      <name val="Century Gothic"/>
      <family val="2"/>
    </font>
    <font>
      <b/>
      <sz val="8"/>
      <color indexed="12"/>
      <name val="Century Gothic"/>
      <family val="2"/>
    </font>
    <font>
      <b/>
      <sz val="8"/>
      <color indexed="10"/>
      <name val="Century Gothic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ourier"/>
      <family val="3"/>
    </font>
    <font>
      <sz val="10"/>
      <name val="Helv"/>
    </font>
    <font>
      <sz val="10"/>
      <name val="MS Sans Serif"/>
      <family val="2"/>
    </font>
    <font>
      <b/>
      <sz val="10"/>
      <name val="MS Sans Serif"/>
      <family val="2"/>
    </font>
    <font>
      <sz val="8"/>
      <name val="Arial"/>
      <family val="2"/>
    </font>
    <font>
      <b/>
      <sz val="10"/>
      <name val="Century Gothic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9"/>
      <name val="Arial"/>
      <family val="2"/>
    </font>
    <font>
      <u/>
      <sz val="11"/>
      <name val="Arial"/>
      <family val="2"/>
    </font>
    <font>
      <u val="double"/>
      <sz val="11"/>
      <name val="Arial"/>
      <family val="2"/>
    </font>
    <font>
      <b/>
      <u val="double"/>
      <sz val="1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9"/>
      <name val="Arial"/>
      <family val="2"/>
    </font>
    <font>
      <b/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4">
    <xf numFmtId="0" fontId="0" fillId="0" borderId="0"/>
    <xf numFmtId="169" fontId="11" fillId="0" borderId="0" applyNumberFormat="0" applyFont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/>
    <xf numFmtId="0" fontId="9" fillId="0" borderId="0">
      <alignment vertical="top"/>
    </xf>
    <xf numFmtId="0" fontId="9" fillId="0" borderId="0">
      <alignment vertical="top"/>
    </xf>
    <xf numFmtId="0" fontId="27" fillId="0" borderId="0"/>
    <xf numFmtId="0" fontId="1" fillId="0" borderId="0"/>
    <xf numFmtId="169" fontId="12" fillId="0" borderId="0" applyProtection="0"/>
    <xf numFmtId="0" fontId="13" fillId="0" borderId="0" applyNumberFormat="0" applyFont="0" applyFill="0" applyBorder="0" applyAlignment="0" applyProtection="0">
      <alignment horizontal="left"/>
    </xf>
    <xf numFmtId="0" fontId="14" fillId="0" borderId="1">
      <alignment horizontal="center"/>
    </xf>
    <xf numFmtId="0" fontId="13" fillId="2" borderId="0" applyNumberFormat="0" applyFont="0" applyBorder="0" applyAlignment="0" applyProtection="0"/>
  </cellStyleXfs>
  <cellXfs count="111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 applyFill="1" applyAlignment="1" applyProtection="1">
      <alignment horizontal="left"/>
    </xf>
    <xf numFmtId="0" fontId="4" fillId="0" borderId="0" xfId="0" applyFont="1" applyFill="1" applyProtection="1"/>
    <xf numFmtId="164" fontId="4" fillId="0" borderId="0" xfId="0" applyNumberFormat="1" applyFont="1" applyFill="1" applyAlignment="1" applyProtection="1">
      <alignment horizontal="center"/>
    </xf>
    <xf numFmtId="165" fontId="4" fillId="0" borderId="0" xfId="0" applyNumberFormat="1" applyFont="1" applyFill="1" applyAlignment="1" applyProtection="1">
      <alignment horizontal="center"/>
    </xf>
    <xf numFmtId="0" fontId="4" fillId="0" borderId="0" xfId="0" applyFont="1" applyFill="1"/>
    <xf numFmtId="0" fontId="2" fillId="0" borderId="0" xfId="0" applyFont="1" applyFill="1"/>
    <xf numFmtId="0" fontId="4" fillId="0" borderId="0" xfId="0" applyFont="1" applyFill="1" applyAlignment="1" applyProtection="1">
      <alignment horizontal="left"/>
    </xf>
    <xf numFmtId="164" fontId="2" fillId="0" borderId="0" xfId="0" applyNumberFormat="1" applyFont="1" applyFill="1" applyProtection="1"/>
    <xf numFmtId="0" fontId="5" fillId="0" borderId="0" xfId="0" applyFont="1" applyFill="1" applyAlignment="1" applyProtection="1">
      <alignment horizontal="center"/>
    </xf>
    <xf numFmtId="44" fontId="5" fillId="0" borderId="0" xfId="4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0" fontId="4" fillId="0" borderId="0" xfId="0" quotePrefix="1" applyFont="1" applyFill="1" applyAlignment="1" applyProtection="1">
      <alignment horizontal="center"/>
    </xf>
    <xf numFmtId="0" fontId="2" fillId="0" borderId="0" xfId="0" quotePrefix="1" applyFont="1" applyFill="1" applyAlignment="1">
      <alignment horizontal="center"/>
    </xf>
    <xf numFmtId="0" fontId="7" fillId="0" borderId="0" xfId="0" applyFont="1" applyFill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37" fontId="4" fillId="0" borderId="0" xfId="0" applyNumberFormat="1" applyFont="1" applyFill="1" applyProtection="1"/>
    <xf numFmtId="166" fontId="4" fillId="0" borderId="0" xfId="0" applyNumberFormat="1" applyFont="1" applyFill="1" applyProtection="1"/>
    <xf numFmtId="37" fontId="4" fillId="0" borderId="2" xfId="0" applyNumberFormat="1" applyFont="1" applyFill="1" applyBorder="1" applyProtection="1"/>
    <xf numFmtId="166" fontId="4" fillId="0" borderId="2" xfId="0" applyNumberFormat="1" applyFont="1" applyFill="1" applyBorder="1" applyProtection="1"/>
    <xf numFmtId="0" fontId="8" fillId="0" borderId="0" xfId="0" applyFont="1" applyFill="1" applyAlignment="1" applyProtection="1">
      <alignment horizontal="left"/>
    </xf>
    <xf numFmtId="37" fontId="2" fillId="0" borderId="0" xfId="0" applyNumberFormat="1" applyFont="1" applyFill="1" applyProtection="1"/>
    <xf numFmtId="166" fontId="2" fillId="0" borderId="0" xfId="0" applyNumberFormat="1" applyFont="1" applyFill="1" applyProtection="1"/>
    <xf numFmtId="37" fontId="4" fillId="0" borderId="0" xfId="0" applyNumberFormat="1" applyFont="1" applyFill="1" applyBorder="1" applyProtection="1"/>
    <xf numFmtId="166" fontId="4" fillId="0" borderId="0" xfId="0" applyNumberFormat="1" applyFont="1" applyFill="1" applyBorder="1" applyProtection="1"/>
    <xf numFmtId="37" fontId="4" fillId="0" borderId="0" xfId="0" applyNumberFormat="1" applyFont="1" applyFill="1"/>
    <xf numFmtId="37" fontId="4" fillId="0" borderId="0" xfId="0" applyNumberFormat="1" applyFont="1" applyFill="1" applyBorder="1"/>
    <xf numFmtId="0" fontId="9" fillId="0" borderId="0" xfId="0" applyFont="1"/>
    <xf numFmtId="0" fontId="10" fillId="0" borderId="0" xfId="0" applyFont="1" applyAlignment="1">
      <alignment horizontal="left"/>
    </xf>
    <xf numFmtId="0" fontId="10" fillId="0" borderId="0" xfId="0" applyFont="1"/>
    <xf numFmtId="168" fontId="4" fillId="0" borderId="0" xfId="0" applyNumberFormat="1" applyFont="1" applyFill="1" applyProtection="1"/>
    <xf numFmtId="43" fontId="4" fillId="0" borderId="0" xfId="3" applyFont="1" applyFill="1"/>
    <xf numFmtId="37" fontId="15" fillId="0" borderId="0" xfId="0" applyNumberFormat="1" applyFont="1" applyFill="1" applyBorder="1"/>
    <xf numFmtId="166" fontId="2" fillId="0" borderId="0" xfId="0" applyNumberFormat="1" applyFont="1" applyFill="1" applyBorder="1" applyProtection="1"/>
    <xf numFmtId="0" fontId="5" fillId="0" borderId="0" xfId="0" applyFont="1" applyFill="1" applyBorder="1" applyAlignment="1">
      <alignment horizontal="center"/>
    </xf>
    <xf numFmtId="170" fontId="4" fillId="0" borderId="0" xfId="0" applyNumberFormat="1" applyFont="1" applyFill="1"/>
    <xf numFmtId="170" fontId="4" fillId="0" borderId="0" xfId="0" quotePrefix="1" applyNumberFormat="1" applyFont="1" applyFill="1" applyAlignment="1">
      <alignment horizontal="center"/>
    </xf>
    <xf numFmtId="37" fontId="2" fillId="0" borderId="0" xfId="0" applyNumberFormat="1" applyFont="1" applyFill="1"/>
    <xf numFmtId="170" fontId="2" fillId="0" borderId="0" xfId="0" applyNumberFormat="1" applyFont="1" applyFill="1"/>
    <xf numFmtId="37" fontId="4" fillId="0" borderId="2" xfId="0" applyNumberFormat="1" applyFont="1" applyFill="1" applyBorder="1"/>
    <xf numFmtId="170" fontId="4" fillId="0" borderId="2" xfId="0" applyNumberFormat="1" applyFont="1" applyFill="1" applyBorder="1"/>
    <xf numFmtId="0" fontId="28" fillId="0" borderId="0" xfId="8" applyFont="1"/>
    <xf numFmtId="0" fontId="27" fillId="0" borderId="0" xfId="8"/>
    <xf numFmtId="0" fontId="27" fillId="0" borderId="2" xfId="8" applyFill="1" applyBorder="1" applyAlignment="1">
      <alignment horizontal="center"/>
    </xf>
    <xf numFmtId="0" fontId="27" fillId="0" borderId="2" xfId="8" applyBorder="1" applyAlignment="1">
      <alignment horizontal="center"/>
    </xf>
    <xf numFmtId="171" fontId="27" fillId="0" borderId="0" xfId="2" applyNumberFormat="1" applyFont="1"/>
    <xf numFmtId="43" fontId="27" fillId="0" borderId="0" xfId="2" applyFont="1"/>
    <xf numFmtId="171" fontId="27" fillId="0" borderId="2" xfId="2" applyNumberFormat="1" applyFont="1" applyBorder="1"/>
    <xf numFmtId="43" fontId="27" fillId="0" borderId="2" xfId="2" applyFont="1" applyBorder="1"/>
    <xf numFmtId="43" fontId="27" fillId="0" borderId="0" xfId="8" applyNumberFormat="1"/>
    <xf numFmtId="171" fontId="4" fillId="0" borderId="0" xfId="0" applyNumberFormat="1" applyFont="1" applyFill="1"/>
    <xf numFmtId="171" fontId="4" fillId="0" borderId="2" xfId="0" applyNumberFormat="1" applyFont="1" applyFill="1" applyBorder="1"/>
    <xf numFmtId="39" fontId="4" fillId="0" borderId="0" xfId="0" quotePrefix="1" applyNumberFormat="1" applyFont="1" applyFill="1" applyAlignment="1">
      <alignment horizontal="center"/>
    </xf>
    <xf numFmtId="0" fontId="29" fillId="0" borderId="0" xfId="8" applyFont="1" applyAlignment="1">
      <alignment horizontal="center"/>
    </xf>
    <xf numFmtId="172" fontId="4" fillId="0" borderId="0" xfId="0" applyNumberFormat="1" applyFont="1" applyFill="1"/>
    <xf numFmtId="172" fontId="4" fillId="0" borderId="2" xfId="0" applyNumberFormat="1" applyFont="1" applyFill="1" applyBorder="1"/>
    <xf numFmtId="41" fontId="4" fillId="0" borderId="0" xfId="0" applyNumberFormat="1" applyFont="1" applyFill="1"/>
    <xf numFmtId="0" fontId="17" fillId="0" borderId="0" xfId="9" applyFont="1"/>
    <xf numFmtId="0" fontId="19" fillId="0" borderId="0" xfId="9" applyFont="1" applyAlignment="1">
      <alignment horizontal="center" vertical="center" wrapText="1"/>
    </xf>
    <xf numFmtId="43" fontId="27" fillId="0" borderId="0" xfId="2" applyFont="1" applyFill="1"/>
    <xf numFmtId="43" fontId="27" fillId="0" borderId="2" xfId="2" applyFont="1" applyFill="1" applyBorder="1"/>
    <xf numFmtId="0" fontId="0" fillId="0" borderId="0" xfId="0" applyAlignment="1"/>
    <xf numFmtId="0" fontId="21" fillId="0" borderId="0" xfId="9" applyFont="1"/>
    <xf numFmtId="0" fontId="22" fillId="0" borderId="0" xfId="9" applyFont="1" applyAlignment="1">
      <alignment horizontal="right"/>
    </xf>
    <xf numFmtId="0" fontId="19" fillId="0" borderId="0" xfId="9" applyFont="1" applyAlignment="1">
      <alignment horizontal="center" vertical="center"/>
    </xf>
    <xf numFmtId="0" fontId="20" fillId="0" borderId="0" xfId="9" applyFont="1" applyAlignment="1">
      <alignment horizontal="center" vertical="center" wrapText="1"/>
    </xf>
    <xf numFmtId="0" fontId="19" fillId="0" borderId="0" xfId="9" applyFont="1" applyAlignment="1">
      <alignment horizontal="center" wrapText="1"/>
    </xf>
    <xf numFmtId="0" fontId="23" fillId="0" borderId="0" xfId="9" quotePrefix="1" applyFont="1" applyAlignment="1">
      <alignment horizontal="center" vertical="center"/>
    </xf>
    <xf numFmtId="0" fontId="23" fillId="0" borderId="0" xfId="9" quotePrefix="1" applyFont="1" applyAlignment="1">
      <alignment horizontal="center" vertical="center" wrapText="1"/>
    </xf>
    <xf numFmtId="0" fontId="21" fillId="0" borderId="0" xfId="9" applyFont="1" applyAlignment="1">
      <alignment horizontal="left"/>
    </xf>
    <xf numFmtId="8" fontId="21" fillId="0" borderId="0" xfId="9" applyNumberFormat="1" applyFont="1" applyAlignment="1">
      <alignment horizontal="center"/>
    </xf>
    <xf numFmtId="37" fontId="21" fillId="0" borderId="0" xfId="9" applyNumberFormat="1" applyFont="1" applyAlignment="1">
      <alignment horizontal="center"/>
    </xf>
    <xf numFmtId="37" fontId="24" fillId="0" borderId="0" xfId="9" applyNumberFormat="1" applyFont="1" applyAlignment="1">
      <alignment horizontal="center"/>
    </xf>
    <xf numFmtId="8" fontId="24" fillId="0" borderId="0" xfId="9" applyNumberFormat="1" applyFont="1" applyAlignment="1">
      <alignment horizontal="center"/>
    </xf>
    <xf numFmtId="0" fontId="19" fillId="0" borderId="0" xfId="9" applyFont="1" applyAlignment="1">
      <alignment horizontal="left"/>
    </xf>
    <xf numFmtId="37" fontId="25" fillId="0" borderId="0" xfId="9" applyNumberFormat="1" applyFont="1" applyAlignment="1">
      <alignment horizontal="center"/>
    </xf>
    <xf numFmtId="8" fontId="26" fillId="0" borderId="0" xfId="9" applyNumberFormat="1" applyFont="1" applyAlignment="1">
      <alignment horizontal="center"/>
    </xf>
    <xf numFmtId="0" fontId="16" fillId="0" borderId="2" xfId="0" applyFont="1" applyFill="1" applyBorder="1" applyAlignment="1">
      <alignment horizontal="center"/>
    </xf>
    <xf numFmtId="173" fontId="21" fillId="0" borderId="0" xfId="9" applyNumberFormat="1" applyFont="1" applyAlignment="1">
      <alignment horizontal="center"/>
    </xf>
    <xf numFmtId="173" fontId="24" fillId="0" borderId="0" xfId="9" applyNumberFormat="1" applyFont="1" applyAlignment="1">
      <alignment horizontal="center"/>
    </xf>
    <xf numFmtId="173" fontId="25" fillId="0" borderId="0" xfId="9" applyNumberFormat="1" applyFont="1" applyAlignment="1">
      <alignment horizontal="center"/>
    </xf>
    <xf numFmtId="173" fontId="25" fillId="0" borderId="0" xfId="9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2" fillId="0" borderId="0" xfId="0" quotePrefix="1" applyFont="1" applyFill="1" applyBorder="1" applyAlignment="1">
      <alignment horizontal="center"/>
    </xf>
    <xf numFmtId="37" fontId="2" fillId="0" borderId="0" xfId="0" applyNumberFormat="1" applyFont="1" applyFill="1" applyBorder="1" applyProtection="1"/>
    <xf numFmtId="167" fontId="2" fillId="0" borderId="0" xfId="0" applyNumberFormat="1" applyFont="1" applyFill="1" applyBorder="1" applyProtection="1"/>
    <xf numFmtId="37" fontId="2" fillId="3" borderId="3" xfId="0" applyNumberFormat="1" applyFont="1" applyFill="1" applyBorder="1" applyProtection="1"/>
    <xf numFmtId="0" fontId="4" fillId="0" borderId="0" xfId="0" applyFont="1" applyFill="1" applyAlignment="1">
      <alignment horizontal="left"/>
    </xf>
    <xf numFmtId="0" fontId="30" fillId="0" borderId="0" xfId="0" applyFont="1" applyAlignment="1">
      <alignment horizontal="left"/>
    </xf>
    <xf numFmtId="0" fontId="23" fillId="0" borderId="0" xfId="0" applyFont="1" applyAlignment="1"/>
    <xf numFmtId="0" fontId="23" fillId="0" borderId="0" xfId="0" applyFont="1"/>
    <xf numFmtId="0" fontId="16" fillId="0" borderId="2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170" fontId="4" fillId="0" borderId="0" xfId="0" applyNumberFormat="1" applyFont="1" applyFill="1" applyBorder="1"/>
    <xf numFmtId="0" fontId="10" fillId="0" borderId="0" xfId="0" applyFont="1" applyBorder="1" applyAlignment="1">
      <alignment horizontal="left"/>
    </xf>
    <xf numFmtId="0" fontId="0" fillId="0" borderId="0" xfId="0" applyBorder="1"/>
    <xf numFmtId="168" fontId="4" fillId="0" borderId="0" xfId="0" applyNumberFormat="1" applyFont="1" applyFill="1" applyBorder="1" applyProtection="1"/>
    <xf numFmtId="172" fontId="4" fillId="0" borderId="0" xfId="0" applyNumberFormat="1" applyFont="1" applyFill="1" applyBorder="1"/>
    <xf numFmtId="0" fontId="2" fillId="0" borderId="0" xfId="0" applyFont="1" applyFill="1" applyBorder="1" applyAlignment="1">
      <alignment horizontal="center"/>
    </xf>
    <xf numFmtId="0" fontId="28" fillId="0" borderId="0" xfId="8" applyFont="1" applyAlignment="1">
      <alignment horizontal="left"/>
    </xf>
    <xf numFmtId="171" fontId="28" fillId="0" borderId="0" xfId="8" applyNumberFormat="1" applyFont="1"/>
    <xf numFmtId="43" fontId="28" fillId="0" borderId="0" xfId="8" applyNumberFormat="1" applyFont="1"/>
    <xf numFmtId="0" fontId="1" fillId="0" borderId="0" xfId="9" applyFont="1" applyAlignment="1">
      <alignment horizontal="right"/>
    </xf>
    <xf numFmtId="0" fontId="18" fillId="0" borderId="0" xfId="9" applyFont="1" applyAlignment="1">
      <alignment horizontal="center"/>
    </xf>
    <xf numFmtId="0" fontId="19" fillId="0" borderId="0" xfId="9" quotePrefix="1" applyFont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7" fillId="0" borderId="0" xfId="8" applyAlignment="1">
      <alignment horizontal="center"/>
    </xf>
  </cellXfs>
  <cellStyles count="14">
    <cellStyle name="cajun" xfId="1"/>
    <cellStyle name="Comma" xfId="2" builtinId="3"/>
    <cellStyle name="Comma 2" xfId="3"/>
    <cellStyle name="Currency" xfId="4" builtinId="4"/>
    <cellStyle name="Normal" xfId="0" builtinId="0"/>
    <cellStyle name="Normal 2" xfId="5"/>
    <cellStyle name="Normal 3" xfId="6"/>
    <cellStyle name="Normal 3 2" xfId="7"/>
    <cellStyle name="Normal 4" xfId="8"/>
    <cellStyle name="Normal 5" xfId="9"/>
    <cellStyle name="ntec" xfId="10"/>
    <cellStyle name="PSChar" xfId="11"/>
    <cellStyle name="PSHeading" xfId="12"/>
    <cellStyle name="PSSpacer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441613</xdr:colOff>
      <xdr:row>18</xdr:row>
      <xdr:rowOff>86590</xdr:rowOff>
    </xdr:from>
    <xdr:to>
      <xdr:col>14</xdr:col>
      <xdr:colOff>450272</xdr:colOff>
      <xdr:row>26</xdr:row>
      <xdr:rowOff>8659</xdr:rowOff>
    </xdr:to>
    <xdr:cxnSp macro="">
      <xdr:nvCxnSpPr>
        <xdr:cNvPr id="3" name="Straight Arrow Connector 2"/>
        <xdr:cNvCxnSpPr/>
      </xdr:nvCxnSpPr>
      <xdr:spPr>
        <a:xfrm>
          <a:off x="9845386" y="2900795"/>
          <a:ext cx="8659" cy="1307523"/>
        </a:xfrm>
        <a:prstGeom prst="straightConnector1">
          <a:avLst/>
        </a:prstGeom>
        <a:ln w="158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450273</xdr:colOff>
      <xdr:row>18</xdr:row>
      <xdr:rowOff>86591</xdr:rowOff>
    </xdr:from>
    <xdr:to>
      <xdr:col>14</xdr:col>
      <xdr:colOff>458932</xdr:colOff>
      <xdr:row>26</xdr:row>
      <xdr:rowOff>8660</xdr:rowOff>
    </xdr:to>
    <xdr:cxnSp macro="">
      <xdr:nvCxnSpPr>
        <xdr:cNvPr id="4" name="Straight Arrow Connector 3"/>
        <xdr:cNvCxnSpPr/>
      </xdr:nvCxnSpPr>
      <xdr:spPr>
        <a:xfrm>
          <a:off x="9854046" y="2900796"/>
          <a:ext cx="8659" cy="1307523"/>
        </a:xfrm>
        <a:prstGeom prst="straightConnector1">
          <a:avLst/>
        </a:prstGeom>
        <a:noFill/>
        <a:ln w="15875" cap="flat" cmpd="sng" algn="ctr">
          <a:solidFill>
            <a:sysClr val="windowText" lastClr="000000"/>
          </a:solidFill>
          <a:prstDash val="solid"/>
          <a:tailEnd type="arrow"/>
        </a:ln>
        <a:effectLst/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450272</xdr:colOff>
      <xdr:row>18</xdr:row>
      <xdr:rowOff>86592</xdr:rowOff>
    </xdr:from>
    <xdr:to>
      <xdr:col>14</xdr:col>
      <xdr:colOff>458931</xdr:colOff>
      <xdr:row>26</xdr:row>
      <xdr:rowOff>8661</xdr:rowOff>
    </xdr:to>
    <xdr:cxnSp macro="">
      <xdr:nvCxnSpPr>
        <xdr:cNvPr id="2" name="Straight Arrow Connector 1"/>
        <xdr:cNvCxnSpPr/>
      </xdr:nvCxnSpPr>
      <xdr:spPr>
        <a:xfrm>
          <a:off x="9845386" y="2900797"/>
          <a:ext cx="8659" cy="1307523"/>
        </a:xfrm>
        <a:prstGeom prst="straightConnector1">
          <a:avLst/>
        </a:prstGeom>
        <a:noFill/>
        <a:ln w="15875" cap="flat" cmpd="sng" algn="ctr">
          <a:solidFill>
            <a:sysClr val="windowText" lastClr="000000"/>
          </a:solidFill>
          <a:prstDash val="solid"/>
          <a:tailEnd type="arrow"/>
        </a:ln>
        <a:effectLst/>
      </xdr:spPr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450272</xdr:colOff>
      <xdr:row>18</xdr:row>
      <xdr:rowOff>77932</xdr:rowOff>
    </xdr:from>
    <xdr:to>
      <xdr:col>14</xdr:col>
      <xdr:colOff>458931</xdr:colOff>
      <xdr:row>26</xdr:row>
      <xdr:rowOff>1</xdr:rowOff>
    </xdr:to>
    <xdr:cxnSp macro="">
      <xdr:nvCxnSpPr>
        <xdr:cNvPr id="2" name="Straight Arrow Connector 1"/>
        <xdr:cNvCxnSpPr/>
      </xdr:nvCxnSpPr>
      <xdr:spPr>
        <a:xfrm>
          <a:off x="9845386" y="2892137"/>
          <a:ext cx="8659" cy="1307523"/>
        </a:xfrm>
        <a:prstGeom prst="straightConnector1">
          <a:avLst/>
        </a:prstGeom>
        <a:noFill/>
        <a:ln w="15875" cap="flat" cmpd="sng" algn="ctr">
          <a:solidFill>
            <a:sysClr val="windowText" lastClr="000000"/>
          </a:solidFill>
          <a:prstDash val="solid"/>
          <a:tailEnd type="arrow"/>
        </a:ln>
        <a:effectLst/>
      </xdr:spPr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financesp/!Settlements%20Directory/Pool/Critical%20Spreadsheets/EAST/Interchange%20Power%20Statement/IPS%20-%202013/January%202013%20Actual_P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sk Assessment - IPS Act"/>
      <sheetName val="Change Revisions"/>
      <sheetName val="INPUT"/>
      <sheetName val="Cover Page"/>
      <sheetName val="Statement"/>
      <sheetName val="Contents"/>
      <sheetName val="PAGE1"/>
      <sheetName val="PAGE2"/>
      <sheetName val="PAGE3"/>
      <sheetName val="PAGE4"/>
      <sheetName val="PAGE5"/>
      <sheetName val="PAGE6"/>
      <sheetName val="PAGE6B"/>
      <sheetName val="PAGE7"/>
      <sheetName val="PAGE8"/>
      <sheetName val="PRIMARY 151"/>
      <sheetName val="PAGE9"/>
      <sheetName val="ECONOMY 151"/>
      <sheetName val="PAGE10"/>
      <sheetName val="PAGE11"/>
      <sheetName val="APP Contents"/>
      <sheetName val="APPI"/>
      <sheetName val="APPII"/>
      <sheetName val="APPIII"/>
      <sheetName val="APPIV"/>
      <sheetName val="APPV"/>
      <sheetName val="APPVI PG1"/>
      <sheetName val="APPVI PG 2"/>
      <sheetName val="APPVI VLOOKUP NAMES"/>
      <sheetName val="APPVII PG1"/>
      <sheetName val="APPVII PG2"/>
      <sheetName val="APPVII PG3"/>
      <sheetName val="APPVII PG4"/>
      <sheetName val="APPVIII PG 1"/>
      <sheetName val="APPVIII PG 2"/>
      <sheetName val="APPVIII PG 3"/>
      <sheetName val="APPVIII PG 4"/>
      <sheetName val="APPVIII PG 5"/>
      <sheetName val="APPVIII PG 6"/>
      <sheetName val="APPVIII PG 7"/>
      <sheetName val="APP IX (PJM) "/>
      <sheetName val="APP 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G26"/>
  <sheetViews>
    <sheetView tabSelected="1" zoomScaleNormal="100" workbookViewId="0">
      <selection activeCell="B3" sqref="B3"/>
    </sheetView>
  </sheetViews>
  <sheetFormatPr defaultRowHeight="12.75"/>
  <cols>
    <col min="1" max="1" width="2.140625" customWidth="1"/>
    <col min="2" max="2" width="12.140625" customWidth="1"/>
    <col min="3" max="4" width="16.7109375" customWidth="1"/>
    <col min="5" max="5" width="18.85546875" customWidth="1"/>
    <col min="6" max="7" width="16.7109375" customWidth="1"/>
  </cols>
  <sheetData>
    <row r="3" spans="2:7" ht="15">
      <c r="B3" s="58"/>
      <c r="C3" s="58"/>
      <c r="D3" s="58"/>
      <c r="E3" s="58"/>
      <c r="F3" s="63"/>
      <c r="G3" s="105" t="s">
        <v>102</v>
      </c>
    </row>
    <row r="4" spans="2:7" ht="15">
      <c r="B4" s="58"/>
      <c r="C4" s="58"/>
      <c r="D4" s="58"/>
      <c r="E4" s="58"/>
      <c r="F4" s="63"/>
      <c r="G4" s="105" t="s">
        <v>70</v>
      </c>
    </row>
    <row r="5" spans="2:7" ht="15">
      <c r="B5" s="58"/>
      <c r="C5" s="58"/>
      <c r="D5" s="58"/>
      <c r="E5" s="58"/>
      <c r="F5" s="63"/>
      <c r="G5" s="64"/>
    </row>
    <row r="6" spans="2:7" ht="15">
      <c r="B6" s="58"/>
      <c r="C6" s="58"/>
      <c r="D6" s="58"/>
      <c r="E6" s="58"/>
      <c r="F6" s="63"/>
      <c r="G6" s="64"/>
    </row>
    <row r="7" spans="2:7" ht="15">
      <c r="B7" s="58"/>
      <c r="C7" s="58"/>
      <c r="D7" s="58"/>
      <c r="E7" s="58"/>
      <c r="F7" s="63"/>
      <c r="G7" s="63"/>
    </row>
    <row r="8" spans="2:7" ht="15.75">
      <c r="B8" s="106" t="s">
        <v>71</v>
      </c>
      <c r="C8" s="106"/>
      <c r="D8" s="106"/>
      <c r="E8" s="106"/>
      <c r="F8" s="106"/>
      <c r="G8" s="106"/>
    </row>
    <row r="9" spans="2:7" ht="15.75">
      <c r="B9" s="106" t="s">
        <v>72</v>
      </c>
      <c r="C9" s="106"/>
      <c r="D9" s="106"/>
      <c r="E9" s="106"/>
      <c r="F9" s="106"/>
      <c r="G9" s="106"/>
    </row>
    <row r="10" spans="2:7" ht="15">
      <c r="B10" s="107" t="s">
        <v>81</v>
      </c>
      <c r="C10" s="107"/>
      <c r="D10" s="107"/>
      <c r="E10" s="107"/>
      <c r="F10" s="107"/>
      <c r="G10" s="107"/>
    </row>
    <row r="11" spans="2:7" ht="22.5" customHeight="1">
      <c r="B11" s="58"/>
      <c r="C11" s="58"/>
      <c r="D11" s="58"/>
      <c r="E11" s="58"/>
      <c r="F11" s="63"/>
      <c r="G11" s="63"/>
    </row>
    <row r="12" spans="2:7" ht="51.75" customHeight="1">
      <c r="B12" s="65">
        <v>2014</v>
      </c>
      <c r="C12" s="59" t="s">
        <v>60</v>
      </c>
      <c r="D12" s="59" t="s">
        <v>61</v>
      </c>
      <c r="E12" s="66" t="s">
        <v>80</v>
      </c>
      <c r="F12" s="67" t="s">
        <v>73</v>
      </c>
      <c r="G12" s="67" t="s">
        <v>98</v>
      </c>
    </row>
    <row r="13" spans="2:7">
      <c r="B13" s="68" t="s">
        <v>74</v>
      </c>
      <c r="C13" s="69" t="s">
        <v>75</v>
      </c>
      <c r="D13" s="69" t="s">
        <v>76</v>
      </c>
      <c r="E13" s="69" t="s">
        <v>77</v>
      </c>
      <c r="F13" s="69" t="s">
        <v>78</v>
      </c>
      <c r="G13" s="69" t="s">
        <v>79</v>
      </c>
    </row>
    <row r="14" spans="2:7" s="62" customFormat="1" ht="24.95" customHeight="1">
      <c r="B14" s="70" t="s">
        <v>62</v>
      </c>
      <c r="C14" s="79">
        <f>'Jan14Act - KP NER'!D44/1000000</f>
        <v>25.621098284231998</v>
      </c>
      <c r="D14" s="79">
        <f>'Jan14Act - KP NER'!H44/1000000</f>
        <v>30.964979470031196</v>
      </c>
      <c r="E14" s="79">
        <f>C14-D14</f>
        <v>-5.3438811857991979</v>
      </c>
      <c r="F14" s="72">
        <f>'Jan14Act - KP NER'!G44/1000</f>
        <v>795.88917700000013</v>
      </c>
      <c r="G14" s="71">
        <f>E14*1000/F14</f>
        <v>-6.714353380130456</v>
      </c>
    </row>
    <row r="15" spans="2:7" s="62" customFormat="1" ht="24.95" customHeight="1">
      <c r="B15" s="70" t="s">
        <v>63</v>
      </c>
      <c r="C15" s="79">
        <f>'Feb14Act - KP NER'!D44/1000000</f>
        <v>20.359583686004893</v>
      </c>
      <c r="D15" s="79">
        <f>'Feb14Act - KP NER'!H44/1000000</f>
        <v>20.367762913456886</v>
      </c>
      <c r="E15" s="79">
        <f>C15-D15</f>
        <v>-8.1792274519933983E-3</v>
      </c>
      <c r="F15" s="72">
        <f>'Feb14Act - KP NER'!G44/1000</f>
        <v>643.28335699999991</v>
      </c>
      <c r="G15" s="71">
        <f>E15*1000/F15</f>
        <v>-1.271481278504987E-2</v>
      </c>
    </row>
    <row r="16" spans="2:7" s="62" customFormat="1" ht="24.95" customHeight="1">
      <c r="B16" s="70" t="s">
        <v>64</v>
      </c>
      <c r="C16" s="79">
        <f>'Mar14Act - KP NER'!D44/1000000</f>
        <v>17.970489691519504</v>
      </c>
      <c r="D16" s="79">
        <f>'Mar14Act - KP NER'!H44/1000000</f>
        <v>24.293990985874728</v>
      </c>
      <c r="E16" s="79">
        <f>C16-D16</f>
        <v>-6.3235012943552249</v>
      </c>
      <c r="F16" s="72">
        <f>'Mar14Act - KP NER'!G44/1000</f>
        <v>615.51383199999964</v>
      </c>
      <c r="G16" s="71">
        <f>E16*1000/F16</f>
        <v>-10.27353239781495</v>
      </c>
    </row>
    <row r="17" spans="2:7" s="62" customFormat="1" ht="24.95" customHeight="1">
      <c r="B17" s="70" t="s">
        <v>101</v>
      </c>
      <c r="C17" s="80">
        <f>'Apr14Act - KP NER'!D44/1000000</f>
        <v>16.377685593138192</v>
      </c>
      <c r="D17" s="80">
        <f>'Apr14Act - KP NER'!H44/1000000</f>
        <v>14.609406249122385</v>
      </c>
      <c r="E17" s="80">
        <f>C17-D17</f>
        <v>1.7682793440158076</v>
      </c>
      <c r="F17" s="73">
        <f>'Apr14Act - KP NER'!G44/1000</f>
        <v>484.17577299999994</v>
      </c>
      <c r="G17" s="74">
        <f>E17*1000/F17</f>
        <v>3.6521433797882485</v>
      </c>
    </row>
    <row r="18" spans="2:7" s="62" customFormat="1" ht="24.95" customHeight="1">
      <c r="B18" s="75" t="s">
        <v>49</v>
      </c>
      <c r="C18" s="81">
        <f>SUM(C14:C17)</f>
        <v>80.328857254894587</v>
      </c>
      <c r="D18" s="81">
        <f>SUM(D14:D17)</f>
        <v>90.236139618485197</v>
      </c>
      <c r="E18" s="82">
        <f>SUM(E14:E17)</f>
        <v>-9.9072823635906087</v>
      </c>
      <c r="F18" s="76">
        <f>SUM(F14:F17)</f>
        <v>2538.8621389999998</v>
      </c>
      <c r="G18" s="77">
        <f>E18*1000/F18</f>
        <v>-3.9022529862503137</v>
      </c>
    </row>
    <row r="24" spans="2:7">
      <c r="B24" s="90"/>
    </row>
    <row r="25" spans="2:7">
      <c r="B25" s="91"/>
      <c r="D25" s="62"/>
      <c r="E25" s="62"/>
      <c r="F25" s="62"/>
      <c r="G25" s="62"/>
    </row>
    <row r="26" spans="2:7">
      <c r="B26" s="92"/>
      <c r="C26" s="62"/>
      <c r="D26" s="62"/>
      <c r="E26" s="62"/>
      <c r="F26" s="62"/>
      <c r="G26" s="62"/>
    </row>
  </sheetData>
  <mergeCells count="3">
    <mergeCell ref="B8:G8"/>
    <mergeCell ref="B9:G9"/>
    <mergeCell ref="B10:G10"/>
  </mergeCells>
  <pageMargins left="0.7" right="0.7" top="0.75" bottom="0.75" header="0.3" footer="0.3"/>
  <pageSetup orientation="landscape" r:id="rId1"/>
  <headerFooter>
    <oddHeader>&amp;RKPSC Case No. 2014-00225
Commission Staff Post Hearing Data Requests
Item No. 7
Attachment 1
Page 1 of 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pageSetUpPr fitToPage="1"/>
  </sheetPr>
  <dimension ref="A3:Q65"/>
  <sheetViews>
    <sheetView tabSelected="1" zoomScale="110" zoomScaleNormal="110" workbookViewId="0">
      <selection activeCell="B3" sqref="B3"/>
    </sheetView>
  </sheetViews>
  <sheetFormatPr defaultColWidth="9.85546875" defaultRowHeight="13.5"/>
  <cols>
    <col min="1" max="1" width="3.28515625" style="1" bestFit="1" customWidth="1"/>
    <col min="2" max="2" width="38.7109375" style="6" customWidth="1"/>
    <col min="3" max="5" width="10.85546875" style="6" customWidth="1"/>
    <col min="6" max="6" width="3.140625" style="6" customWidth="1"/>
    <col min="7" max="9" width="10.7109375" style="6" customWidth="1"/>
    <col min="10" max="10" width="1.5703125" style="6" customWidth="1"/>
    <col min="11" max="11" width="6.28515625" style="83" customWidth="1"/>
    <col min="12" max="12" width="1.5703125" style="6" customWidth="1"/>
    <col min="13" max="15" width="10.7109375" style="6" customWidth="1"/>
    <col min="16" max="16" width="1.5703125" style="6" customWidth="1"/>
    <col min="17" max="17" width="6.28515625" style="83" customWidth="1"/>
    <col min="18" max="16384" width="9.85546875" style="6"/>
  </cols>
  <sheetData>
    <row r="3" spans="1:17" ht="16.5">
      <c r="B3" s="2" t="s">
        <v>0</v>
      </c>
      <c r="C3" s="3"/>
      <c r="D3" s="4"/>
      <c r="E3" s="5"/>
    </row>
    <row r="4" spans="1:17">
      <c r="B4" s="6" t="s">
        <v>66</v>
      </c>
      <c r="D4" s="7"/>
    </row>
    <row r="5" spans="1:17">
      <c r="B5" s="8" t="s">
        <v>1</v>
      </c>
      <c r="D5" s="9"/>
    </row>
    <row r="6" spans="1:17">
      <c r="B6" s="8" t="s">
        <v>2</v>
      </c>
    </row>
    <row r="7" spans="1:17">
      <c r="B7" s="3"/>
      <c r="D7" s="8"/>
    </row>
    <row r="8" spans="1:17" ht="14.25">
      <c r="B8" s="8" t="s">
        <v>3</v>
      </c>
      <c r="C8" s="108" t="s">
        <v>39</v>
      </c>
      <c r="D8" s="108"/>
      <c r="E8" s="108"/>
      <c r="G8" s="108" t="s">
        <v>40</v>
      </c>
      <c r="H8" s="108"/>
      <c r="I8" s="108"/>
      <c r="K8" s="78" t="s">
        <v>82</v>
      </c>
      <c r="M8" s="108" t="s">
        <v>87</v>
      </c>
      <c r="N8" s="108"/>
      <c r="O8" s="108"/>
      <c r="Q8" s="78" t="s">
        <v>82</v>
      </c>
    </row>
    <row r="9" spans="1:17">
      <c r="B9" s="3"/>
    </row>
    <row r="10" spans="1:17">
      <c r="B10" s="10" t="s">
        <v>5</v>
      </c>
      <c r="C10" s="10" t="s">
        <v>6</v>
      </c>
      <c r="D10" s="11" t="s">
        <v>7</v>
      </c>
      <c r="E10" s="35" t="s">
        <v>8</v>
      </c>
      <c r="G10" s="10" t="s">
        <v>6</v>
      </c>
      <c r="H10" s="11" t="s">
        <v>7</v>
      </c>
      <c r="I10" s="35" t="s">
        <v>8</v>
      </c>
      <c r="M10" s="10" t="s">
        <v>6</v>
      </c>
      <c r="N10" s="11" t="s">
        <v>7</v>
      </c>
      <c r="O10" s="35" t="s">
        <v>8</v>
      </c>
    </row>
    <row r="11" spans="1:17">
      <c r="B11" s="10"/>
      <c r="C11" s="12"/>
      <c r="D11" s="13" t="s">
        <v>9</v>
      </c>
      <c r="E11" s="12"/>
      <c r="G11" s="12"/>
      <c r="H11" s="13" t="s">
        <v>9</v>
      </c>
      <c r="I11" s="12"/>
      <c r="M11" s="12"/>
      <c r="N11" s="13" t="s">
        <v>9</v>
      </c>
      <c r="O11" s="12"/>
    </row>
    <row r="12" spans="1:17">
      <c r="A12" s="14" t="s">
        <v>10</v>
      </c>
      <c r="B12" s="15" t="s">
        <v>11</v>
      </c>
    </row>
    <row r="13" spans="1:17">
      <c r="B13" s="16" t="s">
        <v>12</v>
      </c>
      <c r="C13" s="17">
        <v>611150</v>
      </c>
      <c r="D13" s="17">
        <v>19054146</v>
      </c>
      <c r="E13" s="36">
        <f t="shared" ref="E13:E18" si="0">D13/C13</f>
        <v>31.177527611879245</v>
      </c>
      <c r="G13" s="26">
        <f>C13</f>
        <v>611150</v>
      </c>
      <c r="H13" s="26">
        <f>D13</f>
        <v>19054146</v>
      </c>
      <c r="I13" s="36">
        <f>E13</f>
        <v>31.177527611879245</v>
      </c>
      <c r="K13" s="89" t="s">
        <v>83</v>
      </c>
      <c r="M13" s="26">
        <f>C13</f>
        <v>611150</v>
      </c>
      <c r="N13" s="51">
        <f>D13-'No Load'!B7-'No Load'!B8</f>
        <v>13904732.425000001</v>
      </c>
      <c r="O13" s="55">
        <f>N13/M13</f>
        <v>22.751750674957048</v>
      </c>
      <c r="Q13" s="89" t="s">
        <v>84</v>
      </c>
    </row>
    <row r="14" spans="1:17">
      <c r="B14" s="8" t="s">
        <v>13</v>
      </c>
      <c r="C14" s="17">
        <v>139494.5</v>
      </c>
      <c r="D14" s="17">
        <v>4450957.3898259997</v>
      </c>
      <c r="E14" s="36">
        <f t="shared" si="0"/>
        <v>31.907762598711777</v>
      </c>
      <c r="G14" s="26">
        <v>0</v>
      </c>
      <c r="H14" s="26">
        <v>0</v>
      </c>
      <c r="I14" s="37" t="s">
        <v>41</v>
      </c>
      <c r="K14" s="89" t="s">
        <v>86</v>
      </c>
      <c r="N14" s="51"/>
      <c r="Q14" s="89"/>
    </row>
    <row r="15" spans="1:17">
      <c r="B15" s="8" t="s">
        <v>14</v>
      </c>
      <c r="C15" s="17">
        <v>219535</v>
      </c>
      <c r="D15" s="17">
        <v>6403182.5459059998</v>
      </c>
      <c r="E15" s="36">
        <f t="shared" si="0"/>
        <v>29.167023690555038</v>
      </c>
      <c r="G15" s="26">
        <v>0</v>
      </c>
      <c r="H15" s="26">
        <v>0</v>
      </c>
      <c r="I15" s="37" t="s">
        <v>41</v>
      </c>
      <c r="K15" s="89" t="s">
        <v>86</v>
      </c>
      <c r="N15" s="51"/>
      <c r="Q15" s="89"/>
    </row>
    <row r="16" spans="1:17">
      <c r="B16" s="8" t="s">
        <v>15</v>
      </c>
      <c r="C16" s="17">
        <v>135241.05000000002</v>
      </c>
      <c r="D16" s="17">
        <v>3274172.4329999993</v>
      </c>
      <c r="E16" s="36">
        <f t="shared" si="0"/>
        <v>24.209901010085318</v>
      </c>
      <c r="G16" s="26">
        <f t="shared" ref="G16:I17" si="1">C16</f>
        <v>135241.05000000002</v>
      </c>
      <c r="H16" s="26">
        <f t="shared" si="1"/>
        <v>3274172.4329999993</v>
      </c>
      <c r="I16" s="36">
        <f t="shared" si="1"/>
        <v>24.209901010085318</v>
      </c>
      <c r="K16" s="89" t="s">
        <v>83</v>
      </c>
      <c r="M16" s="26">
        <f>C16</f>
        <v>135241.05000000002</v>
      </c>
      <c r="N16" s="51">
        <f>D16-'No Load'!B11</f>
        <v>2959198.9179999991</v>
      </c>
      <c r="O16" s="55">
        <f>N16/M16</f>
        <v>21.880922382664131</v>
      </c>
      <c r="Q16" s="89" t="s">
        <v>84</v>
      </c>
    </row>
    <row r="17" spans="1:17">
      <c r="B17" s="8" t="s">
        <v>16</v>
      </c>
      <c r="C17" s="19">
        <v>128673.45000000006</v>
      </c>
      <c r="D17" s="19">
        <v>3080784.0015000002</v>
      </c>
      <c r="E17" s="41">
        <f t="shared" si="0"/>
        <v>23.942654848377803</v>
      </c>
      <c r="G17" s="40">
        <f t="shared" si="1"/>
        <v>128673.45000000006</v>
      </c>
      <c r="H17" s="40">
        <f t="shared" si="1"/>
        <v>3080784.0015000002</v>
      </c>
      <c r="I17" s="41">
        <f t="shared" si="1"/>
        <v>23.942654848377803</v>
      </c>
      <c r="K17" s="89" t="s">
        <v>83</v>
      </c>
      <c r="M17" s="40">
        <f>C17</f>
        <v>128673.45000000006</v>
      </c>
      <c r="N17" s="52">
        <f>D17-'No Load'!B12</f>
        <v>2769784.1265000002</v>
      </c>
      <c r="O17" s="56">
        <f>N17/M17</f>
        <v>21.525684797446551</v>
      </c>
      <c r="Q17" s="89" t="s">
        <v>84</v>
      </c>
    </row>
    <row r="18" spans="1:17">
      <c r="B18" s="21" t="s">
        <v>17</v>
      </c>
      <c r="C18" s="22">
        <f>SUM(C13:C17)</f>
        <v>1234094</v>
      </c>
      <c r="D18" s="22">
        <f>SUM(D13:D17)</f>
        <v>36263242.370232001</v>
      </c>
      <c r="E18" s="39">
        <f t="shared" si="0"/>
        <v>29.384505856305921</v>
      </c>
      <c r="G18" s="38">
        <f>SUM(G13:G17)</f>
        <v>875064.50000000012</v>
      </c>
      <c r="H18" s="38">
        <f>SUM(H13:H17)</f>
        <v>25409102.434499998</v>
      </c>
      <c r="I18" s="39">
        <f>H18/G18</f>
        <v>29.036833781395536</v>
      </c>
      <c r="K18" s="89"/>
      <c r="M18" s="26">
        <f>SUM(M13:M17)</f>
        <v>875064.50000000012</v>
      </c>
      <c r="N18" s="26">
        <f>SUM(N13:N17)</f>
        <v>19633715.469499998</v>
      </c>
      <c r="O18" s="55">
        <f>N18/M18</f>
        <v>22.436878046703981</v>
      </c>
      <c r="Q18" s="89"/>
    </row>
    <row r="19" spans="1:17">
      <c r="B19" s="3"/>
      <c r="C19" s="17"/>
      <c r="D19" s="17"/>
      <c r="E19" s="18"/>
      <c r="I19" s="36"/>
      <c r="K19" s="89"/>
      <c r="Q19" s="89"/>
    </row>
    <row r="20" spans="1:17">
      <c r="A20" s="14" t="s">
        <v>18</v>
      </c>
      <c r="B20" s="15" t="s">
        <v>19</v>
      </c>
      <c r="C20" s="17"/>
      <c r="D20" s="17"/>
      <c r="E20" s="18"/>
      <c r="I20" s="36"/>
      <c r="K20" s="89"/>
      <c r="N20" s="26"/>
      <c r="Q20" s="89"/>
    </row>
    <row r="21" spans="1:17">
      <c r="B21" s="8" t="s">
        <v>20</v>
      </c>
      <c r="C21" s="19">
        <v>75823.807000000001</v>
      </c>
      <c r="D21" s="19">
        <v>7100284.5300000003</v>
      </c>
      <c r="E21" s="41">
        <f>D21/C21</f>
        <v>93.641889149670362</v>
      </c>
      <c r="G21" s="40">
        <f>C21+Purchases!B8</f>
        <v>125888.32700000002</v>
      </c>
      <c r="H21" s="52">
        <f>D21+Purchases!C8</f>
        <v>16261140.795359068</v>
      </c>
      <c r="I21" s="41">
        <f>H21/G21</f>
        <v>129.17115655496053</v>
      </c>
      <c r="K21" s="89" t="s">
        <v>85</v>
      </c>
      <c r="Q21" s="89"/>
    </row>
    <row r="22" spans="1:17">
      <c r="B22" s="21" t="s">
        <v>17</v>
      </c>
      <c r="C22" s="38">
        <f>SUM(C21)</f>
        <v>75823.807000000001</v>
      </c>
      <c r="D22" s="38">
        <f>SUM(D21)</f>
        <v>7100284.5300000003</v>
      </c>
      <c r="E22" s="39">
        <f>D22/C22</f>
        <v>93.641889149670362</v>
      </c>
      <c r="G22" s="38">
        <f>SUM(G21)</f>
        <v>125888.32700000002</v>
      </c>
      <c r="H22" s="38">
        <f>SUM(H21)</f>
        <v>16261140.795359068</v>
      </c>
      <c r="I22" s="39">
        <f>SUM(I21)</f>
        <v>129.17115655496053</v>
      </c>
      <c r="K22" s="89"/>
      <c r="Q22" s="89"/>
    </row>
    <row r="23" spans="1:17">
      <c r="B23" s="3"/>
      <c r="C23" s="17"/>
      <c r="D23" s="17"/>
      <c r="E23" s="18"/>
      <c r="I23" s="36"/>
      <c r="K23" s="89"/>
      <c r="Q23" s="89"/>
    </row>
    <row r="24" spans="1:17">
      <c r="A24" s="14" t="s">
        <v>21</v>
      </c>
      <c r="B24" s="15" t="s">
        <v>22</v>
      </c>
      <c r="C24" s="22">
        <f>C18+C22</f>
        <v>1309917.807</v>
      </c>
      <c r="D24" s="22">
        <f>D18+D22</f>
        <v>43363526.900232002</v>
      </c>
      <c r="E24" s="39">
        <f>D24/C24</f>
        <v>33.104005967782072</v>
      </c>
      <c r="G24" s="38">
        <f>G18+G22</f>
        <v>1000952.8270000002</v>
      </c>
      <c r="H24" s="38">
        <f>H18+H22</f>
        <v>41670243.229859069</v>
      </c>
      <c r="I24" s="39">
        <f>H24/G24</f>
        <v>41.630576492551391</v>
      </c>
      <c r="K24" s="89"/>
      <c r="Q24" s="89"/>
    </row>
    <row r="25" spans="1:17">
      <c r="B25" s="3"/>
      <c r="C25" s="17"/>
      <c r="D25" s="17"/>
      <c r="E25" s="18"/>
      <c r="I25" s="36"/>
      <c r="K25" s="89"/>
      <c r="Q25" s="89"/>
    </row>
    <row r="26" spans="1:17">
      <c r="B26" s="10" t="s">
        <v>23</v>
      </c>
      <c r="C26" s="17"/>
      <c r="D26" s="17"/>
      <c r="E26" s="18"/>
      <c r="I26" s="36"/>
      <c r="K26" s="89"/>
      <c r="Q26" s="89"/>
    </row>
    <row r="27" spans="1:17">
      <c r="B27" s="10"/>
      <c r="C27" s="17"/>
      <c r="D27" s="17"/>
      <c r="E27" s="18"/>
      <c r="I27" s="36"/>
      <c r="K27" s="89"/>
      <c r="M27" s="109" t="s">
        <v>59</v>
      </c>
      <c r="N27" s="109"/>
      <c r="O27" s="109"/>
      <c r="Q27" s="89"/>
    </row>
    <row r="28" spans="1:17">
      <c r="A28" s="14" t="s">
        <v>24</v>
      </c>
      <c r="B28" s="15" t="s">
        <v>25</v>
      </c>
      <c r="D28" s="17"/>
      <c r="I28" s="36"/>
      <c r="K28" s="89"/>
      <c r="Q28" s="89"/>
    </row>
    <row r="29" spans="1:17">
      <c r="B29" s="8" t="s">
        <v>26</v>
      </c>
      <c r="C29" s="24">
        <v>259164.95799999998</v>
      </c>
      <c r="D29" s="24">
        <v>6631481.9740000004</v>
      </c>
      <c r="E29" s="36">
        <f t="shared" ref="E29:E35" si="2">D29/C29</f>
        <v>25.587880495788326</v>
      </c>
      <c r="G29" s="26">
        <f>C29*132082/(C$29+C$32+C$33)</f>
        <v>93533.797137826987</v>
      </c>
      <c r="H29" s="26">
        <f>D29+N29</f>
        <v>2863083.0980601362</v>
      </c>
      <c r="I29" s="36">
        <f>H29/G29</f>
        <v>30.610145056350405</v>
      </c>
      <c r="K29" s="89" t="s">
        <v>89</v>
      </c>
      <c r="M29" s="26">
        <f>G29-C29</f>
        <v>-165631.16086217301</v>
      </c>
      <c r="N29" s="57">
        <f>O29*M29</f>
        <v>-3768398.8759398642</v>
      </c>
      <c r="O29" s="55">
        <f>O13</f>
        <v>22.751750674957048</v>
      </c>
      <c r="Q29" s="89" t="s">
        <v>89</v>
      </c>
    </row>
    <row r="30" spans="1:17">
      <c r="B30" s="8" t="s">
        <v>13</v>
      </c>
      <c r="C30" s="24">
        <v>26740.677999999996</v>
      </c>
      <c r="D30" s="24">
        <v>637278.67700000003</v>
      </c>
      <c r="E30" s="36">
        <f t="shared" si="2"/>
        <v>23.831806994572094</v>
      </c>
      <c r="G30" s="26">
        <v>0</v>
      </c>
      <c r="H30" s="26">
        <v>0</v>
      </c>
      <c r="I30" s="37" t="s">
        <v>41</v>
      </c>
      <c r="K30" s="89" t="s">
        <v>86</v>
      </c>
      <c r="M30" s="26"/>
      <c r="Q30" s="89"/>
    </row>
    <row r="31" spans="1:17">
      <c r="B31" s="8" t="s">
        <v>14</v>
      </c>
      <c r="C31" s="17">
        <v>48331.061999999976</v>
      </c>
      <c r="D31" s="17">
        <v>1149152.1119999995</v>
      </c>
      <c r="E31" s="36">
        <f t="shared" si="2"/>
        <v>23.776678277833003</v>
      </c>
      <c r="G31" s="26">
        <v>0</v>
      </c>
      <c r="H31" s="26">
        <v>0</v>
      </c>
      <c r="I31" s="37" t="s">
        <v>41</v>
      </c>
      <c r="K31" s="89" t="s">
        <v>86</v>
      </c>
      <c r="Q31" s="89"/>
    </row>
    <row r="32" spans="1:17">
      <c r="B32" s="8" t="s">
        <v>15</v>
      </c>
      <c r="C32" s="17">
        <v>57056.618999999992</v>
      </c>
      <c r="D32" s="17">
        <v>1262859.3859999992</v>
      </c>
      <c r="E32" s="36">
        <f t="shared" si="2"/>
        <v>22.133442326822756</v>
      </c>
      <c r="G32" s="26">
        <f>C32*132082/(C$29+C$32+C$33)</f>
        <v>20591.990013234288</v>
      </c>
      <c r="H32" s="26">
        <f>D32+N32</f>
        <v>464979.66942793422</v>
      </c>
      <c r="I32" s="36">
        <f>H32/G32</f>
        <v>22.580608728398563</v>
      </c>
      <c r="K32" s="89" t="s">
        <v>89</v>
      </c>
      <c r="M32" s="26">
        <f>G32-C32</f>
        <v>-36464.628986765703</v>
      </c>
      <c r="N32" s="57">
        <f>O32*M32</f>
        <v>-797879.71657206502</v>
      </c>
      <c r="O32" s="55">
        <f>O16</f>
        <v>21.880922382664131</v>
      </c>
      <c r="Q32" s="89" t="s">
        <v>89</v>
      </c>
    </row>
    <row r="33" spans="1:17">
      <c r="B33" s="8" t="s">
        <v>16</v>
      </c>
      <c r="C33" s="17">
        <v>49753.365000000034</v>
      </c>
      <c r="D33" s="17">
        <v>1090059.7769999993</v>
      </c>
      <c r="E33" s="36">
        <f t="shared" si="2"/>
        <v>21.909267383221184</v>
      </c>
      <c r="G33" s="26">
        <f>C33*132082/(C$29+C$32+C$33)</f>
        <v>17956.212848938721</v>
      </c>
      <c r="H33" s="26">
        <f>D33+N33</f>
        <v>405604.30233980389</v>
      </c>
      <c r="I33" s="36">
        <f>H33/G33</f>
        <v>22.58852163048271</v>
      </c>
      <c r="K33" s="89" t="s">
        <v>89</v>
      </c>
      <c r="M33" s="26">
        <f>G33-C33</f>
        <v>-31797.152151061313</v>
      </c>
      <c r="N33" s="57">
        <f>O33*M33</f>
        <v>-684455.47466019541</v>
      </c>
      <c r="O33" s="55">
        <f>O17</f>
        <v>21.525684797446551</v>
      </c>
      <c r="Q33" s="89" t="s">
        <v>89</v>
      </c>
    </row>
    <row r="34" spans="1:17">
      <c r="B34" s="16" t="s">
        <v>27</v>
      </c>
      <c r="C34" s="19">
        <v>72981.650000000009</v>
      </c>
      <c r="D34" s="19">
        <v>6971596.6899999995</v>
      </c>
      <c r="E34" s="41">
        <f t="shared" si="2"/>
        <v>95.5253367113514</v>
      </c>
      <c r="G34" s="40">
        <f>C34</f>
        <v>72981.650000000009</v>
      </c>
      <c r="H34" s="40">
        <f>D34</f>
        <v>6971596.6899999995</v>
      </c>
      <c r="I34" s="41">
        <f>E34</f>
        <v>95.5253367113514</v>
      </c>
      <c r="K34" s="89" t="s">
        <v>91</v>
      </c>
      <c r="Q34" s="89"/>
    </row>
    <row r="35" spans="1:17">
      <c r="B35" s="21" t="s">
        <v>17</v>
      </c>
      <c r="C35" s="22">
        <f>SUM(C29:C34)</f>
        <v>514028.33200000005</v>
      </c>
      <c r="D35" s="22">
        <f>SUM(D29:D34)</f>
        <v>17742428.615999997</v>
      </c>
      <c r="E35" s="39">
        <f t="shared" si="2"/>
        <v>34.516441043175796</v>
      </c>
      <c r="G35" s="22">
        <f>SUM(G29:G34)</f>
        <v>205063.65000000002</v>
      </c>
      <c r="H35" s="22">
        <f>SUM(H29:H34)</f>
        <v>10705263.759827875</v>
      </c>
      <c r="I35" s="23">
        <f>H35/G35</f>
        <v>52.204589939893651</v>
      </c>
      <c r="K35" s="89"/>
      <c r="M35" s="26"/>
      <c r="Q35" s="89"/>
    </row>
    <row r="36" spans="1:17">
      <c r="B36" s="3"/>
      <c r="C36" s="17"/>
      <c r="D36" s="17"/>
      <c r="E36" s="18"/>
      <c r="I36" s="36"/>
      <c r="K36" s="89"/>
      <c r="Q36" s="89"/>
    </row>
    <row r="37" spans="1:17">
      <c r="A37" s="14" t="s">
        <v>28</v>
      </c>
      <c r="B37" s="15" t="s">
        <v>29</v>
      </c>
      <c r="C37" s="22"/>
      <c r="D37" s="22"/>
      <c r="E37" s="23"/>
      <c r="I37" s="36"/>
      <c r="K37" s="89"/>
      <c r="Q37" s="89"/>
    </row>
    <row r="38" spans="1:17">
      <c r="A38" s="14"/>
      <c r="B38" s="8" t="s">
        <v>26</v>
      </c>
      <c r="C38" s="24">
        <f t="shared" ref="C38:D42" si="3">C13-C29</f>
        <v>351985.04200000002</v>
      </c>
      <c r="D38" s="24">
        <f t="shared" si="3"/>
        <v>12422664.026000001</v>
      </c>
      <c r="E38" s="25">
        <f t="shared" ref="E38:E44" si="4">D38/C38</f>
        <v>35.293158923497664</v>
      </c>
      <c r="G38" s="24">
        <f t="shared" ref="G38:H42" si="5">G13-G29</f>
        <v>517616.20286217303</v>
      </c>
      <c r="H38" s="24">
        <f t="shared" si="5"/>
        <v>16191062.901939863</v>
      </c>
      <c r="I38" s="25">
        <f>H38/G38</f>
        <v>31.280054241754673</v>
      </c>
      <c r="K38" s="89" t="s">
        <v>92</v>
      </c>
      <c r="M38" s="26">
        <f t="shared" ref="M38:M43" si="6">G38-C38</f>
        <v>165631.16086217301</v>
      </c>
      <c r="N38" s="26">
        <f t="shared" ref="N38:N43" si="7">H38-D38</f>
        <v>3768398.8759398628</v>
      </c>
      <c r="O38" s="36">
        <f t="shared" ref="O38:O43" si="8">I38-E38</f>
        <v>-4.0131046817429912</v>
      </c>
      <c r="Q38" s="89"/>
    </row>
    <row r="39" spans="1:17">
      <c r="A39" s="14"/>
      <c r="B39" s="8" t="s">
        <v>13</v>
      </c>
      <c r="C39" s="24">
        <f t="shared" si="3"/>
        <v>112753.822</v>
      </c>
      <c r="D39" s="24">
        <f t="shared" si="3"/>
        <v>3813678.7128259996</v>
      </c>
      <c r="E39" s="25">
        <f t="shared" si="4"/>
        <v>33.823054910067704</v>
      </c>
      <c r="G39" s="24">
        <f t="shared" si="5"/>
        <v>0</v>
      </c>
      <c r="H39" s="24">
        <f t="shared" si="5"/>
        <v>0</v>
      </c>
      <c r="I39" s="53" t="s">
        <v>41</v>
      </c>
      <c r="K39" s="89" t="s">
        <v>86</v>
      </c>
      <c r="M39" s="26">
        <f t="shared" si="6"/>
        <v>-112753.822</v>
      </c>
      <c r="N39" s="26">
        <f t="shared" si="7"/>
        <v>-3813678.7128259996</v>
      </c>
      <c r="O39" s="36">
        <f>0-E39</f>
        <v>-33.823054910067704</v>
      </c>
      <c r="Q39" s="89"/>
    </row>
    <row r="40" spans="1:17">
      <c r="A40" s="14"/>
      <c r="B40" s="8" t="s">
        <v>14</v>
      </c>
      <c r="C40" s="24">
        <f t="shared" si="3"/>
        <v>171203.93800000002</v>
      </c>
      <c r="D40" s="24">
        <f t="shared" si="3"/>
        <v>5254030.4339060001</v>
      </c>
      <c r="E40" s="25">
        <f t="shared" si="4"/>
        <v>30.688724192232069</v>
      </c>
      <c r="G40" s="24">
        <f t="shared" si="5"/>
        <v>0</v>
      </c>
      <c r="H40" s="24">
        <f t="shared" si="5"/>
        <v>0</v>
      </c>
      <c r="I40" s="53" t="s">
        <v>41</v>
      </c>
      <c r="K40" s="89" t="s">
        <v>86</v>
      </c>
      <c r="M40" s="26">
        <f t="shared" si="6"/>
        <v>-171203.93800000002</v>
      </c>
      <c r="N40" s="26">
        <f t="shared" si="7"/>
        <v>-5254030.4339060001</v>
      </c>
      <c r="O40" s="36">
        <f>0-E40</f>
        <v>-30.688724192232069</v>
      </c>
      <c r="Q40" s="89"/>
    </row>
    <row r="41" spans="1:17">
      <c r="A41" s="14"/>
      <c r="B41" s="8" t="s">
        <v>15</v>
      </c>
      <c r="C41" s="24">
        <f t="shared" si="3"/>
        <v>78184.431000000026</v>
      </c>
      <c r="D41" s="24">
        <f t="shared" si="3"/>
        <v>2011313.047</v>
      </c>
      <c r="E41" s="25">
        <f t="shared" si="4"/>
        <v>25.725237381340019</v>
      </c>
      <c r="G41" s="24">
        <f t="shared" si="5"/>
        <v>114649.05998676573</v>
      </c>
      <c r="H41" s="24">
        <f t="shared" si="5"/>
        <v>2809192.7635720652</v>
      </c>
      <c r="I41" s="25">
        <f>H41/G41</f>
        <v>24.502536382734743</v>
      </c>
      <c r="K41" s="89" t="s">
        <v>92</v>
      </c>
      <c r="M41" s="26">
        <f t="shared" si="6"/>
        <v>36464.628986765703</v>
      </c>
      <c r="N41" s="26">
        <f t="shared" si="7"/>
        <v>797879.71657206514</v>
      </c>
      <c r="O41" s="36">
        <f t="shared" si="8"/>
        <v>-1.2227009986052764</v>
      </c>
      <c r="Q41" s="89"/>
    </row>
    <row r="42" spans="1:17">
      <c r="A42" s="14"/>
      <c r="B42" s="8" t="s">
        <v>16</v>
      </c>
      <c r="C42" s="24">
        <f t="shared" si="3"/>
        <v>78920.085000000021</v>
      </c>
      <c r="D42" s="24">
        <f t="shared" si="3"/>
        <v>1990724.2245000009</v>
      </c>
      <c r="E42" s="25">
        <f t="shared" si="4"/>
        <v>25.224557531837434</v>
      </c>
      <c r="G42" s="24">
        <f t="shared" si="5"/>
        <v>110717.23715106133</v>
      </c>
      <c r="H42" s="24">
        <f t="shared" si="5"/>
        <v>2675179.6991601964</v>
      </c>
      <c r="I42" s="25">
        <f>H42/G42</f>
        <v>24.16226929064543</v>
      </c>
      <c r="K42" s="89" t="s">
        <v>92</v>
      </c>
      <c r="M42" s="26">
        <f t="shared" si="6"/>
        <v>31797.152151061309</v>
      </c>
      <c r="N42" s="26">
        <f t="shared" si="7"/>
        <v>684455.47466019541</v>
      </c>
      <c r="O42" s="36">
        <f t="shared" si="8"/>
        <v>-1.0622882411920038</v>
      </c>
      <c r="Q42" s="89"/>
    </row>
    <row r="43" spans="1:17">
      <c r="A43" s="14"/>
      <c r="B43" s="16" t="s">
        <v>27</v>
      </c>
      <c r="C43" s="19">
        <f>C21-C34</f>
        <v>2842.156999999992</v>
      </c>
      <c r="D43" s="19">
        <f>D21-D34</f>
        <v>128687.84000000078</v>
      </c>
      <c r="E43" s="20">
        <f t="shared" si="4"/>
        <v>45.278230583321452</v>
      </c>
      <c r="G43" s="19">
        <f>G21-G34</f>
        <v>52906.677000000011</v>
      </c>
      <c r="H43" s="19">
        <f>H21-H34</f>
        <v>9289544.1053590681</v>
      </c>
      <c r="I43" s="20">
        <f>H43/G43</f>
        <v>175.58358664935744</v>
      </c>
      <c r="K43" s="89" t="s">
        <v>92</v>
      </c>
      <c r="M43" s="40">
        <f t="shared" si="6"/>
        <v>50064.520000000019</v>
      </c>
      <c r="N43" s="40">
        <f t="shared" si="7"/>
        <v>9160856.2653590664</v>
      </c>
      <c r="O43" s="41">
        <f t="shared" si="8"/>
        <v>130.30535606603598</v>
      </c>
      <c r="Q43" s="89"/>
    </row>
    <row r="44" spans="1:17" ht="14.25" thickBot="1">
      <c r="A44" s="14"/>
      <c r="B44" s="21" t="s">
        <v>17</v>
      </c>
      <c r="C44" s="22">
        <f>SUM(C38:C43)</f>
        <v>795889.47499999998</v>
      </c>
      <c r="D44" s="88">
        <f>SUM(D38:D43)</f>
        <v>25621098.284231998</v>
      </c>
      <c r="E44" s="34">
        <f t="shared" si="4"/>
        <v>32.19177924702673</v>
      </c>
      <c r="G44" s="22">
        <f>SUM(G38:G43)</f>
        <v>795889.17700000014</v>
      </c>
      <c r="H44" s="88">
        <f>SUM(H38:H43)</f>
        <v>30964979.470031194</v>
      </c>
      <c r="I44" s="34">
        <f>H44/G44</f>
        <v>38.906144680531554</v>
      </c>
      <c r="K44" s="89" t="s">
        <v>92</v>
      </c>
      <c r="M44" s="22">
        <f>SUM(M38:M43)</f>
        <v>-0.29799999998067506</v>
      </c>
      <c r="N44" s="22">
        <f>SUM(N38:N43)</f>
        <v>5343881.1857991898</v>
      </c>
      <c r="O44" s="34">
        <f>I44-E44</f>
        <v>6.714365433504824</v>
      </c>
      <c r="Q44" s="89"/>
    </row>
    <row r="45" spans="1:17" ht="14.25" hidden="1" thickTop="1">
      <c r="A45" s="14"/>
      <c r="B45" s="15"/>
      <c r="C45" s="22"/>
      <c r="D45" s="22"/>
      <c r="E45" s="23"/>
      <c r="Q45" s="89"/>
    </row>
    <row r="46" spans="1:17" ht="14.25" hidden="1" thickTop="1">
      <c r="A46" s="14"/>
      <c r="B46" s="15"/>
      <c r="C46" s="22"/>
      <c r="D46" s="22"/>
      <c r="E46" s="23"/>
      <c r="Q46" s="89"/>
    </row>
    <row r="47" spans="1:17" ht="14.25" hidden="1" thickTop="1">
      <c r="A47" s="14"/>
      <c r="B47" s="15"/>
      <c r="C47" s="22"/>
      <c r="D47" s="22"/>
      <c r="E47" s="23"/>
      <c r="Q47" s="89"/>
    </row>
    <row r="48" spans="1:17" ht="14.25" hidden="1" thickTop="1">
      <c r="A48" s="14"/>
      <c r="B48" s="15"/>
      <c r="C48" s="22"/>
      <c r="D48" s="22"/>
      <c r="E48" s="23"/>
      <c r="Q48" s="89"/>
    </row>
    <row r="49" spans="1:17" ht="14.25" hidden="1" thickTop="1">
      <c r="A49" s="14"/>
      <c r="B49" s="15"/>
      <c r="C49" s="22"/>
      <c r="D49" s="22"/>
      <c r="E49" s="23"/>
      <c r="Q49" s="89"/>
    </row>
    <row r="50" spans="1:17" ht="14.25" hidden="1" thickTop="1">
      <c r="A50" s="14"/>
      <c r="B50" s="15"/>
      <c r="C50" s="22"/>
      <c r="D50" s="22"/>
      <c r="E50" s="23"/>
      <c r="Q50" s="89"/>
    </row>
    <row r="51" spans="1:17" ht="14.25" hidden="1" thickTop="1">
      <c r="A51" s="14"/>
      <c r="B51" s="15"/>
      <c r="C51" s="22"/>
      <c r="D51" s="22"/>
      <c r="E51" s="23"/>
      <c r="Q51" s="89"/>
    </row>
    <row r="52" spans="1:17" ht="14.25" thickTop="1">
      <c r="B52" s="3"/>
      <c r="C52" s="17"/>
      <c r="D52" s="17"/>
      <c r="E52" s="18"/>
      <c r="Q52" s="89"/>
    </row>
    <row r="53" spans="1:17">
      <c r="A53" s="14" t="s">
        <v>30</v>
      </c>
      <c r="B53" s="15" t="s">
        <v>31</v>
      </c>
      <c r="C53" s="22">
        <v>1309917.807</v>
      </c>
      <c r="D53" s="22">
        <v>43363526.900232002</v>
      </c>
      <c r="E53" s="23">
        <v>33.104005967782072</v>
      </c>
      <c r="G53" s="38">
        <f>G35+G44</f>
        <v>1000952.8270000002</v>
      </c>
      <c r="H53" s="38">
        <f>H35+H44</f>
        <v>41670243.229859069</v>
      </c>
      <c r="I53" s="34">
        <f>H53/G53</f>
        <v>41.630576492551391</v>
      </c>
      <c r="M53" s="26">
        <f>G53-C53</f>
        <v>-308964.97999999986</v>
      </c>
      <c r="N53" s="26">
        <f>H53-D53</f>
        <v>-1693283.6703729331</v>
      </c>
      <c r="O53" s="36">
        <f>0-E53</f>
        <v>-33.104005967782072</v>
      </c>
      <c r="Q53" s="89"/>
    </row>
    <row r="54" spans="1:17">
      <c r="A54" s="14"/>
      <c r="B54" s="8"/>
      <c r="C54" s="17"/>
      <c r="D54" s="17"/>
      <c r="E54" s="18"/>
      <c r="Q54" s="89"/>
    </row>
    <row r="55" spans="1:17">
      <c r="A55" s="84" t="s">
        <v>82</v>
      </c>
      <c r="C55" s="17"/>
      <c r="D55" s="17"/>
      <c r="E55" s="18"/>
    </row>
    <row r="56" spans="1:17">
      <c r="A56" s="85" t="s">
        <v>32</v>
      </c>
      <c r="B56" s="16" t="s">
        <v>94</v>
      </c>
      <c r="C56" s="24"/>
      <c r="D56" s="24"/>
      <c r="E56" s="25"/>
      <c r="M56" s="26"/>
      <c r="N56" s="26"/>
      <c r="O56" s="26"/>
    </row>
    <row r="57" spans="1:17">
      <c r="A57" s="85" t="s">
        <v>33</v>
      </c>
      <c r="B57" s="16" t="s">
        <v>95</v>
      </c>
      <c r="C57" s="24"/>
      <c r="D57" s="24"/>
      <c r="E57" s="25"/>
      <c r="M57" s="26"/>
      <c r="N57" s="26"/>
      <c r="O57" s="26"/>
    </row>
    <row r="58" spans="1:17">
      <c r="A58" s="85" t="s">
        <v>34</v>
      </c>
      <c r="B58" s="16" t="s">
        <v>88</v>
      </c>
      <c r="C58" s="24"/>
      <c r="D58" s="24"/>
      <c r="E58" s="25"/>
      <c r="M58" s="26"/>
      <c r="N58" s="26"/>
      <c r="O58" s="26"/>
    </row>
    <row r="59" spans="1:17">
      <c r="A59" s="85" t="s">
        <v>35</v>
      </c>
      <c r="B59" s="16" t="s">
        <v>90</v>
      </c>
      <c r="C59" s="24"/>
      <c r="D59" s="24"/>
      <c r="E59" s="25"/>
      <c r="M59" s="26"/>
      <c r="N59" s="26"/>
      <c r="O59" s="26"/>
    </row>
    <row r="60" spans="1:17">
      <c r="A60" s="85" t="s">
        <v>36</v>
      </c>
      <c r="B60" s="16" t="s">
        <v>96</v>
      </c>
      <c r="C60" s="24"/>
      <c r="D60" s="24"/>
      <c r="E60" s="25"/>
      <c r="M60" s="26"/>
      <c r="N60" s="26"/>
      <c r="O60" s="26"/>
    </row>
    <row r="61" spans="1:17">
      <c r="A61" s="85" t="s">
        <v>37</v>
      </c>
      <c r="B61" s="16" t="s">
        <v>97</v>
      </c>
      <c r="C61" s="27"/>
      <c r="D61" s="24"/>
      <c r="E61" s="25"/>
      <c r="M61" s="26"/>
      <c r="N61" s="26"/>
      <c r="O61" s="26"/>
    </row>
    <row r="62" spans="1:17">
      <c r="A62" s="85" t="s">
        <v>38</v>
      </c>
      <c r="B62" s="16" t="s">
        <v>93</v>
      </c>
      <c r="C62" s="86"/>
      <c r="D62" s="86"/>
      <c r="E62" s="87"/>
      <c r="M62" s="26"/>
      <c r="N62" s="26"/>
      <c r="O62" s="26"/>
    </row>
    <row r="63" spans="1:17" ht="14.25">
      <c r="A63" s="28" t="s">
        <v>4</v>
      </c>
      <c r="B63" s="29" t="s">
        <v>4</v>
      </c>
      <c r="C63" s="29"/>
      <c r="D63" s="29"/>
      <c r="E63" s="29"/>
    </row>
    <row r="64" spans="1:17" ht="14.25">
      <c r="A64"/>
      <c r="B64" s="30" t="s">
        <v>4</v>
      </c>
      <c r="C64"/>
      <c r="D64"/>
      <c r="E64"/>
    </row>
    <row r="65" spans="2:5">
      <c r="B65" s="3"/>
      <c r="C65" s="17"/>
      <c r="D65" s="17"/>
      <c r="E65" s="31"/>
    </row>
  </sheetData>
  <mergeCells count="4">
    <mergeCell ref="C8:E8"/>
    <mergeCell ref="G8:I8"/>
    <mergeCell ref="M27:O27"/>
    <mergeCell ref="M8:O8"/>
  </mergeCells>
  <pageMargins left="0.7" right="0.7" top="0.75" bottom="0.75" header="0.3" footer="0.3"/>
  <pageSetup scale="71" orientation="landscape" r:id="rId1"/>
  <headerFooter>
    <oddHeader>&amp;RKPSC Case No. 2014-00225
Commission Staff Post Hearing Data Requests
Item No. 7
Attachment 1
Page 1 of 7</oddHeader>
  </headerFooter>
  <rowBreaks count="1" manualBreakCount="1">
    <brk id="55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pageSetUpPr fitToPage="1"/>
  </sheetPr>
  <dimension ref="A3:Q65"/>
  <sheetViews>
    <sheetView tabSelected="1" zoomScale="110" zoomScaleNormal="110" workbookViewId="0">
      <selection activeCell="B3" sqref="B3"/>
    </sheetView>
  </sheetViews>
  <sheetFormatPr defaultColWidth="9.85546875" defaultRowHeight="13.5"/>
  <cols>
    <col min="1" max="1" width="3.28515625" style="1" bestFit="1" customWidth="1"/>
    <col min="2" max="2" width="38.7109375" style="6" customWidth="1"/>
    <col min="3" max="5" width="10.85546875" style="6" customWidth="1"/>
    <col min="6" max="6" width="3.140625" style="6" customWidth="1"/>
    <col min="7" max="9" width="10.7109375" style="6" customWidth="1"/>
    <col min="10" max="10" width="1.5703125" style="6" customWidth="1"/>
    <col min="11" max="11" width="6.28515625" style="6" customWidth="1"/>
    <col min="12" max="12" width="1.5703125" style="6" customWidth="1"/>
    <col min="13" max="15" width="10.7109375" style="6" customWidth="1"/>
    <col min="16" max="16" width="1.5703125" style="6" customWidth="1"/>
    <col min="17" max="17" width="6.28515625" style="6" customWidth="1"/>
    <col min="18" max="16384" width="9.85546875" style="6"/>
  </cols>
  <sheetData>
    <row r="3" spans="1:17" ht="16.5">
      <c r="B3" s="2" t="s">
        <v>0</v>
      </c>
      <c r="C3" s="3"/>
      <c r="D3" s="4"/>
      <c r="E3" s="5"/>
    </row>
    <row r="4" spans="1:17">
      <c r="B4" s="6" t="s">
        <v>65</v>
      </c>
      <c r="D4" s="7"/>
    </row>
    <row r="5" spans="1:17">
      <c r="B5" s="8" t="s">
        <v>1</v>
      </c>
      <c r="D5" s="9"/>
    </row>
    <row r="6" spans="1:17">
      <c r="B6" s="8" t="s">
        <v>2</v>
      </c>
    </row>
    <row r="7" spans="1:17">
      <c r="B7" s="3"/>
      <c r="D7" s="8"/>
    </row>
    <row r="8" spans="1:17" ht="14.25">
      <c r="B8" s="8" t="s">
        <v>3</v>
      </c>
      <c r="C8" s="108" t="s">
        <v>39</v>
      </c>
      <c r="D8" s="108"/>
      <c r="E8" s="108"/>
      <c r="G8" s="108" t="s">
        <v>40</v>
      </c>
      <c r="H8" s="108"/>
      <c r="I8" s="108"/>
      <c r="J8" s="95"/>
      <c r="K8" s="93" t="s">
        <v>82</v>
      </c>
      <c r="M8" s="108" t="s">
        <v>87</v>
      </c>
      <c r="N8" s="108"/>
      <c r="O8" s="108"/>
      <c r="Q8" s="93" t="s">
        <v>82</v>
      </c>
    </row>
    <row r="9" spans="1:17">
      <c r="B9" s="3"/>
      <c r="K9" s="83"/>
      <c r="Q9" s="83"/>
    </row>
    <row r="10" spans="1:17">
      <c r="B10" s="10" t="s">
        <v>5</v>
      </c>
      <c r="C10" s="10" t="s">
        <v>6</v>
      </c>
      <c r="D10" s="11" t="s">
        <v>7</v>
      </c>
      <c r="E10" s="11" t="s">
        <v>8</v>
      </c>
      <c r="G10" s="10" t="s">
        <v>6</v>
      </c>
      <c r="H10" s="11" t="s">
        <v>7</v>
      </c>
      <c r="I10" s="35" t="s">
        <v>8</v>
      </c>
      <c r="J10" s="35"/>
      <c r="K10" s="83"/>
      <c r="M10" s="10" t="s">
        <v>6</v>
      </c>
      <c r="N10" s="11" t="s">
        <v>7</v>
      </c>
      <c r="O10" s="35" t="s">
        <v>8</v>
      </c>
      <c r="Q10" s="83"/>
    </row>
    <row r="11" spans="1:17">
      <c r="B11" s="10"/>
      <c r="C11" s="12"/>
      <c r="D11" s="13" t="s">
        <v>9</v>
      </c>
      <c r="E11" s="12"/>
      <c r="G11" s="12"/>
      <c r="H11" s="13" t="s">
        <v>9</v>
      </c>
      <c r="I11" s="12"/>
      <c r="J11" s="12"/>
      <c r="K11" s="83"/>
      <c r="M11" s="12"/>
      <c r="N11" s="13" t="s">
        <v>9</v>
      </c>
      <c r="O11" s="12"/>
      <c r="Q11" s="83"/>
    </row>
    <row r="12" spans="1:17">
      <c r="A12" s="14" t="s">
        <v>10</v>
      </c>
      <c r="B12" s="15" t="s">
        <v>11</v>
      </c>
      <c r="K12" s="83"/>
      <c r="Q12" s="83"/>
    </row>
    <row r="13" spans="1:17">
      <c r="B13" s="16" t="s">
        <v>12</v>
      </c>
      <c r="C13" s="17">
        <v>580585</v>
      </c>
      <c r="D13" s="17">
        <v>17147648.23</v>
      </c>
      <c r="E13" s="36">
        <f t="shared" ref="E13:E18" si="0">D13/C13</f>
        <v>29.535121007259921</v>
      </c>
      <c r="G13" s="26">
        <f>C13</f>
        <v>580585</v>
      </c>
      <c r="H13" s="26">
        <f>D13</f>
        <v>17147648.23</v>
      </c>
      <c r="I13" s="36">
        <f>E13</f>
        <v>29.535121007259921</v>
      </c>
      <c r="J13" s="36"/>
      <c r="K13" s="89" t="s">
        <v>83</v>
      </c>
      <c r="M13" s="26">
        <f>C13</f>
        <v>580585</v>
      </c>
      <c r="N13" s="51">
        <f>D13-'No Load'!C7-'No Load'!C8</f>
        <v>12944558.892000001</v>
      </c>
      <c r="O13" s="55">
        <f>N13/M13</f>
        <v>22.295717064684759</v>
      </c>
      <c r="Q13" s="89" t="s">
        <v>84</v>
      </c>
    </row>
    <row r="14" spans="1:17">
      <c r="B14" s="8" t="s">
        <v>13</v>
      </c>
      <c r="C14" s="17">
        <v>52281</v>
      </c>
      <c r="D14" s="17">
        <v>1968714.5888165003</v>
      </c>
      <c r="E14" s="36">
        <f t="shared" si="0"/>
        <v>37.656406511285176</v>
      </c>
      <c r="G14" s="26">
        <v>0</v>
      </c>
      <c r="H14" s="26">
        <v>0</v>
      </c>
      <c r="I14" s="37" t="s">
        <v>41</v>
      </c>
      <c r="J14" s="37"/>
      <c r="K14" s="89" t="s">
        <v>86</v>
      </c>
      <c r="N14" s="51"/>
      <c r="Q14" s="89"/>
    </row>
    <row r="15" spans="1:17">
      <c r="B15" s="8" t="s">
        <v>14</v>
      </c>
      <c r="C15" s="17">
        <v>249044</v>
      </c>
      <c r="D15" s="17">
        <v>7335765.7166883992</v>
      </c>
      <c r="E15" s="36">
        <f t="shared" si="0"/>
        <v>29.455701469171711</v>
      </c>
      <c r="G15" s="26">
        <v>0</v>
      </c>
      <c r="H15" s="26">
        <v>0</v>
      </c>
      <c r="I15" s="37" t="s">
        <v>41</v>
      </c>
      <c r="J15" s="37"/>
      <c r="K15" s="89" t="s">
        <v>86</v>
      </c>
      <c r="N15" s="51"/>
      <c r="Q15" s="89"/>
    </row>
    <row r="16" spans="1:17">
      <c r="B16" s="8" t="s">
        <v>15</v>
      </c>
      <c r="C16" s="17">
        <v>94745.999999999971</v>
      </c>
      <c r="D16" s="17">
        <v>2459416.2269999995</v>
      </c>
      <c r="E16" s="36">
        <f t="shared" si="0"/>
        <v>25.957995345449941</v>
      </c>
      <c r="G16" s="26">
        <f t="shared" ref="G16:I17" si="1">C16</f>
        <v>94745.999999999971</v>
      </c>
      <c r="H16" s="26">
        <f t="shared" si="1"/>
        <v>2459416.2269999995</v>
      </c>
      <c r="I16" s="36">
        <f t="shared" si="1"/>
        <v>25.957995345449941</v>
      </c>
      <c r="J16" s="36"/>
      <c r="K16" s="89" t="s">
        <v>83</v>
      </c>
      <c r="M16" s="26">
        <f>C16</f>
        <v>94745.999999999971</v>
      </c>
      <c r="N16" s="51">
        <f>D16-'No Load'!C11</f>
        <v>2232980.8689999995</v>
      </c>
      <c r="O16" s="55">
        <f>N16/M16</f>
        <v>23.568075369936462</v>
      </c>
      <c r="Q16" s="89" t="s">
        <v>84</v>
      </c>
    </row>
    <row r="17" spans="1:17">
      <c r="B17" s="8" t="s">
        <v>16</v>
      </c>
      <c r="C17" s="19">
        <v>95240.099999999962</v>
      </c>
      <c r="D17" s="19">
        <v>2539065.8114999994</v>
      </c>
      <c r="E17" s="41">
        <f t="shared" si="0"/>
        <v>26.659629835541967</v>
      </c>
      <c r="G17" s="40">
        <f t="shared" si="1"/>
        <v>95240.099999999962</v>
      </c>
      <c r="H17" s="40">
        <f t="shared" si="1"/>
        <v>2539065.8114999994</v>
      </c>
      <c r="I17" s="41">
        <f t="shared" si="1"/>
        <v>26.659629835541967</v>
      </c>
      <c r="J17" s="96"/>
      <c r="K17" s="89" t="s">
        <v>83</v>
      </c>
      <c r="M17" s="40">
        <f>C17</f>
        <v>95240.099999999962</v>
      </c>
      <c r="N17" s="52">
        <f>D17-'No Load'!C12</f>
        <v>2297416.8714999994</v>
      </c>
      <c r="O17" s="56">
        <f>N17/M17</f>
        <v>24.122369374874662</v>
      </c>
      <c r="Q17" s="89" t="s">
        <v>84</v>
      </c>
    </row>
    <row r="18" spans="1:17">
      <c r="B18" s="21" t="s">
        <v>17</v>
      </c>
      <c r="C18" s="38">
        <f>SUM(C13:C17)</f>
        <v>1071896.0999999999</v>
      </c>
      <c r="D18" s="38">
        <f>SUM(D13:D17)</f>
        <v>31450610.574004896</v>
      </c>
      <c r="E18" s="39">
        <f t="shared" si="0"/>
        <v>29.341099920043462</v>
      </c>
      <c r="G18" s="38">
        <f>SUM(G13:G17)</f>
        <v>770571.1</v>
      </c>
      <c r="H18" s="38">
        <f>SUM(H13:H17)</f>
        <v>22146130.268499997</v>
      </c>
      <c r="I18" s="39">
        <f>H18/G18</f>
        <v>28.739892098860178</v>
      </c>
      <c r="J18" s="39"/>
      <c r="K18" s="89"/>
      <c r="M18" s="26">
        <f>SUM(M13:M17)</f>
        <v>770571.1</v>
      </c>
      <c r="N18" s="26">
        <f>SUM(N13:N17)</f>
        <v>17474956.6325</v>
      </c>
      <c r="O18" s="55">
        <f>N18/M18</f>
        <v>22.677928918564426</v>
      </c>
      <c r="Q18" s="89"/>
    </row>
    <row r="19" spans="1:17">
      <c r="B19" s="3"/>
      <c r="C19" s="17"/>
      <c r="D19" s="17"/>
      <c r="E19" s="18"/>
      <c r="I19" s="36"/>
      <c r="J19" s="36"/>
      <c r="K19" s="89"/>
      <c r="Q19" s="89"/>
    </row>
    <row r="20" spans="1:17">
      <c r="A20" s="14" t="s">
        <v>18</v>
      </c>
      <c r="B20" s="15" t="s">
        <v>19</v>
      </c>
      <c r="C20" s="17"/>
      <c r="D20" s="17"/>
      <c r="E20" s="18"/>
      <c r="I20" s="36"/>
      <c r="J20" s="36"/>
      <c r="K20" s="89"/>
      <c r="Q20" s="89"/>
    </row>
    <row r="21" spans="1:17">
      <c r="B21" s="8" t="s">
        <v>20</v>
      </c>
      <c r="C21" s="19">
        <v>57851.082000000002</v>
      </c>
      <c r="D21" s="19">
        <v>3210163</v>
      </c>
      <c r="E21" s="41">
        <f>D21/C21</f>
        <v>55.490111662907182</v>
      </c>
      <c r="G21" s="40">
        <f>C21+Purchases!B9</f>
        <v>97799.482000000018</v>
      </c>
      <c r="H21" s="52">
        <f>D21+Purchases!C9</f>
        <v>6519955.5954007003</v>
      </c>
      <c r="I21" s="41">
        <f>H21/G21</f>
        <v>66.666565732942217</v>
      </c>
      <c r="J21" s="96"/>
      <c r="K21" s="89" t="s">
        <v>85</v>
      </c>
      <c r="Q21" s="89"/>
    </row>
    <row r="22" spans="1:17">
      <c r="B22" s="21" t="s">
        <v>17</v>
      </c>
      <c r="C22" s="38">
        <f>SUM(C21)</f>
        <v>57851.082000000002</v>
      </c>
      <c r="D22" s="38">
        <f>SUM(D21)</f>
        <v>3210163</v>
      </c>
      <c r="E22" s="39">
        <f>D22/C22</f>
        <v>55.490111662907182</v>
      </c>
      <c r="G22" s="38">
        <f>SUM(G21)</f>
        <v>97799.482000000018</v>
      </c>
      <c r="H22" s="38">
        <f>SUM(H21)</f>
        <v>6519955.5954007003</v>
      </c>
      <c r="I22" s="39">
        <f>SUM(I21)</f>
        <v>66.666565732942217</v>
      </c>
      <c r="J22" s="39"/>
      <c r="K22" s="89"/>
      <c r="Q22" s="89"/>
    </row>
    <row r="23" spans="1:17">
      <c r="B23" s="3"/>
      <c r="C23" s="17"/>
      <c r="D23" s="17"/>
      <c r="E23" s="18"/>
      <c r="I23" s="36"/>
      <c r="J23" s="36"/>
      <c r="K23" s="89"/>
      <c r="Q23" s="89"/>
    </row>
    <row r="24" spans="1:17">
      <c r="A24" s="14" t="s">
        <v>21</v>
      </c>
      <c r="B24" s="15" t="s">
        <v>22</v>
      </c>
      <c r="C24" s="38">
        <f>C18+C22</f>
        <v>1129747.1819999998</v>
      </c>
      <c r="D24" s="38">
        <f>D18+D22</f>
        <v>34660773.574004896</v>
      </c>
      <c r="E24" s="39">
        <f>D24/C24</f>
        <v>30.680115096764101</v>
      </c>
      <c r="G24" s="38">
        <f>G18+G22</f>
        <v>868370.58199999994</v>
      </c>
      <c r="H24" s="38">
        <f>H18+H22</f>
        <v>28666085.863900699</v>
      </c>
      <c r="I24" s="39">
        <f>H24/G24</f>
        <v>33.01135075059544</v>
      </c>
      <c r="J24" s="39"/>
      <c r="K24" s="89"/>
      <c r="Q24" s="89"/>
    </row>
    <row r="25" spans="1:17">
      <c r="B25" s="3"/>
      <c r="C25" s="17"/>
      <c r="D25" s="17"/>
      <c r="E25" s="18"/>
      <c r="I25" s="36"/>
      <c r="J25" s="36"/>
      <c r="K25" s="89"/>
      <c r="Q25" s="89"/>
    </row>
    <row r="26" spans="1:17">
      <c r="B26" s="10" t="s">
        <v>23</v>
      </c>
      <c r="C26" s="17"/>
      <c r="D26" s="17"/>
      <c r="E26" s="18"/>
      <c r="I26" s="36"/>
      <c r="J26" s="36"/>
      <c r="K26" s="89"/>
      <c r="Q26" s="89"/>
    </row>
    <row r="27" spans="1:17">
      <c r="B27" s="10"/>
      <c r="C27" s="17"/>
      <c r="D27" s="17"/>
      <c r="E27" s="18"/>
      <c r="I27" s="36"/>
      <c r="J27" s="36"/>
      <c r="K27" s="89"/>
      <c r="M27" s="109" t="s">
        <v>59</v>
      </c>
      <c r="N27" s="109"/>
      <c r="O27" s="109"/>
      <c r="Q27" s="89"/>
    </row>
    <row r="28" spans="1:17">
      <c r="A28" s="14" t="s">
        <v>24</v>
      </c>
      <c r="B28" s="15" t="s">
        <v>25</v>
      </c>
      <c r="D28" s="17"/>
      <c r="I28" s="36"/>
      <c r="J28" s="36"/>
      <c r="K28" s="89"/>
      <c r="Q28" s="89"/>
    </row>
    <row r="29" spans="1:17">
      <c r="B29" s="8" t="s">
        <v>26</v>
      </c>
      <c r="C29" s="24">
        <v>303476.57499999995</v>
      </c>
      <c r="D29" s="24">
        <v>8131635.8620000053</v>
      </c>
      <c r="E29" s="36">
        <f t="shared" ref="E29:E35" si="2">D29/C29</f>
        <v>26.794937507120629</v>
      </c>
      <c r="G29" s="26">
        <f>C29*167913/(C$29+C$32+C$33)</f>
        <v>130191.97602757091</v>
      </c>
      <c r="H29" s="26">
        <f>D29+N29</f>
        <v>4268131.4716433641</v>
      </c>
      <c r="I29" s="36">
        <f>H29/G29</f>
        <v>32.783368083602149</v>
      </c>
      <c r="J29" s="36"/>
      <c r="K29" s="89" t="s">
        <v>89</v>
      </c>
      <c r="M29" s="26">
        <f>G29-C29</f>
        <v>-173284.59897242906</v>
      </c>
      <c r="N29" s="57">
        <f>O29*M29</f>
        <v>-3863504.3903566413</v>
      </c>
      <c r="O29" s="55">
        <f>O13</f>
        <v>22.295717064684759</v>
      </c>
      <c r="Q29" s="89" t="s">
        <v>89</v>
      </c>
    </row>
    <row r="30" spans="1:17">
      <c r="B30" s="8" t="s">
        <v>13</v>
      </c>
      <c r="C30" s="24">
        <v>3247.5279999999998</v>
      </c>
      <c r="D30" s="24">
        <v>77761.820999999967</v>
      </c>
      <c r="E30" s="36">
        <f t="shared" si="2"/>
        <v>23.944927033731496</v>
      </c>
      <c r="G30" s="26">
        <v>0</v>
      </c>
      <c r="H30" s="26">
        <v>0</v>
      </c>
      <c r="I30" s="37" t="s">
        <v>41</v>
      </c>
      <c r="J30" s="37"/>
      <c r="K30" s="89" t="s">
        <v>86</v>
      </c>
      <c r="M30" s="26"/>
      <c r="Q30" s="89"/>
    </row>
    <row r="31" spans="1:17">
      <c r="B31" s="8" t="s">
        <v>14</v>
      </c>
      <c r="C31" s="17">
        <v>34637.888000000021</v>
      </c>
      <c r="D31" s="17">
        <v>866166.91100000078</v>
      </c>
      <c r="E31" s="36">
        <f t="shared" si="2"/>
        <v>25.006343083042484</v>
      </c>
      <c r="G31" s="26">
        <v>0</v>
      </c>
      <c r="H31" s="26">
        <v>0</v>
      </c>
      <c r="I31" s="37" t="s">
        <v>41</v>
      </c>
      <c r="J31" s="37"/>
      <c r="K31" s="89" t="s">
        <v>86</v>
      </c>
      <c r="Q31" s="89"/>
    </row>
    <row r="32" spans="1:17">
      <c r="B32" s="8" t="s">
        <v>15</v>
      </c>
      <c r="C32" s="17">
        <v>49490.842999999993</v>
      </c>
      <c r="D32" s="17">
        <v>1167488.7310000015</v>
      </c>
      <c r="E32" s="36">
        <f t="shared" si="2"/>
        <v>23.589994840055599</v>
      </c>
      <c r="G32" s="26">
        <f>C32*167913/(C$29+C$32+C$33)</f>
        <v>21231.657321294981</v>
      </c>
      <c r="H32" s="26">
        <f>D32+N32</f>
        <v>501474.11303125275</v>
      </c>
      <c r="I32" s="36">
        <f>H32/G32</f>
        <v>23.61916949970189</v>
      </c>
      <c r="J32" s="36"/>
      <c r="K32" s="89" t="s">
        <v>89</v>
      </c>
      <c r="M32" s="26">
        <f>G32-C32</f>
        <v>-28259.185678705013</v>
      </c>
      <c r="N32" s="57">
        <f>O32*M32</f>
        <v>-666014.61796874879</v>
      </c>
      <c r="O32" s="55">
        <f>O16</f>
        <v>23.568075369936462</v>
      </c>
      <c r="Q32" s="89" t="s">
        <v>89</v>
      </c>
    </row>
    <row r="33" spans="1:17">
      <c r="B33" s="8" t="s">
        <v>16</v>
      </c>
      <c r="C33" s="17">
        <v>38436.596999999965</v>
      </c>
      <c r="D33" s="17">
        <v>895533.35299999965</v>
      </c>
      <c r="E33" s="36">
        <f t="shared" si="2"/>
        <v>23.298976051391868</v>
      </c>
      <c r="G33" s="26">
        <f>C33*167913/(C$29+C$32+C$33)</f>
        <v>16489.366651134111</v>
      </c>
      <c r="H33" s="26">
        <f>D33+N33</f>
        <v>366114.1557691982</v>
      </c>
      <c r="I33" s="36">
        <f>H33/G33</f>
        <v>22.203045363420159</v>
      </c>
      <c r="J33" s="36"/>
      <c r="K33" s="89" t="s">
        <v>89</v>
      </c>
      <c r="M33" s="26">
        <f>G33-C33</f>
        <v>-21947.230348865854</v>
      </c>
      <c r="N33" s="57">
        <f>O33*M33</f>
        <v>-529419.19723080145</v>
      </c>
      <c r="O33" s="55">
        <f>O17</f>
        <v>24.122369374874662</v>
      </c>
      <c r="Q33" s="89" t="s">
        <v>89</v>
      </c>
    </row>
    <row r="34" spans="1:17">
      <c r="B34" s="16" t="s">
        <v>27</v>
      </c>
      <c r="C34" s="19">
        <v>57174.224999999999</v>
      </c>
      <c r="D34" s="19">
        <v>3162603.21</v>
      </c>
      <c r="E34" s="41">
        <f t="shared" si="2"/>
        <v>55.315191592015459</v>
      </c>
      <c r="G34" s="40">
        <f>C34</f>
        <v>57174.224999999999</v>
      </c>
      <c r="H34" s="40">
        <f>D34</f>
        <v>3162603.21</v>
      </c>
      <c r="I34" s="41">
        <f>E34</f>
        <v>55.315191592015459</v>
      </c>
      <c r="J34" s="96"/>
      <c r="K34" s="89" t="s">
        <v>91</v>
      </c>
      <c r="Q34" s="89"/>
    </row>
    <row r="35" spans="1:17">
      <c r="B35" s="21" t="s">
        <v>17</v>
      </c>
      <c r="C35" s="22">
        <f>SUM(C29:C34)</f>
        <v>486463.6559999999</v>
      </c>
      <c r="D35" s="22">
        <f>SUM(D29:D34)</f>
        <v>14301189.888000008</v>
      </c>
      <c r="E35" s="39">
        <f t="shared" si="2"/>
        <v>29.398269966544039</v>
      </c>
      <c r="G35" s="22">
        <f>SUM(G29:G34)</f>
        <v>225087.22500000001</v>
      </c>
      <c r="H35" s="22">
        <f>SUM(H29:H34)</f>
        <v>8298322.9504438154</v>
      </c>
      <c r="I35" s="23">
        <f>H35/G35</f>
        <v>36.867143172802521</v>
      </c>
      <c r="J35" s="23"/>
      <c r="K35" s="89"/>
      <c r="M35" s="26"/>
      <c r="Q35" s="89"/>
    </row>
    <row r="36" spans="1:17">
      <c r="B36" s="3"/>
      <c r="C36" s="17"/>
      <c r="D36" s="17"/>
      <c r="E36" s="18"/>
      <c r="I36" s="36"/>
      <c r="J36" s="36"/>
      <c r="K36" s="89"/>
      <c r="Q36" s="89"/>
    </row>
    <row r="37" spans="1:17">
      <c r="A37" s="14" t="s">
        <v>28</v>
      </c>
      <c r="B37" s="15" t="s">
        <v>29</v>
      </c>
      <c r="C37" s="22"/>
      <c r="D37" s="22"/>
      <c r="E37" s="23"/>
      <c r="I37" s="36"/>
      <c r="J37" s="36"/>
      <c r="K37" s="89"/>
      <c r="Q37" s="89"/>
    </row>
    <row r="38" spans="1:17">
      <c r="A38" s="14"/>
      <c r="B38" s="8" t="s">
        <v>26</v>
      </c>
      <c r="C38" s="24">
        <f t="shared" ref="C38:D42" si="3">C13-C29</f>
        <v>277108.42500000005</v>
      </c>
      <c r="D38" s="24">
        <f t="shared" si="3"/>
        <v>9016012.3679999951</v>
      </c>
      <c r="E38" s="25">
        <f t="shared" ref="E38:E44" si="4">D38/C38</f>
        <v>32.536045657940548</v>
      </c>
      <c r="G38" s="24">
        <f t="shared" ref="G38:H42" si="5">G13-G29</f>
        <v>450393.0239724291</v>
      </c>
      <c r="H38" s="24">
        <f t="shared" si="5"/>
        <v>12879516.758356636</v>
      </c>
      <c r="I38" s="25">
        <f>H38/G38</f>
        <v>28.596172837581648</v>
      </c>
      <c r="J38" s="25"/>
      <c r="K38" s="89" t="s">
        <v>92</v>
      </c>
      <c r="M38" s="26">
        <f t="shared" ref="M38:O43" si="6">G38-C38</f>
        <v>173284.59897242906</v>
      </c>
      <c r="N38" s="26">
        <f t="shared" si="6"/>
        <v>3863504.3903566413</v>
      </c>
      <c r="O38" s="36">
        <f t="shared" si="6"/>
        <v>-3.9398728203589002</v>
      </c>
      <c r="Q38" s="89"/>
    </row>
    <row r="39" spans="1:17">
      <c r="A39" s="14"/>
      <c r="B39" s="8" t="s">
        <v>13</v>
      </c>
      <c r="C39" s="24">
        <f t="shared" si="3"/>
        <v>49033.472000000002</v>
      </c>
      <c r="D39" s="24">
        <f t="shared" si="3"/>
        <v>1890952.7678165003</v>
      </c>
      <c r="E39" s="25">
        <f t="shared" si="4"/>
        <v>38.564529303911016</v>
      </c>
      <c r="G39" s="26">
        <f t="shared" si="5"/>
        <v>0</v>
      </c>
      <c r="H39" s="26">
        <f t="shared" si="5"/>
        <v>0</v>
      </c>
      <c r="I39" s="53" t="s">
        <v>41</v>
      </c>
      <c r="J39" s="53"/>
      <c r="K39" s="89" t="s">
        <v>86</v>
      </c>
      <c r="M39" s="26">
        <f t="shared" si="6"/>
        <v>-49033.472000000002</v>
      </c>
      <c r="N39" s="26">
        <f t="shared" si="6"/>
        <v>-1890952.7678165003</v>
      </c>
      <c r="O39" s="36">
        <f>0-E39</f>
        <v>-38.564529303911016</v>
      </c>
      <c r="Q39" s="89"/>
    </row>
    <row r="40" spans="1:17">
      <c r="A40" s="14"/>
      <c r="B40" s="8" t="s">
        <v>14</v>
      </c>
      <c r="C40" s="24">
        <f t="shared" si="3"/>
        <v>214406.11199999996</v>
      </c>
      <c r="D40" s="24">
        <f t="shared" si="3"/>
        <v>6469598.805688398</v>
      </c>
      <c r="E40" s="25">
        <f t="shared" si="4"/>
        <v>30.174507365202345</v>
      </c>
      <c r="G40" s="26">
        <f t="shared" si="5"/>
        <v>0</v>
      </c>
      <c r="H40" s="26">
        <f t="shared" si="5"/>
        <v>0</v>
      </c>
      <c r="I40" s="53" t="s">
        <v>41</v>
      </c>
      <c r="J40" s="53"/>
      <c r="K40" s="89" t="s">
        <v>86</v>
      </c>
      <c r="M40" s="26">
        <f t="shared" si="6"/>
        <v>-214406.11199999996</v>
      </c>
      <c r="N40" s="26">
        <f t="shared" si="6"/>
        <v>-6469598.805688398</v>
      </c>
      <c r="O40" s="36">
        <f>0-E40</f>
        <v>-30.174507365202345</v>
      </c>
      <c r="Q40" s="89"/>
    </row>
    <row r="41" spans="1:17">
      <c r="A41" s="14"/>
      <c r="B41" s="8" t="s">
        <v>15</v>
      </c>
      <c r="C41" s="24">
        <f t="shared" si="3"/>
        <v>45255.156999999977</v>
      </c>
      <c r="D41" s="24">
        <f t="shared" si="3"/>
        <v>1291927.4959999979</v>
      </c>
      <c r="E41" s="25">
        <f t="shared" si="4"/>
        <v>28.547630405966739</v>
      </c>
      <c r="G41" s="24">
        <f t="shared" si="5"/>
        <v>73514.342678704998</v>
      </c>
      <c r="H41" s="24">
        <f t="shared" si="5"/>
        <v>1957942.1139687467</v>
      </c>
      <c r="I41" s="25">
        <f>H41/G41</f>
        <v>26.633471002059391</v>
      </c>
      <c r="J41" s="25"/>
      <c r="K41" s="89" t="s">
        <v>92</v>
      </c>
      <c r="M41" s="26">
        <f t="shared" si="6"/>
        <v>28259.18567870502</v>
      </c>
      <c r="N41" s="26">
        <f t="shared" si="6"/>
        <v>666014.61796874879</v>
      </c>
      <c r="O41" s="36">
        <f t="shared" si="6"/>
        <v>-1.9141594039073482</v>
      </c>
      <c r="Q41" s="89"/>
    </row>
    <row r="42" spans="1:17">
      <c r="A42" s="14"/>
      <c r="B42" s="8" t="s">
        <v>16</v>
      </c>
      <c r="C42" s="24">
        <f t="shared" si="3"/>
        <v>56803.502999999997</v>
      </c>
      <c r="D42" s="24">
        <f t="shared" si="3"/>
        <v>1643532.4584999997</v>
      </c>
      <c r="E42" s="25">
        <f t="shared" si="4"/>
        <v>28.933646196080545</v>
      </c>
      <c r="G42" s="24">
        <f t="shared" si="5"/>
        <v>78750.733348865848</v>
      </c>
      <c r="H42" s="24">
        <f t="shared" si="5"/>
        <v>2172951.6557308012</v>
      </c>
      <c r="I42" s="25">
        <f>H42/G42</f>
        <v>27.592779944087919</v>
      </c>
      <c r="J42" s="25"/>
      <c r="K42" s="89" t="s">
        <v>92</v>
      </c>
      <c r="M42" s="26">
        <f t="shared" si="6"/>
        <v>21947.230348865851</v>
      </c>
      <c r="N42" s="26">
        <f t="shared" si="6"/>
        <v>529419.19723080145</v>
      </c>
      <c r="O42" s="36">
        <f t="shared" si="6"/>
        <v>-1.340866251992626</v>
      </c>
      <c r="Q42" s="89"/>
    </row>
    <row r="43" spans="1:17">
      <c r="A43" s="14"/>
      <c r="B43" s="16" t="s">
        <v>27</v>
      </c>
      <c r="C43" s="19">
        <f>C21-C34</f>
        <v>676.85700000000361</v>
      </c>
      <c r="D43" s="19">
        <f>D21-D34</f>
        <v>47559.790000000037</v>
      </c>
      <c r="E43" s="20">
        <f t="shared" si="4"/>
        <v>70.265639566407359</v>
      </c>
      <c r="G43" s="19">
        <f>G21-G34</f>
        <v>40625.25700000002</v>
      </c>
      <c r="H43" s="19">
        <f>H21-H34</f>
        <v>3357352.3854007004</v>
      </c>
      <c r="I43" s="20">
        <f>H43/G43</f>
        <v>82.641997450027176</v>
      </c>
      <c r="J43" s="25"/>
      <c r="K43" s="89" t="s">
        <v>92</v>
      </c>
      <c r="M43" s="40">
        <f t="shared" si="6"/>
        <v>39948.400000000016</v>
      </c>
      <c r="N43" s="40">
        <f t="shared" si="6"/>
        <v>3309792.5954007003</v>
      </c>
      <c r="O43" s="41">
        <f t="shared" si="6"/>
        <v>12.376357883619818</v>
      </c>
      <c r="Q43" s="89"/>
    </row>
    <row r="44" spans="1:17" ht="14.25" thickBot="1">
      <c r="A44" s="14"/>
      <c r="B44" s="21" t="s">
        <v>17</v>
      </c>
      <c r="C44" s="22">
        <f>SUM(C38:C43)</f>
        <v>643283.52600000007</v>
      </c>
      <c r="D44" s="88">
        <f>SUM(D38:D43)</f>
        <v>20359583.686004892</v>
      </c>
      <c r="E44" s="34">
        <f t="shared" si="4"/>
        <v>31.649471598632061</v>
      </c>
      <c r="G44" s="22">
        <f>SUM(G38:G43)</f>
        <v>643283.35699999996</v>
      </c>
      <c r="H44" s="88">
        <f>SUM(H38:H43)</f>
        <v>20367762.913456887</v>
      </c>
      <c r="I44" s="34">
        <f>H44/G44</f>
        <v>31.662194726198845</v>
      </c>
      <c r="J44" s="34"/>
      <c r="K44" s="89" t="s">
        <v>92</v>
      </c>
      <c r="M44" s="22">
        <f>SUM(M38:M43)</f>
        <v>-0.16900000003079185</v>
      </c>
      <c r="N44" s="22">
        <f>SUM(N38:N43)</f>
        <v>8179.2274519931525</v>
      </c>
      <c r="O44" s="34">
        <f>I44-E44</f>
        <v>1.2723127566783177E-2</v>
      </c>
      <c r="Q44" s="89"/>
    </row>
    <row r="45" spans="1:17" hidden="1">
      <c r="A45" s="14"/>
      <c r="B45" s="15"/>
      <c r="C45" s="22"/>
      <c r="D45" s="22"/>
      <c r="E45" s="23"/>
      <c r="Q45" s="89"/>
    </row>
    <row r="46" spans="1:17" hidden="1">
      <c r="A46" s="14"/>
      <c r="B46" s="15"/>
      <c r="C46" s="22"/>
      <c r="D46" s="22"/>
      <c r="E46" s="23"/>
      <c r="Q46" s="89"/>
    </row>
    <row r="47" spans="1:17" hidden="1">
      <c r="A47" s="14"/>
      <c r="B47" s="15"/>
      <c r="C47" s="22"/>
      <c r="D47" s="22"/>
      <c r="E47" s="23"/>
      <c r="Q47" s="89"/>
    </row>
    <row r="48" spans="1:17" hidden="1">
      <c r="A48" s="14"/>
      <c r="B48" s="15"/>
      <c r="C48" s="22"/>
      <c r="D48" s="22"/>
      <c r="E48" s="23"/>
      <c r="Q48" s="89"/>
    </row>
    <row r="49" spans="1:17" hidden="1">
      <c r="A49" s="14"/>
      <c r="B49" s="15"/>
      <c r="C49" s="22"/>
      <c r="D49" s="22"/>
      <c r="E49" s="23"/>
      <c r="Q49" s="89"/>
    </row>
    <row r="50" spans="1:17" hidden="1">
      <c r="A50" s="14"/>
      <c r="B50" s="15"/>
      <c r="C50" s="22"/>
      <c r="D50" s="22"/>
      <c r="E50" s="23"/>
      <c r="Q50" s="89"/>
    </row>
    <row r="51" spans="1:17" hidden="1">
      <c r="A51" s="14"/>
      <c r="B51" s="15"/>
      <c r="C51" s="22"/>
      <c r="D51" s="22"/>
      <c r="E51" s="23"/>
      <c r="Q51" s="89"/>
    </row>
    <row r="52" spans="1:17" ht="14.25" thickTop="1">
      <c r="B52" s="3"/>
      <c r="C52" s="17"/>
      <c r="D52" s="17"/>
      <c r="E52" s="18"/>
      <c r="Q52" s="89"/>
    </row>
    <row r="53" spans="1:17">
      <c r="A53" s="14" t="s">
        <v>30</v>
      </c>
      <c r="B53" s="15" t="s">
        <v>31</v>
      </c>
      <c r="C53" s="22">
        <v>1129747.1819999998</v>
      </c>
      <c r="D53" s="22">
        <v>34660773.574004896</v>
      </c>
      <c r="E53" s="23">
        <v>30.680115096764101</v>
      </c>
      <c r="G53" s="38">
        <f>G35+G44</f>
        <v>868370.58199999994</v>
      </c>
      <c r="H53" s="38">
        <f>H35+H44</f>
        <v>28666085.863900702</v>
      </c>
      <c r="I53" s="34">
        <f>H53/G53</f>
        <v>33.011350750595447</v>
      </c>
      <c r="K53" s="83"/>
      <c r="M53" s="26">
        <f>G53-C53</f>
        <v>-261376.59999999986</v>
      </c>
      <c r="N53" s="26">
        <f>H53-D53</f>
        <v>-5994687.7101041935</v>
      </c>
      <c r="O53" s="36">
        <f>0-E53</f>
        <v>-30.680115096764101</v>
      </c>
      <c r="Q53" s="89"/>
    </row>
    <row r="54" spans="1:17">
      <c r="A54" s="14"/>
      <c r="B54" s="8"/>
      <c r="C54" s="17"/>
      <c r="D54" s="17"/>
      <c r="E54" s="18"/>
    </row>
    <row r="55" spans="1:17">
      <c r="A55" s="84" t="s">
        <v>82</v>
      </c>
      <c r="C55" s="17"/>
      <c r="D55" s="17"/>
      <c r="E55" s="18"/>
    </row>
    <row r="56" spans="1:17">
      <c r="A56" s="85" t="s">
        <v>32</v>
      </c>
      <c r="B56" s="16" t="s">
        <v>94</v>
      </c>
      <c r="C56" s="17"/>
      <c r="D56" s="17"/>
      <c r="E56" s="18"/>
    </row>
    <row r="57" spans="1:17">
      <c r="A57" s="85" t="s">
        <v>33</v>
      </c>
      <c r="B57" s="16" t="s">
        <v>95</v>
      </c>
      <c r="C57" s="24"/>
      <c r="D57" s="24"/>
      <c r="E57" s="25"/>
      <c r="G57" s="32"/>
      <c r="M57" s="26"/>
      <c r="N57" s="26"/>
      <c r="O57" s="26"/>
    </row>
    <row r="58" spans="1:17">
      <c r="A58" s="85" t="s">
        <v>34</v>
      </c>
      <c r="B58" s="16" t="s">
        <v>88</v>
      </c>
      <c r="C58" s="24"/>
      <c r="D58" s="24"/>
      <c r="E58" s="25"/>
      <c r="M58" s="26"/>
      <c r="N58" s="26"/>
      <c r="O58" s="26"/>
    </row>
    <row r="59" spans="1:17">
      <c r="A59" s="85" t="s">
        <v>35</v>
      </c>
      <c r="B59" s="16" t="s">
        <v>90</v>
      </c>
      <c r="C59" s="24"/>
      <c r="D59" s="24"/>
      <c r="E59" s="25"/>
      <c r="M59" s="26"/>
      <c r="N59" s="26"/>
      <c r="O59" s="26"/>
    </row>
    <row r="60" spans="1:17">
      <c r="A60" s="85" t="s">
        <v>36</v>
      </c>
      <c r="B60" s="16" t="s">
        <v>96</v>
      </c>
      <c r="C60" s="24"/>
      <c r="D60" s="24"/>
      <c r="E60" s="25"/>
      <c r="M60" s="26"/>
      <c r="N60" s="26"/>
      <c r="O60" s="26"/>
    </row>
    <row r="61" spans="1:17">
      <c r="A61" s="85" t="s">
        <v>37</v>
      </c>
      <c r="B61" s="16" t="s">
        <v>97</v>
      </c>
      <c r="C61" s="24"/>
      <c r="D61" s="24"/>
      <c r="E61" s="25"/>
      <c r="M61" s="26"/>
      <c r="N61" s="26"/>
      <c r="O61" s="26"/>
    </row>
    <row r="62" spans="1:17">
      <c r="A62" s="85" t="s">
        <v>38</v>
      </c>
      <c r="B62" s="16" t="s">
        <v>93</v>
      </c>
      <c r="C62" s="27"/>
      <c r="D62" s="24"/>
      <c r="E62" s="25"/>
      <c r="M62" s="26"/>
      <c r="N62" s="26"/>
      <c r="O62" s="26"/>
    </row>
    <row r="63" spans="1:17" ht="14.25">
      <c r="A63" s="28" t="s">
        <v>4</v>
      </c>
      <c r="B63" s="29" t="s">
        <v>4</v>
      </c>
      <c r="C63" s="29"/>
      <c r="D63" s="29"/>
      <c r="E63" s="29"/>
    </row>
    <row r="64" spans="1:17" ht="14.25">
      <c r="A64"/>
      <c r="B64" s="30" t="s">
        <v>4</v>
      </c>
      <c r="C64"/>
      <c r="D64"/>
      <c r="E64"/>
    </row>
    <row r="65" spans="2:5">
      <c r="B65" s="3"/>
      <c r="C65" s="17"/>
      <c r="D65" s="17"/>
      <c r="E65" s="31"/>
    </row>
  </sheetData>
  <mergeCells count="4">
    <mergeCell ref="C8:E8"/>
    <mergeCell ref="G8:I8"/>
    <mergeCell ref="M27:O27"/>
    <mergeCell ref="M8:O8"/>
  </mergeCells>
  <pageMargins left="0.7" right="0.7" top="0.75" bottom="0.75" header="0.3" footer="0.3"/>
  <pageSetup scale="71" orientation="landscape" r:id="rId1"/>
  <headerFooter>
    <oddHeader>&amp;RKPSC Case No. 2014-00225
Commission Staff Post Hearing Data Requests
Item No. 7
Attachment 1
Page 1 of 7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pageSetUpPr fitToPage="1"/>
  </sheetPr>
  <dimension ref="A3:Q64"/>
  <sheetViews>
    <sheetView tabSelected="1" zoomScale="110" zoomScaleNormal="110" workbookViewId="0">
      <selection activeCell="B3" sqref="B3"/>
    </sheetView>
  </sheetViews>
  <sheetFormatPr defaultColWidth="9.85546875" defaultRowHeight="13.5"/>
  <cols>
    <col min="1" max="1" width="3.28515625" style="1" bestFit="1" customWidth="1"/>
    <col min="2" max="2" width="38.7109375" style="6" customWidth="1"/>
    <col min="3" max="5" width="10.85546875" style="6" customWidth="1"/>
    <col min="6" max="6" width="3.140625" style="6" customWidth="1"/>
    <col min="7" max="9" width="10.7109375" style="6" customWidth="1"/>
    <col min="10" max="10" width="1.5703125" style="6" customWidth="1"/>
    <col min="11" max="11" width="6.140625" style="6" customWidth="1"/>
    <col min="12" max="12" width="1.5703125" style="6" customWidth="1"/>
    <col min="13" max="15" width="10.7109375" style="6" customWidth="1"/>
    <col min="16" max="16" width="1.5703125" style="6" customWidth="1"/>
    <col min="17" max="17" width="6.140625" style="6" customWidth="1"/>
    <col min="18" max="16384" width="9.85546875" style="6"/>
  </cols>
  <sheetData>
    <row r="3" spans="1:17" ht="16.5">
      <c r="B3" s="2" t="s">
        <v>0</v>
      </c>
      <c r="C3" s="3"/>
      <c r="D3" s="4"/>
      <c r="E3" s="5"/>
    </row>
    <row r="4" spans="1:17">
      <c r="B4" s="6" t="s">
        <v>67</v>
      </c>
      <c r="D4" s="7"/>
    </row>
    <row r="5" spans="1:17">
      <c r="B5" s="8" t="s">
        <v>1</v>
      </c>
      <c r="D5" s="9"/>
    </row>
    <row r="6" spans="1:17">
      <c r="B6" s="8" t="s">
        <v>2</v>
      </c>
    </row>
    <row r="7" spans="1:17">
      <c r="B7" s="3"/>
      <c r="D7" s="8"/>
    </row>
    <row r="8" spans="1:17" ht="14.25">
      <c r="B8" s="8" t="s">
        <v>3</v>
      </c>
      <c r="C8" s="108" t="s">
        <v>39</v>
      </c>
      <c r="D8" s="108"/>
      <c r="E8" s="108"/>
      <c r="G8" s="108" t="s">
        <v>40</v>
      </c>
      <c r="H8" s="108"/>
      <c r="I8" s="108"/>
      <c r="K8" s="93" t="s">
        <v>82</v>
      </c>
      <c r="M8" s="108" t="s">
        <v>87</v>
      </c>
      <c r="N8" s="108"/>
      <c r="O8" s="108"/>
      <c r="Q8" s="93" t="s">
        <v>82</v>
      </c>
    </row>
    <row r="9" spans="1:17">
      <c r="B9" s="3"/>
      <c r="K9" s="83"/>
      <c r="Q9" s="83"/>
    </row>
    <row r="10" spans="1:17">
      <c r="B10" s="10" t="s">
        <v>5</v>
      </c>
      <c r="C10" s="10" t="s">
        <v>6</v>
      </c>
      <c r="D10" s="11" t="s">
        <v>7</v>
      </c>
      <c r="E10" s="11" t="s">
        <v>8</v>
      </c>
      <c r="G10" s="10" t="s">
        <v>6</v>
      </c>
      <c r="H10" s="11" t="s">
        <v>7</v>
      </c>
      <c r="I10" s="35" t="s">
        <v>8</v>
      </c>
      <c r="K10" s="83"/>
      <c r="M10" s="10" t="s">
        <v>6</v>
      </c>
      <c r="N10" s="11" t="s">
        <v>7</v>
      </c>
      <c r="O10" s="35" t="s">
        <v>8</v>
      </c>
      <c r="Q10" s="83"/>
    </row>
    <row r="11" spans="1:17">
      <c r="B11" s="10"/>
      <c r="C11" s="12"/>
      <c r="D11" s="13" t="s">
        <v>9</v>
      </c>
      <c r="E11" s="12"/>
      <c r="G11" s="12"/>
      <c r="H11" s="13" t="s">
        <v>9</v>
      </c>
      <c r="I11" s="12"/>
      <c r="K11" s="83"/>
      <c r="M11" s="12"/>
      <c r="N11" s="13" t="s">
        <v>9</v>
      </c>
      <c r="O11" s="12"/>
      <c r="Q11" s="83"/>
    </row>
    <row r="12" spans="1:17">
      <c r="A12" s="14" t="s">
        <v>10</v>
      </c>
      <c r="B12" s="15" t="s">
        <v>11</v>
      </c>
      <c r="K12" s="83"/>
      <c r="Q12" s="83"/>
    </row>
    <row r="13" spans="1:17">
      <c r="B13" s="16" t="s">
        <v>12</v>
      </c>
      <c r="C13" s="17">
        <v>295855</v>
      </c>
      <c r="D13" s="17">
        <v>9283759.3399999999</v>
      </c>
      <c r="E13" s="36">
        <f t="shared" ref="E13:E18" si="0">D13/C13</f>
        <v>31.379423501377364</v>
      </c>
      <c r="G13" s="26">
        <f>C13</f>
        <v>295855</v>
      </c>
      <c r="H13" s="26">
        <f>D13</f>
        <v>9283759.3399999999</v>
      </c>
      <c r="I13" s="36">
        <f>E13</f>
        <v>31.379423501377364</v>
      </c>
      <c r="K13" s="89" t="s">
        <v>83</v>
      </c>
      <c r="M13" s="26">
        <f>C13</f>
        <v>295855</v>
      </c>
      <c r="N13" s="51">
        <f>D13-'No Load'!D7-'No Load'!D8</f>
        <v>7248541.2000000002</v>
      </c>
      <c r="O13" s="55">
        <f>N13/M13</f>
        <v>24.500316709198763</v>
      </c>
      <c r="Q13" s="89" t="s">
        <v>84</v>
      </c>
    </row>
    <row r="14" spans="1:17">
      <c r="B14" s="8" t="s">
        <v>13</v>
      </c>
      <c r="C14" s="17">
        <v>180246</v>
      </c>
      <c r="D14" s="17">
        <v>5522941.7867884999</v>
      </c>
      <c r="E14" s="36">
        <f t="shared" si="0"/>
        <v>30.641133710531719</v>
      </c>
      <c r="G14" s="26">
        <v>0</v>
      </c>
      <c r="H14" s="26">
        <v>0</v>
      </c>
      <c r="I14" s="37" t="s">
        <v>41</v>
      </c>
      <c r="K14" s="89" t="s">
        <v>86</v>
      </c>
      <c r="N14" s="51"/>
      <c r="Q14" s="89"/>
    </row>
    <row r="15" spans="1:17">
      <c r="B15" s="8" t="s">
        <v>14</v>
      </c>
      <c r="C15" s="17">
        <v>250451</v>
      </c>
      <c r="D15" s="17">
        <v>6347642.3657310018</v>
      </c>
      <c r="E15" s="36">
        <f t="shared" si="0"/>
        <v>25.344847358289652</v>
      </c>
      <c r="G15" s="26">
        <v>0</v>
      </c>
      <c r="H15" s="26">
        <v>0</v>
      </c>
      <c r="I15" s="37" t="s">
        <v>41</v>
      </c>
      <c r="K15" s="89" t="s">
        <v>86</v>
      </c>
      <c r="N15" s="51"/>
      <c r="Q15" s="89"/>
    </row>
    <row r="16" spans="1:17">
      <c r="B16" s="8" t="s">
        <v>15</v>
      </c>
      <c r="C16" s="17">
        <v>143799.59999999974</v>
      </c>
      <c r="D16" s="17">
        <v>3191497</v>
      </c>
      <c r="E16" s="36">
        <f t="shared" si="0"/>
        <v>22.194060345091401</v>
      </c>
      <c r="G16" s="26">
        <f t="shared" ref="G16:I17" si="1">C16</f>
        <v>143799.59999999974</v>
      </c>
      <c r="H16" s="26">
        <f t="shared" si="1"/>
        <v>3191497</v>
      </c>
      <c r="I16" s="36">
        <f t="shared" si="1"/>
        <v>22.194060345091401</v>
      </c>
      <c r="K16" s="89" t="s">
        <v>83</v>
      </c>
      <c r="M16" s="26">
        <f>C16</f>
        <v>143799.59999999974</v>
      </c>
      <c r="N16" s="51">
        <f>D16-'No Load'!D11</f>
        <v>2782252.3429999999</v>
      </c>
      <c r="O16" s="55">
        <f>N16/M16</f>
        <v>19.348122964180742</v>
      </c>
      <c r="Q16" s="89" t="s">
        <v>84</v>
      </c>
    </row>
    <row r="17" spans="1:17">
      <c r="B17" s="8" t="s">
        <v>16</v>
      </c>
      <c r="C17" s="19">
        <v>138628.79999999993</v>
      </c>
      <c r="D17" s="19">
        <v>3081680</v>
      </c>
      <c r="E17" s="41">
        <f t="shared" si="0"/>
        <v>22.229724270858593</v>
      </c>
      <c r="G17" s="40">
        <f t="shared" si="1"/>
        <v>138628.79999999993</v>
      </c>
      <c r="H17" s="40">
        <f t="shared" si="1"/>
        <v>3081680</v>
      </c>
      <c r="I17" s="41">
        <f t="shared" si="1"/>
        <v>22.229724270858593</v>
      </c>
      <c r="K17" s="89" t="s">
        <v>83</v>
      </c>
      <c r="M17" s="40">
        <f>C17</f>
        <v>138628.79999999993</v>
      </c>
      <c r="N17" s="52">
        <f>D17-'No Load'!D12</f>
        <v>2677832.1970000002</v>
      </c>
      <c r="O17" s="56">
        <f>N17/M17</f>
        <v>19.316564790288897</v>
      </c>
      <c r="Q17" s="89" t="s">
        <v>84</v>
      </c>
    </row>
    <row r="18" spans="1:17">
      <c r="B18" s="21" t="s">
        <v>17</v>
      </c>
      <c r="C18" s="38">
        <f>SUM(C13:C17)</f>
        <v>1008980.3999999997</v>
      </c>
      <c r="D18" s="38">
        <f>SUM(D13:D17)</f>
        <v>27427520.492519502</v>
      </c>
      <c r="E18" s="39">
        <f t="shared" si="0"/>
        <v>27.183402663242529</v>
      </c>
      <c r="G18" s="38">
        <f>SUM(G13:G17)</f>
        <v>578283.39999999967</v>
      </c>
      <c r="H18" s="38">
        <f>SUM(H13:H17)</f>
        <v>15556936.34</v>
      </c>
      <c r="I18" s="39">
        <f>H18/G18</f>
        <v>26.901924454341952</v>
      </c>
      <c r="K18" s="89"/>
      <c r="M18" s="26">
        <f>SUM(M13:M17)</f>
        <v>578283.39999999967</v>
      </c>
      <c r="N18" s="26">
        <f>SUM(N13:N17)</f>
        <v>12708625.74</v>
      </c>
      <c r="O18" s="55">
        <f>N18/M18</f>
        <v>21.976466452262002</v>
      </c>
      <c r="Q18" s="89"/>
    </row>
    <row r="19" spans="1:17">
      <c r="B19" s="3"/>
      <c r="C19" s="17"/>
      <c r="D19" s="17"/>
      <c r="E19" s="18"/>
      <c r="I19" s="36"/>
      <c r="K19" s="89"/>
      <c r="Q19" s="89"/>
    </row>
    <row r="20" spans="1:17">
      <c r="A20" s="14" t="s">
        <v>18</v>
      </c>
      <c r="B20" s="15" t="s">
        <v>19</v>
      </c>
      <c r="C20" s="17"/>
      <c r="D20" s="17"/>
      <c r="E20" s="18"/>
      <c r="I20" s="36"/>
      <c r="K20" s="89"/>
      <c r="Q20" s="89"/>
    </row>
    <row r="21" spans="1:17">
      <c r="B21" s="8" t="s">
        <v>20</v>
      </c>
      <c r="C21" s="19">
        <v>42405.760999999999</v>
      </c>
      <c r="D21" s="19">
        <v>2740091.89</v>
      </c>
      <c r="E21" s="41">
        <f>D21/C21</f>
        <v>64.616029175847132</v>
      </c>
      <c r="G21" s="40">
        <f>C21+Purchases!B10</f>
        <v>179532.24099999992</v>
      </c>
      <c r="H21" s="52">
        <f>D21+Purchases!C10</f>
        <v>14101347.623316249</v>
      </c>
      <c r="I21" s="41">
        <f>H21/G21</f>
        <v>78.544931789250356</v>
      </c>
      <c r="K21" s="89" t="s">
        <v>85</v>
      </c>
      <c r="Q21" s="89"/>
    </row>
    <row r="22" spans="1:17">
      <c r="B22" s="21" t="s">
        <v>17</v>
      </c>
      <c r="C22" s="38">
        <f>SUM(C21)</f>
        <v>42405.760999999999</v>
      </c>
      <c r="D22" s="38">
        <f>SUM(D21)</f>
        <v>2740091.89</v>
      </c>
      <c r="E22" s="39">
        <f>D22/C22</f>
        <v>64.616029175847132</v>
      </c>
      <c r="G22" s="38">
        <f>SUM(G21)</f>
        <v>179532.24099999992</v>
      </c>
      <c r="H22" s="38">
        <f>SUM(H21)</f>
        <v>14101347.623316249</v>
      </c>
      <c r="I22" s="39">
        <f>SUM(I21)</f>
        <v>78.544931789250356</v>
      </c>
      <c r="K22" s="89"/>
      <c r="Q22" s="89"/>
    </row>
    <row r="23" spans="1:17">
      <c r="B23" s="3"/>
      <c r="C23" s="17"/>
      <c r="D23" s="17"/>
      <c r="E23" s="18"/>
      <c r="I23" s="36"/>
      <c r="K23" s="89"/>
      <c r="Q23" s="89"/>
    </row>
    <row r="24" spans="1:17">
      <c r="A24" s="14" t="s">
        <v>21</v>
      </c>
      <c r="B24" s="15" t="s">
        <v>22</v>
      </c>
      <c r="C24" s="38">
        <f>C18+C22</f>
        <v>1051386.1609999996</v>
      </c>
      <c r="D24" s="38">
        <f>D18+D22</f>
        <v>30167612.382519502</v>
      </c>
      <c r="E24" s="39">
        <f>D24/C24</f>
        <v>28.69318001468303</v>
      </c>
      <c r="G24" s="38">
        <f>G18+G22</f>
        <v>757815.6409999996</v>
      </c>
      <c r="H24" s="38">
        <f>H18+H22</f>
        <v>29658283.963316247</v>
      </c>
      <c r="I24" s="39">
        <f>H24/G24</f>
        <v>39.136542397277154</v>
      </c>
      <c r="K24" s="89"/>
      <c r="Q24" s="89"/>
    </row>
    <row r="25" spans="1:17">
      <c r="B25" s="3"/>
      <c r="C25" s="17"/>
      <c r="D25" s="17"/>
      <c r="E25" s="18"/>
      <c r="I25" s="36"/>
      <c r="K25" s="89"/>
      <c r="Q25" s="89"/>
    </row>
    <row r="26" spans="1:17">
      <c r="B26" s="10" t="s">
        <v>23</v>
      </c>
      <c r="C26" s="17"/>
      <c r="D26" s="17"/>
      <c r="E26" s="18"/>
      <c r="I26" s="36"/>
      <c r="K26" s="89"/>
      <c r="Q26" s="89"/>
    </row>
    <row r="27" spans="1:17">
      <c r="B27" s="10"/>
      <c r="C27" s="17"/>
      <c r="D27" s="17"/>
      <c r="E27" s="18"/>
      <c r="I27" s="36"/>
      <c r="K27" s="89"/>
      <c r="M27" s="109" t="s">
        <v>59</v>
      </c>
      <c r="N27" s="109"/>
      <c r="O27" s="109"/>
      <c r="Q27" s="89"/>
    </row>
    <row r="28" spans="1:17">
      <c r="A28" s="14" t="s">
        <v>24</v>
      </c>
      <c r="B28" s="15" t="s">
        <v>25</v>
      </c>
      <c r="D28" s="17"/>
      <c r="I28" s="36"/>
      <c r="K28" s="89"/>
      <c r="Q28" s="89"/>
    </row>
    <row r="29" spans="1:17">
      <c r="B29" s="8" t="s">
        <v>26</v>
      </c>
      <c r="C29" s="24">
        <v>143704.15200000003</v>
      </c>
      <c r="D29" s="24">
        <v>3767732.6480000024</v>
      </c>
      <c r="E29" s="36">
        <f t="shared" ref="E29:E35" si="2">D29/C29</f>
        <v>26.218676326067474</v>
      </c>
      <c r="G29" s="26">
        <f>C29*103042/(C$29+C$32+C$33)</f>
        <v>60939.903636075003</v>
      </c>
      <c r="H29" s="26">
        <f>D29+N29</f>
        <v>1739982.3508850536</v>
      </c>
      <c r="I29" s="36">
        <f>H29/G29</f>
        <v>28.552430297166151</v>
      </c>
      <c r="K29" s="89" t="s">
        <v>89</v>
      </c>
      <c r="M29" s="26">
        <f>G29-C29</f>
        <v>-82764.248363925028</v>
      </c>
      <c r="N29" s="57">
        <f>O29*M29</f>
        <v>-2027750.2971149487</v>
      </c>
      <c r="O29" s="55">
        <f>O13</f>
        <v>24.500316709198763</v>
      </c>
      <c r="Q29" s="89" t="s">
        <v>89</v>
      </c>
    </row>
    <row r="30" spans="1:17">
      <c r="B30" s="8" t="s">
        <v>13</v>
      </c>
      <c r="C30" s="24">
        <v>79490.525000000009</v>
      </c>
      <c r="D30" s="24">
        <v>1960974.6330000006</v>
      </c>
      <c r="E30" s="36">
        <f t="shared" si="2"/>
        <v>24.669287729575323</v>
      </c>
      <c r="G30" s="26">
        <v>0</v>
      </c>
      <c r="H30" s="26">
        <f>'Feb14Act - KP NER'!H30</f>
        <v>0</v>
      </c>
      <c r="I30" s="37" t="s">
        <v>41</v>
      </c>
      <c r="K30" s="89" t="s">
        <v>86</v>
      </c>
      <c r="M30" s="26"/>
      <c r="Q30" s="89"/>
    </row>
    <row r="31" spans="1:17">
      <c r="B31" s="8" t="s">
        <v>14</v>
      </c>
      <c r="C31" s="17">
        <v>74136.163000000015</v>
      </c>
      <c r="D31" s="17">
        <v>1738602.5259999998</v>
      </c>
      <c r="E31" s="36">
        <f t="shared" si="2"/>
        <v>23.451477061201555</v>
      </c>
      <c r="G31" s="26">
        <v>0</v>
      </c>
      <c r="H31" s="26">
        <f>'Feb14Act - KP NER'!H31</f>
        <v>0</v>
      </c>
      <c r="I31" s="37" t="s">
        <v>41</v>
      </c>
      <c r="K31" s="89" t="s">
        <v>86</v>
      </c>
      <c r="Q31" s="89"/>
    </row>
    <row r="32" spans="1:17">
      <c r="B32" s="8" t="s">
        <v>15</v>
      </c>
      <c r="C32" s="17">
        <v>53896.989999999969</v>
      </c>
      <c r="D32" s="17">
        <v>1207738.1929999988</v>
      </c>
      <c r="E32" s="36">
        <f t="shared" si="2"/>
        <v>22.408267938524943</v>
      </c>
      <c r="G32" s="26">
        <f>C32*103042/(C$29+C$32+C$33)</f>
        <v>22855.827971306604</v>
      </c>
      <c r="H32" s="26">
        <f>D32+N32</f>
        <v>607149.97311778145</v>
      </c>
      <c r="I32" s="36">
        <f>H32/G32</f>
        <v>26.564339470878174</v>
      </c>
      <c r="K32" s="89" t="s">
        <v>89</v>
      </c>
      <c r="M32" s="26">
        <f>G32-C32</f>
        <v>-31041.162028693365</v>
      </c>
      <c r="N32" s="57">
        <f>O32*M32</f>
        <v>-600588.21988221735</v>
      </c>
      <c r="O32" s="55">
        <f>O16</f>
        <v>19.348122964180742</v>
      </c>
      <c r="Q32" s="89" t="s">
        <v>89</v>
      </c>
    </row>
    <row r="33" spans="1:17">
      <c r="B33" s="8" t="s">
        <v>16</v>
      </c>
      <c r="C33" s="17">
        <v>45385.183000000019</v>
      </c>
      <c r="D33" s="17">
        <v>997263.40099999972</v>
      </c>
      <c r="E33" s="36">
        <f t="shared" si="2"/>
        <v>21.973325545475916</v>
      </c>
      <c r="G33" s="26">
        <f>C33*103042/(C$29+C$32+C$33)</f>
        <v>19246.268392618396</v>
      </c>
      <c r="H33" s="26">
        <f>D33+N33</f>
        <v>492349.36343868374</v>
      </c>
      <c r="I33" s="36">
        <f>H33/G33</f>
        <v>25.581549285030057</v>
      </c>
      <c r="K33" s="89" t="s">
        <v>89</v>
      </c>
      <c r="M33" s="26">
        <f>G33-C33</f>
        <v>-26138.914607381623</v>
      </c>
      <c r="N33" s="57">
        <f>O33*M33</f>
        <v>-504914.03756131598</v>
      </c>
      <c r="O33" s="55">
        <f>O17</f>
        <v>19.316564790288897</v>
      </c>
      <c r="Q33" s="89" t="s">
        <v>89</v>
      </c>
    </row>
    <row r="34" spans="1:17">
      <c r="B34" s="16" t="s">
        <v>27</v>
      </c>
      <c r="C34" s="19">
        <v>39259.809000000001</v>
      </c>
      <c r="D34" s="19">
        <v>2524811.29</v>
      </c>
      <c r="E34" s="41">
        <f t="shared" si="2"/>
        <v>64.31033044506151</v>
      </c>
      <c r="G34" s="40">
        <f>C34</f>
        <v>39259.809000000001</v>
      </c>
      <c r="H34" s="40">
        <f>D34</f>
        <v>2524811.29</v>
      </c>
      <c r="I34" s="41">
        <f>E34</f>
        <v>64.31033044506151</v>
      </c>
      <c r="K34" s="89" t="s">
        <v>91</v>
      </c>
      <c r="Q34" s="89"/>
    </row>
    <row r="35" spans="1:17">
      <c r="B35" s="21" t="s">
        <v>17</v>
      </c>
      <c r="C35" s="22">
        <f>SUM(C29:C34)</f>
        <v>435872.82200000004</v>
      </c>
      <c r="D35" s="22">
        <f>SUM(D29:D34)</f>
        <v>12197122.691000003</v>
      </c>
      <c r="E35" s="39">
        <f t="shared" si="2"/>
        <v>27.983214541878461</v>
      </c>
      <c r="G35" s="22">
        <f>SUM(G29:G34)</f>
        <v>142301.80900000001</v>
      </c>
      <c r="H35" s="22">
        <f>SUM(H29:H34)</f>
        <v>5364292.9774415186</v>
      </c>
      <c r="I35" s="23">
        <f>H35/G35</f>
        <v>37.696590191917508</v>
      </c>
      <c r="K35" s="89"/>
      <c r="M35" s="26"/>
      <c r="Q35" s="89"/>
    </row>
    <row r="36" spans="1:17">
      <c r="B36" s="3"/>
      <c r="C36" s="17"/>
      <c r="D36" s="17"/>
      <c r="E36" s="18"/>
      <c r="I36" s="36"/>
      <c r="K36" s="89"/>
      <c r="Q36" s="89"/>
    </row>
    <row r="37" spans="1:17">
      <c r="A37" s="14" t="s">
        <v>28</v>
      </c>
      <c r="B37" s="15" t="s">
        <v>29</v>
      </c>
      <c r="C37" s="22"/>
      <c r="D37" s="22"/>
      <c r="E37" s="23"/>
      <c r="I37" s="36"/>
      <c r="K37" s="89"/>
      <c r="Q37" s="89"/>
    </row>
    <row r="38" spans="1:17">
      <c r="B38" s="8" t="s">
        <v>26</v>
      </c>
      <c r="C38" s="24">
        <f t="shared" ref="C38:D42" si="3">C13-C29</f>
        <v>152150.84799999997</v>
      </c>
      <c r="D38" s="24">
        <f t="shared" si="3"/>
        <v>5516026.6919999979</v>
      </c>
      <c r="E38" s="25">
        <f t="shared" ref="E38:E44" si="4">D38/C38</f>
        <v>36.253670383749679</v>
      </c>
      <c r="G38" s="24">
        <f t="shared" ref="G38:H42" si="5">G13-G29</f>
        <v>234915.096363925</v>
      </c>
      <c r="H38" s="24">
        <f t="shared" si="5"/>
        <v>7543776.9891149458</v>
      </c>
      <c r="I38" s="25">
        <f>H38/G38</f>
        <v>32.11278077007151</v>
      </c>
      <c r="K38" s="89" t="s">
        <v>92</v>
      </c>
      <c r="M38" s="26">
        <f t="shared" ref="M38:O43" si="6">G38-C38</f>
        <v>82764.248363925028</v>
      </c>
      <c r="N38" s="26">
        <f t="shared" si="6"/>
        <v>2027750.2971149478</v>
      </c>
      <c r="O38" s="36">
        <f t="shared" si="6"/>
        <v>-4.1408896136781692</v>
      </c>
      <c r="Q38" s="89"/>
    </row>
    <row r="39" spans="1:17">
      <c r="B39" s="8" t="s">
        <v>13</v>
      </c>
      <c r="C39" s="24">
        <f>C14-C30</f>
        <v>100755.47499999999</v>
      </c>
      <c r="D39" s="24">
        <f t="shared" si="3"/>
        <v>3561967.1537884995</v>
      </c>
      <c r="E39" s="25">
        <f t="shared" si="4"/>
        <v>35.352591546896086</v>
      </c>
      <c r="G39" s="26">
        <f t="shared" si="5"/>
        <v>0</v>
      </c>
      <c r="H39" s="26">
        <f t="shared" si="5"/>
        <v>0</v>
      </c>
      <c r="I39" s="53" t="s">
        <v>41</v>
      </c>
      <c r="K39" s="89" t="s">
        <v>86</v>
      </c>
      <c r="M39" s="26">
        <f t="shared" si="6"/>
        <v>-100755.47499999999</v>
      </c>
      <c r="N39" s="26">
        <f t="shared" si="6"/>
        <v>-3561967.1537884995</v>
      </c>
      <c r="O39" s="36">
        <f>0-E39</f>
        <v>-35.352591546896086</v>
      </c>
      <c r="Q39" s="89"/>
    </row>
    <row r="40" spans="1:17">
      <c r="B40" s="8" t="s">
        <v>14</v>
      </c>
      <c r="C40" s="24">
        <f t="shared" si="3"/>
        <v>176314.837</v>
      </c>
      <c r="D40" s="24">
        <f t="shared" si="3"/>
        <v>4609039.8397310022</v>
      </c>
      <c r="E40" s="25">
        <f t="shared" si="4"/>
        <v>26.140964187438193</v>
      </c>
      <c r="G40" s="26">
        <f t="shared" si="5"/>
        <v>0</v>
      </c>
      <c r="H40" s="26">
        <f t="shared" si="5"/>
        <v>0</v>
      </c>
      <c r="I40" s="53" t="s">
        <v>41</v>
      </c>
      <c r="K40" s="89" t="s">
        <v>86</v>
      </c>
      <c r="M40" s="26">
        <f t="shared" si="6"/>
        <v>-176314.837</v>
      </c>
      <c r="N40" s="26">
        <f t="shared" si="6"/>
        <v>-4609039.8397310022</v>
      </c>
      <c r="O40" s="36">
        <f>0-E40</f>
        <v>-26.140964187438193</v>
      </c>
      <c r="Q40" s="89"/>
    </row>
    <row r="41" spans="1:17">
      <c r="B41" s="8" t="s">
        <v>15</v>
      </c>
      <c r="C41" s="24">
        <f t="shared" si="3"/>
        <v>89902.609999999782</v>
      </c>
      <c r="D41" s="24">
        <f t="shared" si="3"/>
        <v>1983758.8070000012</v>
      </c>
      <c r="E41" s="25">
        <f t="shared" si="4"/>
        <v>22.065641998602779</v>
      </c>
      <c r="G41" s="24">
        <f t="shared" si="5"/>
        <v>120943.77202869314</v>
      </c>
      <c r="H41" s="24">
        <f t="shared" si="5"/>
        <v>2584347.0268822187</v>
      </c>
      <c r="I41" s="25">
        <f>H41/G41</f>
        <v>21.368169551294454</v>
      </c>
      <c r="K41" s="89" t="s">
        <v>92</v>
      </c>
      <c r="M41" s="26">
        <f t="shared" si="6"/>
        <v>31041.162028693361</v>
      </c>
      <c r="N41" s="26">
        <f t="shared" si="6"/>
        <v>600588.21988221747</v>
      </c>
      <c r="O41" s="36">
        <f t="shared" si="6"/>
        <v>-0.69747244730832492</v>
      </c>
      <c r="Q41" s="89"/>
    </row>
    <row r="42" spans="1:17">
      <c r="B42" s="8" t="s">
        <v>16</v>
      </c>
      <c r="C42" s="24">
        <f t="shared" si="3"/>
        <v>93243.616999999911</v>
      </c>
      <c r="D42" s="24">
        <f t="shared" si="3"/>
        <v>2084416.5990000004</v>
      </c>
      <c r="E42" s="25">
        <f t="shared" si="4"/>
        <v>22.354523194869223</v>
      </c>
      <c r="G42" s="24">
        <f t="shared" si="5"/>
        <v>119382.53160738153</v>
      </c>
      <c r="H42" s="24">
        <f t="shared" si="5"/>
        <v>2589330.6365613164</v>
      </c>
      <c r="I42" s="25">
        <f>H42/G42</f>
        <v>21.689359420496789</v>
      </c>
      <c r="K42" s="89" t="s">
        <v>92</v>
      </c>
      <c r="M42" s="26">
        <f t="shared" si="6"/>
        <v>26138.914607381623</v>
      </c>
      <c r="N42" s="26">
        <f t="shared" si="6"/>
        <v>504914.03756131604</v>
      </c>
      <c r="O42" s="36">
        <f t="shared" si="6"/>
        <v>-0.66516377437243435</v>
      </c>
      <c r="Q42" s="89"/>
    </row>
    <row r="43" spans="1:17">
      <c r="B43" s="16" t="s">
        <v>27</v>
      </c>
      <c r="C43" s="19">
        <f>C21-C34</f>
        <v>3145.9519999999975</v>
      </c>
      <c r="D43" s="19">
        <f>D21-D34</f>
        <v>215280.60000000009</v>
      </c>
      <c r="E43" s="20">
        <f t="shared" si="4"/>
        <v>68.430986868204045</v>
      </c>
      <c r="G43" s="19">
        <f>G21-G34</f>
        <v>140272.43199999991</v>
      </c>
      <c r="H43" s="19">
        <f>H21-H34</f>
        <v>11576536.333316248</v>
      </c>
      <c r="I43" s="20">
        <f>H43/G43</f>
        <v>82.528948619898841</v>
      </c>
      <c r="K43" s="89" t="s">
        <v>92</v>
      </c>
      <c r="M43" s="40">
        <f t="shared" si="6"/>
        <v>137126.47999999992</v>
      </c>
      <c r="N43" s="40">
        <f t="shared" si="6"/>
        <v>11361255.733316248</v>
      </c>
      <c r="O43" s="41">
        <f t="shared" si="6"/>
        <v>14.097961751694797</v>
      </c>
      <c r="Q43" s="89"/>
    </row>
    <row r="44" spans="1:17" ht="14.25" thickBot="1">
      <c r="B44" s="21" t="s">
        <v>17</v>
      </c>
      <c r="C44" s="22">
        <f>SUM(C38:C43)</f>
        <v>615513.33899999969</v>
      </c>
      <c r="D44" s="88">
        <f>SUM(D38:D43)</f>
        <v>17970489.691519503</v>
      </c>
      <c r="E44" s="34">
        <f t="shared" si="4"/>
        <v>29.195938662702989</v>
      </c>
      <c r="G44" s="22">
        <f>SUM(G38:G43)</f>
        <v>615513.83199999959</v>
      </c>
      <c r="H44" s="88">
        <f>SUM(H38:H43)</f>
        <v>24293990.985874727</v>
      </c>
      <c r="I44" s="34">
        <f>H44/G44</f>
        <v>39.46944767583183</v>
      </c>
      <c r="K44" s="89" t="s">
        <v>92</v>
      </c>
      <c r="M44" s="22">
        <f>SUM(M38:M43)</f>
        <v>0.49299999995855615</v>
      </c>
      <c r="N44" s="22">
        <f>SUM(N38:N43)</f>
        <v>6323501.2943552276</v>
      </c>
      <c r="O44" s="34">
        <f>I44-E44</f>
        <v>10.273509013128841</v>
      </c>
      <c r="Q44" s="89"/>
    </row>
    <row r="45" spans="1:17" hidden="1">
      <c r="B45" s="3"/>
      <c r="C45" s="17"/>
      <c r="D45" s="17"/>
      <c r="E45" s="18"/>
      <c r="Q45" s="89"/>
    </row>
    <row r="46" spans="1:17" hidden="1">
      <c r="B46" s="3"/>
      <c r="C46" s="17"/>
      <c r="D46" s="17"/>
      <c r="E46" s="18"/>
      <c r="Q46" s="89"/>
    </row>
    <row r="47" spans="1:17" hidden="1">
      <c r="B47" s="3"/>
      <c r="C47" s="17"/>
      <c r="D47" s="17"/>
      <c r="E47" s="18"/>
      <c r="Q47" s="89"/>
    </row>
    <row r="48" spans="1:17" hidden="1">
      <c r="B48" s="3"/>
      <c r="C48" s="17"/>
      <c r="D48" s="17"/>
      <c r="E48" s="18"/>
      <c r="Q48" s="89"/>
    </row>
    <row r="49" spans="1:17" hidden="1">
      <c r="B49" s="3"/>
      <c r="C49" s="17"/>
      <c r="D49" s="17"/>
      <c r="E49" s="18"/>
      <c r="Q49" s="89"/>
    </row>
    <row r="50" spans="1:17" hidden="1">
      <c r="B50" s="3"/>
      <c r="C50" s="17"/>
      <c r="D50" s="17"/>
      <c r="E50" s="18"/>
      <c r="Q50" s="89"/>
    </row>
    <row r="51" spans="1:17" hidden="1">
      <c r="B51" s="3"/>
      <c r="C51" s="17"/>
      <c r="D51" s="17"/>
      <c r="E51" s="18"/>
      <c r="Q51" s="89"/>
    </row>
    <row r="52" spans="1:17" ht="14.25" thickTop="1">
      <c r="B52" s="3"/>
      <c r="C52" s="17"/>
      <c r="D52" s="17"/>
      <c r="E52" s="18"/>
      <c r="Q52" s="89"/>
    </row>
    <row r="53" spans="1:17">
      <c r="A53" s="14" t="s">
        <v>30</v>
      </c>
      <c r="B53" s="15" t="s">
        <v>31</v>
      </c>
      <c r="C53" s="22">
        <v>1051386.1609999996</v>
      </c>
      <c r="D53" s="22">
        <v>30167612.382519502</v>
      </c>
      <c r="E53" s="23">
        <v>28.69318001468303</v>
      </c>
      <c r="G53" s="38">
        <f>G35+G44</f>
        <v>757815.6409999996</v>
      </c>
      <c r="H53" s="38">
        <f>H35+H44</f>
        <v>29658283.963316247</v>
      </c>
      <c r="I53" s="34">
        <f>H53/G53</f>
        <v>39.136542397277154</v>
      </c>
      <c r="K53" s="83"/>
      <c r="M53" s="26">
        <f>G53-C53</f>
        <v>-293570.52</v>
      </c>
      <c r="N53" s="26">
        <f>H53-D53</f>
        <v>-509328.41920325533</v>
      </c>
      <c r="O53" s="36">
        <f>0-E53</f>
        <v>-28.69318001468303</v>
      </c>
    </row>
    <row r="54" spans="1:17">
      <c r="A54" s="14"/>
      <c r="B54" s="8"/>
      <c r="C54" s="17"/>
      <c r="D54" s="17"/>
      <c r="E54" s="18"/>
    </row>
    <row r="55" spans="1:17">
      <c r="A55" s="84" t="s">
        <v>82</v>
      </c>
      <c r="C55" s="24"/>
      <c r="D55" s="24"/>
      <c r="E55" s="25"/>
      <c r="G55" s="32"/>
      <c r="M55" s="26"/>
      <c r="N55" s="26"/>
      <c r="O55" s="26"/>
    </row>
    <row r="56" spans="1:17">
      <c r="A56" s="85" t="s">
        <v>32</v>
      </c>
      <c r="B56" s="16" t="s">
        <v>94</v>
      </c>
      <c r="C56" s="24"/>
      <c r="D56" s="24"/>
      <c r="E56" s="25"/>
      <c r="M56" s="26"/>
      <c r="N56" s="26"/>
      <c r="O56" s="26"/>
    </row>
    <row r="57" spans="1:17">
      <c r="A57" s="85" t="s">
        <v>33</v>
      </c>
      <c r="B57" s="16" t="s">
        <v>95</v>
      </c>
      <c r="C57" s="24"/>
      <c r="D57" s="24"/>
      <c r="E57" s="25"/>
      <c r="M57" s="26"/>
      <c r="N57" s="26"/>
      <c r="O57" s="26"/>
    </row>
    <row r="58" spans="1:17">
      <c r="A58" s="85" t="s">
        <v>34</v>
      </c>
      <c r="B58" s="16" t="s">
        <v>88</v>
      </c>
      <c r="C58" s="24"/>
      <c r="D58" s="24"/>
      <c r="E58" s="25"/>
      <c r="M58" s="26"/>
      <c r="N58" s="26"/>
      <c r="O58" s="26"/>
    </row>
    <row r="59" spans="1:17">
      <c r="A59" s="85" t="s">
        <v>35</v>
      </c>
      <c r="B59" s="16" t="s">
        <v>90</v>
      </c>
      <c r="C59" s="24"/>
      <c r="D59" s="24"/>
      <c r="E59" s="25"/>
      <c r="M59" s="26"/>
      <c r="N59" s="26"/>
      <c r="O59" s="26"/>
    </row>
    <row r="60" spans="1:17">
      <c r="A60" s="85" t="s">
        <v>36</v>
      </c>
      <c r="B60" s="16" t="s">
        <v>96</v>
      </c>
      <c r="C60" s="27"/>
      <c r="D60" s="24"/>
      <c r="E60" s="25"/>
      <c r="M60" s="26"/>
      <c r="N60" s="26"/>
      <c r="O60" s="26"/>
    </row>
    <row r="61" spans="1:17">
      <c r="A61" s="85" t="s">
        <v>37</v>
      </c>
      <c r="B61" s="16" t="s">
        <v>97</v>
      </c>
      <c r="C61" s="86"/>
      <c r="D61" s="86"/>
      <c r="E61" s="87"/>
      <c r="M61" s="26"/>
      <c r="N61" s="26"/>
      <c r="O61" s="26"/>
    </row>
    <row r="62" spans="1:17" ht="14.25">
      <c r="A62" s="85" t="s">
        <v>38</v>
      </c>
      <c r="B62" s="16" t="s">
        <v>93</v>
      </c>
      <c r="C62" s="97"/>
      <c r="D62" s="97"/>
      <c r="E62" s="97"/>
    </row>
    <row r="63" spans="1:17" ht="14.25">
      <c r="A63"/>
      <c r="B63" s="30" t="s">
        <v>4</v>
      </c>
      <c r="C63" s="98"/>
      <c r="D63" s="98"/>
      <c r="E63" s="98"/>
    </row>
    <row r="64" spans="1:17">
      <c r="B64" s="3"/>
      <c r="C64" s="24"/>
      <c r="D64" s="24"/>
      <c r="E64" s="99"/>
    </row>
  </sheetData>
  <mergeCells count="4">
    <mergeCell ref="C8:E8"/>
    <mergeCell ref="G8:I8"/>
    <mergeCell ref="M27:O27"/>
    <mergeCell ref="M8:O8"/>
  </mergeCells>
  <pageMargins left="0.7" right="0.7" top="0.75" bottom="0.75" header="0.3" footer="0.3"/>
  <pageSetup scale="71" orientation="landscape" r:id="rId1"/>
  <headerFooter>
    <oddHeader>&amp;RKPSC Case No. 2014-00225
Commission Staff Post Hearing Data Requests
Item No. 7
Attachment 1
Page 1 of 7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pageSetUpPr fitToPage="1"/>
  </sheetPr>
  <dimension ref="A3:Q65"/>
  <sheetViews>
    <sheetView tabSelected="1" zoomScale="110" zoomScaleNormal="110" workbookViewId="0">
      <selection activeCell="B3" sqref="B3"/>
    </sheetView>
  </sheetViews>
  <sheetFormatPr defaultColWidth="9.85546875" defaultRowHeight="13.5"/>
  <cols>
    <col min="1" max="1" width="3.28515625" style="1" bestFit="1" customWidth="1"/>
    <col min="2" max="2" width="38.7109375" style="6" customWidth="1"/>
    <col min="3" max="5" width="10.85546875" style="6" customWidth="1"/>
    <col min="6" max="6" width="3.140625" style="6" customWidth="1"/>
    <col min="7" max="9" width="10.7109375" style="6" customWidth="1"/>
    <col min="10" max="10" width="1.5703125" style="6" customWidth="1"/>
    <col min="11" max="11" width="6.140625" style="6" customWidth="1"/>
    <col min="12" max="12" width="1.5703125" style="6" customWidth="1"/>
    <col min="13" max="15" width="10.7109375" style="6" customWidth="1"/>
    <col min="16" max="16" width="1.42578125" style="6" customWidth="1"/>
    <col min="17" max="17" width="6.140625" style="6" customWidth="1"/>
    <col min="18" max="16384" width="9.85546875" style="6"/>
  </cols>
  <sheetData>
    <row r="3" spans="1:17" ht="16.5">
      <c r="B3" s="2" t="s">
        <v>0</v>
      </c>
      <c r="C3" s="3"/>
      <c r="D3" s="4"/>
      <c r="E3" s="5" t="s">
        <v>4</v>
      </c>
    </row>
    <row r="4" spans="1:17">
      <c r="B4" s="6" t="s">
        <v>99</v>
      </c>
      <c r="D4" s="7"/>
    </row>
    <row r="5" spans="1:17">
      <c r="B5" s="8" t="s">
        <v>1</v>
      </c>
      <c r="D5" s="9"/>
    </row>
    <row r="6" spans="1:17">
      <c r="B6" s="8" t="s">
        <v>2</v>
      </c>
    </row>
    <row r="7" spans="1:17">
      <c r="B7" s="3"/>
      <c r="D7" s="8"/>
    </row>
    <row r="8" spans="1:17" ht="14.25">
      <c r="B8" s="8" t="s">
        <v>3</v>
      </c>
      <c r="C8" s="108" t="s">
        <v>39</v>
      </c>
      <c r="D8" s="108"/>
      <c r="E8" s="108"/>
      <c r="G8" s="108" t="s">
        <v>40</v>
      </c>
      <c r="H8" s="108"/>
      <c r="I8" s="108"/>
      <c r="K8" s="94" t="s">
        <v>82</v>
      </c>
      <c r="M8" s="108" t="s">
        <v>87</v>
      </c>
      <c r="N8" s="108"/>
      <c r="O8" s="108"/>
      <c r="P8" s="95"/>
      <c r="Q8" s="94" t="s">
        <v>82</v>
      </c>
    </row>
    <row r="9" spans="1:17">
      <c r="B9" s="3"/>
      <c r="K9" s="83"/>
      <c r="Q9" s="83"/>
    </row>
    <row r="10" spans="1:17">
      <c r="B10" s="10" t="s">
        <v>5</v>
      </c>
      <c r="C10" s="10" t="s">
        <v>6</v>
      </c>
      <c r="D10" s="11" t="s">
        <v>7</v>
      </c>
      <c r="E10" s="11" t="s">
        <v>8</v>
      </c>
      <c r="G10" s="10" t="s">
        <v>6</v>
      </c>
      <c r="H10" s="11" t="s">
        <v>7</v>
      </c>
      <c r="I10" s="35" t="s">
        <v>8</v>
      </c>
      <c r="K10" s="83"/>
      <c r="M10" s="10" t="s">
        <v>6</v>
      </c>
      <c r="N10" s="11" t="s">
        <v>7</v>
      </c>
      <c r="O10" s="35" t="s">
        <v>8</v>
      </c>
      <c r="P10" s="35"/>
      <c r="Q10" s="83"/>
    </row>
    <row r="11" spans="1:17">
      <c r="B11" s="10"/>
      <c r="C11" s="12"/>
      <c r="D11" s="13" t="s">
        <v>9</v>
      </c>
      <c r="E11" s="12"/>
      <c r="G11" s="12"/>
      <c r="H11" s="13" t="s">
        <v>9</v>
      </c>
      <c r="I11" s="12"/>
      <c r="K11" s="83"/>
      <c r="M11" s="12"/>
      <c r="N11" s="13" t="s">
        <v>9</v>
      </c>
      <c r="O11" s="12"/>
      <c r="P11" s="12"/>
      <c r="Q11" s="83"/>
    </row>
    <row r="12" spans="1:17">
      <c r="A12" s="14" t="s">
        <v>10</v>
      </c>
      <c r="B12" s="15" t="s">
        <v>11</v>
      </c>
      <c r="K12" s="83"/>
      <c r="Q12" s="83"/>
    </row>
    <row r="13" spans="1:17">
      <c r="B13" s="16" t="s">
        <v>12</v>
      </c>
      <c r="C13" s="17">
        <v>478140</v>
      </c>
      <c r="D13" s="17">
        <v>14450191.76</v>
      </c>
      <c r="E13" s="36">
        <f t="shared" ref="E13:E18" si="0">D13/C13</f>
        <v>30.221675157903544</v>
      </c>
      <c r="G13" s="26">
        <f>C13</f>
        <v>478140</v>
      </c>
      <c r="H13" s="26">
        <f>D13</f>
        <v>14450191.76</v>
      </c>
      <c r="I13" s="36">
        <f>E13</f>
        <v>30.221675157903544</v>
      </c>
      <c r="K13" s="89" t="s">
        <v>83</v>
      </c>
      <c r="M13" s="26">
        <f>C13</f>
        <v>478140</v>
      </c>
      <c r="N13" s="51">
        <f>D13-'No Load'!E7-'No Load'!E8</f>
        <v>9923351.2909999993</v>
      </c>
      <c r="O13" s="55">
        <f>N13/M13</f>
        <v>20.754070546283515</v>
      </c>
      <c r="P13" s="55"/>
      <c r="Q13" s="89" t="s">
        <v>84</v>
      </c>
    </row>
    <row r="14" spans="1:17">
      <c r="B14" s="8" t="s">
        <v>13</v>
      </c>
      <c r="C14" s="17">
        <v>217935</v>
      </c>
      <c r="D14" s="17">
        <v>5255914.104235</v>
      </c>
      <c r="E14" s="36">
        <f t="shared" si="0"/>
        <v>24.116888541239359</v>
      </c>
      <c r="G14" s="26">
        <v>0</v>
      </c>
      <c r="H14" s="26">
        <v>0</v>
      </c>
      <c r="I14" s="37" t="s">
        <v>41</v>
      </c>
      <c r="K14" s="89" t="s">
        <v>86</v>
      </c>
      <c r="N14" s="51"/>
      <c r="Q14" s="89"/>
    </row>
    <row r="15" spans="1:17">
      <c r="B15" s="8" t="s">
        <v>14</v>
      </c>
      <c r="C15" s="17">
        <v>150979</v>
      </c>
      <c r="D15" s="17">
        <v>4294640.7294032006</v>
      </c>
      <c r="E15" s="36">
        <f t="shared" si="0"/>
        <v>28.445285300625919</v>
      </c>
      <c r="G15" s="26">
        <v>0</v>
      </c>
      <c r="H15" s="26">
        <v>0</v>
      </c>
      <c r="I15" s="37" t="s">
        <v>41</v>
      </c>
      <c r="K15" s="89" t="s">
        <v>86</v>
      </c>
      <c r="N15" s="51"/>
      <c r="Q15" s="89"/>
    </row>
    <row r="16" spans="1:17">
      <c r="B16" s="8" t="s">
        <v>15</v>
      </c>
      <c r="C16" s="17">
        <v>109937.99999999993</v>
      </c>
      <c r="D16" s="17">
        <v>2790044.5859999978</v>
      </c>
      <c r="E16" s="36">
        <f t="shared" si="0"/>
        <v>25.378345849478794</v>
      </c>
      <c r="G16" s="26">
        <f t="shared" ref="G16:I17" si="1">C16</f>
        <v>109937.99999999993</v>
      </c>
      <c r="H16" s="26">
        <f t="shared" si="1"/>
        <v>2790044.5859999978</v>
      </c>
      <c r="I16" s="36">
        <f t="shared" si="1"/>
        <v>25.378345849478794</v>
      </c>
      <c r="K16" s="89" t="s">
        <v>83</v>
      </c>
      <c r="M16" s="26">
        <f>C16</f>
        <v>109937.99999999993</v>
      </c>
      <c r="N16" s="51">
        <f>D16-'No Load'!E11</f>
        <v>2421334.4069999978</v>
      </c>
      <c r="O16" s="55">
        <f>N16/M16</f>
        <v>22.024544807073074</v>
      </c>
      <c r="P16" s="55"/>
      <c r="Q16" s="89" t="s">
        <v>84</v>
      </c>
    </row>
    <row r="17" spans="1:17">
      <c r="B17" s="8" t="s">
        <v>16</v>
      </c>
      <c r="C17" s="19">
        <v>90024.15</v>
      </c>
      <c r="D17" s="19">
        <v>2352527.7014999995</v>
      </c>
      <c r="E17" s="41">
        <f t="shared" si="0"/>
        <v>26.132184547146512</v>
      </c>
      <c r="G17" s="40">
        <f t="shared" si="1"/>
        <v>90024.15</v>
      </c>
      <c r="H17" s="40">
        <f t="shared" si="1"/>
        <v>2352527.7014999995</v>
      </c>
      <c r="I17" s="41">
        <f t="shared" si="1"/>
        <v>26.132184547146512</v>
      </c>
      <c r="K17" s="89" t="s">
        <v>83</v>
      </c>
      <c r="M17" s="40">
        <f>C17</f>
        <v>90024.15</v>
      </c>
      <c r="N17" s="52">
        <f>D17-'No Load'!E12</f>
        <v>2048937.2164999996</v>
      </c>
      <c r="O17" s="56">
        <f>N17/M17</f>
        <v>22.759861842627782</v>
      </c>
      <c r="P17" s="100"/>
      <c r="Q17" s="89" t="s">
        <v>84</v>
      </c>
    </row>
    <row r="18" spans="1:17">
      <c r="B18" s="21" t="s">
        <v>17</v>
      </c>
      <c r="C18" s="38">
        <f>SUM(C13:C17)</f>
        <v>1047016.1499999999</v>
      </c>
      <c r="D18" s="38">
        <f>SUM(D13:D17)</f>
        <v>29143318.881138198</v>
      </c>
      <c r="E18" s="39">
        <f t="shared" si="0"/>
        <v>27.834641214596548</v>
      </c>
      <c r="G18" s="38">
        <f>SUM(G13:G17)</f>
        <v>678102.14999999991</v>
      </c>
      <c r="H18" s="38">
        <f>SUM(H13:H17)</f>
        <v>19592764.047499996</v>
      </c>
      <c r="I18" s="39">
        <f>H18/G18</f>
        <v>28.893528869507342</v>
      </c>
      <c r="K18" s="89"/>
      <c r="M18" s="26">
        <f>SUM(M13:M17)</f>
        <v>678102.14999999991</v>
      </c>
      <c r="N18" s="26">
        <f>SUM(N13:N17)</f>
        <v>14393622.914499996</v>
      </c>
      <c r="O18" s="55">
        <f>N18/M18</f>
        <v>21.226334283853838</v>
      </c>
      <c r="P18" s="55"/>
      <c r="Q18" s="89"/>
    </row>
    <row r="19" spans="1:17">
      <c r="B19" s="3"/>
      <c r="C19" s="17"/>
      <c r="D19" s="17"/>
      <c r="E19" s="18"/>
      <c r="I19" s="36"/>
      <c r="K19" s="89"/>
      <c r="Q19" s="89"/>
    </row>
    <row r="20" spans="1:17">
      <c r="A20" s="14" t="s">
        <v>18</v>
      </c>
      <c r="B20" s="15" t="s">
        <v>19</v>
      </c>
      <c r="C20" s="17"/>
      <c r="D20" s="17"/>
      <c r="E20" s="18"/>
      <c r="I20" s="36"/>
      <c r="K20" s="89"/>
      <c r="N20" s="26"/>
      <c r="Q20" s="89"/>
    </row>
    <row r="21" spans="1:17">
      <c r="B21" s="8" t="s">
        <v>20</v>
      </c>
      <c r="C21" s="19">
        <v>55634.780999999995</v>
      </c>
      <c r="D21" s="19">
        <v>2042947.33</v>
      </c>
      <c r="E21" s="41">
        <f>D21/C21</f>
        <v>36.720686111804774</v>
      </c>
      <c r="G21" s="40">
        <f>C21+Purchases!B11</f>
        <v>72358.560999999987</v>
      </c>
      <c r="H21" s="52">
        <f>D21+Purchases!C11</f>
        <v>2715910.36226115</v>
      </c>
      <c r="I21" s="41">
        <f>H21/G21</f>
        <v>37.534057127824177</v>
      </c>
      <c r="K21" s="89" t="s">
        <v>85</v>
      </c>
      <c r="Q21" s="89"/>
    </row>
    <row r="22" spans="1:17">
      <c r="B22" s="21" t="s">
        <v>17</v>
      </c>
      <c r="C22" s="38">
        <f>SUM(C21)</f>
        <v>55634.780999999995</v>
      </c>
      <c r="D22" s="38">
        <f>SUM(D21)</f>
        <v>2042947.33</v>
      </c>
      <c r="E22" s="39">
        <f>D22/C22</f>
        <v>36.720686111804774</v>
      </c>
      <c r="G22" s="38">
        <f>SUM(G21)</f>
        <v>72358.560999999987</v>
      </c>
      <c r="H22" s="38">
        <f>SUM(H21)</f>
        <v>2715910.36226115</v>
      </c>
      <c r="I22" s="39">
        <f>SUM(I21)</f>
        <v>37.534057127824177</v>
      </c>
      <c r="K22" s="89"/>
      <c r="Q22" s="89"/>
    </row>
    <row r="23" spans="1:17">
      <c r="B23" s="3"/>
      <c r="C23" s="17"/>
      <c r="D23" s="17"/>
      <c r="E23" s="18"/>
      <c r="I23" s="36"/>
      <c r="K23" s="89"/>
      <c r="Q23" s="89"/>
    </row>
    <row r="24" spans="1:17">
      <c r="A24" s="14" t="s">
        <v>21</v>
      </c>
      <c r="B24" s="15" t="s">
        <v>22</v>
      </c>
      <c r="C24" s="38">
        <f>C18+C22</f>
        <v>1102650.9309999999</v>
      </c>
      <c r="D24" s="38">
        <f>D18+D22</f>
        <v>31186266.211138196</v>
      </c>
      <c r="E24" s="39">
        <f>D24/C24</f>
        <v>28.282990867159754</v>
      </c>
      <c r="G24" s="38">
        <f>G18+G22</f>
        <v>750460.71099999989</v>
      </c>
      <c r="H24" s="38">
        <f>H18+H22</f>
        <v>22308674.409761146</v>
      </c>
      <c r="I24" s="39">
        <f>H24/G24</f>
        <v>29.726638693762542</v>
      </c>
      <c r="K24" s="89"/>
      <c r="Q24" s="89"/>
    </row>
    <row r="25" spans="1:17">
      <c r="B25" s="3"/>
      <c r="C25" s="17"/>
      <c r="D25" s="17"/>
      <c r="E25" s="18"/>
      <c r="I25" s="36"/>
      <c r="K25" s="89"/>
      <c r="Q25" s="89"/>
    </row>
    <row r="26" spans="1:17">
      <c r="B26" s="10" t="s">
        <v>23</v>
      </c>
      <c r="C26" s="17"/>
      <c r="D26" s="17"/>
      <c r="E26" s="18"/>
      <c r="I26" s="36"/>
      <c r="K26" s="89"/>
      <c r="Q26" s="89"/>
    </row>
    <row r="27" spans="1:17">
      <c r="B27" s="10"/>
      <c r="C27" s="17"/>
      <c r="D27" s="17"/>
      <c r="E27" s="18"/>
      <c r="G27" s="26"/>
      <c r="I27" s="36"/>
      <c r="K27" s="89"/>
      <c r="M27" s="109" t="s">
        <v>59</v>
      </c>
      <c r="N27" s="109"/>
      <c r="O27" s="109"/>
      <c r="P27" s="101"/>
      <c r="Q27" s="89"/>
    </row>
    <row r="28" spans="1:17">
      <c r="A28" s="14" t="s">
        <v>24</v>
      </c>
      <c r="B28" s="15" t="s">
        <v>25</v>
      </c>
      <c r="D28" s="17"/>
      <c r="I28" s="36"/>
      <c r="K28" s="89"/>
      <c r="Q28" s="89"/>
    </row>
    <row r="29" spans="1:17">
      <c r="B29" s="8" t="s">
        <v>26</v>
      </c>
      <c r="C29" s="24">
        <v>284640.34799999988</v>
      </c>
      <c r="D29" s="24">
        <v>7045907.9920000024</v>
      </c>
      <c r="E29" s="36">
        <f t="shared" ref="E29:E35" si="2">D29/C29</f>
        <v>24.753721815994989</v>
      </c>
      <c r="G29" s="26">
        <f>C29*210703/(C$29+C$32+C$33)</f>
        <v>149859.9263768986</v>
      </c>
      <c r="H29" s="26">
        <f>D29+N29</f>
        <v>4248665.6133763222</v>
      </c>
      <c r="I29" s="36">
        <f>H29/G29</f>
        <v>28.350912189099194</v>
      </c>
      <c r="K29" s="89" t="s">
        <v>89</v>
      </c>
      <c r="M29" s="26">
        <f>G29-C29</f>
        <v>-134780.42162310128</v>
      </c>
      <c r="N29" s="57">
        <f>O29*M29</f>
        <v>-2797242.3786236802</v>
      </c>
      <c r="O29" s="55">
        <f>O13</f>
        <v>20.754070546283515</v>
      </c>
      <c r="P29" s="55"/>
      <c r="Q29" s="89" t="s">
        <v>89</v>
      </c>
    </row>
    <row r="30" spans="1:17">
      <c r="B30" s="8" t="s">
        <v>13</v>
      </c>
      <c r="C30" s="24">
        <v>103339.44099999998</v>
      </c>
      <c r="D30" s="24">
        <v>1881979.8280000002</v>
      </c>
      <c r="E30" s="36">
        <f t="shared" si="2"/>
        <v>18.211631587981984</v>
      </c>
      <c r="G30" s="26">
        <v>0</v>
      </c>
      <c r="H30" s="26">
        <f>'Feb14Act - KP NER'!H30</f>
        <v>0</v>
      </c>
      <c r="I30" s="37" t="s">
        <v>41</v>
      </c>
      <c r="K30" s="89" t="s">
        <v>86</v>
      </c>
      <c r="M30" s="26"/>
      <c r="Q30" s="89"/>
    </row>
    <row r="31" spans="1:17">
      <c r="B31" s="8" t="s">
        <v>14</v>
      </c>
      <c r="C31" s="17">
        <v>67372.536999999997</v>
      </c>
      <c r="D31" s="17">
        <v>1207183.4870000009</v>
      </c>
      <c r="E31" s="36">
        <f t="shared" si="2"/>
        <v>17.918035163200116</v>
      </c>
      <c r="G31" s="26">
        <v>0</v>
      </c>
      <c r="H31" s="26">
        <f>'Feb14Act - KP NER'!H31</f>
        <v>0</v>
      </c>
      <c r="I31" s="37" t="s">
        <v>41</v>
      </c>
      <c r="K31" s="89" t="s">
        <v>86</v>
      </c>
      <c r="Q31" s="89"/>
    </row>
    <row r="32" spans="1:17">
      <c r="B32" s="8" t="s">
        <v>15</v>
      </c>
      <c r="C32" s="17">
        <v>64710.876000000047</v>
      </c>
      <c r="D32" s="17">
        <v>1480584.3200000008</v>
      </c>
      <c r="E32" s="36">
        <f t="shared" si="2"/>
        <v>22.879991919750857</v>
      </c>
      <c r="G32" s="26">
        <f>C32*210703/(C$29+C$32+C$33)</f>
        <v>34069.544888079698</v>
      </c>
      <c r="H32" s="26">
        <f>D32+N32</f>
        <v>805722.94997714879</v>
      </c>
      <c r="I32" s="36">
        <f>H32/G32</f>
        <v>23.649360524890849</v>
      </c>
      <c r="K32" s="89" t="s">
        <v>89</v>
      </c>
      <c r="M32" s="26">
        <f>G32-C32</f>
        <v>-30641.33111192035</v>
      </c>
      <c r="N32" s="57">
        <f>O32*M32</f>
        <v>-674861.37002285197</v>
      </c>
      <c r="O32" s="55">
        <f>O16</f>
        <v>22.024544807073074</v>
      </c>
      <c r="P32" s="55"/>
      <c r="Q32" s="89" t="s">
        <v>89</v>
      </c>
    </row>
    <row r="33" spans="1:17">
      <c r="B33" s="8" t="s">
        <v>16</v>
      </c>
      <c r="C33" s="17">
        <v>50852.998000000014</v>
      </c>
      <c r="D33" s="17">
        <v>1150852.2210000001</v>
      </c>
      <c r="E33" s="36">
        <f t="shared" si="2"/>
        <v>22.63096112838814</v>
      </c>
      <c r="G33" s="26">
        <f>C33*210703/(C$29+C$32+C$33)</f>
        <v>26773.528735021704</v>
      </c>
      <c r="H33" s="26">
        <f>D33+N33</f>
        <v>602806.82728529186</v>
      </c>
      <c r="I33" s="36">
        <f>H33/G33</f>
        <v>22.515030919207042</v>
      </c>
      <c r="K33" s="89" t="s">
        <v>89</v>
      </c>
      <c r="M33" s="26">
        <f>G33-C33</f>
        <v>-24079.46926497831</v>
      </c>
      <c r="N33" s="57">
        <f>O33*M33</f>
        <v>-548045.39371470828</v>
      </c>
      <c r="O33" s="55">
        <f>O17</f>
        <v>22.759861842627782</v>
      </c>
      <c r="P33" s="55"/>
      <c r="Q33" s="89" t="s">
        <v>89</v>
      </c>
    </row>
    <row r="34" spans="1:17">
      <c r="B34" s="16" t="s">
        <v>27</v>
      </c>
      <c r="C34" s="19">
        <v>55581.937999999995</v>
      </c>
      <c r="D34" s="19">
        <v>2042072.77</v>
      </c>
      <c r="E34" s="41">
        <f t="shared" si="2"/>
        <v>36.739862687047726</v>
      </c>
      <c r="G34" s="40">
        <f>C34</f>
        <v>55581.937999999995</v>
      </c>
      <c r="H34" s="40">
        <v>2042072.77</v>
      </c>
      <c r="I34" s="41">
        <f>E34</f>
        <v>36.739862687047726</v>
      </c>
      <c r="K34" s="89" t="s">
        <v>91</v>
      </c>
      <c r="Q34" s="89"/>
    </row>
    <row r="35" spans="1:17">
      <c r="B35" s="21" t="s">
        <v>17</v>
      </c>
      <c r="C35" s="22">
        <f>SUM(C29:C34)</f>
        <v>626498.13799999992</v>
      </c>
      <c r="D35" s="22">
        <f>SUM(D29:D34)</f>
        <v>14808580.618000004</v>
      </c>
      <c r="E35" s="39">
        <f t="shared" si="2"/>
        <v>23.63707043930593</v>
      </c>
      <c r="G35" s="22">
        <f>SUM(G29:G34)</f>
        <v>266284.93799999997</v>
      </c>
      <c r="H35" s="22">
        <f>SUM(H29:H34)</f>
        <v>7699268.1606387626</v>
      </c>
      <c r="I35" s="23">
        <f>H35/G35</f>
        <v>28.913644979194292</v>
      </c>
      <c r="K35" s="89"/>
      <c r="M35" s="26"/>
      <c r="Q35" s="89"/>
    </row>
    <row r="36" spans="1:17">
      <c r="B36" s="3"/>
      <c r="C36" s="17"/>
      <c r="D36" s="17"/>
      <c r="E36" s="18"/>
      <c r="I36" s="36"/>
      <c r="K36" s="89"/>
      <c r="Q36" s="89"/>
    </row>
    <row r="37" spans="1:17">
      <c r="A37" s="14" t="s">
        <v>28</v>
      </c>
      <c r="B37" s="15" t="s">
        <v>29</v>
      </c>
      <c r="C37" s="22"/>
      <c r="D37" s="22"/>
      <c r="E37" s="23"/>
      <c r="I37" s="36"/>
      <c r="K37" s="89"/>
      <c r="Q37" s="89"/>
    </row>
    <row r="38" spans="1:17">
      <c r="A38" s="14"/>
      <c r="B38" s="8" t="s">
        <v>26</v>
      </c>
      <c r="C38" s="24">
        <f t="shared" ref="C38:D42" si="3">C13-C29</f>
        <v>193499.65200000012</v>
      </c>
      <c r="D38" s="24">
        <f t="shared" si="3"/>
        <v>7404283.7679999974</v>
      </c>
      <c r="E38" s="25">
        <f t="shared" ref="E38:E44" si="4">D38/C38</f>
        <v>38.26510121062126</v>
      </c>
      <c r="G38" s="24">
        <f t="shared" ref="G38:H42" si="5">G13-G29</f>
        <v>328280.0736231014</v>
      </c>
      <c r="H38" s="24">
        <f t="shared" si="5"/>
        <v>10201526.146623679</v>
      </c>
      <c r="I38" s="25">
        <f>H38/G38</f>
        <v>31.07567886784398</v>
      </c>
      <c r="K38" s="89" t="s">
        <v>92</v>
      </c>
      <c r="M38" s="26">
        <f t="shared" ref="M38:O43" si="6">G38-C38</f>
        <v>134780.42162310128</v>
      </c>
      <c r="N38" s="26">
        <f t="shared" si="6"/>
        <v>2797242.3786236811</v>
      </c>
      <c r="O38" s="36">
        <f t="shared" si="6"/>
        <v>-7.1894223427772808</v>
      </c>
      <c r="P38" s="36"/>
      <c r="Q38" s="89"/>
    </row>
    <row r="39" spans="1:17">
      <c r="A39" s="14"/>
      <c r="B39" s="8" t="s">
        <v>13</v>
      </c>
      <c r="C39" s="24">
        <f t="shared" si="3"/>
        <v>114595.55900000002</v>
      </c>
      <c r="D39" s="24">
        <f t="shared" si="3"/>
        <v>3373934.2762349998</v>
      </c>
      <c r="E39" s="25">
        <f t="shared" si="4"/>
        <v>29.442103216539124</v>
      </c>
      <c r="G39" s="26">
        <f t="shared" si="5"/>
        <v>0</v>
      </c>
      <c r="H39" s="26">
        <f t="shared" si="5"/>
        <v>0</v>
      </c>
      <c r="I39" s="53" t="s">
        <v>41</v>
      </c>
      <c r="K39" s="89" t="s">
        <v>86</v>
      </c>
      <c r="M39" s="26">
        <f t="shared" si="6"/>
        <v>-114595.55900000002</v>
      </c>
      <c r="N39" s="26">
        <f t="shared" si="6"/>
        <v>-3373934.2762349998</v>
      </c>
      <c r="O39" s="36">
        <f>0-E39</f>
        <v>-29.442103216539124</v>
      </c>
      <c r="P39" s="36"/>
      <c r="Q39" s="89"/>
    </row>
    <row r="40" spans="1:17">
      <c r="A40" s="14"/>
      <c r="B40" s="8" t="s">
        <v>14</v>
      </c>
      <c r="C40" s="24">
        <f t="shared" si="3"/>
        <v>83606.463000000003</v>
      </c>
      <c r="D40" s="24">
        <f t="shared" si="3"/>
        <v>3087457.2424031999</v>
      </c>
      <c r="E40" s="25">
        <f t="shared" si="4"/>
        <v>36.92845183993969</v>
      </c>
      <c r="G40" s="26">
        <f t="shared" si="5"/>
        <v>0</v>
      </c>
      <c r="H40" s="26">
        <f t="shared" si="5"/>
        <v>0</v>
      </c>
      <c r="I40" s="53" t="s">
        <v>41</v>
      </c>
      <c r="K40" s="89" t="s">
        <v>86</v>
      </c>
      <c r="M40" s="26">
        <f t="shared" si="6"/>
        <v>-83606.463000000003</v>
      </c>
      <c r="N40" s="26">
        <f t="shared" si="6"/>
        <v>-3087457.2424031999</v>
      </c>
      <c r="O40" s="36">
        <f>0-E40</f>
        <v>-36.92845183993969</v>
      </c>
      <c r="P40" s="36"/>
      <c r="Q40" s="89"/>
    </row>
    <row r="41" spans="1:17">
      <c r="A41" s="14"/>
      <c r="B41" s="8" t="s">
        <v>15</v>
      </c>
      <c r="C41" s="24">
        <f t="shared" si="3"/>
        <v>45227.12399999988</v>
      </c>
      <c r="D41" s="24">
        <f t="shared" si="3"/>
        <v>1309460.265999997</v>
      </c>
      <c r="E41" s="25">
        <f t="shared" si="4"/>
        <v>28.9529855137373</v>
      </c>
      <c r="G41" s="24">
        <f t="shared" si="5"/>
        <v>75868.455111920222</v>
      </c>
      <c r="H41" s="24">
        <f t="shared" si="5"/>
        <v>1984321.636022849</v>
      </c>
      <c r="I41" s="25">
        <f>H41/G41</f>
        <v>26.154765285461551</v>
      </c>
      <c r="K41" s="89" t="s">
        <v>92</v>
      </c>
      <c r="M41" s="26">
        <f t="shared" si="6"/>
        <v>30641.331111920343</v>
      </c>
      <c r="N41" s="26">
        <f t="shared" si="6"/>
        <v>674861.37002285197</v>
      </c>
      <c r="O41" s="36">
        <f t="shared" si="6"/>
        <v>-2.7982202282757491</v>
      </c>
      <c r="P41" s="36"/>
      <c r="Q41" s="89"/>
    </row>
    <row r="42" spans="1:17">
      <c r="A42" s="14"/>
      <c r="B42" s="8" t="s">
        <v>16</v>
      </c>
      <c r="C42" s="24">
        <f t="shared" si="3"/>
        <v>39171.15199999998</v>
      </c>
      <c r="D42" s="24">
        <f t="shared" si="3"/>
        <v>1201675.4804999994</v>
      </c>
      <c r="E42" s="25">
        <f t="shared" si="4"/>
        <v>30.67756292947422</v>
      </c>
      <c r="G42" s="24">
        <f t="shared" si="5"/>
        <v>63250.62126497829</v>
      </c>
      <c r="H42" s="24">
        <f t="shared" si="5"/>
        <v>1749720.8742147076</v>
      </c>
      <c r="I42" s="25">
        <f>H42/G42</f>
        <v>27.663299414633951</v>
      </c>
      <c r="K42" s="89" t="s">
        <v>92</v>
      </c>
      <c r="M42" s="26">
        <f t="shared" si="6"/>
        <v>24079.46926497831</v>
      </c>
      <c r="N42" s="26">
        <f t="shared" si="6"/>
        <v>548045.39371470828</v>
      </c>
      <c r="O42" s="36">
        <f t="shared" si="6"/>
        <v>-3.0142635148402697</v>
      </c>
      <c r="P42" s="36"/>
      <c r="Q42" s="89"/>
    </row>
    <row r="43" spans="1:17">
      <c r="A43" s="14"/>
      <c r="B43" s="16" t="s">
        <v>27</v>
      </c>
      <c r="C43" s="19">
        <f>C21-C34</f>
        <v>52.843000000000757</v>
      </c>
      <c r="D43" s="19">
        <f>D21-D34</f>
        <v>874.56000000005588</v>
      </c>
      <c r="E43" s="20">
        <f t="shared" si="4"/>
        <v>16.550158015253551</v>
      </c>
      <c r="G43" s="19">
        <f>G21-G34</f>
        <v>16776.622999999992</v>
      </c>
      <c r="H43" s="19">
        <f>H21-H34</f>
        <v>673837.59226115001</v>
      </c>
      <c r="I43" s="20">
        <f>H43/G43</f>
        <v>40.165269986763747</v>
      </c>
      <c r="K43" s="89" t="s">
        <v>92</v>
      </c>
      <c r="M43" s="40">
        <f t="shared" si="6"/>
        <v>16723.779999999992</v>
      </c>
      <c r="N43" s="40">
        <f t="shared" si="6"/>
        <v>672963.03226114996</v>
      </c>
      <c r="O43" s="41">
        <f t="shared" si="6"/>
        <v>23.615111971510196</v>
      </c>
      <c r="P43" s="96"/>
      <c r="Q43" s="89"/>
    </row>
    <row r="44" spans="1:17" ht="14.25" thickBot="1">
      <c r="A44" s="14"/>
      <c r="B44" s="21" t="s">
        <v>17</v>
      </c>
      <c r="C44" s="22">
        <f>SUM(C38:C43)</f>
        <v>476152.79300000001</v>
      </c>
      <c r="D44" s="88">
        <f>SUM(D38:D43)</f>
        <v>16377685.593138194</v>
      </c>
      <c r="E44" s="34">
        <f t="shared" si="4"/>
        <v>34.395861651783264</v>
      </c>
      <c r="G44" s="22">
        <f>SUM(G38:G43)</f>
        <v>484175.77299999993</v>
      </c>
      <c r="H44" s="88">
        <f>SUM(H38:H43)</f>
        <v>14609406.249122385</v>
      </c>
      <c r="I44" s="34">
        <f>H44/G44</f>
        <v>30.173765528582916</v>
      </c>
      <c r="K44" s="89" t="s">
        <v>92</v>
      </c>
      <c r="M44" s="22">
        <f>SUM(M38:M43)</f>
        <v>8022.9799999999013</v>
      </c>
      <c r="N44" s="22">
        <f>SUM(N38:N43)</f>
        <v>-1768279.3440158083</v>
      </c>
      <c r="O44" s="34">
        <f>I44-E44</f>
        <v>-4.2220961232003482</v>
      </c>
      <c r="P44" s="34"/>
      <c r="Q44" s="89"/>
    </row>
    <row r="45" spans="1:17" hidden="1">
      <c r="A45" s="14"/>
      <c r="B45" s="15"/>
      <c r="C45" s="22"/>
      <c r="D45" s="22"/>
      <c r="E45" s="23"/>
      <c r="Q45" s="89"/>
    </row>
    <row r="46" spans="1:17" hidden="1">
      <c r="A46" s="14"/>
      <c r="B46" s="15"/>
      <c r="C46" s="22"/>
      <c r="D46" s="22"/>
      <c r="E46" s="23"/>
      <c r="Q46" s="89"/>
    </row>
    <row r="47" spans="1:17" hidden="1">
      <c r="A47" s="14"/>
      <c r="B47" s="15"/>
      <c r="C47" s="22"/>
      <c r="D47" s="22"/>
      <c r="E47" s="23"/>
      <c r="Q47" s="89"/>
    </row>
    <row r="48" spans="1:17" hidden="1">
      <c r="A48" s="14"/>
      <c r="B48" s="15"/>
      <c r="C48" s="22"/>
      <c r="D48" s="22"/>
      <c r="E48" s="23"/>
      <c r="Q48" s="89"/>
    </row>
    <row r="49" spans="1:17" hidden="1">
      <c r="A49" s="14"/>
      <c r="B49" s="15"/>
      <c r="C49" s="22"/>
      <c r="D49" s="22"/>
      <c r="E49" s="23"/>
      <c r="Q49" s="89"/>
    </row>
    <row r="50" spans="1:17" hidden="1">
      <c r="A50" s="14"/>
      <c r="B50" s="15"/>
      <c r="C50" s="22"/>
      <c r="D50" s="22"/>
      <c r="E50" s="23"/>
      <c r="Q50" s="89"/>
    </row>
    <row r="51" spans="1:17" hidden="1">
      <c r="A51" s="14"/>
      <c r="B51" s="15"/>
      <c r="C51" s="22"/>
      <c r="D51" s="22"/>
      <c r="E51" s="23"/>
      <c r="Q51" s="89"/>
    </row>
    <row r="52" spans="1:17" ht="14.25" thickTop="1">
      <c r="A52" s="14"/>
      <c r="B52" s="15"/>
      <c r="C52" s="22"/>
      <c r="D52" s="22"/>
      <c r="E52" s="23"/>
      <c r="Q52" s="89"/>
    </row>
    <row r="53" spans="1:17">
      <c r="A53" s="14" t="s">
        <v>30</v>
      </c>
      <c r="B53" s="15" t="s">
        <v>31</v>
      </c>
      <c r="C53" s="22">
        <v>1102650.9309999999</v>
      </c>
      <c r="D53" s="22">
        <v>31186266.211138196</v>
      </c>
      <c r="E53" s="23">
        <v>28.282990867159754</v>
      </c>
      <c r="G53" s="38">
        <f>G35+G44</f>
        <v>750460.71099999989</v>
      </c>
      <c r="H53" s="38">
        <f>H35+H44</f>
        <v>22308674.409761146</v>
      </c>
      <c r="I53" s="34">
        <f>H53/G53</f>
        <v>29.726638693762542</v>
      </c>
      <c r="K53" s="83"/>
      <c r="M53" s="26">
        <f>G53-C53</f>
        <v>-352190.22</v>
      </c>
      <c r="N53" s="26">
        <f>H53-D53</f>
        <v>-8877591.8013770506</v>
      </c>
      <c r="O53" s="36">
        <f>0-E53</f>
        <v>-28.282990867159754</v>
      </c>
    </row>
    <row r="54" spans="1:17">
      <c r="A54" s="14"/>
      <c r="B54" s="8"/>
      <c r="C54" s="17"/>
      <c r="D54" s="17"/>
      <c r="E54" s="18"/>
    </row>
    <row r="55" spans="1:17">
      <c r="A55" s="84" t="s">
        <v>82</v>
      </c>
      <c r="C55" s="17"/>
      <c r="D55" s="17"/>
      <c r="E55" s="18"/>
    </row>
    <row r="56" spans="1:17">
      <c r="A56" s="85" t="s">
        <v>32</v>
      </c>
      <c r="B56" s="16" t="s">
        <v>94</v>
      </c>
      <c r="C56" s="17"/>
      <c r="D56" s="17"/>
      <c r="E56" s="18"/>
    </row>
    <row r="57" spans="1:17">
      <c r="A57" s="85" t="s">
        <v>33</v>
      </c>
      <c r="B57" s="16" t="s">
        <v>95</v>
      </c>
      <c r="C57" s="24"/>
      <c r="D57" s="24"/>
      <c r="E57" s="25"/>
    </row>
    <row r="58" spans="1:17">
      <c r="A58" s="85" t="s">
        <v>34</v>
      </c>
      <c r="B58" s="16" t="s">
        <v>88</v>
      </c>
      <c r="C58" s="24"/>
      <c r="D58" s="24"/>
      <c r="E58" s="25"/>
    </row>
    <row r="59" spans="1:17">
      <c r="A59" s="85" t="s">
        <v>35</v>
      </c>
      <c r="B59" s="16" t="s">
        <v>90</v>
      </c>
      <c r="C59" s="24"/>
      <c r="D59" s="24"/>
      <c r="E59" s="25"/>
    </row>
    <row r="60" spans="1:17">
      <c r="A60" s="85" t="s">
        <v>36</v>
      </c>
      <c r="B60" s="16" t="s">
        <v>96</v>
      </c>
      <c r="C60" s="24"/>
      <c r="D60" s="33"/>
      <c r="E60" s="25"/>
    </row>
    <row r="61" spans="1:17">
      <c r="A61" s="85" t="s">
        <v>37</v>
      </c>
      <c r="B61" s="16" t="s">
        <v>97</v>
      </c>
      <c r="C61" s="24"/>
      <c r="D61" s="33"/>
      <c r="E61" s="25"/>
    </row>
    <row r="62" spans="1:17">
      <c r="A62" s="85" t="s">
        <v>38</v>
      </c>
      <c r="B62" s="16" t="s">
        <v>93</v>
      </c>
      <c r="C62" s="27"/>
      <c r="D62" s="24"/>
      <c r="E62" s="25"/>
    </row>
    <row r="63" spans="1:17" ht="14.25">
      <c r="A63" s="28" t="s">
        <v>4</v>
      </c>
      <c r="B63" s="29" t="s">
        <v>4</v>
      </c>
      <c r="C63" s="29"/>
      <c r="D63" s="29"/>
      <c r="E63" s="29"/>
    </row>
    <row r="64" spans="1:17" ht="14.25">
      <c r="A64"/>
      <c r="B64" s="30" t="s">
        <v>4</v>
      </c>
      <c r="C64"/>
      <c r="D64"/>
      <c r="E64"/>
    </row>
    <row r="65" spans="2:5">
      <c r="B65" s="3"/>
      <c r="C65" s="17"/>
      <c r="D65" s="17"/>
      <c r="E65" s="31"/>
    </row>
  </sheetData>
  <mergeCells count="4">
    <mergeCell ref="C8:E8"/>
    <mergeCell ref="G8:I8"/>
    <mergeCell ref="M8:O8"/>
    <mergeCell ref="M27:O27"/>
  </mergeCells>
  <pageMargins left="0.7" right="0.7" top="0.75" bottom="0.75" header="0.3" footer="0.3"/>
  <pageSetup scale="71" orientation="landscape" r:id="rId1"/>
  <headerFooter>
    <oddHeader>&amp;RKPSC Case No. 2014-00225
Commission Staff Post Hearing Data Requests
Item No. 7
Attachment 1
Page 1 of 7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C12"/>
  <sheetViews>
    <sheetView tabSelected="1" zoomScaleNormal="100" workbookViewId="0">
      <selection activeCell="B3" sqref="B3"/>
    </sheetView>
  </sheetViews>
  <sheetFormatPr defaultRowHeight="15"/>
  <cols>
    <col min="1" max="1" width="9.140625" style="43"/>
    <col min="2" max="2" width="13.140625" style="43" bestFit="1" customWidth="1"/>
    <col min="3" max="3" width="14.28515625" style="43" bestFit="1" customWidth="1"/>
    <col min="4" max="16384" width="9.140625" style="43"/>
  </cols>
  <sheetData>
    <row r="3" spans="1:3">
      <c r="A3" s="42" t="s">
        <v>42</v>
      </c>
    </row>
    <row r="6" spans="1:3">
      <c r="B6" s="110"/>
      <c r="C6" s="110"/>
    </row>
    <row r="7" spans="1:3">
      <c r="B7" s="44" t="s">
        <v>43</v>
      </c>
      <c r="C7" s="45" t="s">
        <v>44</v>
      </c>
    </row>
    <row r="8" spans="1:3">
      <c r="A8" s="43" t="s">
        <v>45</v>
      </c>
      <c r="B8" s="46">
        <v>50064.520000000026</v>
      </c>
      <c r="C8" s="47">
        <v>9160856.2653590664</v>
      </c>
    </row>
    <row r="9" spans="1:3">
      <c r="A9" s="43" t="s">
        <v>46</v>
      </c>
      <c r="B9" s="46">
        <v>39948.400000000009</v>
      </c>
      <c r="C9" s="47">
        <v>3309792.5954007008</v>
      </c>
    </row>
    <row r="10" spans="1:3">
      <c r="A10" s="43" t="s">
        <v>47</v>
      </c>
      <c r="B10" s="46">
        <v>137126.47999999992</v>
      </c>
      <c r="C10" s="47">
        <v>11361255.733316248</v>
      </c>
    </row>
    <row r="11" spans="1:3">
      <c r="A11" s="43" t="s">
        <v>48</v>
      </c>
      <c r="B11" s="48">
        <v>16723.78</v>
      </c>
      <c r="C11" s="49">
        <v>672963.03226115019</v>
      </c>
    </row>
    <row r="12" spans="1:3">
      <c r="A12" s="102" t="s">
        <v>49</v>
      </c>
      <c r="B12" s="103">
        <f>SUM(B8:B11)</f>
        <v>243863.17999999996</v>
      </c>
      <c r="C12" s="104">
        <f>SUM(C8:C11)</f>
        <v>24504867.626337167</v>
      </c>
    </row>
  </sheetData>
  <mergeCells count="1">
    <mergeCell ref="B6:C6"/>
  </mergeCells>
  <pageMargins left="0.7" right="0.7" top="0.75" bottom="0.75" header="0.3" footer="0.3"/>
  <pageSetup orientation="landscape" r:id="rId1"/>
  <headerFooter>
    <oddHeader>&amp;RKPSC Case No. 2014-00225
Commission Staff Post Hearing Data Requests
Item No. 7
Attachment 1
Page 1 of 7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13"/>
  <sheetViews>
    <sheetView tabSelected="1" zoomScaleNormal="100" workbookViewId="0">
      <selection activeCell="B3" sqref="B3"/>
    </sheetView>
  </sheetViews>
  <sheetFormatPr defaultRowHeight="15"/>
  <cols>
    <col min="1" max="1" width="18" style="43" bestFit="1" customWidth="1"/>
    <col min="2" max="2" width="14.28515625" style="43" bestFit="1" customWidth="1"/>
    <col min="3" max="5" width="13.28515625" style="43" bestFit="1" customWidth="1"/>
    <col min="6" max="16384" width="9.140625" style="43"/>
  </cols>
  <sheetData>
    <row r="3" spans="1:5">
      <c r="A3" s="42" t="s">
        <v>100</v>
      </c>
      <c r="C3" s="50"/>
      <c r="D3" s="50"/>
      <c r="E3" s="50"/>
    </row>
    <row r="4" spans="1:5">
      <c r="A4" s="43" t="s">
        <v>69</v>
      </c>
      <c r="C4" s="50"/>
      <c r="D4" s="50"/>
      <c r="E4" s="50"/>
    </row>
    <row r="6" spans="1:5">
      <c r="B6" s="54" t="s">
        <v>50</v>
      </c>
      <c r="C6" s="54" t="s">
        <v>51</v>
      </c>
      <c r="D6" s="54" t="s">
        <v>52</v>
      </c>
      <c r="E6" s="54" t="s">
        <v>68</v>
      </c>
    </row>
    <row r="7" spans="1:5">
      <c r="A7" s="43" t="s">
        <v>53</v>
      </c>
      <c r="B7" s="60">
        <v>448955.89799999999</v>
      </c>
      <c r="C7" s="60">
        <v>400241.53399999999</v>
      </c>
      <c r="D7" s="60">
        <v>499222.21399999998</v>
      </c>
      <c r="E7" s="60">
        <v>276695.12699999998</v>
      </c>
    </row>
    <row r="8" spans="1:5">
      <c r="A8" s="43" t="s">
        <v>54</v>
      </c>
      <c r="B8" s="60">
        <v>4700457.6770000001</v>
      </c>
      <c r="C8" s="60">
        <v>3802847.804</v>
      </c>
      <c r="D8" s="60">
        <v>1535995.926</v>
      </c>
      <c r="E8" s="60">
        <v>4250145.3420000002</v>
      </c>
    </row>
    <row r="9" spans="1:5">
      <c r="A9" s="43" t="s">
        <v>55</v>
      </c>
      <c r="B9" s="60">
        <v>1730564.379</v>
      </c>
      <c r="C9" s="60">
        <v>707862.36300000001</v>
      </c>
      <c r="D9" s="60">
        <v>1706322.7120000001</v>
      </c>
      <c r="E9" s="60">
        <v>1530893.4450000001</v>
      </c>
    </row>
    <row r="10" spans="1:5">
      <c r="A10" s="43" t="s">
        <v>56</v>
      </c>
      <c r="B10" s="60">
        <v>2006349.4620000001</v>
      </c>
      <c r="C10" s="60">
        <v>2131025.841</v>
      </c>
      <c r="D10" s="60">
        <v>2227440.182</v>
      </c>
      <c r="E10" s="60">
        <v>1114711.7620000001</v>
      </c>
    </row>
    <row r="11" spans="1:5">
      <c r="A11" s="43" t="s">
        <v>57</v>
      </c>
      <c r="B11" s="60">
        <v>314973.51500000001</v>
      </c>
      <c r="C11" s="60">
        <v>226435.35800000001</v>
      </c>
      <c r="D11" s="60">
        <v>409244.65700000001</v>
      </c>
      <c r="E11" s="60">
        <v>368710.179</v>
      </c>
    </row>
    <row r="12" spans="1:5">
      <c r="A12" s="43" t="s">
        <v>58</v>
      </c>
      <c r="B12" s="61">
        <v>310999.875</v>
      </c>
      <c r="C12" s="61">
        <v>241648.94</v>
      </c>
      <c r="D12" s="61">
        <v>403847.80300000001</v>
      </c>
      <c r="E12" s="61">
        <v>303590.48499999999</v>
      </c>
    </row>
    <row r="13" spans="1:5">
      <c r="B13" s="47">
        <f>SUM(B7:B12)</f>
        <v>9512300.8059999999</v>
      </c>
      <c r="C13" s="47">
        <f>SUM(C7:C12)</f>
        <v>7510061.8399999999</v>
      </c>
      <c r="D13" s="47">
        <f>SUM(D7:D12)</f>
        <v>6782073.4939999999</v>
      </c>
      <c r="E13" s="47">
        <f>SUM(E7:E12)</f>
        <v>7844746.3400000008</v>
      </c>
    </row>
  </sheetData>
  <pageMargins left="0.7" right="0.7" top="0.75" bottom="0.75" header="0.3" footer="0.3"/>
  <pageSetup orientation="landscape" r:id="rId1"/>
  <headerFooter>
    <oddHeader>&amp;RKPSC Case No. 2014-00225
Commission Staff Post Hearing Data Requests
Item No. 7
Attachment 1
Page 1 of 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Exhibit</vt:lpstr>
      <vt:lpstr>Jan14Act - KP NER</vt:lpstr>
      <vt:lpstr>Feb14Act - KP NER</vt:lpstr>
      <vt:lpstr>Mar14Act - KP NER</vt:lpstr>
      <vt:lpstr>Apr14Act - KP NER</vt:lpstr>
      <vt:lpstr>Purchases</vt:lpstr>
      <vt:lpstr>No Load</vt:lpstr>
      <vt:lpstr>'Apr14Act - KP NER'!Print_Area</vt:lpstr>
      <vt:lpstr>'Feb14Act - KP NER'!Print_Area</vt:lpstr>
      <vt:lpstr>'Jan14Act - KP NER'!Print_Area</vt:lpstr>
      <vt:lpstr>'Mar14Act - KP NER'!Print_Area</vt:lpstr>
      <vt:lpstr>'No Load'!Print_Area</vt:lpstr>
    </vt:vector>
  </TitlesOfParts>
  <Company>American Electric Power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Kevin L Amburgey</cp:lastModifiedBy>
  <cp:lastPrinted>2014-11-24T16:57:10Z</cp:lastPrinted>
  <dcterms:created xsi:type="dcterms:W3CDTF">2014-05-23T12:09:29Z</dcterms:created>
  <dcterms:modified xsi:type="dcterms:W3CDTF">2014-11-24T16:57:26Z</dcterms:modified>
</cp:coreProperties>
</file>