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7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<sst xmlns="http://schemas.openxmlformats.org/spreadsheetml/2006/main" count="157" uniqueCount="114">
  <si>
    <t>Line</t>
  </si>
  <si>
    <t>No.</t>
  </si>
  <si>
    <t>Description</t>
  </si>
  <si>
    <t>DFGD</t>
  </si>
  <si>
    <t>Mitchell</t>
  </si>
  <si>
    <t>Transfer</t>
  </si>
  <si>
    <t>Overlap</t>
  </si>
  <si>
    <t>Post BSU2</t>
  </si>
  <si>
    <t>COS Impact</t>
  </si>
  <si>
    <t>Adjustments:</t>
  </si>
  <si>
    <t>Big Sandy Fuel Savings</t>
  </si>
  <si>
    <t>Mitchell Fuel Savings</t>
  </si>
  <si>
    <t>N/A</t>
  </si>
  <si>
    <t>SS Tariff Adjustment</t>
  </si>
  <si>
    <t>Adjusted COS Impact</t>
  </si>
  <si>
    <t>Pool Elimination (4)</t>
  </si>
  <si>
    <t>Percent Change</t>
  </si>
  <si>
    <t>Kentucky Power Company</t>
  </si>
  <si>
    <t>Rate Change Comparison</t>
  </si>
  <si>
    <t>Total of Adjustments</t>
  </si>
  <si>
    <t>Case 2013-00197 Juris. Revenues</t>
  </si>
  <si>
    <t>BSU2 Decommissioning Costs</t>
  </si>
  <si>
    <t>BSU2 Amort. Of Undepr. Balance</t>
  </si>
  <si>
    <t>Environmental Pool Adjustment</t>
  </si>
  <si>
    <t xml:space="preserve">Total </t>
  </si>
  <si>
    <t>BSU2 Study Costs</t>
  </si>
  <si>
    <t>Total Income Requirement</t>
  </si>
  <si>
    <t>A.</t>
  </si>
  <si>
    <t>A. Exhibit LPM-2, Case No. 2011-00141</t>
  </si>
  <si>
    <t>B.</t>
  </si>
  <si>
    <t>C.</t>
  </si>
  <si>
    <t>C. Section V, Workpaper S-4, Page 4, Case No. 2013-00197</t>
  </si>
  <si>
    <t>D. Section V, Workpaper S-4, Page 62, Case No. 2013-00197</t>
  </si>
  <si>
    <t>D.</t>
  </si>
  <si>
    <t>E.</t>
  </si>
  <si>
    <t>F.</t>
  </si>
  <si>
    <t>E. Section V, Schedule 5 - Jurisdictional Operating Revenues, Case No. 2013-00197</t>
  </si>
  <si>
    <t>G.</t>
  </si>
  <si>
    <t>H.</t>
  </si>
  <si>
    <t>I.</t>
  </si>
  <si>
    <t xml:space="preserve">J. </t>
  </si>
  <si>
    <t xml:space="preserve">K. </t>
  </si>
  <si>
    <t>F. Memorandum of Understanding filed in Case No. 2012-00578, Paragraph 4</t>
  </si>
  <si>
    <t>G. Memorandum of Understanding filed in Case No. 2012-00578, Paragraph 2</t>
  </si>
  <si>
    <t>Increase/(Decrease)</t>
  </si>
  <si>
    <t>H. Memorandum of Understanding filed in Case No. 2012-00578, Paragraph 5</t>
  </si>
  <si>
    <t>I. Memorandum of Understanding filed in Case No. 2012-00578, Paragraph 7</t>
  </si>
  <si>
    <t>J. Includes removal of BSU2 O&amp;M and Depreciation  - see Attachment Page 2</t>
  </si>
  <si>
    <t>M. $28,113,304 collected over 5 years with interest at long-term debt rate of 6.48%</t>
  </si>
  <si>
    <t>L.</t>
  </si>
  <si>
    <t>M.</t>
  </si>
  <si>
    <t>Rate Base</t>
  </si>
  <si>
    <t>L. $225.795 M collected over 25 years with carrying costs at WACC (8.08%)</t>
  </si>
  <si>
    <t>K. $85.227 M collected over 25 years with carrying costs at WACC (8.08%)</t>
  </si>
  <si>
    <t>Filing</t>
  </si>
  <si>
    <t>Period</t>
  </si>
  <si>
    <t>Retirement</t>
  </si>
  <si>
    <t>Total Revenue Requirement (GRCF @ 1.6327)</t>
  </si>
  <si>
    <t>Return on Rate Base @ 8.08%</t>
  </si>
  <si>
    <t>N.</t>
  </si>
  <si>
    <t>N. Revenues would be higher and % increase lower if MOU implemented 1/1/2014</t>
  </si>
  <si>
    <t xml:space="preserve">     Average of two calendar 2013 values.</t>
  </si>
  <si>
    <t>B. Staff's Fourth Set of Data Requests in Case No. 2012-00578, Item No. 9, Attachment 1, Page 3 of 3.</t>
  </si>
  <si>
    <t>($000)</t>
  </si>
  <si>
    <t>Adjustment from Section V</t>
  </si>
  <si>
    <t>Case No. 2013-00197</t>
  </si>
  <si>
    <t>Workpaper S-4, Page 68</t>
  </si>
  <si>
    <t>Workpaper S-4, Page 66</t>
  </si>
  <si>
    <t>Workpaper S-4, Page 65</t>
  </si>
  <si>
    <t>Workpaper S-4, Page 61</t>
  </si>
  <si>
    <t>Workpaper S-4, Page 60</t>
  </si>
  <si>
    <t>Workpaper S-4, Page 59</t>
  </si>
  <si>
    <t>Workpaper S-4, Page 58</t>
  </si>
  <si>
    <t>Workpaper S-4, Page 57</t>
  </si>
  <si>
    <t>Workpaper S-4, Page 56</t>
  </si>
  <si>
    <t>Workpaper S-4, Page 50-55</t>
  </si>
  <si>
    <t>Workpaper S-4, Page 49</t>
  </si>
  <si>
    <t>Workpaper S-4, Page 48</t>
  </si>
  <si>
    <t>Workpaper S-4, Page 47</t>
  </si>
  <si>
    <t>Operating Income</t>
  </si>
  <si>
    <t>Adjustments</t>
  </si>
  <si>
    <t>Mitchell Transfer net of BSU2 O&amp;M and Depreciation</t>
  </si>
  <si>
    <t>(1)</t>
  </si>
  <si>
    <t>(2)</t>
  </si>
  <si>
    <t>(3)</t>
  </si>
  <si>
    <t>July 2015 forward</t>
  </si>
  <si>
    <t>Columns (2) and (3) are not additive.</t>
  </si>
  <si>
    <t>Estimated Big Sandy Net Book Value</t>
  </si>
  <si>
    <t>Incremental 2015 Percent Change</t>
  </si>
  <si>
    <t>O.</t>
  </si>
  <si>
    <t xml:space="preserve">      that may be part of future rate case.</t>
  </si>
  <si>
    <t>O. Does not reflect changes in other (Non-Mitchell) costs or revenues, if any,</t>
  </si>
  <si>
    <t>Jan 2014 - Jun 2015</t>
  </si>
  <si>
    <t>KPSC Case No. 2012-00578</t>
  </si>
  <si>
    <t>Commission Staff's Fifth Set of Data Requests</t>
  </si>
  <si>
    <t>Order Dated June 26, 2013</t>
  </si>
  <si>
    <t>Page 1 of 1</t>
  </si>
  <si>
    <t>Item No. 10</t>
  </si>
  <si>
    <t>Attachment 1</t>
  </si>
  <si>
    <t>Total Revenue Requirement (Return + Income)</t>
  </si>
  <si>
    <t>Gross Up Operating Income (GRCF @1.6327)</t>
  </si>
  <si>
    <t>Return on Rate Base @ Pre-Tax 11.17%</t>
  </si>
  <si>
    <t>2a</t>
  </si>
  <si>
    <t>3a</t>
  </si>
  <si>
    <t>BSU2 No Load Costs</t>
  </si>
  <si>
    <t>Mitchell 50% No Load Costs</t>
  </si>
  <si>
    <t>P.</t>
  </si>
  <si>
    <t>Q.</t>
  </si>
  <si>
    <t>P. 12 ME 3/31/13, TY in Case 2013-00197</t>
  </si>
  <si>
    <t>Q. 12 ME 3/31/13, TY in Case 2013-00197</t>
  </si>
  <si>
    <t>KPSC Case No. 2014-00225</t>
  </si>
  <si>
    <t>Commission Staff's Third Set of Data Requests</t>
  </si>
  <si>
    <t>Order Dated September 23, 2014</t>
  </si>
  <si>
    <t>Item No. 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</si>
</sst>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_(&quot;$&quot;* #,##0.0000_);_(&quot;$&quot;* \(#,##0.0000\);_(&quot;$&quot;* &quot;-&quot;??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0" fontId="0" fillId="0" borderId="0" xfId="57" applyNumberFormat="1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44" applyNumberFormat="1" applyFont="1" applyAlignment="1">
      <alignment horizontal="center"/>
    </xf>
    <xf numFmtId="0" fontId="34" fillId="0" borderId="0" xfId="0" applyFont="1" applyAlignment="1">
      <alignment horizontal="center"/>
    </xf>
    <xf numFmtId="166" fontId="0" fillId="0" borderId="0" xfId="44" applyNumberFormat="1" applyFont="1" applyAlignment="1">
      <alignment horizontal="center"/>
    </xf>
    <xf numFmtId="166" fontId="0" fillId="0" borderId="0" xfId="44" applyNumberFormat="1" applyFont="1" applyAlignment="1">
      <alignment/>
    </xf>
    <xf numFmtId="0" fontId="0" fillId="0" borderId="0" xfId="0" applyBorder="1" applyAlignment="1">
      <alignment/>
    </xf>
    <xf numFmtId="6" fontId="0" fillId="0" borderId="0" xfId="0" applyNumberFormat="1" applyBorder="1" applyAlignment="1">
      <alignment/>
    </xf>
    <xf numFmtId="166" fontId="0" fillId="0" borderId="0" xfId="44" applyNumberFormat="1" applyFont="1" applyBorder="1" applyAlignment="1">
      <alignment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166" fontId="0" fillId="0" borderId="0" xfId="44" applyNumberFormat="1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166" fontId="34" fillId="0" borderId="0" xfId="44" applyNumberFormat="1" applyFont="1" applyBorder="1" applyAlignment="1">
      <alignment/>
    </xf>
    <xf numFmtId="0" fontId="0" fillId="0" borderId="0" xfId="57" applyNumberFormat="1" applyFont="1" applyAlignment="1">
      <alignment horizontal="left"/>
    </xf>
    <xf numFmtId="0" fontId="0" fillId="0" borderId="0" xfId="44" applyNumberFormat="1" applyFont="1" applyAlignment="1">
      <alignment horizontal="left"/>
    </xf>
    <xf numFmtId="0" fontId="0" fillId="0" borderId="0" xfId="44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3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6" fontId="0" fillId="0" borderId="10" xfId="0" applyNumberFormat="1" applyBorder="1" applyAlignment="1">
      <alignment/>
    </xf>
    <xf numFmtId="0" fontId="0" fillId="0" borderId="0" xfId="0" applyFont="1" applyAlignment="1" quotePrefix="1">
      <alignment horizontal="center"/>
    </xf>
    <xf numFmtId="0" fontId="34" fillId="0" borderId="10" xfId="0" applyFont="1" applyBorder="1" applyAlignment="1">
      <alignment horizontal="center"/>
    </xf>
    <xf numFmtId="166" fontId="0" fillId="0" borderId="0" xfId="44" applyNumberFormat="1" applyFont="1" applyAlignment="1">
      <alignment/>
    </xf>
    <xf numFmtId="9" fontId="0" fillId="0" borderId="0" xfId="57" applyFont="1" applyAlignment="1">
      <alignment/>
    </xf>
    <xf numFmtId="10" fontId="0" fillId="0" borderId="0" xfId="57" applyNumberFormat="1" applyFont="1" applyAlignment="1">
      <alignment/>
    </xf>
    <xf numFmtId="0" fontId="0" fillId="0" borderId="0" xfId="57" applyNumberFormat="1" applyFont="1" applyAlignment="1">
      <alignment horizontal="left"/>
    </xf>
    <xf numFmtId="0" fontId="3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166" fontId="0" fillId="0" borderId="0" xfId="44" applyNumberFormat="1" applyFont="1" applyAlignment="1">
      <alignment horizontal="center"/>
    </xf>
    <xf numFmtId="166" fontId="0" fillId="0" borderId="0" xfId="44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49" fontId="34" fillId="0" borderId="0" xfId="0" applyNumberFormat="1" applyFont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44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2" max="2" width="30.140625" style="0" bestFit="1" customWidth="1"/>
    <col min="3" max="3" width="14.140625" style="0" customWidth="1"/>
    <col min="4" max="4" width="4.28125" style="0" bestFit="1" customWidth="1"/>
    <col min="5" max="5" width="17.57421875" style="0" bestFit="1" customWidth="1"/>
    <col min="6" max="6" width="4.28125" style="0" bestFit="1" customWidth="1"/>
    <col min="7" max="7" width="16.421875" style="0" bestFit="1" customWidth="1"/>
    <col min="8" max="8" width="4.57421875" style="0" bestFit="1" customWidth="1"/>
  </cols>
  <sheetData>
    <row r="1" ht="15">
      <c r="H1" s="36" t="s">
        <v>110</v>
      </c>
    </row>
    <row r="2" ht="15">
      <c r="H2" s="36" t="s">
        <v>111</v>
      </c>
    </row>
    <row r="3" ht="15">
      <c r="H3" s="36" t="s">
        <v>112</v>
      </c>
    </row>
    <row r="4" ht="15">
      <c r="H4" s="36" t="s">
        <v>113</v>
      </c>
    </row>
    <row r="5" ht="15">
      <c r="H5" s="36" t="s">
        <v>98</v>
      </c>
    </row>
    <row r="6" ht="15">
      <c r="H6" s="36" t="s">
        <v>96</v>
      </c>
    </row>
    <row r="9" ht="15">
      <c r="H9" s="36" t="s">
        <v>93</v>
      </c>
    </row>
    <row r="10" ht="15">
      <c r="H10" s="36" t="s">
        <v>94</v>
      </c>
    </row>
    <row r="11" ht="15">
      <c r="H11" s="36" t="s">
        <v>95</v>
      </c>
    </row>
    <row r="12" ht="15">
      <c r="H12" s="36" t="s">
        <v>97</v>
      </c>
    </row>
    <row r="13" ht="15">
      <c r="H13" s="36" t="s">
        <v>98</v>
      </c>
    </row>
    <row r="14" ht="15">
      <c r="H14" s="36" t="s">
        <v>96</v>
      </c>
    </row>
    <row r="15" spans="1:8" ht="15">
      <c r="A15" s="39" t="s">
        <v>17</v>
      </c>
      <c r="B15" s="39"/>
      <c r="C15" s="39"/>
      <c r="D15" s="39"/>
      <c r="E15" s="39"/>
      <c r="F15" s="39"/>
      <c r="G15" s="39"/>
      <c r="H15" s="39"/>
    </row>
    <row r="16" spans="1:8" ht="15">
      <c r="A16" s="39" t="s">
        <v>18</v>
      </c>
      <c r="B16" s="39"/>
      <c r="C16" s="39"/>
      <c r="D16" s="39"/>
      <c r="E16" s="39"/>
      <c r="F16" s="39"/>
      <c r="G16" s="39"/>
      <c r="H16" s="39"/>
    </row>
    <row r="17" spans="1:8" ht="15">
      <c r="A17" s="40" t="s">
        <v>63</v>
      </c>
      <c r="B17" s="40"/>
      <c r="C17" s="40"/>
      <c r="D17" s="40"/>
      <c r="E17" s="40"/>
      <c r="F17" s="40"/>
      <c r="G17" s="40"/>
      <c r="H17" s="40"/>
    </row>
    <row r="20" spans="5:7" ht="15">
      <c r="E20" s="30" t="s">
        <v>92</v>
      </c>
      <c r="G20" s="30" t="s">
        <v>85</v>
      </c>
    </row>
    <row r="21" spans="1:8" ht="15">
      <c r="A21" s="2"/>
      <c r="B21" s="2"/>
      <c r="C21" s="2"/>
      <c r="D21" s="7"/>
      <c r="E21" s="2" t="s">
        <v>4</v>
      </c>
      <c r="F21" s="7"/>
      <c r="G21" s="2" t="s">
        <v>4</v>
      </c>
      <c r="H21" s="7"/>
    </row>
    <row r="22" spans="1:8" ht="15">
      <c r="A22" s="2"/>
      <c r="B22" s="2"/>
      <c r="C22" s="2"/>
      <c r="D22" s="7"/>
      <c r="E22" s="2" t="s">
        <v>5</v>
      </c>
      <c r="F22" s="7"/>
      <c r="G22" s="2" t="s">
        <v>5</v>
      </c>
      <c r="H22" s="7"/>
    </row>
    <row r="23" spans="1:8" ht="15">
      <c r="A23" s="2" t="s">
        <v>0</v>
      </c>
      <c r="B23" s="2"/>
      <c r="C23" s="2" t="s">
        <v>3</v>
      </c>
      <c r="D23" s="7"/>
      <c r="E23" s="2" t="s">
        <v>6</v>
      </c>
      <c r="F23" s="7"/>
      <c r="G23" s="2" t="s">
        <v>7</v>
      </c>
      <c r="H23" s="7"/>
    </row>
    <row r="24" spans="1:8" ht="15">
      <c r="A24" s="3" t="s">
        <v>1</v>
      </c>
      <c r="B24" s="3" t="s">
        <v>2</v>
      </c>
      <c r="C24" s="3" t="s">
        <v>54</v>
      </c>
      <c r="D24" s="3"/>
      <c r="E24" s="3" t="s">
        <v>55</v>
      </c>
      <c r="F24" s="3"/>
      <c r="G24" s="3" t="s">
        <v>56</v>
      </c>
      <c r="H24" s="3"/>
    </row>
    <row r="25" spans="1:8" ht="15">
      <c r="A25" s="29"/>
      <c r="B25" s="29"/>
      <c r="C25" s="29" t="s">
        <v>82</v>
      </c>
      <c r="D25" s="3"/>
      <c r="E25" s="29" t="s">
        <v>83</v>
      </c>
      <c r="F25" s="3"/>
      <c r="G25" s="29" t="s">
        <v>84</v>
      </c>
      <c r="H25" s="3"/>
    </row>
    <row r="27" spans="1:8" ht="15">
      <c r="A27" s="1">
        <v>1</v>
      </c>
      <c r="B27" t="s">
        <v>8</v>
      </c>
      <c r="C27" s="5">
        <v>177699.409</v>
      </c>
      <c r="D27" s="21" t="s">
        <v>27</v>
      </c>
      <c r="E27" s="5">
        <v>44000</v>
      </c>
      <c r="F27" s="21" t="s">
        <v>35</v>
      </c>
      <c r="G27" s="5">
        <f>Sheet2!E32/1000</f>
        <v>81244.14533206767</v>
      </c>
      <c r="H27" s="21" t="s">
        <v>40</v>
      </c>
    </row>
    <row r="28" spans="1:8" ht="15">
      <c r="A28" s="1"/>
      <c r="C28" s="5"/>
      <c r="D28" s="21"/>
      <c r="E28" s="5"/>
      <c r="F28" s="21"/>
      <c r="G28" s="5"/>
      <c r="H28" s="21"/>
    </row>
    <row r="29" spans="1:8" ht="15">
      <c r="A29" s="1"/>
      <c r="B29" t="s">
        <v>9</v>
      </c>
      <c r="C29" s="5"/>
      <c r="D29" s="21"/>
      <c r="E29" s="5"/>
      <c r="F29" s="21"/>
      <c r="G29" s="5"/>
      <c r="H29" s="21"/>
    </row>
    <row r="30" spans="1:8" ht="15">
      <c r="A30" s="1">
        <v>2</v>
      </c>
      <c r="B30" t="s">
        <v>10</v>
      </c>
      <c r="C30" s="15">
        <f>-AVERAGE(15911.091,20510.663)</f>
        <v>-18210.877</v>
      </c>
      <c r="D30" s="21" t="s">
        <v>29</v>
      </c>
      <c r="E30" s="6" t="s">
        <v>12</v>
      </c>
      <c r="F30" s="21"/>
      <c r="G30" s="8" t="s">
        <v>12</v>
      </c>
      <c r="H30" s="21"/>
    </row>
    <row r="31" spans="1:8" ht="15">
      <c r="A31" s="1" t="s">
        <v>102</v>
      </c>
      <c r="B31" t="s">
        <v>104</v>
      </c>
      <c r="C31" s="38" t="s">
        <v>12</v>
      </c>
      <c r="D31" s="22"/>
      <c r="E31" s="8">
        <v>0</v>
      </c>
      <c r="F31" s="22"/>
      <c r="G31" s="8">
        <v>-32967</v>
      </c>
      <c r="H31" s="42" t="s">
        <v>107</v>
      </c>
    </row>
    <row r="32" spans="1:8" ht="15">
      <c r="A32" s="1">
        <v>3</v>
      </c>
      <c r="B32" t="s">
        <v>11</v>
      </c>
      <c r="C32" s="6" t="s">
        <v>12</v>
      </c>
      <c r="D32" s="21"/>
      <c r="E32" s="5">
        <f>(2.5*6700)*-1</f>
        <v>-16750</v>
      </c>
      <c r="F32" s="21" t="s">
        <v>37</v>
      </c>
      <c r="G32" s="5">
        <v>-16750</v>
      </c>
      <c r="H32" s="21"/>
    </row>
    <row r="33" spans="1:8" ht="15">
      <c r="A33" s="1" t="s">
        <v>103</v>
      </c>
      <c r="B33" t="s">
        <v>105</v>
      </c>
      <c r="C33" s="37" t="s">
        <v>12</v>
      </c>
      <c r="D33" s="22"/>
      <c r="E33" s="31">
        <v>38252</v>
      </c>
      <c r="F33" s="42" t="s">
        <v>106</v>
      </c>
      <c r="G33" s="31">
        <f>+E33</f>
        <v>38252</v>
      </c>
      <c r="H33" s="22"/>
    </row>
    <row r="34" spans="1:8" ht="15">
      <c r="A34" s="1">
        <v>4</v>
      </c>
      <c r="B34" t="s">
        <v>15</v>
      </c>
      <c r="C34" s="5">
        <v>-21304.099</v>
      </c>
      <c r="D34" s="21" t="s">
        <v>30</v>
      </c>
      <c r="E34" s="6">
        <v>0</v>
      </c>
      <c r="F34" s="21"/>
      <c r="G34" s="6">
        <f>C34</f>
        <v>-21304.099</v>
      </c>
      <c r="H34" s="21"/>
    </row>
    <row r="35" spans="1:8" ht="15">
      <c r="A35" s="1">
        <v>5</v>
      </c>
      <c r="B35" t="s">
        <v>23</v>
      </c>
      <c r="C35" s="5">
        <v>-7320</v>
      </c>
      <c r="D35" s="21" t="s">
        <v>33</v>
      </c>
      <c r="E35" s="8">
        <v>0</v>
      </c>
      <c r="F35" s="21" t="s">
        <v>38</v>
      </c>
      <c r="G35" s="8">
        <f>C35</f>
        <v>-7320</v>
      </c>
      <c r="H35" s="21"/>
    </row>
    <row r="36" spans="1:8" ht="15">
      <c r="A36" s="1">
        <v>6</v>
      </c>
      <c r="B36" t="s">
        <v>13</v>
      </c>
      <c r="C36" s="6" t="s">
        <v>12</v>
      </c>
      <c r="D36" s="21"/>
      <c r="E36" s="8">
        <v>0</v>
      </c>
      <c r="F36" s="21" t="s">
        <v>39</v>
      </c>
      <c r="G36" s="8" t="s">
        <v>12</v>
      </c>
      <c r="H36" s="21"/>
    </row>
    <row r="37" spans="1:8" ht="15">
      <c r="A37" s="1">
        <v>7</v>
      </c>
      <c r="B37" t="s">
        <v>21</v>
      </c>
      <c r="C37" s="8" t="s">
        <v>12</v>
      </c>
      <c r="D37" s="21"/>
      <c r="E37" s="8" t="s">
        <v>12</v>
      </c>
      <c r="F37" s="21"/>
      <c r="G37" s="9">
        <f>-PMT(8.08%/12,300,85227)*12</f>
        <v>7947.82651313405</v>
      </c>
      <c r="H37" s="21" t="s">
        <v>41</v>
      </c>
    </row>
    <row r="38" spans="1:8" ht="15">
      <c r="A38" s="1">
        <v>8</v>
      </c>
      <c r="B38" t="s">
        <v>22</v>
      </c>
      <c r="C38" s="8" t="s">
        <v>12</v>
      </c>
      <c r="D38" s="22"/>
      <c r="E38" s="8" t="s">
        <v>12</v>
      </c>
      <c r="F38" s="22"/>
      <c r="G38" s="5">
        <f>-PMT(8.08%/12,300,225795)*12</f>
        <v>21056.466701081845</v>
      </c>
      <c r="H38" s="22" t="s">
        <v>49</v>
      </c>
    </row>
    <row r="39" spans="1:8" ht="15">
      <c r="A39" s="1">
        <v>9</v>
      </c>
      <c r="B39" t="s">
        <v>25</v>
      </c>
      <c r="C39" s="8" t="s">
        <v>12</v>
      </c>
      <c r="D39" s="22"/>
      <c r="E39" s="8" t="s">
        <v>12</v>
      </c>
      <c r="F39" s="22"/>
      <c r="G39" s="5">
        <f>-PMT(6.48%/12,60,28113.304)*12</f>
        <v>6597.668962034084</v>
      </c>
      <c r="H39" s="22" t="s">
        <v>50</v>
      </c>
    </row>
    <row r="40" spans="1:8" ht="15">
      <c r="A40" s="1"/>
      <c r="C40" s="6"/>
      <c r="D40" s="21"/>
      <c r="E40" s="5"/>
      <c r="F40" s="21"/>
      <c r="G40" s="5"/>
      <c r="H40" s="21"/>
    </row>
    <row r="41" spans="1:8" ht="15">
      <c r="A41" s="1">
        <v>10</v>
      </c>
      <c r="B41" t="s">
        <v>19</v>
      </c>
      <c r="C41" s="5">
        <f>SUM(C30:C40)</f>
        <v>-46834.975999999995</v>
      </c>
      <c r="D41" s="21"/>
      <c r="E41" s="5">
        <f>SUM(E30:E40)</f>
        <v>21502</v>
      </c>
      <c r="F41" s="21"/>
      <c r="G41" s="5">
        <f>SUM(G30:G40)</f>
        <v>-4487.136823750021</v>
      </c>
      <c r="H41" s="21"/>
    </row>
    <row r="42" spans="1:8" ht="15">
      <c r="A42" s="1"/>
      <c r="C42" s="5"/>
      <c r="D42" s="21"/>
      <c r="E42" s="5"/>
      <c r="F42" s="21"/>
      <c r="G42" s="5"/>
      <c r="H42" s="21"/>
    </row>
    <row r="43" spans="1:8" ht="15">
      <c r="A43" s="1">
        <v>11</v>
      </c>
      <c r="B43" t="s">
        <v>14</v>
      </c>
      <c r="C43" s="5">
        <f>+C27+C41</f>
        <v>130864.43300000002</v>
      </c>
      <c r="D43" s="21"/>
      <c r="E43" s="5">
        <f>+E27+E41</f>
        <v>65502</v>
      </c>
      <c r="F43" s="21"/>
      <c r="G43" s="5">
        <f>+G27+G41</f>
        <v>76757.00850831764</v>
      </c>
      <c r="H43" s="21"/>
    </row>
    <row r="44" spans="1:8" ht="15">
      <c r="A44" s="1"/>
      <c r="C44" s="5"/>
      <c r="D44" s="21"/>
      <c r="E44" s="5"/>
      <c r="F44" s="21"/>
      <c r="G44" s="5"/>
      <c r="H44" s="21"/>
    </row>
    <row r="45" spans="1:8" ht="15">
      <c r="A45" s="1">
        <v>12</v>
      </c>
      <c r="B45" t="s">
        <v>20</v>
      </c>
      <c r="C45" s="5">
        <v>511320.971</v>
      </c>
      <c r="D45" s="22" t="s">
        <v>34</v>
      </c>
      <c r="E45" s="5">
        <f>C45</f>
        <v>511320.971</v>
      </c>
      <c r="F45" s="22"/>
      <c r="G45" s="5">
        <f>C45</f>
        <v>511320.971</v>
      </c>
      <c r="H45" s="22" t="s">
        <v>59</v>
      </c>
    </row>
    <row r="46" spans="1:8" ht="15">
      <c r="A46" s="1"/>
      <c r="D46" s="23"/>
      <c r="F46" s="23"/>
      <c r="H46" s="23"/>
    </row>
    <row r="47" spans="1:8" ht="15">
      <c r="A47" s="1">
        <v>13</v>
      </c>
      <c r="B47" t="s">
        <v>16</v>
      </c>
      <c r="C47" s="4">
        <f>C43/C45</f>
        <v>0.2559340227021512</v>
      </c>
      <c r="D47" s="20"/>
      <c r="E47" s="4">
        <f>E43/E45</f>
        <v>0.12810348824906695</v>
      </c>
      <c r="F47" s="20"/>
      <c r="G47" s="4">
        <f>G43/G45</f>
        <v>0.1501151191945101</v>
      </c>
      <c r="H47" s="20" t="s">
        <v>59</v>
      </c>
    </row>
    <row r="48" spans="1:8" ht="15">
      <c r="A48" s="1">
        <v>14</v>
      </c>
      <c r="B48" t="s">
        <v>88</v>
      </c>
      <c r="C48" s="14"/>
      <c r="D48" s="14"/>
      <c r="E48" s="14"/>
      <c r="F48" s="14"/>
      <c r="G48" s="33">
        <f>(G45+G43)/(E45+E43)-1</f>
        <v>0.019512067088461427</v>
      </c>
      <c r="H48" s="34" t="s">
        <v>89</v>
      </c>
    </row>
    <row r="49" spans="3:8" ht="15">
      <c r="C49" s="33"/>
      <c r="D49" s="14"/>
      <c r="E49" s="32"/>
      <c r="F49" s="14"/>
      <c r="G49" s="33"/>
      <c r="H49" s="14"/>
    </row>
    <row r="50" spans="1:8" ht="15">
      <c r="A50" t="s">
        <v>86</v>
      </c>
      <c r="C50" s="14"/>
      <c r="D50" s="14"/>
      <c r="E50" s="14"/>
      <c r="F50" s="14"/>
      <c r="G50" s="14"/>
      <c r="H50" s="14"/>
    </row>
    <row r="51" spans="3:8" ht="15">
      <c r="C51" s="14"/>
      <c r="D51" s="14"/>
      <c r="E51" s="14"/>
      <c r="F51" s="14"/>
      <c r="G51" s="14"/>
      <c r="H51" s="14"/>
    </row>
    <row r="53" ht="15">
      <c r="A53" t="s">
        <v>28</v>
      </c>
    </row>
    <row r="54" ht="15">
      <c r="A54" t="s">
        <v>62</v>
      </c>
    </row>
    <row r="55" ht="15">
      <c r="A55" t="s">
        <v>61</v>
      </c>
    </row>
    <row r="56" ht="15">
      <c r="A56" t="s">
        <v>31</v>
      </c>
    </row>
    <row r="57" ht="15">
      <c r="A57" t="s">
        <v>32</v>
      </c>
    </row>
    <row r="58" ht="15">
      <c r="A58" t="s">
        <v>36</v>
      </c>
    </row>
    <row r="59" ht="15">
      <c r="A59" t="s">
        <v>42</v>
      </c>
    </row>
    <row r="60" ht="15">
      <c r="A60" t="s">
        <v>43</v>
      </c>
    </row>
    <row r="61" ht="15">
      <c r="A61" t="s">
        <v>45</v>
      </c>
    </row>
    <row r="62" ht="15">
      <c r="A62" t="s">
        <v>46</v>
      </c>
    </row>
    <row r="63" ht="15">
      <c r="A63" t="s">
        <v>47</v>
      </c>
    </row>
    <row r="64" ht="15">
      <c r="A64" t="s">
        <v>53</v>
      </c>
    </row>
    <row r="65" ht="15">
      <c r="A65" t="s">
        <v>52</v>
      </c>
    </row>
    <row r="66" ht="15">
      <c r="A66" t="s">
        <v>48</v>
      </c>
    </row>
    <row r="67" ht="15">
      <c r="A67" t="s">
        <v>60</v>
      </c>
    </row>
    <row r="68" ht="15">
      <c r="A68" t="s">
        <v>91</v>
      </c>
    </row>
    <row r="69" ht="15">
      <c r="A69" t="s">
        <v>90</v>
      </c>
    </row>
    <row r="70" ht="15">
      <c r="A70" t="s">
        <v>108</v>
      </c>
    </row>
    <row r="71" ht="15">
      <c r="A71" t="s">
        <v>109</v>
      </c>
    </row>
  </sheetData>
  <sheetProtection/>
  <mergeCells count="3">
    <mergeCell ref="A15:H15"/>
    <mergeCell ref="A16:H16"/>
    <mergeCell ref="A17:H17"/>
  </mergeCells>
  <printOptions horizontalCentered="1"/>
  <pageMargins left="0.45" right="0.5" top="0.5" bottom="0.5" header="0.3" footer="0.3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2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41.7109375" style="10" customWidth="1"/>
    <col min="2" max="2" width="2.140625" style="10" customWidth="1"/>
    <col min="3" max="3" width="19.140625" style="10" bestFit="1" customWidth="1"/>
    <col min="4" max="4" width="2.421875" style="10" customWidth="1"/>
    <col min="5" max="5" width="19.140625" style="10" bestFit="1" customWidth="1"/>
    <col min="6" max="6" width="2.8515625" style="10" customWidth="1"/>
    <col min="7" max="7" width="41.7109375" style="10" customWidth="1"/>
    <col min="8" max="8" width="2.28125" style="10" customWidth="1"/>
    <col min="9" max="9" width="19.140625" style="10" bestFit="1" customWidth="1"/>
    <col min="10" max="10" width="2.8515625" style="10" customWidth="1"/>
    <col min="11" max="11" width="19.140625" style="10" bestFit="1" customWidth="1"/>
    <col min="12" max="16384" width="9.140625" style="10" customWidth="1"/>
  </cols>
  <sheetData>
    <row r="4" spans="1:11" ht="15">
      <c r="A4" s="41" t="s">
        <v>81</v>
      </c>
      <c r="B4" s="41"/>
      <c r="C4" s="41"/>
      <c r="D4" s="41"/>
      <c r="E4" s="41"/>
      <c r="G4" s="41" t="s">
        <v>81</v>
      </c>
      <c r="H4" s="41"/>
      <c r="I4" s="41"/>
      <c r="J4" s="41"/>
      <c r="K4" s="41"/>
    </row>
    <row r="8" spans="3:11" ht="15">
      <c r="C8" s="16" t="s">
        <v>79</v>
      </c>
      <c r="D8" s="16"/>
      <c r="E8" s="16" t="s">
        <v>51</v>
      </c>
      <c r="I8" s="16" t="s">
        <v>79</v>
      </c>
      <c r="J8" s="16"/>
      <c r="K8" s="16" t="s">
        <v>51</v>
      </c>
    </row>
    <row r="9" spans="1:11" ht="15">
      <c r="A9" s="16" t="s">
        <v>64</v>
      </c>
      <c r="C9" s="16" t="s">
        <v>80</v>
      </c>
      <c r="D9" s="16"/>
      <c r="E9" s="16" t="s">
        <v>80</v>
      </c>
      <c r="G9" s="16" t="s">
        <v>64</v>
      </c>
      <c r="I9" s="16" t="s">
        <v>80</v>
      </c>
      <c r="J9" s="16"/>
      <c r="K9" s="16" t="s">
        <v>80</v>
      </c>
    </row>
    <row r="10" spans="1:11" ht="15">
      <c r="A10" s="26" t="s">
        <v>65</v>
      </c>
      <c r="C10" s="26" t="s">
        <v>44</v>
      </c>
      <c r="D10" s="16"/>
      <c r="E10" s="26" t="s">
        <v>44</v>
      </c>
      <c r="G10" s="26" t="s">
        <v>65</v>
      </c>
      <c r="I10" s="26" t="s">
        <v>44</v>
      </c>
      <c r="J10" s="16"/>
      <c r="K10" s="26" t="s">
        <v>44</v>
      </c>
    </row>
    <row r="11" spans="1:7" ht="15">
      <c r="A11"/>
      <c r="G11"/>
    </row>
    <row r="12" spans="1:11" ht="15">
      <c r="A12" s="16" t="s">
        <v>66</v>
      </c>
      <c r="C12" s="11"/>
      <c r="E12" s="11">
        <v>-2121105</v>
      </c>
      <c r="G12" s="16" t="s">
        <v>66</v>
      </c>
      <c r="I12" s="11"/>
      <c r="K12" s="11">
        <v>-2121105</v>
      </c>
    </row>
    <row r="13" spans="1:11" ht="15">
      <c r="A13" s="16" t="s">
        <v>67</v>
      </c>
      <c r="C13" s="11">
        <v>-26692002</v>
      </c>
      <c r="E13" s="11">
        <v>-2452091</v>
      </c>
      <c r="G13" s="16" t="s">
        <v>67</v>
      </c>
      <c r="I13" s="11">
        <v>-26692002</v>
      </c>
      <c r="K13" s="11">
        <v>-2452091</v>
      </c>
    </row>
    <row r="14" spans="1:11" ht="15">
      <c r="A14" s="16" t="s">
        <v>68</v>
      </c>
      <c r="C14" s="11">
        <v>170885</v>
      </c>
      <c r="E14" s="11"/>
      <c r="G14" s="16" t="s">
        <v>68</v>
      </c>
      <c r="I14" s="11">
        <v>170885</v>
      </c>
      <c r="K14" s="11"/>
    </row>
    <row r="15" spans="1:11" ht="15">
      <c r="A15" s="16" t="s">
        <v>69</v>
      </c>
      <c r="C15" s="11">
        <v>2555341</v>
      </c>
      <c r="E15" s="11">
        <v>-3533283</v>
      </c>
      <c r="G15" s="16" t="s">
        <v>69</v>
      </c>
      <c r="I15" s="11">
        <v>2555341</v>
      </c>
      <c r="K15" s="11">
        <v>-3533283</v>
      </c>
    </row>
    <row r="16" spans="1:11" ht="15">
      <c r="A16" s="16" t="s">
        <v>70</v>
      </c>
      <c r="C16" s="11">
        <v>6083567</v>
      </c>
      <c r="E16" s="11">
        <v>1236629</v>
      </c>
      <c r="G16" s="16" t="s">
        <v>70</v>
      </c>
      <c r="I16" s="11">
        <v>6083567</v>
      </c>
      <c r="K16" s="11">
        <v>1236629</v>
      </c>
    </row>
    <row r="17" spans="1:11" ht="15">
      <c r="A17" s="16" t="s">
        <v>71</v>
      </c>
      <c r="C17" s="11">
        <v>46951763</v>
      </c>
      <c r="E17" s="11">
        <v>537878563</v>
      </c>
      <c r="G17" s="16" t="s">
        <v>71</v>
      </c>
      <c r="I17" s="11">
        <v>46951763</v>
      </c>
      <c r="K17" s="11">
        <v>537878563</v>
      </c>
    </row>
    <row r="18" spans="1:9" ht="15">
      <c r="A18" s="16" t="s">
        <v>72</v>
      </c>
      <c r="C18" s="11">
        <v>-2832147</v>
      </c>
      <c r="G18" s="16" t="s">
        <v>72</v>
      </c>
      <c r="I18" s="11">
        <v>-2832147</v>
      </c>
    </row>
    <row r="19" spans="1:11" ht="15">
      <c r="A19" s="17" t="s">
        <v>73</v>
      </c>
      <c r="C19" s="11">
        <v>-124099</v>
      </c>
      <c r="E19" s="11">
        <v>-25226</v>
      </c>
      <c r="G19" s="17" t="s">
        <v>73</v>
      </c>
      <c r="I19" s="11">
        <v>-124099</v>
      </c>
      <c r="K19" s="11">
        <v>-25226</v>
      </c>
    </row>
    <row r="20" spans="1:11" ht="15">
      <c r="A20" s="17" t="s">
        <v>74</v>
      </c>
      <c r="C20" s="11">
        <v>-166288</v>
      </c>
      <c r="E20" s="11">
        <v>-33802</v>
      </c>
      <c r="G20" s="17" t="s">
        <v>74</v>
      </c>
      <c r="I20" s="11">
        <v>-166288</v>
      </c>
      <c r="K20" s="11">
        <v>-33802</v>
      </c>
    </row>
    <row r="21" spans="1:11" ht="15">
      <c r="A21" s="17" t="s">
        <v>75</v>
      </c>
      <c r="C21" s="11">
        <v>26227</v>
      </c>
      <c r="E21" s="11">
        <v>3797</v>
      </c>
      <c r="G21" s="17" t="s">
        <v>75</v>
      </c>
      <c r="I21" s="11">
        <v>26227</v>
      </c>
      <c r="K21" s="11">
        <v>3797</v>
      </c>
    </row>
    <row r="22" spans="1:11" ht="15">
      <c r="A22" s="17" t="s">
        <v>76</v>
      </c>
      <c r="E22" s="11">
        <v>-1151258</v>
      </c>
      <c r="G22" s="17" t="s">
        <v>76</v>
      </c>
      <c r="K22" s="11">
        <v>-1151258</v>
      </c>
    </row>
    <row r="23" spans="1:11" ht="15">
      <c r="A23" s="16" t="s">
        <v>77</v>
      </c>
      <c r="C23" s="11">
        <v>-301638</v>
      </c>
      <c r="E23" s="11">
        <v>-61315</v>
      </c>
      <c r="G23" s="16" t="s">
        <v>77</v>
      </c>
      <c r="I23" s="11">
        <v>-301638</v>
      </c>
      <c r="K23" s="11">
        <v>-61315</v>
      </c>
    </row>
    <row r="24" spans="1:11" ht="15">
      <c r="A24" s="16" t="s">
        <v>78</v>
      </c>
      <c r="C24" s="11">
        <v>-462238</v>
      </c>
      <c r="E24" s="11">
        <v>-93961</v>
      </c>
      <c r="G24" s="16" t="s">
        <v>78</v>
      </c>
      <c r="I24" s="11">
        <v>-462238</v>
      </c>
      <c r="K24" s="11">
        <v>-93961</v>
      </c>
    </row>
    <row r="25" spans="1:11" ht="15">
      <c r="A25" s="27" t="s">
        <v>87</v>
      </c>
      <c r="B25" s="13"/>
      <c r="C25" s="28"/>
      <c r="D25" s="13"/>
      <c r="E25" s="28">
        <v>-225795000</v>
      </c>
      <c r="G25" s="27" t="s">
        <v>87</v>
      </c>
      <c r="H25" s="13"/>
      <c r="I25" s="28"/>
      <c r="J25" s="13"/>
      <c r="K25" s="28">
        <v>-225795000</v>
      </c>
    </row>
    <row r="26" spans="1:11" ht="15">
      <c r="A26" s="18" t="s">
        <v>24</v>
      </c>
      <c r="B26" s="24"/>
      <c r="C26" s="12">
        <f>SUM(C12:C25)</f>
        <v>25209371</v>
      </c>
      <c r="D26" s="12"/>
      <c r="E26" s="12">
        <f>SUM(E12:E25)</f>
        <v>303851948</v>
      </c>
      <c r="G26" s="35" t="s">
        <v>24</v>
      </c>
      <c r="H26" s="24"/>
      <c r="I26" s="12">
        <f>SUM(I12:I25)</f>
        <v>25209371</v>
      </c>
      <c r="J26" s="12"/>
      <c r="K26" s="12">
        <f>SUM(K12:K25)</f>
        <v>303851948</v>
      </c>
    </row>
    <row r="28" spans="1:11" ht="15">
      <c r="A28" s="25" t="s">
        <v>58</v>
      </c>
      <c r="E28" s="12">
        <f>E26*0.0808</f>
        <v>24551237.398399998</v>
      </c>
      <c r="G28" s="25" t="s">
        <v>101</v>
      </c>
      <c r="K28" s="12">
        <f>K26*0.1117</f>
        <v>33940262.5916</v>
      </c>
    </row>
    <row r="30" spans="1:11" ht="15">
      <c r="A30" s="10" t="s">
        <v>26</v>
      </c>
      <c r="E30" s="12">
        <f>C26+E28</f>
        <v>49760608.398399994</v>
      </c>
      <c r="G30" s="10" t="s">
        <v>100</v>
      </c>
      <c r="K30" s="12">
        <f>I26*1.6327</f>
        <v>41159340.0317</v>
      </c>
    </row>
    <row r="32" spans="1:11" ht="15">
      <c r="A32" s="10" t="s">
        <v>57</v>
      </c>
      <c r="E32" s="19">
        <f>E30*1.6327</f>
        <v>81244145.33206767</v>
      </c>
      <c r="G32" s="10" t="s">
        <v>99</v>
      </c>
      <c r="K32" s="19">
        <f>+K28+K30</f>
        <v>75099602.6233</v>
      </c>
    </row>
  </sheetData>
  <sheetProtection/>
  <mergeCells count="2">
    <mergeCell ref="A4:E4"/>
    <mergeCell ref="G4:K4"/>
  </mergeCells>
  <printOptions horizontalCentered="1"/>
  <pageMargins left="0.5" right="0.5" top="0.5" bottom="0.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AEP</cp:lastModifiedBy>
  <cp:lastPrinted>2014-09-29T18:01:35Z</cp:lastPrinted>
  <dcterms:created xsi:type="dcterms:W3CDTF">2013-06-29T12:44:30Z</dcterms:created>
  <dcterms:modified xsi:type="dcterms:W3CDTF">2014-09-30T17:02:04Z</dcterms:modified>
  <cp:category/>
  <cp:version/>
  <cp:contentType/>
  <cp:contentStatus/>
</cp:coreProperties>
</file>