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5" windowWidth="19215" windowHeight="5250" tabRatio="938" activeTab="0"/>
  </bookViews>
  <sheets>
    <sheet name="INPUT" sheetId="1" r:id="rId1"/>
    <sheet name="TOTAL CO" sheetId="2" r:id="rId2"/>
    <sheet name="MITCHELL" sheetId="3" r:id="rId3"/>
    <sheet name="MITCHELL HIGH SULFUR" sheetId="4" r:id="rId4"/>
    <sheet name="MITCHELL LOW SULFUR" sheetId="5" r:id="rId5"/>
    <sheet name="MITCHELL KPCO" sheetId="6" r:id="rId6"/>
    <sheet name="MITCHELL KPCO HIGH SULFUR" sheetId="7" r:id="rId7"/>
    <sheet name="MITCHELL KPCO LOW SULFUR" sheetId="8" r:id="rId8"/>
    <sheet name="MITCHELL OPCO" sheetId="9" r:id="rId9"/>
    <sheet name="MITCHELL OPCO HIGH SULFUR" sheetId="10" r:id="rId10"/>
    <sheet name="MITCHELL OPCO LOW SULFUR" sheetId="11" r:id="rId11"/>
    <sheet name="PRIN GEN" sheetId="12" r:id="rId12"/>
    <sheet name="CONTROLS" sheetId="13" r:id="rId13"/>
    <sheet name="CARD CONSUMED" sheetId="14" r:id="rId14"/>
  </sheets>
  <externalReferences>
    <externalReference r:id="rId17"/>
    <externalReference r:id="rId18"/>
    <externalReference r:id="rId19"/>
  </externalReferences>
  <definedNames>
    <definedName name="ASD">#REF!</definedName>
    <definedName name="asd1">#REF!</definedName>
    <definedName name="NvsEndTime">36418.5573099537</definedName>
    <definedName name="_xlnm.Print_Area" localSheetId="12">'CONTROLS'!$A$1:$L$71</definedName>
    <definedName name="_xlnm.Print_Area" localSheetId="2">'MITCHELL'!$A$1:$H$62</definedName>
    <definedName name="_xlnm.Print_Area" localSheetId="3">'MITCHELL HIGH SULFUR'!$A$1:$H$62</definedName>
    <definedName name="_xlnm.Print_Area" localSheetId="5">'MITCHELL KPCO'!$A$1:$H$62</definedName>
    <definedName name="_xlnm.Print_Area" localSheetId="6">'MITCHELL KPCO HIGH SULFUR'!$A$1:$H$62</definedName>
    <definedName name="_xlnm.Print_Area" localSheetId="7">'MITCHELL KPCO LOW SULFUR'!$A$1:$H$62</definedName>
    <definedName name="_xlnm.Print_Area" localSheetId="4">'MITCHELL LOW SULFUR'!$A$1:$H$62</definedName>
    <definedName name="_xlnm.Print_Area" localSheetId="8">'MITCHELL OPCO'!$A$1:$H$62</definedName>
    <definedName name="_xlnm.Print_Area" localSheetId="9">'MITCHELL OPCO HIGH SULFUR'!$A$1:$H$62</definedName>
    <definedName name="_xlnm.Print_Area" localSheetId="10">'MITCHELL OPCO LOW SULFUR'!$A$1:$H$62</definedName>
    <definedName name="_xlnm.Print_Area" localSheetId="11">'PRIN GEN'!$A$8:$J$62</definedName>
    <definedName name="_xlnm.Print_Area" localSheetId="1">'TOTAL CO'!$A$1:$H$62</definedName>
    <definedName name="_xlnm.Print_Titles" localSheetId="11">'PRIN GEN'!$1:$7</definedName>
    <definedName name="wrn.PRINTPAGE24S." hidden="1">{"TOTAL CO",#N/A,FALSE,"TOTAL CO";"AMOS",#N/A,FALSE,"AMOS";#N/A,#N/A,FALSE,"AMOS OPCO HIGH SULFUR";#N/A,#N/A,FALSE,"AMOS OPCO LOW SULFUR";"TOTAL CARD",#N/A,FALSE,"TOTAL CARD";"CARD 1",#N/A,FALSE,"CARD 1";"CARD 2",#N/A,FALSE,"CARD 2";"CARD 1&amp;2",#N/A,FALSE,"CARD 1&amp;2";"CARD 3",#N/A,FALSE,"CARD 3";"GAVIN",#N/A,FALSE,"GAVIN";"KAMMER",#N/A,FALSE,"KAMMER";"MITCHELL",#N/A,FALSE,"MITCHELL";"TOTAL MUSK",#N/A,FALSE,"TOTAL MUSK";"MUSK 1_4",#N/A,FALSE,"MUSK 1_4";#N/A,#N/A,FALSE,"MUSK 1_4 BIODIESEL";"MUSK 5",#N/A,FALSE,"MUSK 5";"SPORN",#N/A,FALSE,"SPORN";"MITCHELL IN TRANSIT FRT",#N/A,FALSE,"MITCHELL IN TRANSIT FRT";#N/A,#N/A,FALSE,"MUSKINGUM  IN TRANSIT FRT";"CCT",#N/A,FALSE,"CCT";"KAMMER IN TRANSIT",#N/A,FALSE,"KAMMER IN TRANSIT";"CCT CARD",#N/A,FALSE,"CCT CARD";"CARD IN TRANSIT",#N/A,FALSE,"CARD IN TRANSIT";"CCT MUSK",#N/A,FALSE,"CCT MUSK";"MUSK IN TRANSIT",#N/A,FALSE,"MUSK IN TRANSIT";"MUSKINGUM PRB",#N/A,FALSE,"MUSKINGUM PRB";"CCT GAVIN",#N/A,FALSE,"CCT GAVIN";"GAVIN IN TRANSIT",#N/A,FALSE,"GAVIN IN TRANSIT";#N/A,#N/A,FALSE,"TL CV CCD";#N/A,#N/A,FALSE,"TL CV CSP";#N/A,#N/A,FALSE,"CV 1-3";#N/A,#N/A,FALSE,"CV 4 CCD";#N/A,#N/A,FALSE,"CV 4 CSP";#N/A,#N/A,FALSE,"CV 5-6";#N/A,#N/A,FALSE,"CCPC RAW";#N/A,#N/A,FALSE,"CCPC CLEAN";#N/A,#N/A,FALSE,"CV BIODIESEL";#N/A,#N/A,FALSE,"CV 4 CSP-BIODIESEL";#N/A,#N/A,FALSE,"PICWAY";#N/A,#N/A,FALSE,"PICWAY BIOMASS";#N/A,#N/A,FALSE,"STUART";#N/A,#N/A,FALSE,"BECKJORD";#N/A,#N/A,FALSE,"ZIMMER";#N/A,#N/A,FALSE,"DARBY";#N/A,#N/A,FALSE,"WATERFORD";"PRIN GEN",#N/A,FALSE,"PRIN GEN";"CONTROLS",#N/A,FALSE,"CONTROLS";"INPUT",#N/A,FALSE,"INPUT"}</definedName>
    <definedName name="wrn.PRINTPG24." localSheetId="3" hidden="1">{"TL COMPANY",#N/A,FALSE,"TL COMPANY";"MOUNTAINEER",#N/A,FALSE,"MOUNTAINEER";"KANAWHA",#N/A,FALSE,"KANAWHA ";"CLINCH",#N/A,FALSE,"CLINCH";"GLEN LYN",#N/A,FALSE,"GLEN LYN";"AMOS TOTAL",#N/A,FALSE,"AMOS TOTAL";"AMOS APCO",#N/A,FALSE,"AMOS APCO";"AMOS OPCO",#N/A,FALSE,"AMOS OPCO";"SPORN TOTAL",#N/A,FALSE,"SPORN TOTAL";"SPORN APCO",#N/A,FALSE,"SPORN APCO";"SPORN OPCO",#N/A,FALSE,"SPORN OPCO";"MOUNTAINEER IN-TRANSIT",#N/A,FALSE,"MOUNTAINEER IN TRANIST";"CEREDO",#N/A,FALSE,"CEREDO";"PRIN GEN",#N/A,FALSE,"PRIN GEN";"CONTROLS",#N/A,FALSE,"CONTROLS";"INPUTS",#N/A,FALSE,"INPUT"}</definedName>
    <definedName name="wrn.PRINTPG24." localSheetId="6" hidden="1">{"TL COMPANY",#N/A,FALSE,"TL COMPANY";"MOUNTAINEER",#N/A,FALSE,"MOUNTAINEER";"KANAWHA",#N/A,FALSE,"KANAWHA ";"CLINCH",#N/A,FALSE,"CLINCH";"GLEN LYN",#N/A,FALSE,"GLEN LYN";"AMOS TOTAL",#N/A,FALSE,"AMOS TOTAL";"AMOS APCO",#N/A,FALSE,"AMOS APCO";"AMOS OPCO",#N/A,FALSE,"AMOS OPCO";"SPORN TOTAL",#N/A,FALSE,"SPORN TOTAL";"SPORN APCO",#N/A,FALSE,"SPORN APCO";"SPORN OPCO",#N/A,FALSE,"SPORN OPCO";"MOUNTAINEER IN-TRANSIT",#N/A,FALSE,"MOUNTAINEER IN TRANIST";"CEREDO",#N/A,FALSE,"CEREDO";"PRIN GEN",#N/A,FALSE,"PRIN GEN";"CONTROLS",#N/A,FALSE,"CONTROLS";"INPUTS",#N/A,FALSE,"INPUT"}</definedName>
    <definedName name="wrn.PRINTPG24." localSheetId="7" hidden="1">{"TL COMPANY",#N/A,FALSE,"TL COMPANY";"MOUNTAINEER",#N/A,FALSE,"MOUNTAINEER";"KANAWHA",#N/A,FALSE,"KANAWHA ";"CLINCH",#N/A,FALSE,"CLINCH";"GLEN LYN",#N/A,FALSE,"GLEN LYN";"AMOS TOTAL",#N/A,FALSE,"AMOS TOTAL";"AMOS APCO",#N/A,FALSE,"AMOS APCO";"AMOS OPCO",#N/A,FALSE,"AMOS OPCO";"SPORN TOTAL",#N/A,FALSE,"SPORN TOTAL";"SPORN APCO",#N/A,FALSE,"SPORN APCO";"SPORN OPCO",#N/A,FALSE,"SPORN OPCO";"MOUNTAINEER IN-TRANSIT",#N/A,FALSE,"MOUNTAINEER IN TRANIST";"CEREDO",#N/A,FALSE,"CEREDO";"PRIN GEN",#N/A,FALSE,"PRIN GEN";"CONTROLS",#N/A,FALSE,"CONTROLS";"INPUTS",#N/A,FALSE,"INPUT"}</definedName>
    <definedName name="wrn.PRINTPG24." localSheetId="4" hidden="1">{"TL COMPANY",#N/A,FALSE,"TL COMPANY";"MOUNTAINEER",#N/A,FALSE,"MOUNTAINEER";"KANAWHA",#N/A,FALSE,"KANAWHA ";"CLINCH",#N/A,FALSE,"CLINCH";"GLEN LYN",#N/A,FALSE,"GLEN LYN";"AMOS TOTAL",#N/A,FALSE,"AMOS TOTAL";"AMOS APCO",#N/A,FALSE,"AMOS APCO";"AMOS OPCO",#N/A,FALSE,"AMOS OPCO";"SPORN TOTAL",#N/A,FALSE,"SPORN TOTAL";"SPORN APCO",#N/A,FALSE,"SPORN APCO";"SPORN OPCO",#N/A,FALSE,"SPORN OPCO";"MOUNTAINEER IN-TRANSIT",#N/A,FALSE,"MOUNTAINEER IN TRANIST";"CEREDO",#N/A,FALSE,"CEREDO";"PRIN GEN",#N/A,FALSE,"PRIN GEN";"CONTROLS",#N/A,FALSE,"CONTROLS";"INPUTS",#N/A,FALSE,"INPUT"}</definedName>
    <definedName name="wrn.PRINTPG24." localSheetId="9" hidden="1">{"TL COMPANY",#N/A,FALSE,"TL COMPANY";"MOUNTAINEER",#N/A,FALSE,"MOUNTAINEER";"KANAWHA",#N/A,FALSE,"KANAWHA ";"CLINCH",#N/A,FALSE,"CLINCH";"GLEN LYN",#N/A,FALSE,"GLEN LYN";"AMOS TOTAL",#N/A,FALSE,"AMOS TOTAL";"AMOS APCO",#N/A,FALSE,"AMOS APCO";"AMOS OPCO",#N/A,FALSE,"AMOS OPCO";"SPORN TOTAL",#N/A,FALSE,"SPORN TOTAL";"SPORN APCO",#N/A,FALSE,"SPORN APCO";"SPORN OPCO",#N/A,FALSE,"SPORN OPCO";"MOUNTAINEER IN-TRANSIT",#N/A,FALSE,"MOUNTAINEER IN TRANIST";"CEREDO",#N/A,FALSE,"CEREDO";"PRIN GEN",#N/A,FALSE,"PRIN GEN";"CONTROLS",#N/A,FALSE,"CONTROLS";"INPUTS",#N/A,FALSE,"INPUT"}</definedName>
    <definedName name="wrn.PRINTPG24." localSheetId="10" hidden="1">{"TL COMPANY",#N/A,FALSE,"TL COMPANY";"MOUNTAINEER",#N/A,FALSE,"MOUNTAINEER";"KANAWHA",#N/A,FALSE,"KANAWHA ";"CLINCH",#N/A,FALSE,"CLINCH";"GLEN LYN",#N/A,FALSE,"GLEN LYN";"AMOS TOTAL",#N/A,FALSE,"AMOS TOTAL";"AMOS APCO",#N/A,FALSE,"AMOS APCO";"AMOS OPCO",#N/A,FALSE,"AMOS OPCO";"SPORN TOTAL",#N/A,FALSE,"SPORN TOTAL";"SPORN APCO",#N/A,FALSE,"SPORN APCO";"SPORN OPCO",#N/A,FALSE,"SPORN OPCO";"MOUNTAINEER IN-TRANSIT",#N/A,FALSE,"MOUNTAINEER IN TRANIST";"CEREDO",#N/A,FALSE,"CEREDO";"PRIN GEN",#N/A,FALSE,"PRIN GEN";"CONTROLS",#N/A,FALSE,"CONTROLS";"INPUTS",#N/A,FALSE,"INPUT"}</definedName>
    <definedName name="wrn.PRINTPG24." hidden="1">{"TL COMPANY",#N/A,FALSE,"TL COMPANY";"MOUNTAINEER",#N/A,FALSE,"MOUNTAINEER";"KANAWHA",#N/A,FALSE,"KANAWHA ";"CLINCH",#N/A,FALSE,"CLINCH";"GLEN LYN",#N/A,FALSE,"GLEN LYN";"AMOS TOTAL",#N/A,FALSE,"AMOS TOTAL";"AMOS APCO",#N/A,FALSE,"AMOS APCO";"AMOS OPCO",#N/A,FALSE,"AMOS OPCO";"SPORN TOTAL",#N/A,FALSE,"SPORN TOTAL";"SPORN APCO",#N/A,FALSE,"SPORN APCO";"SPORN OPCO",#N/A,FALSE,"SPORN OPCO";"MOUNTAINEER IN-TRANSIT",#N/A,FALSE,"MOUNTAINEER IN TRANIST";"CEREDO",#N/A,FALSE,"CEREDO";"PRIN GEN",#N/A,FALSE,"PRIN GEN";"CONTROLS",#N/A,FALSE,"CONTROLS";"INPUTS",#N/A,FALSE,"INPUT"}</definedName>
    <definedName name="Z_06F000BE_0A7F_4FFB_83A0_87AD1AC0AD8C_.wvu.PrintArea" localSheetId="12" hidden="1">'CONTROLS'!$A$1:$L$71</definedName>
    <definedName name="Z_06F000BE_0A7F_4FFB_83A0_87AD1AC0AD8C_.wvu.PrintArea" localSheetId="2" hidden="1">'MITCHELL'!$A$1:$H$62</definedName>
    <definedName name="Z_06F000BE_0A7F_4FFB_83A0_87AD1AC0AD8C_.wvu.PrintArea" localSheetId="5" hidden="1">'MITCHELL KPCO'!$A$1:$H$62</definedName>
    <definedName name="Z_06F000BE_0A7F_4FFB_83A0_87AD1AC0AD8C_.wvu.PrintArea" localSheetId="8" hidden="1">'MITCHELL OPCO'!$A$1:$H$62</definedName>
    <definedName name="Z_06F000BE_0A7F_4FFB_83A0_87AD1AC0AD8C_.wvu.PrintArea" localSheetId="1" hidden="1">'TOTAL CO'!$A$1:$H$62</definedName>
    <definedName name="Z_10034178_4B74_4463_8C96_48E4BE9523C2_.wvu.PrintArea" localSheetId="12" hidden="1">'CONTROLS'!$A$1:$L$71</definedName>
    <definedName name="Z_10034178_4B74_4463_8C96_48E4BE9523C2_.wvu.PrintArea" localSheetId="2" hidden="1">'MITCHELL'!$A$1:$H$62</definedName>
    <definedName name="Z_10034178_4B74_4463_8C96_48E4BE9523C2_.wvu.PrintArea" localSheetId="5" hidden="1">'MITCHELL KPCO'!$A$1:$H$62</definedName>
    <definedName name="Z_10034178_4B74_4463_8C96_48E4BE9523C2_.wvu.PrintArea" localSheetId="8" hidden="1">'MITCHELL OPCO'!$A$1:$H$62</definedName>
    <definedName name="Z_10034178_4B74_4463_8C96_48E4BE9523C2_.wvu.PrintArea" localSheetId="1" hidden="1">'TOTAL CO'!$A$1:$H$62</definedName>
    <definedName name="Z_27BC8E24_C412_4D59_8935_8C8EC36D4078_.wvu.PrintArea" localSheetId="3" hidden="1">'MITCHELL HIGH SULFUR'!$A$1:$H$62</definedName>
    <definedName name="Z_27BC8E24_C412_4D59_8935_8C8EC36D4078_.wvu.PrintArea" localSheetId="6" hidden="1">'MITCHELL KPCO HIGH SULFUR'!$A$1:$H$62</definedName>
    <definedName name="Z_27BC8E24_C412_4D59_8935_8C8EC36D4078_.wvu.PrintArea" localSheetId="7" hidden="1">'MITCHELL KPCO LOW SULFUR'!$A$1:$H$62</definedName>
    <definedName name="Z_27BC8E24_C412_4D59_8935_8C8EC36D4078_.wvu.PrintArea" localSheetId="4" hidden="1">'MITCHELL LOW SULFUR'!$A$1:$H$62</definedName>
    <definedName name="Z_27BC8E24_C412_4D59_8935_8C8EC36D4078_.wvu.PrintArea" localSheetId="9" hidden="1">'MITCHELL OPCO HIGH SULFUR'!$A$1:$H$62</definedName>
    <definedName name="Z_27BC8E24_C412_4D59_8935_8C8EC36D4078_.wvu.PrintArea" localSheetId="10" hidden="1">'MITCHELL OPCO LOW SULFUR'!$A$1:$H$62</definedName>
    <definedName name="Z_2AC925B5_9392_4A48_865E_1D3B6426C320_.wvu.PrintArea" localSheetId="13" hidden="1">'CARD CONSUMED'!$A$1:$I$26</definedName>
    <definedName name="Z_2AC925B5_9392_4A48_865E_1D3B6426C320_.wvu.PrintArea" localSheetId="12" hidden="1">'CONTROLS'!$A$1:$L$71</definedName>
    <definedName name="Z_2AC925B5_9392_4A48_865E_1D3B6426C320_.wvu.PrintArea" localSheetId="2" hidden="1">'MITCHELL'!$A$1:$H$62</definedName>
    <definedName name="Z_2AC925B5_9392_4A48_865E_1D3B6426C320_.wvu.PrintArea" localSheetId="5" hidden="1">'MITCHELL KPCO'!$A$1:$H$62</definedName>
    <definedName name="Z_2AC925B5_9392_4A48_865E_1D3B6426C320_.wvu.PrintArea" localSheetId="8" hidden="1">'MITCHELL OPCO'!$A$1:$H$62</definedName>
    <definedName name="Z_2AC925B5_9392_4A48_865E_1D3B6426C320_.wvu.PrintArea" localSheetId="1" hidden="1">'TOTAL CO'!$A$1:$H$62</definedName>
    <definedName name="Z_4C96B946_2C55_11D6_8127_00408102B286_.wvu.PrintArea" localSheetId="12" hidden="1">'CONTROLS'!$A$1:$L$71</definedName>
    <definedName name="Z_4C96B946_2C55_11D6_8127_00408102B286_.wvu.PrintArea" localSheetId="2" hidden="1">'MITCHELL'!$A$1:$H$62</definedName>
    <definedName name="Z_4C96B946_2C55_11D6_8127_00408102B286_.wvu.PrintArea" localSheetId="5" hidden="1">'MITCHELL KPCO'!$A$1:$H$62</definedName>
    <definedName name="Z_4C96B946_2C55_11D6_8127_00408102B286_.wvu.PrintArea" localSheetId="8" hidden="1">'MITCHELL OPCO'!$A$1:$H$62</definedName>
    <definedName name="Z_4C96B946_2C55_11D6_8127_00408102B286_.wvu.PrintArea" localSheetId="1" hidden="1">'TOTAL CO'!$A$1:$H$62</definedName>
    <definedName name="Z_4C96B947_2C55_11D6_8127_00408102B286_.wvu.PrintArea" localSheetId="12" hidden="1">'CONTROLS'!$A$1:$L$71</definedName>
    <definedName name="Z_4C96B947_2C55_11D6_8127_00408102B286_.wvu.PrintArea" localSheetId="2" hidden="1">'MITCHELL'!$A$1:$H$62</definedName>
    <definedName name="Z_4C96B947_2C55_11D6_8127_00408102B286_.wvu.PrintArea" localSheetId="5" hidden="1">'MITCHELL KPCO'!$A$1:$H$62</definedName>
    <definedName name="Z_4C96B947_2C55_11D6_8127_00408102B286_.wvu.PrintArea" localSheetId="8" hidden="1">'MITCHELL OPCO'!$A$1:$H$62</definedName>
    <definedName name="Z_4C96B947_2C55_11D6_8127_00408102B286_.wvu.PrintArea" localSheetId="1" hidden="1">'TOTAL CO'!$A$1:$H$62</definedName>
    <definedName name="Z_4C96B948_2C55_11D6_8127_00408102B286_.wvu.PrintArea" localSheetId="12" hidden="1">'CONTROLS'!$A$1:$L$71</definedName>
    <definedName name="Z_4C96B948_2C55_11D6_8127_00408102B286_.wvu.PrintArea" localSheetId="2" hidden="1">'MITCHELL'!$A$1:$H$62</definedName>
    <definedName name="Z_4C96B948_2C55_11D6_8127_00408102B286_.wvu.PrintArea" localSheetId="5" hidden="1">'MITCHELL KPCO'!$A$1:$H$62</definedName>
    <definedName name="Z_4C96B948_2C55_11D6_8127_00408102B286_.wvu.PrintArea" localSheetId="8" hidden="1">'MITCHELL OPCO'!$A$1:$H$62</definedName>
    <definedName name="Z_4C96B948_2C55_11D6_8127_00408102B286_.wvu.PrintArea" localSheetId="1" hidden="1">'TOTAL CO'!$A$1:$H$62</definedName>
    <definedName name="Z_4C96B949_2C55_11D6_8127_00408102B286_.wvu.PrintArea" localSheetId="12" hidden="1">'CONTROLS'!$A$1:$L$71</definedName>
    <definedName name="Z_4C96B949_2C55_11D6_8127_00408102B286_.wvu.PrintArea" localSheetId="2" hidden="1">'MITCHELL'!$A$1:$H$62</definedName>
    <definedName name="Z_4C96B949_2C55_11D6_8127_00408102B286_.wvu.PrintArea" localSheetId="5" hidden="1">'MITCHELL KPCO'!$A$1:$H$62</definedName>
    <definedName name="Z_4C96B949_2C55_11D6_8127_00408102B286_.wvu.PrintArea" localSheetId="8" hidden="1">'MITCHELL OPCO'!$A$1:$H$62</definedName>
    <definedName name="Z_4C96B949_2C55_11D6_8127_00408102B286_.wvu.PrintArea" localSheetId="1" hidden="1">'TOTAL CO'!$A$1:$H$62</definedName>
    <definedName name="Z_4C96B94A_2C55_11D6_8127_00408102B286_.wvu.PrintArea" localSheetId="12" hidden="1">'CONTROLS'!$A$1:$L$71</definedName>
    <definedName name="Z_4C96B94A_2C55_11D6_8127_00408102B286_.wvu.PrintArea" localSheetId="2" hidden="1">'MITCHELL'!$A$1:$H$62</definedName>
    <definedName name="Z_4C96B94A_2C55_11D6_8127_00408102B286_.wvu.PrintArea" localSheetId="5" hidden="1">'MITCHELL KPCO'!$A$1:$H$62</definedName>
    <definedName name="Z_4C96B94A_2C55_11D6_8127_00408102B286_.wvu.PrintArea" localSheetId="8" hidden="1">'MITCHELL OPCO'!$A$1:$H$62</definedName>
    <definedName name="Z_4C96B94A_2C55_11D6_8127_00408102B286_.wvu.PrintArea" localSheetId="1" hidden="1">'TOTAL CO'!$A$1:$H$62</definedName>
    <definedName name="Z_4C96B94B_2C55_11D6_8127_00408102B286_.wvu.PrintArea" localSheetId="12" hidden="1">'CONTROLS'!$A$1:$L$71</definedName>
    <definedName name="Z_4C96B94B_2C55_11D6_8127_00408102B286_.wvu.PrintArea" localSheetId="2" hidden="1">'MITCHELL'!$A$1:$H$62</definedName>
    <definedName name="Z_4C96B94B_2C55_11D6_8127_00408102B286_.wvu.PrintArea" localSheetId="5" hidden="1">'MITCHELL KPCO'!$A$1:$H$62</definedName>
    <definedName name="Z_4C96B94B_2C55_11D6_8127_00408102B286_.wvu.PrintArea" localSheetId="8" hidden="1">'MITCHELL OPCO'!$A$1:$H$62</definedName>
    <definedName name="Z_4C96B94B_2C55_11D6_8127_00408102B286_.wvu.PrintArea" localSheetId="1" hidden="1">'TOTAL CO'!$A$1:$H$62</definedName>
    <definedName name="Z_4C96B94D_2C55_11D6_8127_00408102B286_.wvu.PrintArea" localSheetId="12" hidden="1">'CONTROLS'!$A$1:$L$71</definedName>
    <definedName name="Z_4C96B94D_2C55_11D6_8127_00408102B286_.wvu.PrintArea" localSheetId="2" hidden="1">'MITCHELL'!$A$1:$H$62</definedName>
    <definedName name="Z_4C96B94D_2C55_11D6_8127_00408102B286_.wvu.PrintArea" localSheetId="5" hidden="1">'MITCHELL KPCO'!$A$1:$H$62</definedName>
    <definedName name="Z_4C96B94D_2C55_11D6_8127_00408102B286_.wvu.PrintArea" localSheetId="8" hidden="1">'MITCHELL OPCO'!$A$1:$H$62</definedName>
    <definedName name="Z_4C96B94D_2C55_11D6_8127_00408102B286_.wvu.PrintArea" localSheetId="1" hidden="1">'TOTAL CO'!$A$1:$H$62</definedName>
    <definedName name="Z_4C96B94E_2C55_11D6_8127_00408102B286_.wvu.PrintArea" localSheetId="12" hidden="1">'CONTROLS'!$A$1:$L$71</definedName>
    <definedName name="Z_4C96B94E_2C55_11D6_8127_00408102B286_.wvu.PrintArea" localSheetId="2" hidden="1">'MITCHELL'!$A$1:$H$62</definedName>
    <definedName name="Z_4C96B94E_2C55_11D6_8127_00408102B286_.wvu.PrintArea" localSheetId="5" hidden="1">'MITCHELL KPCO'!$A$1:$H$62</definedName>
    <definedName name="Z_4C96B94E_2C55_11D6_8127_00408102B286_.wvu.PrintArea" localSheetId="8" hidden="1">'MITCHELL OPCO'!$A$1:$H$62</definedName>
    <definedName name="Z_4C96B94E_2C55_11D6_8127_00408102B286_.wvu.PrintArea" localSheetId="1" hidden="1">'TOTAL CO'!$A$1:$H$62</definedName>
    <definedName name="Z_4C96B94F_2C55_11D6_8127_00408102B286_.wvu.PrintArea" localSheetId="12" hidden="1">'CONTROLS'!$A$1:$L$71</definedName>
    <definedName name="Z_4C96B94F_2C55_11D6_8127_00408102B286_.wvu.PrintArea" localSheetId="2" hidden="1">'MITCHELL'!$A$1:$H$62</definedName>
    <definedName name="Z_4C96B94F_2C55_11D6_8127_00408102B286_.wvu.PrintArea" localSheetId="5" hidden="1">'MITCHELL KPCO'!$A$1:$H$62</definedName>
    <definedName name="Z_4C96B94F_2C55_11D6_8127_00408102B286_.wvu.PrintArea" localSheetId="8" hidden="1">'MITCHELL OPCO'!$A$1:$H$62</definedName>
    <definedName name="Z_4C96B94F_2C55_11D6_8127_00408102B286_.wvu.PrintArea" localSheetId="1" hidden="1">'TOTAL CO'!$A$1:$H$62</definedName>
    <definedName name="Z_4C96B950_2C55_11D6_8127_00408102B286_.wvu.PrintArea" localSheetId="12" hidden="1">'CONTROLS'!$A$1:$L$71</definedName>
    <definedName name="Z_4C96B950_2C55_11D6_8127_00408102B286_.wvu.PrintArea" localSheetId="2" hidden="1">'MITCHELL'!$A$1:$H$62</definedName>
    <definedName name="Z_4C96B950_2C55_11D6_8127_00408102B286_.wvu.PrintArea" localSheetId="5" hidden="1">'MITCHELL KPCO'!$A$1:$H$62</definedName>
    <definedName name="Z_4C96B950_2C55_11D6_8127_00408102B286_.wvu.PrintArea" localSheetId="8" hidden="1">'MITCHELL OPCO'!$A$1:$H$62</definedName>
    <definedName name="Z_4C96B950_2C55_11D6_8127_00408102B286_.wvu.PrintArea" localSheetId="1" hidden="1">'TOTAL CO'!$A$1:$H$62</definedName>
    <definedName name="Z_4C96B951_2C55_11D6_8127_00408102B286_.wvu.PrintArea" localSheetId="12" hidden="1">'CONTROLS'!$A$1:$L$71</definedName>
    <definedName name="Z_4C96B951_2C55_11D6_8127_00408102B286_.wvu.PrintArea" localSheetId="2" hidden="1">'MITCHELL'!$A$1:$H$62</definedName>
    <definedName name="Z_4C96B951_2C55_11D6_8127_00408102B286_.wvu.PrintArea" localSheetId="5" hidden="1">'MITCHELL KPCO'!$A$1:$H$62</definedName>
    <definedName name="Z_4C96B951_2C55_11D6_8127_00408102B286_.wvu.PrintArea" localSheetId="8" hidden="1">'MITCHELL OPCO'!$A$1:$H$62</definedName>
    <definedName name="Z_4C96B951_2C55_11D6_8127_00408102B286_.wvu.PrintArea" localSheetId="1" hidden="1">'TOTAL CO'!$A$1:$H$62</definedName>
    <definedName name="Z_4C96B952_2C55_11D6_8127_00408102B286_.wvu.PrintArea" localSheetId="12" hidden="1">'CONTROLS'!$A$1:$L$71</definedName>
    <definedName name="Z_4C96B952_2C55_11D6_8127_00408102B286_.wvu.PrintArea" localSheetId="2" hidden="1">'MITCHELL'!$A$1:$H$62</definedName>
    <definedName name="Z_4C96B952_2C55_11D6_8127_00408102B286_.wvu.PrintArea" localSheetId="5" hidden="1">'MITCHELL KPCO'!$A$1:$H$62</definedName>
    <definedName name="Z_4C96B952_2C55_11D6_8127_00408102B286_.wvu.PrintArea" localSheetId="8" hidden="1">'MITCHELL OPCO'!$A$1:$H$62</definedName>
    <definedName name="Z_4C96B952_2C55_11D6_8127_00408102B286_.wvu.PrintArea" localSheetId="1" hidden="1">'TOTAL CO'!$A$1:$H$62</definedName>
    <definedName name="Z_4C96B953_2C55_11D6_8127_00408102B286_.wvu.PrintArea" localSheetId="12" hidden="1">'CONTROLS'!$A$1:$L$71</definedName>
    <definedName name="Z_4C96B953_2C55_11D6_8127_00408102B286_.wvu.PrintArea" localSheetId="2" hidden="1">'MITCHELL'!$A$1:$H$62</definedName>
    <definedName name="Z_4C96B953_2C55_11D6_8127_00408102B286_.wvu.PrintArea" localSheetId="5" hidden="1">'MITCHELL KPCO'!$A$1:$H$62</definedName>
    <definedName name="Z_4C96B953_2C55_11D6_8127_00408102B286_.wvu.PrintArea" localSheetId="8" hidden="1">'MITCHELL OPCO'!$A$1:$H$62</definedName>
    <definedName name="Z_4C96B953_2C55_11D6_8127_00408102B286_.wvu.PrintArea" localSheetId="1" hidden="1">'TOTAL CO'!$A$1:$H$62</definedName>
    <definedName name="Z_55806EA3_9038_11D7_831B_0000F6DC5E66_.wvu.PrintArea" localSheetId="3" hidden="1">'MITCHELL HIGH SULFUR'!$A$1:$H$62</definedName>
    <definedName name="Z_55806EA3_9038_11D7_831B_0000F6DC5E66_.wvu.PrintArea" localSheetId="6" hidden="1">'MITCHELL KPCO HIGH SULFUR'!$A$1:$H$62</definedName>
    <definedName name="Z_55806EA3_9038_11D7_831B_0000F6DC5E66_.wvu.PrintArea" localSheetId="7" hidden="1">'MITCHELL KPCO LOW SULFUR'!$A$1:$H$62</definedName>
    <definedName name="Z_55806EA3_9038_11D7_831B_0000F6DC5E66_.wvu.PrintArea" localSheetId="4" hidden="1">'MITCHELL LOW SULFUR'!$A$1:$H$62</definedName>
    <definedName name="Z_55806EA3_9038_11D7_831B_0000F6DC5E66_.wvu.PrintArea" localSheetId="9" hidden="1">'MITCHELL OPCO HIGH SULFUR'!$A$1:$H$62</definedName>
    <definedName name="Z_55806EA3_9038_11D7_831B_0000F6DC5E66_.wvu.PrintArea" localSheetId="10" hidden="1">'MITCHELL OPCO LOW SULFUR'!$A$1:$H$62</definedName>
    <definedName name="Z_55806EA4_9038_11D7_831B_0000F6DC5E66_.wvu.PrintArea" localSheetId="3" hidden="1">'MITCHELL HIGH SULFUR'!$A$1:$H$62</definedName>
    <definedName name="Z_55806EA4_9038_11D7_831B_0000F6DC5E66_.wvu.PrintArea" localSheetId="6" hidden="1">'MITCHELL KPCO HIGH SULFUR'!$A$1:$H$62</definedName>
    <definedName name="Z_55806EA4_9038_11D7_831B_0000F6DC5E66_.wvu.PrintArea" localSheetId="7" hidden="1">'MITCHELL KPCO LOW SULFUR'!$A$1:$H$62</definedName>
    <definedName name="Z_55806EA4_9038_11D7_831B_0000F6DC5E66_.wvu.PrintArea" localSheetId="4" hidden="1">'MITCHELL LOW SULFUR'!$A$1:$H$62</definedName>
    <definedName name="Z_55806EA4_9038_11D7_831B_0000F6DC5E66_.wvu.PrintArea" localSheetId="9" hidden="1">'MITCHELL OPCO HIGH SULFUR'!$A$1:$H$62</definedName>
    <definedName name="Z_55806EA4_9038_11D7_831B_0000F6DC5E66_.wvu.PrintArea" localSheetId="10" hidden="1">'MITCHELL OPCO LOW SULFUR'!$A$1:$H$62</definedName>
    <definedName name="Z_55806EA5_9038_11D7_831B_0000F6DC5E66_.wvu.PrintArea" localSheetId="3" hidden="1">'MITCHELL HIGH SULFUR'!$A$1:$H$62</definedName>
    <definedName name="Z_55806EA5_9038_11D7_831B_0000F6DC5E66_.wvu.PrintArea" localSheetId="6" hidden="1">'MITCHELL KPCO HIGH SULFUR'!$A$1:$H$62</definedName>
    <definedName name="Z_55806EA5_9038_11D7_831B_0000F6DC5E66_.wvu.PrintArea" localSheetId="7" hidden="1">'MITCHELL KPCO LOW SULFUR'!$A$1:$H$62</definedName>
    <definedName name="Z_55806EA5_9038_11D7_831B_0000F6DC5E66_.wvu.PrintArea" localSheetId="4" hidden="1">'MITCHELL LOW SULFUR'!$A$1:$H$62</definedName>
    <definedName name="Z_55806EA5_9038_11D7_831B_0000F6DC5E66_.wvu.PrintArea" localSheetId="9" hidden="1">'MITCHELL OPCO HIGH SULFUR'!$A$1:$H$62</definedName>
    <definedName name="Z_55806EA5_9038_11D7_831B_0000F6DC5E66_.wvu.PrintArea" localSheetId="10" hidden="1">'MITCHELL OPCO LOW SULFUR'!$A$1:$H$62</definedName>
    <definedName name="Z_55806EA6_9038_11D7_831B_0000F6DC5E66_.wvu.PrintArea" localSheetId="3" hidden="1">'MITCHELL HIGH SULFUR'!$A$1:$H$62</definedName>
    <definedName name="Z_55806EA6_9038_11D7_831B_0000F6DC5E66_.wvu.PrintArea" localSheetId="6" hidden="1">'MITCHELL KPCO HIGH SULFUR'!$A$1:$H$62</definedName>
    <definedName name="Z_55806EA6_9038_11D7_831B_0000F6DC5E66_.wvu.PrintArea" localSheetId="7" hidden="1">'MITCHELL KPCO LOW SULFUR'!$A$1:$H$62</definedName>
    <definedName name="Z_55806EA6_9038_11D7_831B_0000F6DC5E66_.wvu.PrintArea" localSheetId="4" hidden="1">'MITCHELL LOW SULFUR'!$A$1:$H$62</definedName>
    <definedName name="Z_55806EA6_9038_11D7_831B_0000F6DC5E66_.wvu.PrintArea" localSheetId="9" hidden="1">'MITCHELL OPCO HIGH SULFUR'!$A$1:$H$62</definedName>
    <definedName name="Z_55806EA6_9038_11D7_831B_0000F6DC5E66_.wvu.PrintArea" localSheetId="10" hidden="1">'MITCHELL OPCO LOW SULFUR'!$A$1:$H$62</definedName>
    <definedName name="Z_55806EA7_9038_11D7_831B_0000F6DC5E66_.wvu.PrintArea" localSheetId="3" hidden="1">'MITCHELL HIGH SULFUR'!$A$1:$H$62</definedName>
    <definedName name="Z_55806EA7_9038_11D7_831B_0000F6DC5E66_.wvu.PrintArea" localSheetId="6" hidden="1">'MITCHELL KPCO HIGH SULFUR'!$A$1:$H$62</definedName>
    <definedName name="Z_55806EA7_9038_11D7_831B_0000F6DC5E66_.wvu.PrintArea" localSheetId="7" hidden="1">'MITCHELL KPCO LOW SULFUR'!$A$1:$H$62</definedName>
    <definedName name="Z_55806EA7_9038_11D7_831B_0000F6DC5E66_.wvu.PrintArea" localSheetId="4" hidden="1">'MITCHELL LOW SULFUR'!$A$1:$H$62</definedName>
    <definedName name="Z_55806EA7_9038_11D7_831B_0000F6DC5E66_.wvu.PrintArea" localSheetId="9" hidden="1">'MITCHELL OPCO HIGH SULFUR'!$A$1:$H$62</definedName>
    <definedName name="Z_55806EA7_9038_11D7_831B_0000F6DC5E66_.wvu.PrintArea" localSheetId="10" hidden="1">'MITCHELL OPCO LOW SULFUR'!$A$1:$H$62</definedName>
    <definedName name="Z_55806EA8_9038_11D7_831B_0000F6DC5E66_.wvu.PrintArea" localSheetId="3" hidden="1">'MITCHELL HIGH SULFUR'!$A$1:$H$62</definedName>
    <definedName name="Z_55806EA8_9038_11D7_831B_0000F6DC5E66_.wvu.PrintArea" localSheetId="6" hidden="1">'MITCHELL KPCO HIGH SULFUR'!$A$1:$H$62</definedName>
    <definedName name="Z_55806EA8_9038_11D7_831B_0000F6DC5E66_.wvu.PrintArea" localSheetId="7" hidden="1">'MITCHELL KPCO LOW SULFUR'!$A$1:$H$62</definedName>
    <definedName name="Z_55806EA8_9038_11D7_831B_0000F6DC5E66_.wvu.PrintArea" localSheetId="4" hidden="1">'MITCHELL LOW SULFUR'!$A$1:$H$62</definedName>
    <definedName name="Z_55806EA8_9038_11D7_831B_0000F6DC5E66_.wvu.PrintArea" localSheetId="9" hidden="1">'MITCHELL OPCO HIGH SULFUR'!$A$1:$H$62</definedName>
    <definedName name="Z_55806EA8_9038_11D7_831B_0000F6DC5E66_.wvu.PrintArea" localSheetId="10" hidden="1">'MITCHELL OPCO LOW SULFUR'!$A$1:$H$62</definedName>
    <definedName name="Z_55806EA9_9038_11D7_831B_0000F6DC5E66_.wvu.PrintArea" localSheetId="3" hidden="1">'MITCHELL HIGH SULFUR'!$A$1:$H$62</definedName>
    <definedName name="Z_55806EA9_9038_11D7_831B_0000F6DC5E66_.wvu.PrintArea" localSheetId="6" hidden="1">'MITCHELL KPCO HIGH SULFUR'!$A$1:$H$62</definedName>
    <definedName name="Z_55806EA9_9038_11D7_831B_0000F6DC5E66_.wvu.PrintArea" localSheetId="7" hidden="1">'MITCHELL KPCO LOW SULFUR'!$A$1:$H$62</definedName>
    <definedName name="Z_55806EA9_9038_11D7_831B_0000F6DC5E66_.wvu.PrintArea" localSheetId="4" hidden="1">'MITCHELL LOW SULFUR'!$A$1:$H$62</definedName>
    <definedName name="Z_55806EA9_9038_11D7_831B_0000F6DC5E66_.wvu.PrintArea" localSheetId="9" hidden="1">'MITCHELL OPCO HIGH SULFUR'!$A$1:$H$62</definedName>
    <definedName name="Z_55806EA9_9038_11D7_831B_0000F6DC5E66_.wvu.PrintArea" localSheetId="10" hidden="1">'MITCHELL OPCO LOW SULFUR'!$A$1:$H$62</definedName>
    <definedName name="Z_55806EAA_9038_11D7_831B_0000F6DC5E66_.wvu.PrintArea" localSheetId="3" hidden="1">'MITCHELL HIGH SULFUR'!$A$1:$H$62</definedName>
    <definedName name="Z_55806EAA_9038_11D7_831B_0000F6DC5E66_.wvu.PrintArea" localSheetId="6" hidden="1">'MITCHELL KPCO HIGH SULFUR'!$A$1:$H$62</definedName>
    <definedName name="Z_55806EAA_9038_11D7_831B_0000F6DC5E66_.wvu.PrintArea" localSheetId="7" hidden="1">'MITCHELL KPCO LOW SULFUR'!$A$1:$H$62</definedName>
    <definedName name="Z_55806EAA_9038_11D7_831B_0000F6DC5E66_.wvu.PrintArea" localSheetId="4" hidden="1">'MITCHELL LOW SULFUR'!$A$1:$H$62</definedName>
    <definedName name="Z_55806EAA_9038_11D7_831B_0000F6DC5E66_.wvu.PrintArea" localSheetId="9" hidden="1">'MITCHELL OPCO HIGH SULFUR'!$A$1:$H$62</definedName>
    <definedName name="Z_55806EAA_9038_11D7_831B_0000F6DC5E66_.wvu.PrintArea" localSheetId="10" hidden="1">'MITCHELL OPCO LOW SULFUR'!$A$1:$H$62</definedName>
    <definedName name="Z_55806EAC_9038_11D7_831B_0000F6DC5E66_.wvu.PrintArea" localSheetId="3" hidden="1">'MITCHELL HIGH SULFUR'!$A$1:$H$62</definedName>
    <definedName name="Z_55806EAC_9038_11D7_831B_0000F6DC5E66_.wvu.PrintArea" localSheetId="6" hidden="1">'MITCHELL KPCO HIGH SULFUR'!$A$1:$H$62</definedName>
    <definedName name="Z_55806EAC_9038_11D7_831B_0000F6DC5E66_.wvu.PrintArea" localSheetId="7" hidden="1">'MITCHELL KPCO LOW SULFUR'!$A$1:$H$62</definedName>
    <definedName name="Z_55806EAC_9038_11D7_831B_0000F6DC5E66_.wvu.PrintArea" localSheetId="4" hidden="1">'MITCHELL LOW SULFUR'!$A$1:$H$62</definedName>
    <definedName name="Z_55806EAC_9038_11D7_831B_0000F6DC5E66_.wvu.PrintArea" localSheetId="9" hidden="1">'MITCHELL OPCO HIGH SULFUR'!$A$1:$H$62</definedName>
    <definedName name="Z_55806EAC_9038_11D7_831B_0000F6DC5E66_.wvu.PrintArea" localSheetId="10" hidden="1">'MITCHELL OPCO LOW SULFUR'!$A$1:$H$62</definedName>
    <definedName name="Z_55806EAD_9038_11D7_831B_0000F6DC5E66_.wvu.PrintArea" localSheetId="3" hidden="1">'MITCHELL HIGH SULFUR'!$A$1:$H$62</definedName>
    <definedName name="Z_55806EAD_9038_11D7_831B_0000F6DC5E66_.wvu.PrintArea" localSheetId="6" hidden="1">'MITCHELL KPCO HIGH SULFUR'!$A$1:$H$62</definedName>
    <definedName name="Z_55806EAD_9038_11D7_831B_0000F6DC5E66_.wvu.PrintArea" localSheetId="7" hidden="1">'MITCHELL KPCO LOW SULFUR'!$A$1:$H$62</definedName>
    <definedName name="Z_55806EAD_9038_11D7_831B_0000F6DC5E66_.wvu.PrintArea" localSheetId="4" hidden="1">'MITCHELL LOW SULFUR'!$A$1:$H$62</definedName>
    <definedName name="Z_55806EAD_9038_11D7_831B_0000F6DC5E66_.wvu.PrintArea" localSheetId="9" hidden="1">'MITCHELL OPCO HIGH SULFUR'!$A$1:$H$62</definedName>
    <definedName name="Z_55806EAD_9038_11D7_831B_0000F6DC5E66_.wvu.PrintArea" localSheetId="10" hidden="1">'MITCHELL OPCO LOW SULFUR'!$A$1:$H$62</definedName>
    <definedName name="Z_55806EAE_9038_11D7_831B_0000F6DC5E66_.wvu.PrintArea" localSheetId="3" hidden="1">'MITCHELL HIGH SULFUR'!$A$1:$H$62</definedName>
    <definedName name="Z_55806EAE_9038_11D7_831B_0000F6DC5E66_.wvu.PrintArea" localSheetId="6" hidden="1">'MITCHELL KPCO HIGH SULFUR'!$A$1:$H$62</definedName>
    <definedName name="Z_55806EAE_9038_11D7_831B_0000F6DC5E66_.wvu.PrintArea" localSheetId="7" hidden="1">'MITCHELL KPCO LOW SULFUR'!$A$1:$H$62</definedName>
    <definedName name="Z_55806EAE_9038_11D7_831B_0000F6DC5E66_.wvu.PrintArea" localSheetId="4" hidden="1">'MITCHELL LOW SULFUR'!$A$1:$H$62</definedName>
    <definedName name="Z_55806EAE_9038_11D7_831B_0000F6DC5E66_.wvu.PrintArea" localSheetId="9" hidden="1">'MITCHELL OPCO HIGH SULFUR'!$A$1:$H$62</definedName>
    <definedName name="Z_55806EAE_9038_11D7_831B_0000F6DC5E66_.wvu.PrintArea" localSheetId="10" hidden="1">'MITCHELL OPCO LOW SULFUR'!$A$1:$H$62</definedName>
    <definedName name="Z_55806EAF_9038_11D7_831B_0000F6DC5E66_.wvu.PrintArea" localSheetId="3" hidden="1">'MITCHELL HIGH SULFUR'!$A$1:$H$62</definedName>
    <definedName name="Z_55806EAF_9038_11D7_831B_0000F6DC5E66_.wvu.PrintArea" localSheetId="6" hidden="1">'MITCHELL KPCO HIGH SULFUR'!$A$1:$H$62</definedName>
    <definedName name="Z_55806EAF_9038_11D7_831B_0000F6DC5E66_.wvu.PrintArea" localSheetId="7" hidden="1">'MITCHELL KPCO LOW SULFUR'!$A$1:$H$62</definedName>
    <definedName name="Z_55806EAF_9038_11D7_831B_0000F6DC5E66_.wvu.PrintArea" localSheetId="4" hidden="1">'MITCHELL LOW SULFUR'!$A$1:$H$62</definedName>
    <definedName name="Z_55806EAF_9038_11D7_831B_0000F6DC5E66_.wvu.PrintArea" localSheetId="9" hidden="1">'MITCHELL OPCO HIGH SULFUR'!$A$1:$H$62</definedName>
    <definedName name="Z_55806EAF_9038_11D7_831B_0000F6DC5E66_.wvu.PrintArea" localSheetId="10" hidden="1">'MITCHELL OPCO LOW SULFUR'!$A$1:$H$62</definedName>
    <definedName name="Z_55806ED4_9038_11D7_831B_0000F6DC5E66_.wvu.PrintArea" localSheetId="3" hidden="1">'MITCHELL HIGH SULFUR'!$A$1:$H$62</definedName>
    <definedName name="Z_55806ED4_9038_11D7_831B_0000F6DC5E66_.wvu.PrintArea" localSheetId="6" hidden="1">'MITCHELL KPCO HIGH SULFUR'!$A$1:$H$62</definedName>
    <definedName name="Z_55806ED4_9038_11D7_831B_0000F6DC5E66_.wvu.PrintArea" localSheetId="7" hidden="1">'MITCHELL KPCO LOW SULFUR'!$A$1:$H$62</definedName>
    <definedName name="Z_55806ED4_9038_11D7_831B_0000F6DC5E66_.wvu.PrintArea" localSheetId="4" hidden="1">'MITCHELL LOW SULFUR'!$A$1:$H$62</definedName>
    <definedName name="Z_55806ED4_9038_11D7_831B_0000F6DC5E66_.wvu.PrintArea" localSheetId="9" hidden="1">'MITCHELL OPCO HIGH SULFUR'!$A$1:$H$62</definedName>
    <definedName name="Z_55806ED4_9038_11D7_831B_0000F6DC5E66_.wvu.PrintArea" localSheetId="10" hidden="1">'MITCHELL OPCO LOW SULFUR'!$A$1:$H$62</definedName>
    <definedName name="Z_657F2F69_1545_4DED_A92B_4A56E105B8CC_.wvu.PrintArea" localSheetId="12" hidden="1">'CONTROLS'!$A$1:$L$71</definedName>
    <definedName name="Z_657F2F69_1545_4DED_A92B_4A56E105B8CC_.wvu.PrintArea" localSheetId="2" hidden="1">'MITCHELL'!$A$1:$H$62</definedName>
    <definedName name="Z_657F2F69_1545_4DED_A92B_4A56E105B8CC_.wvu.PrintArea" localSheetId="5" hidden="1">'MITCHELL KPCO'!$A$1:$H$62</definedName>
    <definedName name="Z_657F2F69_1545_4DED_A92B_4A56E105B8CC_.wvu.PrintArea" localSheetId="8" hidden="1">'MITCHELL OPCO'!$A$1:$H$62</definedName>
    <definedName name="Z_657F2F69_1545_4DED_A92B_4A56E105B8CC_.wvu.PrintArea" localSheetId="1" hidden="1">'TOTAL CO'!$A$1:$H$62</definedName>
    <definedName name="Z_6B93C9EA_03B2_4A05_AB43_271091661164_.wvu.PrintArea" localSheetId="12" hidden="1">'CONTROLS'!$A$1:$L$71</definedName>
    <definedName name="Z_6B93C9EA_03B2_4A05_AB43_271091661164_.wvu.PrintArea" localSheetId="2" hidden="1">'MITCHELL'!$A$1:$H$62</definedName>
    <definedName name="Z_6B93C9EA_03B2_4A05_AB43_271091661164_.wvu.PrintArea" localSheetId="5" hidden="1">'MITCHELL KPCO'!$A$1:$H$62</definedName>
    <definedName name="Z_6B93C9EA_03B2_4A05_AB43_271091661164_.wvu.PrintArea" localSheetId="8" hidden="1">'MITCHELL OPCO'!$A$1:$H$62</definedName>
    <definedName name="Z_6B93C9EA_03B2_4A05_AB43_271091661164_.wvu.PrintArea" localSheetId="1" hidden="1">'TOTAL CO'!$A$1:$H$62</definedName>
    <definedName name="Z_71F956B3_29A7_4CAA_9D56_DD7041D6254A_.wvu.PrintArea" localSheetId="12" hidden="1">'CONTROLS'!$A$1:$L$71</definedName>
    <definedName name="Z_71F956B3_29A7_4CAA_9D56_DD7041D6254A_.wvu.PrintArea" localSheetId="2" hidden="1">'MITCHELL'!$A$1:$H$62</definedName>
    <definedName name="Z_71F956B3_29A7_4CAA_9D56_DD7041D6254A_.wvu.PrintArea" localSheetId="5" hidden="1">'MITCHELL KPCO'!$A$1:$H$62</definedName>
    <definedName name="Z_71F956B3_29A7_4CAA_9D56_DD7041D6254A_.wvu.PrintArea" localSheetId="8" hidden="1">'MITCHELL OPCO'!$A$1:$H$62</definedName>
    <definedName name="Z_71F956B3_29A7_4CAA_9D56_DD7041D6254A_.wvu.PrintArea" localSheetId="1" hidden="1">'TOTAL CO'!$A$1:$H$62</definedName>
    <definedName name="Z_76C3EA8B_4E55_4D6C_9336_7C34DE1B3188_.wvu.PrintArea" localSheetId="3" hidden="1">'MITCHELL HIGH SULFUR'!$A$1:$H$62</definedName>
    <definedName name="Z_76C3EA8B_4E55_4D6C_9336_7C34DE1B3188_.wvu.PrintArea" localSheetId="6" hidden="1">'MITCHELL KPCO HIGH SULFUR'!$A$1:$H$62</definedName>
    <definedName name="Z_76C3EA8B_4E55_4D6C_9336_7C34DE1B3188_.wvu.PrintArea" localSheetId="7" hidden="1">'MITCHELL KPCO LOW SULFUR'!$A$1:$H$62</definedName>
    <definedName name="Z_76C3EA8B_4E55_4D6C_9336_7C34DE1B3188_.wvu.PrintArea" localSheetId="4" hidden="1">'MITCHELL LOW SULFUR'!$A$1:$H$62</definedName>
    <definedName name="Z_76C3EA8B_4E55_4D6C_9336_7C34DE1B3188_.wvu.PrintArea" localSheetId="9" hidden="1">'MITCHELL OPCO HIGH SULFUR'!$A$1:$H$62</definedName>
    <definedName name="Z_76C3EA8B_4E55_4D6C_9336_7C34DE1B3188_.wvu.PrintArea" localSheetId="10" hidden="1">'MITCHELL OPCO LOW SULFUR'!$A$1:$H$62</definedName>
    <definedName name="Z_86C1A35F_79D1_42B8_BA3A_C5E08B060A08_.wvu.PrintArea" localSheetId="12" hidden="1">'CONTROLS'!$A$1:$L$71</definedName>
    <definedName name="Z_86C1A35F_79D1_42B8_BA3A_C5E08B060A08_.wvu.PrintArea" localSheetId="2" hidden="1">'MITCHELL'!$A$1:$H$62</definedName>
    <definedName name="Z_86C1A35F_79D1_42B8_BA3A_C5E08B060A08_.wvu.PrintArea" localSheetId="5" hidden="1">'MITCHELL KPCO'!$A$1:$H$62</definedName>
    <definedName name="Z_86C1A35F_79D1_42B8_BA3A_C5E08B060A08_.wvu.PrintArea" localSheetId="8" hidden="1">'MITCHELL OPCO'!$A$1:$H$62</definedName>
    <definedName name="Z_86C1A35F_79D1_42B8_BA3A_C5E08B060A08_.wvu.PrintArea" localSheetId="1" hidden="1">'TOTAL CO'!$A$1:$H$62</definedName>
    <definedName name="Z_8E643ED2_22DF_4B7D_9366_2481120FB69A_.wvu.PrintArea" localSheetId="12" hidden="1">'CONTROLS'!$A$1:$L$71</definedName>
    <definedName name="Z_8E643ED2_22DF_4B7D_9366_2481120FB69A_.wvu.PrintArea" localSheetId="2" hidden="1">'MITCHELL'!$A$1:$H$62</definedName>
    <definedName name="Z_8E643ED2_22DF_4B7D_9366_2481120FB69A_.wvu.PrintArea" localSheetId="5" hidden="1">'MITCHELL KPCO'!$A$1:$H$62</definedName>
    <definedName name="Z_8E643ED2_22DF_4B7D_9366_2481120FB69A_.wvu.PrintArea" localSheetId="8" hidden="1">'MITCHELL OPCO'!$A$1:$H$62</definedName>
    <definedName name="Z_8E643ED2_22DF_4B7D_9366_2481120FB69A_.wvu.PrintArea" localSheetId="1" hidden="1">'TOTAL CO'!$A$1:$H$62</definedName>
    <definedName name="Z_988A8FF7_A5F8_4AE7_96A5_71FDA27B1592_.wvu.PrintArea" localSheetId="12" hidden="1">'CONTROLS'!$A$1:$L$71</definedName>
    <definedName name="Z_988A8FF7_A5F8_4AE7_96A5_71FDA27B1592_.wvu.PrintArea" localSheetId="2" hidden="1">'MITCHELL'!$A$1:$H$62</definedName>
    <definedName name="Z_988A8FF7_A5F8_4AE7_96A5_71FDA27B1592_.wvu.PrintArea" localSheetId="5" hidden="1">'MITCHELL KPCO'!$A$1:$H$62</definedName>
    <definedName name="Z_988A8FF7_A5F8_4AE7_96A5_71FDA27B1592_.wvu.PrintArea" localSheetId="8" hidden="1">'MITCHELL OPCO'!$A$1:$H$62</definedName>
    <definedName name="Z_988A8FF7_A5F8_4AE7_96A5_71FDA27B1592_.wvu.PrintArea" localSheetId="1" hidden="1">'TOTAL CO'!$A$1:$H$62</definedName>
    <definedName name="Z_A95B6240_F321_4E53_95D9_7732C6C2E763_.wvu.PrintArea" localSheetId="12" hidden="1">'CONTROLS'!$A$1:$L$71</definedName>
    <definedName name="Z_A95B6240_F321_4E53_95D9_7732C6C2E763_.wvu.PrintArea" localSheetId="2" hidden="1">'MITCHELL'!$A$1:$H$62</definedName>
    <definedName name="Z_A95B6240_F321_4E53_95D9_7732C6C2E763_.wvu.PrintArea" localSheetId="5" hidden="1">'MITCHELL KPCO'!$A$1:$H$62</definedName>
    <definedName name="Z_A95B6240_F321_4E53_95D9_7732C6C2E763_.wvu.PrintArea" localSheetId="8" hidden="1">'MITCHELL OPCO'!$A$1:$H$62</definedName>
    <definedName name="Z_A95B6240_F321_4E53_95D9_7732C6C2E763_.wvu.PrintArea" localSheetId="1" hidden="1">'TOTAL CO'!$A$1:$H$62</definedName>
    <definedName name="Z_AB731C1F_A3EE_4FC2_8A89_F4203FDFA5B6_.wvu.PrintArea" localSheetId="12" hidden="1">'CONTROLS'!$A$1:$L$71</definedName>
    <definedName name="Z_AB731C1F_A3EE_4FC2_8A89_F4203FDFA5B6_.wvu.PrintArea" localSheetId="2" hidden="1">'MITCHELL'!$A$1:$H$62</definedName>
    <definedName name="Z_AB731C1F_A3EE_4FC2_8A89_F4203FDFA5B6_.wvu.PrintArea" localSheetId="5" hidden="1">'MITCHELL KPCO'!$A$1:$H$62</definedName>
    <definedName name="Z_AB731C1F_A3EE_4FC2_8A89_F4203FDFA5B6_.wvu.PrintArea" localSheetId="8" hidden="1">'MITCHELL OPCO'!$A$1:$H$62</definedName>
    <definedName name="Z_AB731C1F_A3EE_4FC2_8A89_F4203FDFA5B6_.wvu.PrintArea" localSheetId="1" hidden="1">'TOTAL CO'!$A$1:$H$62</definedName>
    <definedName name="Z_B8B3C5F3_2633_11D6_818E_0000F6DC5E66_.wvu.PrintArea" localSheetId="3" hidden="1">'MITCHELL HIGH SULFUR'!$A$1:$H$62</definedName>
    <definedName name="Z_B8B3C5F3_2633_11D6_818E_0000F6DC5E66_.wvu.PrintArea" localSheetId="6" hidden="1">'MITCHELL KPCO HIGH SULFUR'!$A$1:$H$62</definedName>
    <definedName name="Z_B8B3C5F3_2633_11D6_818E_0000F6DC5E66_.wvu.PrintArea" localSheetId="7" hidden="1">'MITCHELL KPCO LOW SULFUR'!$A$1:$H$62</definedName>
    <definedName name="Z_B8B3C5F3_2633_11D6_818E_0000F6DC5E66_.wvu.PrintArea" localSheetId="4" hidden="1">'MITCHELL LOW SULFUR'!$A$1:$H$62</definedName>
    <definedName name="Z_B8B3C5F3_2633_11D6_818E_0000F6DC5E66_.wvu.PrintArea" localSheetId="9" hidden="1">'MITCHELL OPCO HIGH SULFUR'!$A$1:$H$62</definedName>
    <definedName name="Z_B8B3C5F3_2633_11D6_818E_0000F6DC5E66_.wvu.PrintArea" localSheetId="10" hidden="1">'MITCHELL OPCO LOW SULFUR'!$A$1:$H$62</definedName>
    <definedName name="Z_B8B3C5F4_2633_11D6_818E_0000F6DC5E66_.wvu.PrintArea" localSheetId="3" hidden="1">'MITCHELL HIGH SULFUR'!$A$1:$H$62</definedName>
    <definedName name="Z_B8B3C5F4_2633_11D6_818E_0000F6DC5E66_.wvu.PrintArea" localSheetId="6" hidden="1">'MITCHELL KPCO HIGH SULFUR'!$A$1:$H$62</definedName>
    <definedName name="Z_B8B3C5F4_2633_11D6_818E_0000F6DC5E66_.wvu.PrintArea" localSheetId="7" hidden="1">'MITCHELL KPCO LOW SULFUR'!$A$1:$H$62</definedName>
    <definedName name="Z_B8B3C5F4_2633_11D6_818E_0000F6DC5E66_.wvu.PrintArea" localSheetId="4" hidden="1">'MITCHELL LOW SULFUR'!$A$1:$H$62</definedName>
    <definedName name="Z_B8B3C5F4_2633_11D6_818E_0000F6DC5E66_.wvu.PrintArea" localSheetId="9" hidden="1">'MITCHELL OPCO HIGH SULFUR'!$A$1:$H$62</definedName>
    <definedName name="Z_B8B3C5F4_2633_11D6_818E_0000F6DC5E66_.wvu.PrintArea" localSheetId="10" hidden="1">'MITCHELL OPCO LOW SULFUR'!$A$1:$H$62</definedName>
    <definedName name="Z_B8B3C5FF_2633_11D6_818E_0000F6DC5E66_.wvu.PrintArea" localSheetId="3" hidden="1">'MITCHELL HIGH SULFUR'!$A$1:$H$62</definedName>
    <definedName name="Z_B8B3C5FF_2633_11D6_818E_0000F6DC5E66_.wvu.PrintArea" localSheetId="6" hidden="1">'MITCHELL KPCO HIGH SULFUR'!$A$1:$H$62</definedName>
    <definedName name="Z_B8B3C5FF_2633_11D6_818E_0000F6DC5E66_.wvu.PrintArea" localSheetId="7" hidden="1">'MITCHELL KPCO LOW SULFUR'!$A$1:$H$62</definedName>
    <definedName name="Z_B8B3C5FF_2633_11D6_818E_0000F6DC5E66_.wvu.PrintArea" localSheetId="4" hidden="1">'MITCHELL LOW SULFUR'!$A$1:$H$62</definedName>
    <definedName name="Z_B8B3C5FF_2633_11D6_818E_0000F6DC5E66_.wvu.PrintArea" localSheetId="9" hidden="1">'MITCHELL OPCO HIGH SULFUR'!$A$1:$H$62</definedName>
    <definedName name="Z_B8B3C5FF_2633_11D6_818E_0000F6DC5E66_.wvu.PrintArea" localSheetId="10" hidden="1">'MITCHELL OPCO LOW SULFUR'!$A$1:$H$62</definedName>
    <definedName name="Z_B8B3C600_2633_11D6_818E_0000F6DC5E66_.wvu.PrintArea" localSheetId="3" hidden="1">'MITCHELL HIGH SULFUR'!$A$1:$H$62</definedName>
    <definedName name="Z_B8B3C600_2633_11D6_818E_0000F6DC5E66_.wvu.PrintArea" localSheetId="6" hidden="1">'MITCHELL KPCO HIGH SULFUR'!$A$1:$H$62</definedName>
    <definedName name="Z_B8B3C600_2633_11D6_818E_0000F6DC5E66_.wvu.PrintArea" localSheetId="7" hidden="1">'MITCHELL KPCO LOW SULFUR'!$A$1:$H$62</definedName>
    <definedName name="Z_B8B3C600_2633_11D6_818E_0000F6DC5E66_.wvu.PrintArea" localSheetId="4" hidden="1">'MITCHELL LOW SULFUR'!$A$1:$H$62</definedName>
    <definedName name="Z_B8B3C600_2633_11D6_818E_0000F6DC5E66_.wvu.PrintArea" localSheetId="9" hidden="1">'MITCHELL OPCO HIGH SULFUR'!$A$1:$H$62</definedName>
    <definedName name="Z_B8B3C600_2633_11D6_818E_0000F6DC5E66_.wvu.PrintArea" localSheetId="10" hidden="1">'MITCHELL OPCO LOW SULFUR'!$A$1:$H$62</definedName>
    <definedName name="Z_B8B3C601_2633_11D6_818E_0000F6DC5E66_.wvu.PrintArea" localSheetId="3" hidden="1">'MITCHELL HIGH SULFUR'!$A$1:$H$62</definedName>
    <definedName name="Z_B8B3C601_2633_11D6_818E_0000F6DC5E66_.wvu.PrintArea" localSheetId="6" hidden="1">'MITCHELL KPCO HIGH SULFUR'!$A$1:$H$62</definedName>
    <definedName name="Z_B8B3C601_2633_11D6_818E_0000F6DC5E66_.wvu.PrintArea" localSheetId="7" hidden="1">'MITCHELL KPCO LOW SULFUR'!$A$1:$H$62</definedName>
    <definedName name="Z_B8B3C601_2633_11D6_818E_0000F6DC5E66_.wvu.PrintArea" localSheetId="4" hidden="1">'MITCHELL LOW SULFUR'!$A$1:$H$62</definedName>
    <definedName name="Z_B8B3C601_2633_11D6_818E_0000F6DC5E66_.wvu.PrintArea" localSheetId="9" hidden="1">'MITCHELL OPCO HIGH SULFUR'!$A$1:$H$62</definedName>
    <definedName name="Z_B8B3C601_2633_11D6_818E_0000F6DC5E66_.wvu.PrintArea" localSheetId="10" hidden="1">'MITCHELL OPCO LOW SULFUR'!$A$1:$H$62</definedName>
    <definedName name="Z_B8B3C602_2633_11D6_818E_0000F6DC5E66_.wvu.PrintArea" localSheetId="3" hidden="1">'MITCHELL HIGH SULFUR'!$A$1:$H$62</definedName>
    <definedName name="Z_B8B3C602_2633_11D6_818E_0000F6DC5E66_.wvu.PrintArea" localSheetId="6" hidden="1">'MITCHELL KPCO HIGH SULFUR'!$A$1:$H$62</definedName>
    <definedName name="Z_B8B3C602_2633_11D6_818E_0000F6DC5E66_.wvu.PrintArea" localSheetId="7" hidden="1">'MITCHELL KPCO LOW SULFUR'!$A$1:$H$62</definedName>
    <definedName name="Z_B8B3C602_2633_11D6_818E_0000F6DC5E66_.wvu.PrintArea" localSheetId="4" hidden="1">'MITCHELL LOW SULFUR'!$A$1:$H$62</definedName>
    <definedName name="Z_B8B3C602_2633_11D6_818E_0000F6DC5E66_.wvu.PrintArea" localSheetId="9" hidden="1">'MITCHELL OPCO HIGH SULFUR'!$A$1:$H$62</definedName>
    <definedName name="Z_B8B3C602_2633_11D6_818E_0000F6DC5E66_.wvu.PrintArea" localSheetId="10" hidden="1">'MITCHELL OPCO LOW SULFUR'!$A$1:$H$62</definedName>
    <definedName name="Z_B8B3C603_2633_11D6_818E_0000F6DC5E66_.wvu.PrintArea" localSheetId="3" hidden="1">'MITCHELL HIGH SULFUR'!$A$1:$H$62</definedName>
    <definedName name="Z_B8B3C603_2633_11D6_818E_0000F6DC5E66_.wvu.PrintArea" localSheetId="6" hidden="1">'MITCHELL KPCO HIGH SULFUR'!$A$1:$H$62</definedName>
    <definedName name="Z_B8B3C603_2633_11D6_818E_0000F6DC5E66_.wvu.PrintArea" localSheetId="7" hidden="1">'MITCHELL KPCO LOW SULFUR'!$A$1:$H$62</definedName>
    <definedName name="Z_B8B3C603_2633_11D6_818E_0000F6DC5E66_.wvu.PrintArea" localSheetId="4" hidden="1">'MITCHELL LOW SULFUR'!$A$1:$H$62</definedName>
    <definedName name="Z_B8B3C603_2633_11D6_818E_0000F6DC5E66_.wvu.PrintArea" localSheetId="9" hidden="1">'MITCHELL OPCO HIGH SULFUR'!$A$1:$H$62</definedName>
    <definedName name="Z_B8B3C603_2633_11D6_818E_0000F6DC5E66_.wvu.PrintArea" localSheetId="10" hidden="1">'MITCHELL OPCO LOW SULFUR'!$A$1:$H$62</definedName>
    <definedName name="Z_B8B3C604_2633_11D6_818E_0000F6DC5E66_.wvu.PrintArea" localSheetId="3" hidden="1">'MITCHELL HIGH SULFUR'!$A$1:$H$62</definedName>
    <definedName name="Z_B8B3C604_2633_11D6_818E_0000F6DC5E66_.wvu.PrintArea" localSheetId="6" hidden="1">'MITCHELL KPCO HIGH SULFUR'!$A$1:$H$62</definedName>
    <definedName name="Z_B8B3C604_2633_11D6_818E_0000F6DC5E66_.wvu.PrintArea" localSheetId="7" hidden="1">'MITCHELL KPCO LOW SULFUR'!$A$1:$H$62</definedName>
    <definedName name="Z_B8B3C604_2633_11D6_818E_0000F6DC5E66_.wvu.PrintArea" localSheetId="4" hidden="1">'MITCHELL LOW SULFUR'!$A$1:$H$62</definedName>
    <definedName name="Z_B8B3C604_2633_11D6_818E_0000F6DC5E66_.wvu.PrintArea" localSheetId="9" hidden="1">'MITCHELL OPCO HIGH SULFUR'!$A$1:$H$62</definedName>
    <definedName name="Z_B8B3C604_2633_11D6_818E_0000F6DC5E66_.wvu.PrintArea" localSheetId="10" hidden="1">'MITCHELL OPCO LOW SULFUR'!$A$1:$H$62</definedName>
    <definedName name="Z_B8B3C605_2633_11D6_818E_0000F6DC5E66_.wvu.PrintArea" localSheetId="3" hidden="1">'MITCHELL HIGH SULFUR'!$A$1:$H$62</definedName>
    <definedName name="Z_B8B3C605_2633_11D6_818E_0000F6DC5E66_.wvu.PrintArea" localSheetId="6" hidden="1">'MITCHELL KPCO HIGH SULFUR'!$A$1:$H$62</definedName>
    <definedName name="Z_B8B3C605_2633_11D6_818E_0000F6DC5E66_.wvu.PrintArea" localSheetId="7" hidden="1">'MITCHELL KPCO LOW SULFUR'!$A$1:$H$62</definedName>
    <definedName name="Z_B8B3C605_2633_11D6_818E_0000F6DC5E66_.wvu.PrintArea" localSheetId="4" hidden="1">'MITCHELL LOW SULFUR'!$A$1:$H$62</definedName>
    <definedName name="Z_B8B3C605_2633_11D6_818E_0000F6DC5E66_.wvu.PrintArea" localSheetId="9" hidden="1">'MITCHELL OPCO HIGH SULFUR'!$A$1:$H$62</definedName>
    <definedName name="Z_B8B3C605_2633_11D6_818E_0000F6DC5E66_.wvu.PrintArea" localSheetId="10" hidden="1">'MITCHELL OPCO LOW SULFUR'!$A$1:$H$62</definedName>
    <definedName name="Z_B8B3C606_2633_11D6_818E_0000F6DC5E66_.wvu.PrintArea" localSheetId="3" hidden="1">'MITCHELL HIGH SULFUR'!$A$1:$H$62</definedName>
    <definedName name="Z_B8B3C606_2633_11D6_818E_0000F6DC5E66_.wvu.PrintArea" localSheetId="6" hidden="1">'MITCHELL KPCO HIGH SULFUR'!$A$1:$H$62</definedName>
    <definedName name="Z_B8B3C606_2633_11D6_818E_0000F6DC5E66_.wvu.PrintArea" localSheetId="7" hidden="1">'MITCHELL KPCO LOW SULFUR'!$A$1:$H$62</definedName>
    <definedName name="Z_B8B3C606_2633_11D6_818E_0000F6DC5E66_.wvu.PrintArea" localSheetId="4" hidden="1">'MITCHELL LOW SULFUR'!$A$1:$H$62</definedName>
    <definedName name="Z_B8B3C606_2633_11D6_818E_0000F6DC5E66_.wvu.PrintArea" localSheetId="9" hidden="1">'MITCHELL OPCO HIGH SULFUR'!$A$1:$H$62</definedName>
    <definedName name="Z_B8B3C606_2633_11D6_818E_0000F6DC5E66_.wvu.PrintArea" localSheetId="10" hidden="1">'MITCHELL OPCO LOW SULFUR'!$A$1:$H$62</definedName>
    <definedName name="Z_B8B3C607_2633_11D6_818E_0000F6DC5E66_.wvu.PrintArea" localSheetId="3" hidden="1">'MITCHELL HIGH SULFUR'!$A$1:$H$62</definedName>
    <definedName name="Z_B8B3C607_2633_11D6_818E_0000F6DC5E66_.wvu.PrintArea" localSheetId="6" hidden="1">'MITCHELL KPCO HIGH SULFUR'!$A$1:$H$62</definedName>
    <definedName name="Z_B8B3C607_2633_11D6_818E_0000F6DC5E66_.wvu.PrintArea" localSheetId="7" hidden="1">'MITCHELL KPCO LOW SULFUR'!$A$1:$H$62</definedName>
    <definedName name="Z_B8B3C607_2633_11D6_818E_0000F6DC5E66_.wvu.PrintArea" localSheetId="4" hidden="1">'MITCHELL LOW SULFUR'!$A$1:$H$62</definedName>
    <definedName name="Z_B8B3C607_2633_11D6_818E_0000F6DC5E66_.wvu.PrintArea" localSheetId="9" hidden="1">'MITCHELL OPCO HIGH SULFUR'!$A$1:$H$62</definedName>
    <definedName name="Z_B8B3C607_2633_11D6_818E_0000F6DC5E66_.wvu.PrintArea" localSheetId="10" hidden="1">'MITCHELL OPCO LOW SULFUR'!$A$1:$H$62</definedName>
    <definedName name="Z_B8B3C608_2633_11D6_818E_0000F6DC5E66_.wvu.PrintArea" localSheetId="3" hidden="1">'MITCHELL HIGH SULFUR'!$A$1:$H$62</definedName>
    <definedName name="Z_B8B3C608_2633_11D6_818E_0000F6DC5E66_.wvu.PrintArea" localSheetId="6" hidden="1">'MITCHELL KPCO HIGH SULFUR'!$A$1:$H$62</definedName>
    <definedName name="Z_B8B3C608_2633_11D6_818E_0000F6DC5E66_.wvu.PrintArea" localSheetId="7" hidden="1">'MITCHELL KPCO LOW SULFUR'!$A$1:$H$62</definedName>
    <definedName name="Z_B8B3C608_2633_11D6_818E_0000F6DC5E66_.wvu.PrintArea" localSheetId="4" hidden="1">'MITCHELL LOW SULFUR'!$A$1:$H$62</definedName>
    <definedName name="Z_B8B3C608_2633_11D6_818E_0000F6DC5E66_.wvu.PrintArea" localSheetId="9" hidden="1">'MITCHELL OPCO HIGH SULFUR'!$A$1:$H$62</definedName>
    <definedName name="Z_B8B3C608_2633_11D6_818E_0000F6DC5E66_.wvu.PrintArea" localSheetId="10" hidden="1">'MITCHELL OPCO LOW SULFUR'!$A$1:$H$62</definedName>
    <definedName name="Z_B8B3C609_2633_11D6_818E_0000F6DC5E66_.wvu.PrintArea" localSheetId="3" hidden="1">'MITCHELL HIGH SULFUR'!$A$1:$H$62</definedName>
    <definedName name="Z_B8B3C609_2633_11D6_818E_0000F6DC5E66_.wvu.PrintArea" localSheetId="6" hidden="1">'MITCHELL KPCO HIGH SULFUR'!$A$1:$H$62</definedName>
    <definedName name="Z_B8B3C609_2633_11D6_818E_0000F6DC5E66_.wvu.PrintArea" localSheetId="7" hidden="1">'MITCHELL KPCO LOW SULFUR'!$A$1:$H$62</definedName>
    <definedName name="Z_B8B3C609_2633_11D6_818E_0000F6DC5E66_.wvu.PrintArea" localSheetId="4" hidden="1">'MITCHELL LOW SULFUR'!$A$1:$H$62</definedName>
    <definedName name="Z_B8B3C609_2633_11D6_818E_0000F6DC5E66_.wvu.PrintArea" localSheetId="9" hidden="1">'MITCHELL OPCO HIGH SULFUR'!$A$1:$H$62</definedName>
    <definedName name="Z_B8B3C609_2633_11D6_818E_0000F6DC5E66_.wvu.PrintArea" localSheetId="10" hidden="1">'MITCHELL OPCO LOW SULFUR'!$A$1:$H$62</definedName>
    <definedName name="Z_B8B3C60A_2633_11D6_818E_0000F6DC5E66_.wvu.PrintArea" localSheetId="3" hidden="1">'MITCHELL HIGH SULFUR'!$A$1:$H$62</definedName>
    <definedName name="Z_B8B3C60A_2633_11D6_818E_0000F6DC5E66_.wvu.PrintArea" localSheetId="6" hidden="1">'MITCHELL KPCO HIGH SULFUR'!$A$1:$H$62</definedName>
    <definedName name="Z_B8B3C60A_2633_11D6_818E_0000F6DC5E66_.wvu.PrintArea" localSheetId="7" hidden="1">'MITCHELL KPCO LOW SULFUR'!$A$1:$H$62</definedName>
    <definedName name="Z_B8B3C60A_2633_11D6_818E_0000F6DC5E66_.wvu.PrintArea" localSheetId="4" hidden="1">'MITCHELL LOW SULFUR'!$A$1:$H$62</definedName>
    <definedName name="Z_B8B3C60A_2633_11D6_818E_0000F6DC5E66_.wvu.PrintArea" localSheetId="9" hidden="1">'MITCHELL OPCO HIGH SULFUR'!$A$1:$H$62</definedName>
    <definedName name="Z_B8B3C60A_2633_11D6_818E_0000F6DC5E66_.wvu.PrintArea" localSheetId="10" hidden="1">'MITCHELL OPCO LOW SULFUR'!$A$1:$H$62</definedName>
    <definedName name="Z_B8B3C60B_2633_11D6_818E_0000F6DC5E66_.wvu.PrintArea" localSheetId="3" hidden="1">'MITCHELL HIGH SULFUR'!$A$1:$H$62</definedName>
    <definedName name="Z_B8B3C60B_2633_11D6_818E_0000F6DC5E66_.wvu.PrintArea" localSheetId="6" hidden="1">'MITCHELL KPCO HIGH SULFUR'!$A$1:$H$62</definedName>
    <definedName name="Z_B8B3C60B_2633_11D6_818E_0000F6DC5E66_.wvu.PrintArea" localSheetId="7" hidden="1">'MITCHELL KPCO LOW SULFUR'!$A$1:$H$62</definedName>
    <definedName name="Z_B8B3C60B_2633_11D6_818E_0000F6DC5E66_.wvu.PrintArea" localSheetId="4" hidden="1">'MITCHELL LOW SULFUR'!$A$1:$H$62</definedName>
    <definedName name="Z_B8B3C60B_2633_11D6_818E_0000F6DC5E66_.wvu.PrintArea" localSheetId="9" hidden="1">'MITCHELL OPCO HIGH SULFUR'!$A$1:$H$62</definedName>
    <definedName name="Z_B8B3C60B_2633_11D6_818E_0000F6DC5E66_.wvu.PrintArea" localSheetId="10" hidden="1">'MITCHELL OPCO LOW SULFUR'!$A$1:$H$62</definedName>
    <definedName name="Z_B8B3C60C_2633_11D6_818E_0000F6DC5E66_.wvu.PrintArea" localSheetId="3" hidden="1">'MITCHELL HIGH SULFUR'!$A$1:$H$62</definedName>
    <definedName name="Z_B8B3C60C_2633_11D6_818E_0000F6DC5E66_.wvu.PrintArea" localSheetId="6" hidden="1">'MITCHELL KPCO HIGH SULFUR'!$A$1:$H$62</definedName>
    <definedName name="Z_B8B3C60C_2633_11D6_818E_0000F6DC5E66_.wvu.PrintArea" localSheetId="7" hidden="1">'MITCHELL KPCO LOW SULFUR'!$A$1:$H$62</definedName>
    <definedName name="Z_B8B3C60C_2633_11D6_818E_0000F6DC5E66_.wvu.PrintArea" localSheetId="4" hidden="1">'MITCHELL LOW SULFUR'!$A$1:$H$62</definedName>
    <definedName name="Z_B8B3C60C_2633_11D6_818E_0000F6DC5E66_.wvu.PrintArea" localSheetId="9" hidden="1">'MITCHELL OPCO HIGH SULFUR'!$A$1:$H$62</definedName>
    <definedName name="Z_B8B3C60C_2633_11D6_818E_0000F6DC5E66_.wvu.PrintArea" localSheetId="10" hidden="1">'MITCHELL OPCO LOW SULFUR'!$A$1:$H$62</definedName>
    <definedName name="Z_B8B3C60D_2633_11D6_818E_0000F6DC5E66_.wvu.PrintArea" localSheetId="3" hidden="1">'MITCHELL HIGH SULFUR'!$A$1:$H$62</definedName>
    <definedName name="Z_B8B3C60D_2633_11D6_818E_0000F6DC5E66_.wvu.PrintArea" localSheetId="6" hidden="1">'MITCHELL KPCO HIGH SULFUR'!$A$1:$H$62</definedName>
    <definedName name="Z_B8B3C60D_2633_11D6_818E_0000F6DC5E66_.wvu.PrintArea" localSheetId="7" hidden="1">'MITCHELL KPCO LOW SULFUR'!$A$1:$H$62</definedName>
    <definedName name="Z_B8B3C60D_2633_11D6_818E_0000F6DC5E66_.wvu.PrintArea" localSheetId="4" hidden="1">'MITCHELL LOW SULFUR'!$A$1:$H$62</definedName>
    <definedName name="Z_B8B3C60D_2633_11D6_818E_0000F6DC5E66_.wvu.PrintArea" localSheetId="9" hidden="1">'MITCHELL OPCO HIGH SULFUR'!$A$1:$H$62</definedName>
    <definedName name="Z_B8B3C60D_2633_11D6_818E_0000F6DC5E66_.wvu.PrintArea" localSheetId="10" hidden="1">'MITCHELL OPCO LOW SULFUR'!$A$1:$H$62</definedName>
    <definedName name="Z_B8B3C60E_2633_11D6_818E_0000F6DC5E66_.wvu.PrintArea" localSheetId="3" hidden="1">'MITCHELL HIGH SULFUR'!$A$1:$H$62</definedName>
    <definedName name="Z_B8B3C60E_2633_11D6_818E_0000F6DC5E66_.wvu.PrintArea" localSheetId="6" hidden="1">'MITCHELL KPCO HIGH SULFUR'!$A$1:$H$62</definedName>
    <definedName name="Z_B8B3C60E_2633_11D6_818E_0000F6DC5E66_.wvu.PrintArea" localSheetId="7" hidden="1">'MITCHELL KPCO LOW SULFUR'!$A$1:$H$62</definedName>
    <definedName name="Z_B8B3C60E_2633_11D6_818E_0000F6DC5E66_.wvu.PrintArea" localSheetId="4" hidden="1">'MITCHELL LOW SULFUR'!$A$1:$H$62</definedName>
    <definedName name="Z_B8B3C60E_2633_11D6_818E_0000F6DC5E66_.wvu.PrintArea" localSheetId="9" hidden="1">'MITCHELL OPCO HIGH SULFUR'!$A$1:$H$62</definedName>
    <definedName name="Z_B8B3C60E_2633_11D6_818E_0000F6DC5E66_.wvu.PrintArea" localSheetId="10" hidden="1">'MITCHELL OPCO LOW SULFUR'!$A$1:$H$62</definedName>
    <definedName name="Z_B8B3C60F_2633_11D6_818E_0000F6DC5E66_.wvu.PrintArea" localSheetId="3" hidden="1">'MITCHELL HIGH SULFUR'!$A$1:$H$62</definedName>
    <definedName name="Z_B8B3C60F_2633_11D6_818E_0000F6DC5E66_.wvu.PrintArea" localSheetId="6" hidden="1">'MITCHELL KPCO HIGH SULFUR'!$A$1:$H$62</definedName>
    <definedName name="Z_B8B3C60F_2633_11D6_818E_0000F6DC5E66_.wvu.PrintArea" localSheetId="7" hidden="1">'MITCHELL KPCO LOW SULFUR'!$A$1:$H$62</definedName>
    <definedName name="Z_B8B3C60F_2633_11D6_818E_0000F6DC5E66_.wvu.PrintArea" localSheetId="4" hidden="1">'MITCHELL LOW SULFUR'!$A$1:$H$62</definedName>
    <definedName name="Z_B8B3C60F_2633_11D6_818E_0000F6DC5E66_.wvu.PrintArea" localSheetId="9" hidden="1">'MITCHELL OPCO HIGH SULFUR'!$A$1:$H$62</definedName>
    <definedName name="Z_B8B3C60F_2633_11D6_818E_0000F6DC5E66_.wvu.PrintArea" localSheetId="10" hidden="1">'MITCHELL OPCO LOW SULFUR'!$A$1:$H$62</definedName>
    <definedName name="Z_BA37C21D_BA0C_4867_A29B_862FC2E23919_.wvu.PrintArea" localSheetId="12" hidden="1">'CONTROLS'!$A$1:$L$71</definedName>
    <definedName name="Z_BA37C21D_BA0C_4867_A29B_862FC2E23919_.wvu.PrintArea" localSheetId="2" hidden="1">'MITCHELL'!$A$1:$H$62</definedName>
    <definedName name="Z_BA37C21D_BA0C_4867_A29B_862FC2E23919_.wvu.PrintArea" localSheetId="5" hidden="1">'MITCHELL KPCO'!$A$1:$H$62</definedName>
    <definedName name="Z_BA37C21D_BA0C_4867_A29B_862FC2E23919_.wvu.PrintArea" localSheetId="8" hidden="1">'MITCHELL OPCO'!$A$1:$H$62</definedName>
    <definedName name="Z_BA37C21D_BA0C_4867_A29B_862FC2E23919_.wvu.PrintArea" localSheetId="1" hidden="1">'TOTAL CO'!$A$1:$H$62</definedName>
    <definedName name="Z_BD248AA0_F21B_4F53_9C7F_437D9F485D9B_.wvu.PrintArea" localSheetId="13" hidden="1">'CARD CONSUMED'!$A$1:$I$26</definedName>
    <definedName name="Z_BD248AA0_F21B_4F53_9C7F_437D9F485D9B_.wvu.PrintArea" localSheetId="12" hidden="1">'CONTROLS'!$A$1:$L$71</definedName>
    <definedName name="Z_BD248AA0_F21B_4F53_9C7F_437D9F485D9B_.wvu.PrintArea" localSheetId="2" hidden="1">'MITCHELL'!$A$1:$H$62</definedName>
    <definedName name="Z_BD248AA0_F21B_4F53_9C7F_437D9F485D9B_.wvu.PrintArea" localSheetId="5" hidden="1">'MITCHELL KPCO'!$A$1:$H$62</definedName>
    <definedName name="Z_BD248AA0_F21B_4F53_9C7F_437D9F485D9B_.wvu.PrintArea" localSheetId="8" hidden="1">'MITCHELL OPCO'!$A$1:$H$62</definedName>
    <definedName name="Z_BD248AA0_F21B_4F53_9C7F_437D9F485D9B_.wvu.PrintArea" localSheetId="1" hidden="1">'TOTAL CO'!$A$1:$H$62</definedName>
    <definedName name="Z_C38E2566_17B5_4858_AF3A_90150EA033C1_.wvu.PrintArea" localSheetId="12" hidden="1">'CONTROLS'!$A$1:$L$71</definedName>
    <definedName name="Z_C38E2566_17B5_4858_AF3A_90150EA033C1_.wvu.PrintArea" localSheetId="2" hidden="1">'MITCHELL'!$A$1:$H$62</definedName>
    <definedName name="Z_C38E2566_17B5_4858_AF3A_90150EA033C1_.wvu.PrintArea" localSheetId="5" hidden="1">'MITCHELL KPCO'!$A$1:$H$62</definedName>
    <definedName name="Z_C38E2566_17B5_4858_AF3A_90150EA033C1_.wvu.PrintArea" localSheetId="8" hidden="1">'MITCHELL OPCO'!$A$1:$H$62</definedName>
    <definedName name="Z_C38E2566_17B5_4858_AF3A_90150EA033C1_.wvu.PrintArea" localSheetId="1" hidden="1">'TOTAL CO'!$A$1:$H$62</definedName>
    <definedName name="Z_C88CAA31_CE2D_4AF2_B361_750BDA4FDA62_.wvu.PrintArea" localSheetId="12" hidden="1">'CONTROLS'!$A$1:$L$71</definedName>
    <definedName name="Z_C88CAA31_CE2D_4AF2_B361_750BDA4FDA62_.wvu.PrintArea" localSheetId="2" hidden="1">'MITCHELL'!$A$1:$H$62</definedName>
    <definedName name="Z_C88CAA31_CE2D_4AF2_B361_750BDA4FDA62_.wvu.PrintArea" localSheetId="5" hidden="1">'MITCHELL KPCO'!$A$1:$H$62</definedName>
    <definedName name="Z_C88CAA31_CE2D_4AF2_B361_750BDA4FDA62_.wvu.PrintArea" localSheetId="8" hidden="1">'MITCHELL OPCO'!$A$1:$H$62</definedName>
    <definedName name="Z_C88CAA31_CE2D_4AF2_B361_750BDA4FDA62_.wvu.PrintArea" localSheetId="1" hidden="1">'TOTAL CO'!$A$1:$H$62</definedName>
    <definedName name="Z_DB460AE2_6B52_11D7_823A_00408102B286_.wvu.PrintArea" localSheetId="3" hidden="1">'MITCHELL HIGH SULFUR'!$A$1:$H$62</definedName>
    <definedName name="Z_DB460AE2_6B52_11D7_823A_00408102B286_.wvu.PrintArea" localSheetId="6" hidden="1">'MITCHELL KPCO HIGH SULFUR'!$A$1:$H$62</definedName>
    <definedName name="Z_DB460AE2_6B52_11D7_823A_00408102B286_.wvu.PrintArea" localSheetId="7" hidden="1">'MITCHELL KPCO LOW SULFUR'!$A$1:$H$62</definedName>
    <definedName name="Z_DB460AE2_6B52_11D7_823A_00408102B286_.wvu.PrintArea" localSheetId="4" hidden="1">'MITCHELL LOW SULFUR'!$A$1:$H$62</definedName>
    <definedName name="Z_DB460AE2_6B52_11D7_823A_00408102B286_.wvu.PrintArea" localSheetId="9" hidden="1">'MITCHELL OPCO HIGH SULFUR'!$A$1:$H$62</definedName>
    <definedName name="Z_DB460AE2_6B52_11D7_823A_00408102B286_.wvu.PrintArea" localSheetId="10" hidden="1">'MITCHELL OPCO LOW SULFUR'!$A$1:$H$62</definedName>
    <definedName name="Z_DEF10320_968D_431C_9E2A_264521D60D4F_.wvu.PrintArea" localSheetId="12" hidden="1">'CONTROLS'!$A$1:$L$71</definedName>
    <definedName name="Z_DEF10320_968D_431C_9E2A_264521D60D4F_.wvu.PrintArea" localSheetId="2" hidden="1">'MITCHELL'!$A$1:$H$62</definedName>
    <definedName name="Z_DEF10320_968D_431C_9E2A_264521D60D4F_.wvu.PrintArea" localSheetId="5" hidden="1">'MITCHELL KPCO'!$A$1:$H$62</definedName>
    <definedName name="Z_DEF10320_968D_431C_9E2A_264521D60D4F_.wvu.PrintArea" localSheetId="8" hidden="1">'MITCHELL OPCO'!$A$1:$H$62</definedName>
    <definedName name="Z_DEF10320_968D_431C_9E2A_264521D60D4F_.wvu.PrintArea" localSheetId="1" hidden="1">'TOTAL CO'!$A$1:$H$62</definedName>
    <definedName name="Z_EAED62F7_DE6B_4BB4_8873_9D70659ACA9D_.wvu.PrintArea" localSheetId="12" hidden="1">'CONTROLS'!$A$1:$L$71</definedName>
    <definedName name="Z_EAED62F7_DE6B_4BB4_8873_9D70659ACA9D_.wvu.PrintArea" localSheetId="2" hidden="1">'MITCHELL'!$A$1:$H$62</definedName>
    <definedName name="Z_EAED62F7_DE6B_4BB4_8873_9D70659ACA9D_.wvu.PrintArea" localSheetId="5" hidden="1">'MITCHELL KPCO'!$A$1:$H$62</definedName>
    <definedName name="Z_EAED62F7_DE6B_4BB4_8873_9D70659ACA9D_.wvu.PrintArea" localSheetId="8" hidden="1">'MITCHELL OPCO'!$A$1:$H$62</definedName>
    <definedName name="Z_EAED62F7_DE6B_4BB4_8873_9D70659ACA9D_.wvu.PrintArea" localSheetId="1" hidden="1">'TOTAL CO'!$A$1:$H$62</definedName>
    <definedName name="Z_F1F0EDDC_D170_11D6_825C_0000F6DC5E66_.wvu.PrintArea" localSheetId="3" hidden="1">'MITCHELL HIGH SULFUR'!$A$1:$H$62</definedName>
    <definedName name="Z_F1F0EDDC_D170_11D6_825C_0000F6DC5E66_.wvu.PrintArea" localSheetId="6" hidden="1">'MITCHELL KPCO HIGH SULFUR'!$A$1:$H$62</definedName>
    <definedName name="Z_F1F0EDDC_D170_11D6_825C_0000F6DC5E66_.wvu.PrintArea" localSheetId="7" hidden="1">'MITCHELL KPCO LOW SULFUR'!$A$1:$H$62</definedName>
    <definedName name="Z_F1F0EDDC_D170_11D6_825C_0000F6DC5E66_.wvu.PrintArea" localSheetId="4" hidden="1">'MITCHELL LOW SULFUR'!$A$1:$H$62</definedName>
    <definedName name="Z_F1F0EDDC_D170_11D6_825C_0000F6DC5E66_.wvu.PrintArea" localSheetId="9" hidden="1">'MITCHELL OPCO HIGH SULFUR'!$A$1:$H$62</definedName>
    <definedName name="Z_F1F0EDDC_D170_11D6_825C_0000F6DC5E66_.wvu.PrintArea" localSheetId="10" hidden="1">'MITCHELL OPCO LOW SULFUR'!$A$1:$H$62</definedName>
    <definedName name="Z_FB69B822_4138_4E5B_B4ED_ADD4FD7E7452_.wvu.PrintArea" localSheetId="12" hidden="1">'CONTROLS'!$A$1:$L$71</definedName>
    <definedName name="Z_FB69B822_4138_4E5B_B4ED_ADD4FD7E7452_.wvu.PrintArea" localSheetId="2" hidden="1">'MITCHELL'!$A$1:$H$62</definedName>
    <definedName name="Z_FB69B822_4138_4E5B_B4ED_ADD4FD7E7452_.wvu.PrintArea" localSheetId="5" hidden="1">'MITCHELL KPCO'!$A$1:$H$62</definedName>
    <definedName name="Z_FB69B822_4138_4E5B_B4ED_ADD4FD7E7452_.wvu.PrintArea" localSheetId="8" hidden="1">'MITCHELL OPCO'!$A$1:$H$62</definedName>
    <definedName name="Z_FB69B822_4138_4E5B_B4ED_ADD4FD7E7452_.wvu.PrintArea" localSheetId="1" hidden="1">'TOTAL CO'!$A$1:$H$62</definedName>
  </definedNames>
  <calcPr fullCalcOnLoad="1"/>
</workbook>
</file>

<file path=xl/comments1.xml><?xml version="1.0" encoding="utf-8"?>
<comments xmlns="http://schemas.openxmlformats.org/spreadsheetml/2006/main">
  <authors>
    <author>The Great One</author>
    <author>Brian J Frantz</author>
    <author>AEP</author>
  </authors>
  <commentList>
    <comment ref="G140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Exhibit I from Cardinal CSB estimate and actual files</t>
        </r>
      </text>
    </comment>
    <comment ref="L141" authorId="1">
      <text>
        <r>
          <rPr>
            <b/>
            <sz val="8"/>
            <rFont val="Tahoma"/>
            <family val="2"/>
          </rPr>
          <t>Brian J Frantz:</t>
        </r>
        <r>
          <rPr>
            <sz val="8"/>
            <rFont val="Tahoma"/>
            <family val="2"/>
          </rPr>
          <t xml:space="preserve">
from GLR3600V total CV4
</t>
        </r>
      </text>
    </comment>
    <comment ref="A61" authorId="2">
      <text>
        <r>
          <rPr>
            <b/>
            <sz val="9"/>
            <rFont val="Tahoma"/>
            <family val="2"/>
          </rPr>
          <t>ignore ben loc query that is not listed in the report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Brian Lyisak (200-2666)</author>
  </authors>
  <commentList>
    <comment ref="F11" authorId="0">
      <text>
        <r>
          <rPr>
            <sz val="9"/>
            <rFont val="Tahoma"/>
            <family val="2"/>
          </rPr>
          <t xml:space="preserve">Remains at zero until start of 2014; 
*High &amp; Low tracking not started until Oct 2013 business for Mitchell
</t>
        </r>
      </text>
    </comment>
  </commentList>
</comments>
</file>

<file path=xl/comments11.xml><?xml version="1.0" encoding="utf-8"?>
<comments xmlns="http://schemas.openxmlformats.org/spreadsheetml/2006/main">
  <authors>
    <author>Brian Lyisak (200-2666)</author>
  </authors>
  <commentList>
    <comment ref="F11" authorId="0">
      <text>
        <r>
          <rPr>
            <sz val="9"/>
            <rFont val="Tahoma"/>
            <family val="2"/>
          </rPr>
          <t xml:space="preserve">Remains at zero until start of 2014; 
*High &amp; Low tracking not started until Oct 2013 business for Mitchell
</t>
        </r>
      </text>
    </comment>
  </commentList>
</comments>
</file>

<file path=xl/comments2.xml><?xml version="1.0" encoding="utf-8"?>
<comments xmlns="http://schemas.openxmlformats.org/spreadsheetml/2006/main">
  <authors>
    <author>The Great One</author>
    <author>Brian Frantz</author>
  </authors>
  <commentList>
    <comment ref="C54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should agree to query JRNLBENLOC, account 5010033</t>
        </r>
      </text>
    </comment>
    <comment ref="C50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should agree to query JRNLBENLOC, account 5010020, 5010036, 5470001, 5470003</t>
        </r>
      </text>
    </comment>
    <comment ref="C51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should agree to query JRNLBENLOC, account 5010003, 5010011, 5470004</t>
        </r>
      </text>
    </comment>
    <comment ref="C52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should agree to query JRNLBENLOC, account 5010000, 5010027, 5010029</t>
        </r>
      </text>
    </comment>
    <comment ref="C53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should agree to query JRNLBENLOC, account 5010012, 5010028</t>
        </r>
      </text>
    </comment>
    <comment ref="C48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should agree to query JRNLBENLOC, account 5010013</t>
        </r>
      </text>
    </comment>
    <comment ref="C47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total of consumed and CCD transfers should agree to query JRNLBENLOC, account 5010001, 5010009 (cost comp 341)
</t>
        </r>
      </text>
    </comment>
    <comment ref="C49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should agree to query JRNLBENLOC, account 5010019, 5010023, plus 5010009 activity with cost comp of 343</t>
        </r>
      </text>
    </comment>
    <comment ref="C22" authorId="1">
      <text>
        <r>
          <rPr>
            <b/>
            <sz val="9"/>
            <rFont val="Tahoma"/>
            <family val="2"/>
          </rPr>
          <t>Brian Frantz:</t>
        </r>
        <r>
          <rPr>
            <sz val="9"/>
            <rFont val="Tahoma"/>
            <family val="2"/>
          </rPr>
          <t xml:space="preserve">
this should agree to YTD total of account 1510001/1510004/1510030</t>
        </r>
      </text>
    </comment>
    <comment ref="C33" authorId="1">
      <text>
        <r>
          <rPr>
            <b/>
            <sz val="9"/>
            <rFont val="Tahoma"/>
            <family val="2"/>
          </rPr>
          <t>Brian Frantz:</t>
        </r>
        <r>
          <rPr>
            <sz val="9"/>
            <rFont val="Tahoma"/>
            <family val="2"/>
          </rPr>
          <t xml:space="preserve">
this should agree to YTD total of account 1520000</t>
        </r>
      </text>
    </comment>
    <comment ref="C43" authorId="1">
      <text>
        <r>
          <rPr>
            <b/>
            <sz val="9"/>
            <rFont val="Tahoma"/>
            <family val="2"/>
          </rPr>
          <t>Brian Frantz:</t>
        </r>
        <r>
          <rPr>
            <sz val="9"/>
            <rFont val="Tahoma"/>
            <family val="2"/>
          </rPr>
          <t xml:space="preserve">
this should agree to YTD total of accounts 1510002/1510023</t>
        </r>
      </text>
    </comment>
  </commentList>
</comments>
</file>

<file path=xl/comments4.xml><?xml version="1.0" encoding="utf-8"?>
<comments xmlns="http://schemas.openxmlformats.org/spreadsheetml/2006/main">
  <authors>
    <author>Brian Lyisak (200-2666)</author>
  </authors>
  <commentList>
    <comment ref="F11" authorId="0">
      <text>
        <r>
          <rPr>
            <sz val="9"/>
            <rFont val="Tahoma"/>
            <family val="2"/>
          </rPr>
          <t xml:space="preserve">Remains at zero until start of 2014; 
*High &amp; Low tracking not started until Oct 2013 business for Mitchell
</t>
        </r>
      </text>
    </comment>
  </commentList>
</comments>
</file>

<file path=xl/comments5.xml><?xml version="1.0" encoding="utf-8"?>
<comments xmlns="http://schemas.openxmlformats.org/spreadsheetml/2006/main">
  <authors>
    <author>Brian Lyisak (200-2666)</author>
  </authors>
  <commentList>
    <comment ref="F11" authorId="0">
      <text>
        <r>
          <rPr>
            <sz val="9"/>
            <rFont val="Tahoma"/>
            <family val="2"/>
          </rPr>
          <t xml:space="preserve">Remains at zero until start of 2014; 
*High &amp; Low tracking not started until Oct 2013 business for Mitchell
</t>
        </r>
      </text>
    </comment>
  </commentList>
</comments>
</file>

<file path=xl/comments7.xml><?xml version="1.0" encoding="utf-8"?>
<comments xmlns="http://schemas.openxmlformats.org/spreadsheetml/2006/main">
  <authors>
    <author>Brian Lyisak (200-2666)</author>
  </authors>
  <commentList>
    <comment ref="F11" authorId="0">
      <text>
        <r>
          <rPr>
            <sz val="9"/>
            <rFont val="Tahoma"/>
            <family val="2"/>
          </rPr>
          <t xml:space="preserve">Remains at zero until start of 2014; 
*High &amp; Low tracking not started until Oct 2013 business for Mitchell
</t>
        </r>
      </text>
    </comment>
  </commentList>
</comments>
</file>

<file path=xl/comments8.xml><?xml version="1.0" encoding="utf-8"?>
<comments xmlns="http://schemas.openxmlformats.org/spreadsheetml/2006/main">
  <authors>
    <author>Brian Lyisak (200-2666)</author>
  </authors>
  <commentList>
    <comment ref="F11" authorId="0">
      <text>
        <r>
          <rPr>
            <sz val="9"/>
            <rFont val="Tahoma"/>
            <family val="2"/>
          </rPr>
          <t xml:space="preserve">Remains at zero until start of 2014; 
*High &amp; Low tracking not started until Oct 2013 business for Mitchell
</t>
        </r>
      </text>
    </comment>
  </commentList>
</comments>
</file>

<file path=xl/sharedStrings.xml><?xml version="1.0" encoding="utf-8"?>
<sst xmlns="http://schemas.openxmlformats.org/spreadsheetml/2006/main" count="821" uniqueCount="251">
  <si>
    <t xml:space="preserve">ANALYSIS OF FUEL RECEIPTS AND FUEL DISPOSED OF </t>
  </si>
  <si>
    <t>TOTAL COMPANY</t>
  </si>
  <si>
    <t>CURRENT MONTH</t>
  </si>
  <si>
    <t>YEAR TO DATE</t>
  </si>
  <si>
    <t>PRIOR MONTH YEAR TO DATE</t>
  </si>
  <si>
    <t xml:space="preserve">QUANTITY </t>
  </si>
  <si>
    <t xml:space="preserve">AMOUNT </t>
  </si>
  <si>
    <t>UNIT COST</t>
  </si>
  <si>
    <t>Receipts</t>
  </si>
  <si>
    <t>On Hand Beginning of Period</t>
  </si>
  <si>
    <t xml:space="preserve">  FOB Mine</t>
  </si>
  <si>
    <t xml:space="preserve">  Transportation</t>
  </si>
  <si>
    <t>Total Receipts</t>
  </si>
  <si>
    <t xml:space="preserve">Disposed </t>
  </si>
  <si>
    <t xml:space="preserve">  Storage Pile Survey Adjustment</t>
  </si>
  <si>
    <t xml:space="preserve">  Other</t>
  </si>
  <si>
    <t>Total Disposed</t>
  </si>
  <si>
    <t>On Hand End of Period</t>
  </si>
  <si>
    <t>Available</t>
  </si>
  <si>
    <t xml:space="preserve">  Consumed - Generation</t>
  </si>
  <si>
    <t xml:space="preserve">  Consumed - Other    </t>
  </si>
  <si>
    <t>COAL</t>
  </si>
  <si>
    <t>Total Charges to Account 501 - Fuel</t>
  </si>
  <si>
    <t>NOTES</t>
  </si>
  <si>
    <t>BTU Per Pound of Coal As Fired</t>
  </si>
  <si>
    <t>BTU Per Gallon of Oil</t>
  </si>
  <si>
    <t xml:space="preserve">Total Disposed </t>
  </si>
  <si>
    <t>PAGE 24-1</t>
  </si>
  <si>
    <t>PAGE 24-2</t>
  </si>
  <si>
    <t>PAGE 24-3</t>
  </si>
  <si>
    <t>PAGE 24-4</t>
  </si>
  <si>
    <t>AMOUNT</t>
  </si>
  <si>
    <t>PERTAINS TO</t>
  </si>
  <si>
    <t>SUBTOTAL</t>
  </si>
  <si>
    <t>ALLOC ALL PLANTS</t>
  </si>
  <si>
    <t>TOTAL</t>
  </si>
  <si>
    <t>MW CAPACITY</t>
  </si>
  <si>
    <t>IN A/C 5010000</t>
  </si>
  <si>
    <t>A/C 5010000</t>
  </si>
  <si>
    <t>ACCOUNT 5010013</t>
  </si>
  <si>
    <t>IN A/C 5010013</t>
  </si>
  <si>
    <t>IN A/C 5010012</t>
  </si>
  <si>
    <t>PAGE 24-5</t>
  </si>
  <si>
    <t>PLANT</t>
  </si>
  <si>
    <t>CONTROLS</t>
  </si>
  <si>
    <t xml:space="preserve">FUEL </t>
  </si>
  <si>
    <t>TYPE</t>
  </si>
  <si>
    <t xml:space="preserve"> GALLONS</t>
  </si>
  <si>
    <t>OIL</t>
  </si>
  <si>
    <t>BTU/LB</t>
  </si>
  <si>
    <t>BTU/GAL</t>
  </si>
  <si>
    <t xml:space="preserve">TOTAL </t>
  </si>
  <si>
    <t>COST</t>
  </si>
  <si>
    <t>C/MMBTU</t>
  </si>
  <si>
    <t>MMBTU</t>
  </si>
  <si>
    <t xml:space="preserve"> C/MMBTU</t>
  </si>
  <si>
    <t>ENDING BALANCE UNIT PRICE - CURRENT MONTH VS. YTD</t>
  </si>
  <si>
    <t xml:space="preserve">COAL </t>
  </si>
  <si>
    <t xml:space="preserve">OIL </t>
  </si>
  <si>
    <t>HANDLING</t>
  </si>
  <si>
    <t>DIFFERENCE</t>
  </si>
  <si>
    <t>TOTAL COMPANY $</t>
  </si>
  <si>
    <t>TOTAL CO TONS OR GALLONS</t>
  </si>
  <si>
    <t>ACCOUNT</t>
  </si>
  <si>
    <t>BEGINNING BALANCE</t>
  </si>
  <si>
    <t xml:space="preserve">NET CHANGE </t>
  </si>
  <si>
    <t xml:space="preserve">PAGE 24 </t>
  </si>
  <si>
    <t>LEDGER</t>
  </si>
  <si>
    <t>ENDING BALANCE</t>
  </si>
  <si>
    <t>BEG BAL</t>
  </si>
  <si>
    <t>NET CHANGE</t>
  </si>
  <si>
    <t>END BAL</t>
  </si>
  <si>
    <t>LEDGER INPUTS</t>
  </si>
  <si>
    <t xml:space="preserve">NET CHANG </t>
  </si>
  <si>
    <t>ENDING BAL</t>
  </si>
  <si>
    <t>TOTAL COMPANY EXPENSE $ - PAGE 24'S VS GENERAL LEDGER</t>
  </si>
  <si>
    <t>CUR MONTH</t>
  </si>
  <si>
    <t>YTD</t>
  </si>
  <si>
    <t>501% QUERY TOTAL</t>
  </si>
  <si>
    <t>DIFFERENCE (TOTAL-QUERY)</t>
  </si>
  <si>
    <t>PRINC GEN</t>
  </si>
  <si>
    <t xml:space="preserve">PRINC GEN </t>
  </si>
  <si>
    <t>TONS/GALLONS</t>
  </si>
  <si>
    <t>GROSS A/C 501 COST</t>
  </si>
  <si>
    <t>LAST MONTH</t>
  </si>
  <si>
    <t>ENDING BALANCE UNIT PRICE - CURRENT MONTH VS. LAST MONTH</t>
  </si>
  <si>
    <t>% CHANGE</t>
  </si>
  <si>
    <t>FUEL EXPENSE - PAGE 24'S VS PRINCIPAL GENERATING REPORT</t>
  </si>
  <si>
    <t>CURRENT MO</t>
  </si>
  <si>
    <t>PRIOR MONTH</t>
  </si>
  <si>
    <t>GROSS C/MBTU - CURRENT MONTH VS. PRIOR MONTH</t>
  </si>
  <si>
    <t>USE PRIYTD MACRO TO ROLL LAST MONTH PRIOR YTD TO COLUMNS J &amp; K, ROLL PRIOR MONTH UNIT PRICES FOR CONTROLS, AND CLEAR ALL INPUTS.</t>
  </si>
  <si>
    <t>OHIO POWER</t>
  </si>
  <si>
    <t>AMOS</t>
  </si>
  <si>
    <t>SPORN</t>
  </si>
  <si>
    <t>CARDINAL</t>
  </si>
  <si>
    <t>MITCHELL</t>
  </si>
  <si>
    <t>JOINT PLANTS</t>
  </si>
  <si>
    <t>A/C 5010012</t>
  </si>
  <si>
    <t>1510001</t>
  </si>
  <si>
    <t>1520000</t>
  </si>
  <si>
    <t>1510004</t>
  </si>
  <si>
    <t>DESCRIPTION</t>
  </si>
  <si>
    <t>FUEL STOCK -  COAL</t>
  </si>
  <si>
    <t>FUEL STOCK - HANDLING</t>
  </si>
  <si>
    <t>FUEL STOCK -  OIL</t>
  </si>
  <si>
    <t>CHARGES TO ACCOUNT 501 -  FUEL</t>
  </si>
  <si>
    <t>Handling Expenses</t>
  </si>
  <si>
    <t>Ash Sales</t>
  </si>
  <si>
    <t xml:space="preserve">  Other </t>
  </si>
  <si>
    <t>PAGE 24-6</t>
  </si>
  <si>
    <t>PAGE 24-7</t>
  </si>
  <si>
    <t>CONSUMED</t>
  </si>
  <si>
    <t>REPORT OF FUEL CONSUMED DATA FOR PRINCIPAL GENERATING PLANTS</t>
  </si>
  <si>
    <t>TOTAL COMPANY BALANCE IN $ - PAGE 24'S VS GENERAL LEDGER</t>
  </si>
  <si>
    <t>5010013</t>
  </si>
  <si>
    <t>GROSS 501</t>
  </si>
  <si>
    <t>TONS/GALLS</t>
  </si>
  <si>
    <t>USE REPORT MANAGER TO PRINT PAGE 24'S, PRINCIPAL GENERATING UNIT REPORT, INPUT SHEET AND CONTROL SHEET.</t>
  </si>
  <si>
    <t>GO TO FR07PAGE24VALUE TO RUN A MACRO WHICH WILL PRODUCE A VALUE COPY (FR07PAGE24SEND) OF THIS WORKBOOK FOR E-MAIL TRANSMISSION.</t>
  </si>
  <si>
    <t>OPCO'S SHARE</t>
  </si>
  <si>
    <t>UNIT 2</t>
  </si>
  <si>
    <t>UNIT 1</t>
  </si>
  <si>
    <t>1 &amp; 2</t>
  </si>
  <si>
    <t>TOTAL 1 &amp; 2</t>
  </si>
  <si>
    <t>COST PER</t>
  </si>
  <si>
    <t xml:space="preserve">     UNIT 2</t>
  </si>
  <si>
    <t>TOTAL COST</t>
  </si>
  <si>
    <t xml:space="preserve">     UNIT 1</t>
  </si>
  <si>
    <t>CARDINAL UNITS 1 &amp; 2 OIL CONSUMED BY UNIT</t>
  </si>
  <si>
    <t>NON GENERATING</t>
  </si>
  <si>
    <t>GALLONS</t>
  </si>
  <si>
    <t>GALLON</t>
  </si>
  <si>
    <t>OIL CONSUMED - GENERATION</t>
  </si>
  <si>
    <t>OIL CONSUMED - NONGENERATING</t>
  </si>
  <si>
    <t>WORKORDERS / BENEFITTING LOCATIONS IN ACCOUNT 501</t>
  </si>
  <si>
    <t>WORKORDER / BEN LOC</t>
  </si>
  <si>
    <t/>
  </si>
  <si>
    <t>TOTAL UNIT 1</t>
  </si>
  <si>
    <t xml:space="preserve">  FOB Mine                                       </t>
  </si>
  <si>
    <t xml:space="preserve">On Hand End of Period </t>
  </si>
  <si>
    <t>INCLUDES LEDGER INPUTS FOR GYPSUM &amp; FUEL CONTRACT TERM ADJ ----</t>
  </si>
  <si>
    <t>TOTAL CO TAB - CELLS F20 &amp; G20 - Change formula for January 2010 - Should be able to bring in the YTD cells for CCT Tabs instead of filling in the above section for CCT.  The section above is needed because</t>
  </si>
  <si>
    <t>the intransit 1510009 went away  for May 2009.  CCT YTD for May thru December is needed for Total Co so above input is necessary.</t>
  </si>
  <si>
    <t>5010005 Deferred Fuel</t>
  </si>
  <si>
    <t>5010032 Coal Trading</t>
  </si>
  <si>
    <t xml:space="preserve">OIL (Equivalent Tons of Coal)                     </t>
  </si>
  <si>
    <t xml:space="preserve">Handling Expenses                                 </t>
  </si>
  <si>
    <t>5010022 Sawdust/Biomass</t>
  </si>
  <si>
    <t>Coal Hedging &amp; Gains/Losses on Sales</t>
  </si>
  <si>
    <t>1510002 / 1510023</t>
  </si>
  <si>
    <t>FUEL STOCK -  OIL / BIODIESEL</t>
  </si>
  <si>
    <t>FUEL STOCK - COAL</t>
  </si>
  <si>
    <t>CHARGES TO ACCOUNT 501- FUEL</t>
  </si>
  <si>
    <t>GAS (MCF'S)</t>
  </si>
  <si>
    <t>Ash and Gypsum Disposal, Biomass &amp; Other</t>
  </si>
  <si>
    <t>Ash and Gypsum Sales</t>
  </si>
  <si>
    <t>INCLUDED ABOVE - 5010027</t>
  </si>
  <si>
    <t>ACCOUNT 5010012 / 5010028</t>
  </si>
  <si>
    <t>INCLUDED ABOVE - 5010028</t>
  </si>
  <si>
    <t>1510009 / 1510022</t>
  </si>
  <si>
    <t>5010000 / 5010027</t>
  </si>
  <si>
    <t>5010012 / 5010028</t>
  </si>
  <si>
    <t>5470001/5470003</t>
  </si>
  <si>
    <t>5010020/5010036</t>
  </si>
  <si>
    <t xml:space="preserve">  Consumed - Generation                          *</t>
  </si>
  <si>
    <t>1490/1610/1674</t>
  </si>
  <si>
    <t>5010033 Coal Trading/Gains/Losses</t>
  </si>
  <si>
    <t>5010003/5010011</t>
  </si>
  <si>
    <t>5010039 Deferred Fuel</t>
  </si>
  <si>
    <t>5010001/ 5010009</t>
  </si>
  <si>
    <t>This page Excludes Deferred Fuel (5010005, 5010038 &amp; 5010039), and In Transit Coal (not in OPCO's possession account 1510020)</t>
  </si>
  <si>
    <t>5010000/22/27/29 &amp; 5490001</t>
  </si>
  <si>
    <t>5010019/5010023/5010009</t>
  </si>
  <si>
    <t>1510003  **</t>
  </si>
  <si>
    <t>** INPUT FROM CSP INVGAS FILE</t>
  </si>
  <si>
    <t>5010038 Deferred Fuel</t>
  </si>
  <si>
    <t>5010029 - Mitchell Gypsum Handling</t>
  </si>
  <si>
    <t>5010001/9/20/36 &amp; 5470001/3</t>
  </si>
  <si>
    <t>5010012 &amp; 5010028</t>
  </si>
  <si>
    <t>5010019 &amp; 5010023</t>
  </si>
  <si>
    <t>5010003 &amp; 5010011 &amp; 5470004</t>
  </si>
  <si>
    <t>1510002 &amp; 1510023</t>
  </si>
  <si>
    <t>1510001 &amp; 1510004 &amp; 1510009 &amp; 1510022</t>
  </si>
  <si>
    <t xml:space="preserve">OIL / BIODIESEL (Equivalent Tons of Coal)  **                 </t>
  </si>
  <si>
    <t xml:space="preserve">  Consumed - Generation </t>
  </si>
  <si>
    <t>GAS (Equivalent Tons of Coal)</t>
  </si>
  <si>
    <t>Ash Disposal, Sawdust (5010022) &amp; Other</t>
  </si>
  <si>
    <t>Coal Sales Gains and Losses</t>
  </si>
  <si>
    <t>Mitchell</t>
  </si>
  <si>
    <t>Tons</t>
  </si>
  <si>
    <t>$$</t>
  </si>
  <si>
    <t xml:space="preserve">* YTD Consumed - Generation includes a debit of $ 696.72 for settlement of Miller Bros bankruptcy claim PO # 23-50-07-007. </t>
  </si>
  <si>
    <t>BTU Per Pound of Coal Received</t>
  </si>
  <si>
    <t>ACCOUNT 5010000 / 5010027/5010029</t>
  </si>
  <si>
    <t>BTU received</t>
  </si>
  <si>
    <t>CARDINAL (181-DEPT 11616)</t>
  </si>
  <si>
    <t>**  OIL / BIODIESEL includes ($2,748.60) for Biodiesel Self-Generated REC's.  YTD includes ($39,868.11).</t>
  </si>
  <si>
    <t>1628-5010012/5010028</t>
  </si>
  <si>
    <t xml:space="preserve">  Other and Transferred to(from) Other Piles</t>
  </si>
  <si>
    <t>OIL (Equivalent Tons of Coal)**</t>
  </si>
  <si>
    <t>MITCHELL LOW SULFUR</t>
  </si>
  <si>
    <t>MITCHELL HIGH SULFUR</t>
  </si>
  <si>
    <t>KENTUCKY POWER</t>
  </si>
  <si>
    <t>KENTUCKY POWER COMPANY</t>
  </si>
  <si>
    <t>TONS / MCF's/</t>
  </si>
  <si>
    <t>BTU/MCF</t>
  </si>
  <si>
    <t>GROSS *</t>
  </si>
  <si>
    <t>OTHER &amp;</t>
  </si>
  <si>
    <t>ACCOUNT 501/547/549</t>
  </si>
  <si>
    <t>ACCOUNT 152</t>
  </si>
  <si>
    <t>ACCOUNT 151*</t>
  </si>
  <si>
    <t xml:space="preserve">* includes Coal Hedging gains 5010001, 5010000, 5010003, 5010013,5010019, 5010027,5010030, 5010031,5010032, 5010033, 5040035, 5010036, 5470001, 5470003, 5490001 </t>
  </si>
  <si>
    <t>MITCHELL - KPCO</t>
  </si>
  <si>
    <t>TOTAL KENTUCKY POWER CO</t>
  </si>
  <si>
    <t>MITCHELL - OPCO</t>
  </si>
  <si>
    <t xml:space="preserve">MITCHELL TOTAL </t>
  </si>
  <si>
    <t>MITCHELL - KPCO'S SHARE</t>
  </si>
  <si>
    <t>MITCHELL HIGH SULFUR - KPCO'S SHARE</t>
  </si>
  <si>
    <t>MITCHELL LOW SULFUR - KPCO'S SHARE</t>
  </si>
  <si>
    <t>MITCHELL - OPCO'S SHARE</t>
  </si>
  <si>
    <t>MITCHELL HIGH SULFUR - OPCO'S SHARE</t>
  </si>
  <si>
    <t>MITCHELL LOW SULFUR - OPCO'S SHARE</t>
  </si>
  <si>
    <t>PAGE 24-8</t>
  </si>
  <si>
    <t>PAGE 24-9</t>
  </si>
  <si>
    <t>PAGE 24-10</t>
  </si>
  <si>
    <t>MITCHELL KPCO</t>
  </si>
  <si>
    <t>MITCHELL OPCO</t>
  </si>
  <si>
    <t>MITCHELL TOTAL</t>
  </si>
  <si>
    <t>BIG SANDY</t>
  </si>
  <si>
    <t>ALL KPCO PLANTS</t>
  </si>
  <si>
    <t>ALLOCATION OF KPCO ALL PLANTS</t>
  </si>
  <si>
    <t>117 (any miscellaneous)</t>
  </si>
  <si>
    <t>MITCHELL (1267 - Dept 13352)</t>
  </si>
  <si>
    <t>MITCHELL (1672 - Dept 13352)</t>
  </si>
  <si>
    <t>MITCHELL (1673 - Dept 13352)</t>
  </si>
  <si>
    <t>1267 (Dept not 13352)</t>
  </si>
  <si>
    <t>1672 (Dept not 13352)</t>
  </si>
  <si>
    <t>1673 (Dept not 13352)</t>
  </si>
  <si>
    <t>1267 (Not Dept 13352)</t>
  </si>
  <si>
    <t>INCLUDED ABOVE - 5010029</t>
  </si>
  <si>
    <t>12-Month Trend -- 12/2013 - 01/01/2014</t>
  </si>
  <si>
    <t>AVG.</t>
  </si>
  <si>
    <t>1% Margin</t>
  </si>
  <si>
    <t>Trending</t>
  </si>
  <si>
    <t>Review</t>
  </si>
  <si>
    <t>1257 (Dept not 13352)</t>
  </si>
  <si>
    <t>1311 (Dept not 13352)</t>
  </si>
  <si>
    <t>MITCHELL (1257 - Dept 13352)</t>
  </si>
  <si>
    <t>MITCHELL (1311 - Dept 13352)</t>
  </si>
  <si>
    <t>from Analysis Results Report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</si>
</sst>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/dd/yy"/>
    <numFmt numFmtId="166" formatCode="&quot;$&quot;#,##0.00"/>
    <numFmt numFmtId="167" formatCode="&quot;$&quot;#,##0.0000"/>
    <numFmt numFmtId="168" formatCode="0.0%"/>
    <numFmt numFmtId="169" formatCode="#,##0.00000000000000000_);\(#,##0.00000000000000000\)"/>
    <numFmt numFmtId="170" formatCode="0.00_);\(0.00\)"/>
    <numFmt numFmtId="171" formatCode="#,##0.0000_);\(#,##0.0000\)"/>
    <numFmt numFmtId="172" formatCode="0_);\(0\)"/>
    <numFmt numFmtId="173" formatCode="0.0000"/>
    <numFmt numFmtId="174" formatCode="0.0000%"/>
    <numFmt numFmtId="175" formatCode="0.0000_);\(0.0000\)"/>
    <numFmt numFmtId="176" formatCode="&quot;$&quot;#,##0.0000_);\(&quot;$&quot;#,##0.0000\)"/>
    <numFmt numFmtId="177" formatCode="0.0000000000%"/>
    <numFmt numFmtId="178" formatCode="&quot;$&quot;#,##0.0000000000_);\(&quot;$&quot;#,##0.0000000000\)"/>
    <numFmt numFmtId="179" formatCode="#,##0.0000"/>
    <numFmt numFmtId="180" formatCode="mmmm\ d\,\ yyyy"/>
    <numFmt numFmtId="181" formatCode="#,##0.000000_);\(#,##0.000000\)"/>
    <numFmt numFmtId="182" formatCode="#,##0.000_);\(#,##0.000\)"/>
    <numFmt numFmtId="183" formatCode="_(* #,##0_);_(* \(#,##0\);_(* &quot;-&quot;??_);_(@_)"/>
    <numFmt numFmtId="184" formatCode="0.0"/>
    <numFmt numFmtId="185" formatCode="_(&quot;$&quot;* #,##0_);_(&quot;$&quot;* \(#,##0\);_(&quot;$&quot;* &quot;-&quot;??_);_(@_)"/>
    <numFmt numFmtId="186" formatCode="#,##0.0_);\(#,##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.0000_);_(* \(#,##0.0000\);_(* &quot;-&quot;??_);_(@_)"/>
  </numFmts>
  <fonts count="76">
    <font>
      <sz val="10"/>
      <name val="Arial"/>
      <family val="0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22"/>
      <name val="Arial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14"/>
      <name val="Arial"/>
      <family val="2"/>
    </font>
    <font>
      <b/>
      <u val="single"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5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53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rgb="FF0000FF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 style="medium"/>
    </border>
  </borders>
  <cellStyleXfs count="2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0" fillId="34" borderId="0" xfId="0" applyNumberFormat="1" applyFill="1" applyAlignment="1">
      <alignment/>
    </xf>
    <xf numFmtId="39" fontId="0" fillId="0" borderId="11" xfId="0" applyNumberFormat="1" applyBorder="1" applyAlignment="1">
      <alignment/>
    </xf>
    <xf numFmtId="39" fontId="0" fillId="0" borderId="12" xfId="0" applyNumberFormat="1" applyBorder="1" applyAlignment="1">
      <alignment/>
    </xf>
    <xf numFmtId="39" fontId="0" fillId="0" borderId="13" xfId="0" applyNumberFormat="1" applyBorder="1" applyAlignment="1">
      <alignment/>
    </xf>
    <xf numFmtId="39" fontId="0" fillId="0" borderId="14" xfId="0" applyNumberFormat="1" applyBorder="1" applyAlignment="1">
      <alignment/>
    </xf>
    <xf numFmtId="39" fontId="0" fillId="0" borderId="0" xfId="0" applyNumberFormat="1" applyBorder="1" applyAlignment="1">
      <alignment/>
    </xf>
    <xf numFmtId="39" fontId="0" fillId="0" borderId="15" xfId="0" applyNumberFormat="1" applyBorder="1" applyAlignment="1">
      <alignment/>
    </xf>
    <xf numFmtId="39" fontId="0" fillId="0" borderId="9" xfId="0" applyNumberFormat="1" applyBorder="1" applyAlignment="1">
      <alignment/>
    </xf>
    <xf numFmtId="39" fontId="0" fillId="0" borderId="16" xfId="0" applyNumberFormat="1" applyBorder="1" applyAlignment="1">
      <alignment/>
    </xf>
    <xf numFmtId="39" fontId="2" fillId="0" borderId="14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9" fontId="0" fillId="0" borderId="14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3" fillId="0" borderId="0" xfId="0" applyNumberFormat="1" applyFont="1" applyFill="1" applyBorder="1" applyAlignment="1">
      <alignment/>
    </xf>
    <xf numFmtId="39" fontId="3" fillId="0" borderId="0" xfId="0" applyNumberFormat="1" applyFont="1" applyFill="1" applyAlignment="1">
      <alignment/>
    </xf>
    <xf numFmtId="39" fontId="4" fillId="0" borderId="14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 horizontal="right"/>
    </xf>
    <xf numFmtId="0" fontId="0" fillId="0" borderId="0" xfId="159" applyNumberFormat="1" applyFont="1" applyAlignment="1" applyProtection="1">
      <alignment/>
      <protection locked="0"/>
    </xf>
    <xf numFmtId="0" fontId="0" fillId="0" borderId="14" xfId="159" applyNumberFormat="1" applyFont="1" applyBorder="1" applyAlignment="1" applyProtection="1">
      <alignment/>
      <protection locked="0"/>
    </xf>
    <xf numFmtId="0" fontId="0" fillId="0" borderId="0" xfId="159" applyNumberFormat="1" applyFont="1" applyBorder="1" applyAlignment="1" applyProtection="1">
      <alignment/>
      <protection locked="0"/>
    </xf>
    <xf numFmtId="0" fontId="0" fillId="0" borderId="17" xfId="159" applyNumberFormat="1" applyFont="1" applyBorder="1" applyAlignment="1" applyProtection="1">
      <alignment/>
      <protection locked="0"/>
    </xf>
    <xf numFmtId="0" fontId="10" fillId="0" borderId="14" xfId="159" applyNumberFormat="1" applyFont="1" applyBorder="1" applyAlignment="1" applyProtection="1">
      <alignment horizontal="center"/>
      <protection locked="0"/>
    </xf>
    <xf numFmtId="0" fontId="10" fillId="0" borderId="0" xfId="159" applyNumberFormat="1" applyFont="1" applyBorder="1" applyAlignment="1" applyProtection="1">
      <alignment horizontal="center"/>
      <protection locked="0"/>
    </xf>
    <xf numFmtId="0" fontId="10" fillId="0" borderId="17" xfId="159" applyNumberFormat="1" applyFont="1" applyBorder="1" applyAlignment="1" applyProtection="1">
      <alignment horizontal="center"/>
      <protection locked="0"/>
    </xf>
    <xf numFmtId="0" fontId="0" fillId="0" borderId="14" xfId="159" applyNumberFormat="1" applyFont="1" applyBorder="1" applyAlignment="1" applyProtection="1">
      <alignment horizontal="center"/>
      <protection locked="0"/>
    </xf>
    <xf numFmtId="39" fontId="0" fillId="0" borderId="0" xfId="159" applyNumberFormat="1" applyFont="1" applyBorder="1" applyAlignment="1" applyProtection="1">
      <alignment/>
      <protection locked="0"/>
    </xf>
    <xf numFmtId="39" fontId="0" fillId="0" borderId="17" xfId="159" applyNumberFormat="1" applyFont="1" applyBorder="1" applyAlignment="1" applyProtection="1">
      <alignment/>
      <protection locked="0"/>
    </xf>
    <xf numFmtId="0" fontId="12" fillId="0" borderId="14" xfId="159" applyNumberFormat="1" applyFont="1" applyBorder="1" applyAlignment="1" applyProtection="1">
      <alignment horizontal="center"/>
      <protection locked="0"/>
    </xf>
    <xf numFmtId="39" fontId="0" fillId="0" borderId="0" xfId="159" applyNumberFormat="1" applyFont="1" applyAlignment="1" applyProtection="1">
      <alignment/>
      <protection locked="0"/>
    </xf>
    <xf numFmtId="0" fontId="0" fillId="0" borderId="0" xfId="159" applyNumberFormat="1" applyFont="1" applyAlignment="1" applyProtection="1">
      <alignment horizontal="center"/>
      <protection locked="0"/>
    </xf>
    <xf numFmtId="0" fontId="10" fillId="0" borderId="0" xfId="159" applyFont="1" applyBorder="1" applyAlignment="1">
      <alignment horizontal="center"/>
      <protection/>
    </xf>
    <xf numFmtId="4" fontId="10" fillId="0" borderId="0" xfId="159" applyNumberFormat="1" applyFont="1" applyBorder="1" applyAlignment="1">
      <alignment horizontal="center"/>
      <protection/>
    </xf>
    <xf numFmtId="3" fontId="0" fillId="0" borderId="0" xfId="159" applyNumberFormat="1" applyFont="1" applyBorder="1" applyAlignment="1">
      <alignment horizontal="right"/>
      <protection/>
    </xf>
    <xf numFmtId="4" fontId="13" fillId="0" borderId="0" xfId="159" applyNumberFormat="1" applyFont="1" applyBorder="1" applyAlignment="1">
      <alignment horizontal="right"/>
      <protection/>
    </xf>
    <xf numFmtId="4" fontId="0" fillId="0" borderId="0" xfId="159" applyNumberFormat="1" applyFont="1" applyBorder="1" applyAlignment="1">
      <alignment horizontal="right"/>
      <protection/>
    </xf>
    <xf numFmtId="168" fontId="0" fillId="0" borderId="0" xfId="159" applyNumberFormat="1" applyFont="1" applyBorder="1" applyAlignment="1">
      <alignment horizontal="right"/>
      <protection/>
    </xf>
    <xf numFmtId="0" fontId="0" fillId="0" borderId="0" xfId="159" applyNumberFormat="1" applyFont="1" applyBorder="1" applyAlignment="1" applyProtection="1">
      <alignment horizontal="center"/>
      <protection locked="0"/>
    </xf>
    <xf numFmtId="3" fontId="0" fillId="0" borderId="18" xfId="159" applyNumberFormat="1" applyFont="1" applyBorder="1" applyAlignment="1">
      <alignment horizontal="right"/>
      <protection/>
    </xf>
    <xf numFmtId="164" fontId="10" fillId="0" borderId="11" xfId="159" applyNumberFormat="1" applyFont="1" applyBorder="1" applyAlignment="1" applyProtection="1">
      <alignment horizontal="left"/>
      <protection locked="0"/>
    </xf>
    <xf numFmtId="164" fontId="9" fillId="0" borderId="12" xfId="159" applyNumberFormat="1" applyFont="1" applyBorder="1" applyAlignment="1" applyProtection="1">
      <alignment horizontal="center"/>
      <protection locked="0"/>
    </xf>
    <xf numFmtId="0" fontId="0" fillId="0" borderId="12" xfId="159" applyNumberFormat="1" applyFont="1" applyBorder="1" applyAlignment="1" applyProtection="1">
      <alignment/>
      <protection locked="0"/>
    </xf>
    <xf numFmtId="4" fontId="10" fillId="0" borderId="17" xfId="159" applyNumberFormat="1" applyFont="1" applyBorder="1" applyAlignment="1">
      <alignment horizontal="center"/>
      <protection/>
    </xf>
    <xf numFmtId="0" fontId="0" fillId="0" borderId="14" xfId="159" applyFont="1" applyBorder="1" applyAlignment="1">
      <alignment horizontal="left"/>
      <protection/>
    </xf>
    <xf numFmtId="39" fontId="0" fillId="0" borderId="16" xfId="159" applyNumberFormat="1" applyFont="1" applyBorder="1" applyAlignment="1" applyProtection="1">
      <alignment/>
      <protection locked="0"/>
    </xf>
    <xf numFmtId="0" fontId="0" fillId="0" borderId="14" xfId="159" applyNumberFormat="1" applyFont="1" applyBorder="1" applyAlignment="1" applyProtection="1">
      <alignment horizontal="left"/>
      <protection locked="0"/>
    </xf>
    <xf numFmtId="0" fontId="0" fillId="0" borderId="15" xfId="159" applyNumberFormat="1" applyFont="1" applyBorder="1" applyAlignment="1" applyProtection="1">
      <alignment horizontal="left"/>
      <protection locked="0"/>
    </xf>
    <xf numFmtId="39" fontId="0" fillId="0" borderId="14" xfId="0" applyNumberFormat="1" applyFill="1" applyBorder="1" applyAlignment="1">
      <alignment/>
    </xf>
    <xf numFmtId="39" fontId="5" fillId="0" borderId="14" xfId="0" applyNumberFormat="1" applyFont="1" applyFill="1" applyBorder="1" applyAlignment="1">
      <alignment/>
    </xf>
    <xf numFmtId="39" fontId="1" fillId="0" borderId="9" xfId="0" applyNumberFormat="1" applyFont="1" applyBorder="1" applyAlignment="1">
      <alignment horizontal="center"/>
    </xf>
    <xf numFmtId="39" fontId="0" fillId="0" borderId="18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/>
    </xf>
    <xf numFmtId="37" fontId="0" fillId="0" borderId="18" xfId="0" applyNumberFormat="1" applyBorder="1" applyAlignment="1">
      <alignment/>
    </xf>
    <xf numFmtId="37" fontId="0" fillId="0" borderId="19" xfId="0" applyNumberFormat="1" applyBorder="1" applyAlignment="1">
      <alignment/>
    </xf>
    <xf numFmtId="39" fontId="0" fillId="0" borderId="19" xfId="0" applyNumberFormat="1" applyBorder="1" applyAlignment="1">
      <alignment/>
    </xf>
    <xf numFmtId="179" fontId="1" fillId="0" borderId="0" xfId="0" applyNumberFormat="1" applyFont="1" applyAlignment="1">
      <alignment horizontal="center"/>
    </xf>
    <xf numFmtId="37" fontId="0" fillId="0" borderId="12" xfId="0" applyNumberFormat="1" applyBorder="1" applyAlignment="1">
      <alignment/>
    </xf>
    <xf numFmtId="37" fontId="0" fillId="0" borderId="0" xfId="0" applyNumberFormat="1" applyBorder="1" applyAlignment="1">
      <alignment/>
    </xf>
    <xf numFmtId="39" fontId="0" fillId="0" borderId="14" xfId="0" applyNumberFormat="1" applyBorder="1" applyAlignment="1">
      <alignment horizontal="center"/>
    </xf>
    <xf numFmtId="37" fontId="0" fillId="0" borderId="9" xfId="0" applyNumberFormat="1" applyBorder="1" applyAlignment="1">
      <alignment/>
    </xf>
    <xf numFmtId="39" fontId="10" fillId="0" borderId="0" xfId="0" applyNumberFormat="1" applyFont="1" applyBorder="1" applyAlignment="1">
      <alignment/>
    </xf>
    <xf numFmtId="39" fontId="1" fillId="0" borderId="0" xfId="0" applyNumberFormat="1" applyFont="1" applyBorder="1" applyAlignment="1">
      <alignment horizontal="center"/>
    </xf>
    <xf numFmtId="39" fontId="0" fillId="0" borderId="0" xfId="0" applyNumberFormat="1" applyFont="1" applyFill="1" applyAlignment="1">
      <alignment/>
    </xf>
    <xf numFmtId="39" fontId="0" fillId="0" borderId="20" xfId="0" applyNumberFormat="1" applyBorder="1" applyAlignment="1">
      <alignment/>
    </xf>
    <xf numFmtId="49" fontId="0" fillId="0" borderId="0" xfId="0" applyNumberFormat="1" applyAlignment="1">
      <alignment horizontal="center"/>
    </xf>
    <xf numFmtId="39" fontId="10" fillId="0" borderId="0" xfId="159" applyNumberFormat="1" applyFont="1" applyBorder="1" applyAlignment="1" applyProtection="1">
      <alignment horizontal="center"/>
      <protection locked="0"/>
    </xf>
    <xf numFmtId="39" fontId="12" fillId="0" borderId="0" xfId="159" applyNumberFormat="1" applyFont="1" applyBorder="1" applyAlignment="1" applyProtection="1">
      <alignment/>
      <protection locked="0"/>
    </xf>
    <xf numFmtId="39" fontId="0" fillId="34" borderId="0" xfId="159" applyNumberFormat="1" applyFont="1" applyFill="1" applyBorder="1" applyAlignment="1" applyProtection="1">
      <alignment/>
      <protection locked="0"/>
    </xf>
    <xf numFmtId="39" fontId="0" fillId="34" borderId="9" xfId="159" applyNumberFormat="1" applyFont="1" applyFill="1" applyBorder="1" applyAlignment="1" applyProtection="1">
      <alignment/>
      <protection locked="0"/>
    </xf>
    <xf numFmtId="9" fontId="0" fillId="0" borderId="0" xfId="0" applyNumberFormat="1" applyAlignment="1">
      <alignment/>
    </xf>
    <xf numFmtId="9" fontId="0" fillId="0" borderId="18" xfId="0" applyNumberFormat="1" applyBorder="1" applyAlignment="1">
      <alignment/>
    </xf>
    <xf numFmtId="171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171" fontId="0" fillId="0" borderId="18" xfId="0" applyNumberFormat="1" applyBorder="1" applyAlignment="1">
      <alignment/>
    </xf>
    <xf numFmtId="164" fontId="9" fillId="0" borderId="0" xfId="159" applyNumberFormat="1" applyFont="1" applyBorder="1" applyAlignment="1" applyProtection="1">
      <alignment horizontal="center"/>
      <protection locked="0"/>
    </xf>
    <xf numFmtId="39" fontId="0" fillId="0" borderId="0" xfId="159" applyNumberFormat="1" applyFont="1" applyBorder="1" applyAlignment="1" applyProtection="1">
      <alignment horizontal="center"/>
      <protection locked="0"/>
    </xf>
    <xf numFmtId="39" fontId="0" fillId="0" borderId="18" xfId="159" applyNumberFormat="1" applyFont="1" applyBorder="1" applyAlignment="1">
      <alignment horizontal="right"/>
      <protection/>
    </xf>
    <xf numFmtId="39" fontId="0" fillId="0" borderId="0" xfId="159" applyNumberFormat="1" applyFont="1" applyBorder="1" applyAlignment="1">
      <alignment horizontal="right"/>
      <protection/>
    </xf>
    <xf numFmtId="39" fontId="0" fillId="0" borderId="9" xfId="159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39" fontId="0" fillId="0" borderId="17" xfId="0" applyNumberFormat="1" applyFont="1" applyFill="1" applyBorder="1" applyAlignment="1">
      <alignment/>
    </xf>
    <xf numFmtId="39" fontId="14" fillId="0" borderId="0" xfId="0" applyNumberFormat="1" applyFont="1" applyAlignment="1">
      <alignment/>
    </xf>
    <xf numFmtId="39" fontId="14" fillId="0" borderId="0" xfId="0" applyNumberFormat="1" applyFont="1" applyAlignment="1">
      <alignment horizontal="center"/>
    </xf>
    <xf numFmtId="39" fontId="15" fillId="34" borderId="0" xfId="0" applyNumberFormat="1" applyFont="1" applyFill="1" applyAlignment="1">
      <alignment/>
    </xf>
    <xf numFmtId="39" fontId="15" fillId="0" borderId="0" xfId="0" applyNumberFormat="1" applyFont="1" applyAlignment="1">
      <alignment/>
    </xf>
    <xf numFmtId="39" fontId="0" fillId="0" borderId="21" xfId="0" applyNumberFormat="1" applyFill="1" applyBorder="1" applyAlignment="1">
      <alignment/>
    </xf>
    <xf numFmtId="39" fontId="2" fillId="0" borderId="19" xfId="0" applyNumberFormat="1" applyFont="1" applyBorder="1" applyAlignment="1">
      <alignment/>
    </xf>
    <xf numFmtId="39" fontId="0" fillId="0" borderId="22" xfId="0" applyNumberFormat="1" applyFont="1" applyBorder="1" applyAlignment="1">
      <alignment/>
    </xf>
    <xf numFmtId="39" fontId="2" fillId="0" borderId="21" xfId="0" applyNumberFormat="1" applyFont="1" applyBorder="1" applyAlignment="1">
      <alignment/>
    </xf>
    <xf numFmtId="39" fontId="0" fillId="0" borderId="21" xfId="0" applyNumberFormat="1" applyBorder="1" applyAlignment="1">
      <alignment/>
    </xf>
    <xf numFmtId="39" fontId="1" fillId="0" borderId="14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1" fillId="0" borderId="17" xfId="0" applyNumberFormat="1" applyFont="1" applyBorder="1" applyAlignment="1">
      <alignment/>
    </xf>
    <xf numFmtId="39" fontId="1" fillId="0" borderId="23" xfId="0" applyNumberFormat="1" applyFont="1" applyBorder="1" applyAlignment="1">
      <alignment/>
    </xf>
    <xf numFmtId="39" fontId="1" fillId="0" borderId="24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39" fontId="1" fillId="0" borderId="26" xfId="0" applyNumberFormat="1" applyFont="1" applyBorder="1" applyAlignment="1">
      <alignment/>
    </xf>
    <xf numFmtId="39" fontId="1" fillId="0" borderId="18" xfId="0" applyNumberFormat="1" applyFont="1" applyBorder="1" applyAlignment="1">
      <alignment/>
    </xf>
    <xf numFmtId="39" fontId="1" fillId="0" borderId="27" xfId="0" applyNumberFormat="1" applyFont="1" applyBorder="1" applyAlignment="1">
      <alignment/>
    </xf>
    <xf numFmtId="39" fontId="3" fillId="34" borderId="0" xfId="0" applyNumberFormat="1" applyFont="1" applyFill="1" applyBorder="1" applyAlignment="1">
      <alignment/>
    </xf>
    <xf numFmtId="39" fontId="3" fillId="34" borderId="0" xfId="0" applyNumberFormat="1" applyFont="1" applyFill="1" applyAlignment="1">
      <alignment/>
    </xf>
    <xf numFmtId="39" fontId="0" fillId="0" borderId="21" xfId="0" applyNumberFormat="1" applyFont="1" applyBorder="1" applyAlignment="1">
      <alignment/>
    </xf>
    <xf numFmtId="39" fontId="0" fillId="0" borderId="19" xfId="0" applyNumberFormat="1" applyFont="1" applyBorder="1" applyAlignment="1">
      <alignment/>
    </xf>
    <xf numFmtId="39" fontId="0" fillId="0" borderId="21" xfId="0" applyNumberFormat="1" applyFont="1" applyFill="1" applyBorder="1" applyAlignment="1">
      <alignment/>
    </xf>
    <xf numFmtId="39" fontId="0" fillId="0" borderId="0" xfId="0" applyNumberFormat="1" applyFill="1" applyAlignment="1">
      <alignment/>
    </xf>
    <xf numFmtId="0" fontId="0" fillId="0" borderId="14" xfId="0" applyBorder="1" applyAlignment="1">
      <alignment/>
    </xf>
    <xf numFmtId="179" fontId="0" fillId="0" borderId="12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3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0" xfId="0" applyNumberFormat="1" applyAlignment="1">
      <alignment horizontal="center"/>
    </xf>
    <xf numFmtId="9" fontId="0" fillId="0" borderId="0" xfId="0" applyNumberFormat="1" applyFill="1" applyAlignment="1">
      <alignment/>
    </xf>
    <xf numFmtId="0" fontId="16" fillId="0" borderId="0" xfId="159" applyNumberFormat="1" applyFont="1" applyAlignment="1" applyProtection="1">
      <alignment/>
      <protection locked="0"/>
    </xf>
    <xf numFmtId="0" fontId="3" fillId="0" borderId="0" xfId="159" applyNumberFormat="1" applyFont="1" applyAlignment="1" applyProtection="1">
      <alignment/>
      <protection locked="0"/>
    </xf>
    <xf numFmtId="0" fontId="16" fillId="0" borderId="0" xfId="159" applyNumberFormat="1" applyFont="1" applyAlignment="1">
      <alignment/>
      <protection/>
    </xf>
    <xf numFmtId="0" fontId="0" fillId="0" borderId="0" xfId="159" applyNumberFormat="1" applyFont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39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39" fontId="0" fillId="0" borderId="9" xfId="0" applyNumberFormat="1" applyBorder="1" applyAlignment="1">
      <alignment/>
    </xf>
    <xf numFmtId="0" fontId="1" fillId="0" borderId="9" xfId="0" applyFont="1" applyBorder="1" applyAlignment="1">
      <alignment horizontal="center"/>
    </xf>
    <xf numFmtId="171" fontId="0" fillId="0" borderId="0" xfId="0" applyNumberFormat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7" xfId="0" applyFont="1" applyFill="1" applyBorder="1" applyAlignment="1">
      <alignment horizontal="center"/>
    </xf>
    <xf numFmtId="39" fontId="0" fillId="0" borderId="17" xfId="0" applyNumberFormat="1" applyBorder="1" applyAlignment="1">
      <alignment/>
    </xf>
    <xf numFmtId="0" fontId="1" fillId="0" borderId="16" xfId="0" applyFont="1" applyFill="1" applyBorder="1" applyAlignment="1">
      <alignment horizontal="center"/>
    </xf>
    <xf numFmtId="181" fontId="0" fillId="0" borderId="0" xfId="0" applyNumberFormat="1" applyFont="1" applyAlignment="1">
      <alignment/>
    </xf>
    <xf numFmtId="181" fontId="0" fillId="0" borderId="18" xfId="0" applyNumberFormat="1" applyFont="1" applyBorder="1" applyAlignment="1">
      <alignment/>
    </xf>
    <xf numFmtId="181" fontId="0" fillId="0" borderId="0" xfId="0" applyNumberFormat="1" applyAlignment="1">
      <alignment/>
    </xf>
    <xf numFmtId="37" fontId="0" fillId="0" borderId="0" xfId="0" applyNumberFormat="1" applyFont="1" applyFill="1" applyBorder="1" applyAlignment="1">
      <alignment/>
    </xf>
    <xf numFmtId="39" fontId="12" fillId="0" borderId="0" xfId="0" applyNumberFormat="1" applyFont="1" applyBorder="1" applyAlignment="1">
      <alignment/>
    </xf>
    <xf numFmtId="0" fontId="10" fillId="34" borderId="17" xfId="159" applyNumberFormat="1" applyFont="1" applyFill="1" applyBorder="1" applyAlignment="1" applyProtection="1">
      <alignment horizontal="center"/>
      <protection locked="0"/>
    </xf>
    <xf numFmtId="0" fontId="12" fillId="34" borderId="14" xfId="159" applyNumberFormat="1" applyFont="1" applyFill="1" applyBorder="1" applyAlignment="1" applyProtection="1">
      <alignment horizontal="center"/>
      <protection locked="0"/>
    </xf>
    <xf numFmtId="164" fontId="10" fillId="34" borderId="11" xfId="159" applyNumberFormat="1" applyFont="1" applyFill="1" applyBorder="1" applyAlignment="1" applyProtection="1">
      <alignment horizontal="left"/>
      <protection locked="0"/>
    </xf>
    <xf numFmtId="164" fontId="9" fillId="34" borderId="12" xfId="159" applyNumberFormat="1" applyFont="1" applyFill="1" applyBorder="1" applyAlignment="1" applyProtection="1">
      <alignment horizontal="center"/>
      <protection locked="0"/>
    </xf>
    <xf numFmtId="0" fontId="0" fillId="34" borderId="14" xfId="159" applyNumberFormat="1" applyFont="1" applyFill="1" applyBorder="1" applyAlignment="1" applyProtection="1">
      <alignment/>
      <protection locked="0"/>
    </xf>
    <xf numFmtId="0" fontId="0" fillId="34" borderId="0" xfId="159" applyNumberFormat="1" applyFont="1" applyFill="1" applyBorder="1" applyAlignment="1" applyProtection="1">
      <alignment/>
      <protection locked="0"/>
    </xf>
    <xf numFmtId="0" fontId="0" fillId="34" borderId="17" xfId="159" applyNumberFormat="1" applyFont="1" applyFill="1" applyBorder="1" applyAlignment="1" applyProtection="1">
      <alignment/>
      <protection locked="0"/>
    </xf>
    <xf numFmtId="0" fontId="10" fillId="34" borderId="14" xfId="159" applyNumberFormat="1" applyFont="1" applyFill="1" applyBorder="1" applyAlignment="1" applyProtection="1">
      <alignment horizontal="center"/>
      <protection locked="0"/>
    </xf>
    <xf numFmtId="0" fontId="10" fillId="34" borderId="0" xfId="159" applyNumberFormat="1" applyFont="1" applyFill="1" applyBorder="1" applyAlignment="1" applyProtection="1">
      <alignment horizontal="center"/>
      <protection locked="0"/>
    </xf>
    <xf numFmtId="39" fontId="11" fillId="34" borderId="0" xfId="159" applyNumberFormat="1" applyFont="1" applyFill="1" applyBorder="1" applyAlignment="1" applyProtection="1">
      <alignment/>
      <protection locked="0"/>
    </xf>
    <xf numFmtId="0" fontId="0" fillId="34" borderId="0" xfId="159" applyNumberFormat="1" applyFont="1" applyFill="1" applyBorder="1" applyAlignment="1" applyProtection="1">
      <alignment horizontal="center"/>
      <protection locked="0"/>
    </xf>
    <xf numFmtId="0" fontId="0" fillId="34" borderId="17" xfId="159" applyNumberFormat="1" applyFont="1" applyFill="1" applyBorder="1" applyAlignment="1" applyProtection="1">
      <alignment horizontal="center"/>
      <protection locked="0"/>
    </xf>
    <xf numFmtId="39" fontId="0" fillId="34" borderId="17" xfId="159" applyNumberFormat="1" applyFont="1" applyFill="1" applyBorder="1" applyAlignment="1" applyProtection="1">
      <alignment/>
      <protection locked="0"/>
    </xf>
    <xf numFmtId="0" fontId="0" fillId="34" borderId="14" xfId="159" applyNumberFormat="1" applyFont="1" applyFill="1" applyBorder="1" applyAlignment="1" applyProtection="1">
      <alignment horizontal="center"/>
      <protection locked="0"/>
    </xf>
    <xf numFmtId="39" fontId="0" fillId="34" borderId="19" xfId="159" applyNumberFormat="1" applyFont="1" applyFill="1" applyBorder="1" applyAlignment="1" applyProtection="1">
      <alignment/>
      <protection locked="0"/>
    </xf>
    <xf numFmtId="39" fontId="0" fillId="34" borderId="22" xfId="159" applyNumberFormat="1" applyFont="1" applyFill="1" applyBorder="1" applyAlignment="1" applyProtection="1">
      <alignment/>
      <protection locked="0"/>
    </xf>
    <xf numFmtId="0" fontId="0" fillId="34" borderId="15" xfId="159" applyNumberFormat="1" applyFont="1" applyFill="1" applyBorder="1" applyAlignment="1" applyProtection="1">
      <alignment horizontal="left"/>
      <protection locked="0"/>
    </xf>
    <xf numFmtId="39" fontId="0" fillId="34" borderId="16" xfId="159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3" fontId="12" fillId="0" borderId="0" xfId="42" applyFont="1" applyBorder="1" applyAlignment="1">
      <alignment/>
    </xf>
    <xf numFmtId="43" fontId="12" fillId="0" borderId="0" xfId="42" applyFont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10" fillId="0" borderId="11" xfId="0" applyFont="1" applyBorder="1" applyAlignment="1">
      <alignment horizontal="center"/>
    </xf>
    <xf numFmtId="39" fontId="1" fillId="0" borderId="18" xfId="0" applyNumberFormat="1" applyFont="1" applyFill="1" applyBorder="1" applyAlignment="1">
      <alignment/>
    </xf>
    <xf numFmtId="39" fontId="1" fillId="0" borderId="26" xfId="0" applyNumberFormat="1" applyFont="1" applyFill="1" applyBorder="1" applyAlignment="1">
      <alignment/>
    </xf>
    <xf numFmtId="39" fontId="19" fillId="0" borderId="0" xfId="0" applyNumberFormat="1" applyFont="1" applyAlignment="1">
      <alignment/>
    </xf>
    <xf numFmtId="39" fontId="0" fillId="0" borderId="9" xfId="0" applyNumberFormat="1" applyFont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 applyProtection="1">
      <alignment/>
      <protection locked="0"/>
    </xf>
    <xf numFmtId="39" fontId="0" fillId="0" borderId="0" xfId="0" applyNumberFormat="1" applyFont="1" applyBorder="1" applyAlignment="1">
      <alignment/>
    </xf>
    <xf numFmtId="39" fontId="0" fillId="0" borderId="9" xfId="0" applyNumberFormat="1" applyFont="1" applyFill="1" applyBorder="1" applyAlignment="1">
      <alignment/>
    </xf>
    <xf numFmtId="39" fontId="0" fillId="0" borderId="9" xfId="0" applyNumberFormat="1" applyFont="1" applyFill="1" applyBorder="1" applyAlignment="1" applyProtection="1">
      <alignment/>
      <protection locked="0"/>
    </xf>
    <xf numFmtId="49" fontId="0" fillId="0" borderId="0" xfId="159" applyNumberFormat="1" applyFont="1" applyBorder="1" applyAlignment="1" applyProtection="1">
      <alignment horizontal="center"/>
      <protection locked="0"/>
    </xf>
    <xf numFmtId="0" fontId="10" fillId="35" borderId="9" xfId="159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22" fillId="0" borderId="0" xfId="159" applyNumberFormat="1" applyFont="1" applyFill="1" applyBorder="1" applyAlignment="1" applyProtection="1">
      <alignment horizontal="center"/>
      <protection locked="0"/>
    </xf>
    <xf numFmtId="43" fontId="12" fillId="0" borderId="0" xfId="42" applyFont="1" applyFill="1" applyBorder="1" applyAlignment="1" applyProtection="1">
      <alignment/>
      <protection locked="0"/>
    </xf>
    <xf numFmtId="43" fontId="19" fillId="0" borderId="0" xfId="42" applyFont="1" applyBorder="1" applyAlignment="1" applyProtection="1">
      <alignment/>
      <protection locked="0"/>
    </xf>
    <xf numFmtId="43" fontId="0" fillId="0" borderId="0" xfId="42" applyFont="1" applyBorder="1" applyAlignment="1" applyProtection="1">
      <alignment/>
      <protection locked="0"/>
    </xf>
    <xf numFmtId="39" fontId="0" fillId="0" borderId="14" xfId="0" applyNumberFormat="1" applyFont="1" applyFill="1" applyBorder="1" applyAlignment="1">
      <alignment/>
    </xf>
    <xf numFmtId="0" fontId="22" fillId="0" borderId="0" xfId="159" applyNumberFormat="1" applyFont="1" applyBorder="1" applyAlignment="1" applyProtection="1">
      <alignment horizontal="center"/>
      <protection locked="0"/>
    </xf>
    <xf numFmtId="39" fontId="19" fillId="0" borderId="0" xfId="0" applyNumberFormat="1" applyFont="1" applyBorder="1" applyAlignment="1">
      <alignment/>
    </xf>
    <xf numFmtId="39" fontId="0" fillId="0" borderId="15" xfId="0" applyNumberFormat="1" applyBorder="1" applyAlignment="1">
      <alignment horizontal="center"/>
    </xf>
    <xf numFmtId="179" fontId="0" fillId="0" borderId="9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0" fontId="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39" fontId="10" fillId="0" borderId="13" xfId="159" applyNumberFormat="1" applyFont="1" applyBorder="1" applyAlignment="1" applyProtection="1">
      <alignment horizontal="center"/>
      <protection locked="0"/>
    </xf>
    <xf numFmtId="39" fontId="0" fillId="0" borderId="0" xfId="0" applyNumberFormat="1" applyFont="1" applyFill="1" applyBorder="1" applyAlignment="1">
      <alignment/>
    </xf>
    <xf numFmtId="39" fontId="24" fillId="0" borderId="0" xfId="0" applyNumberFormat="1" applyFont="1" applyFill="1" applyAlignment="1">
      <alignment/>
    </xf>
    <xf numFmtId="39" fontId="19" fillId="0" borderId="0" xfId="0" applyNumberFormat="1" applyFont="1" applyAlignment="1">
      <alignment/>
    </xf>
    <xf numFmtId="39" fontId="12" fillId="0" borderId="0" xfId="159" applyNumberFormat="1" applyFont="1" applyFill="1" applyBorder="1" applyAlignment="1" applyProtection="1">
      <alignment/>
      <protection locked="0"/>
    </xf>
    <xf numFmtId="39" fontId="0" fillId="34" borderId="0" xfId="0" applyNumberFormat="1" applyFont="1" applyFill="1" applyAlignment="1">
      <alignment/>
    </xf>
    <xf numFmtId="0" fontId="15" fillId="0" borderId="0" xfId="0" applyFont="1" applyAlignment="1">
      <alignment/>
    </xf>
    <xf numFmtId="39" fontId="1" fillId="34" borderId="0" xfId="0" applyNumberFormat="1" applyFont="1" applyFill="1" applyAlignment="1">
      <alignment/>
    </xf>
    <xf numFmtId="39" fontId="25" fillId="0" borderId="0" xfId="0" applyNumberFormat="1" applyFont="1" applyFill="1" applyBorder="1" applyAlignment="1">
      <alignment/>
    </xf>
    <xf numFmtId="39" fontId="26" fillId="0" borderId="0" xfId="0" applyNumberFormat="1" applyFont="1" applyBorder="1" applyAlignment="1">
      <alignment/>
    </xf>
    <xf numFmtId="39" fontId="25" fillId="0" borderId="0" xfId="0" applyNumberFormat="1" applyFont="1" applyFill="1" applyAlignment="1">
      <alignment/>
    </xf>
    <xf numFmtId="39" fontId="0" fillId="0" borderId="0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159" applyNumberFormat="1" applyFon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3" fontId="23" fillId="0" borderId="0" xfId="42" applyFont="1" applyBorder="1" applyAlignment="1">
      <alignment horizontal="center"/>
    </xf>
    <xf numFmtId="43" fontId="12" fillId="0" borderId="0" xfId="42" applyFont="1" applyBorder="1" applyAlignment="1">
      <alignment horizontal="right"/>
    </xf>
    <xf numFmtId="43" fontId="1" fillId="0" borderId="0" xfId="42" applyFont="1" applyBorder="1" applyAlignment="1" applyProtection="1">
      <alignment horizontal="center"/>
      <protection locked="0"/>
    </xf>
    <xf numFmtId="43" fontId="13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fill"/>
    </xf>
    <xf numFmtId="49" fontId="0" fillId="36" borderId="0" xfId="159" applyNumberFormat="1" applyFont="1" applyFill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" fillId="0" borderId="13" xfId="159" applyNumberFormat="1" applyFont="1" applyBorder="1" applyAlignment="1" applyProtection="1">
      <alignment horizontal="center"/>
      <protection locked="0"/>
    </xf>
    <xf numFmtId="4" fontId="13" fillId="0" borderId="17" xfId="159" applyNumberFormat="1" applyFont="1" applyBorder="1" applyAlignment="1">
      <alignment horizontal="right"/>
      <protection/>
    </xf>
    <xf numFmtId="4" fontId="0" fillId="0" borderId="17" xfId="159" applyNumberFormat="1" applyFont="1" applyBorder="1" applyAlignment="1">
      <alignment horizontal="right"/>
      <protection/>
    </xf>
    <xf numFmtId="39" fontId="0" fillId="0" borderId="27" xfId="159" applyNumberFormat="1" applyFont="1" applyBorder="1" applyAlignment="1">
      <alignment horizontal="right"/>
      <protection/>
    </xf>
    <xf numFmtId="39" fontId="0" fillId="0" borderId="0" xfId="159" applyNumberFormat="1" applyFont="1" applyFill="1" applyBorder="1" applyAlignment="1" applyProtection="1">
      <alignment/>
      <protection locked="0"/>
    </xf>
    <xf numFmtId="39" fontId="0" fillId="0" borderId="17" xfId="159" applyNumberFormat="1" applyFont="1" applyFill="1" applyBorder="1" applyAlignment="1" applyProtection="1">
      <alignment/>
      <protection locked="0"/>
    </xf>
    <xf numFmtId="39" fontId="10" fillId="0" borderId="0" xfId="159" applyNumberFormat="1" applyFont="1" applyBorder="1" applyAlignment="1" applyProtection="1">
      <alignment/>
      <protection locked="0"/>
    </xf>
    <xf numFmtId="39" fontId="1" fillId="0" borderId="0" xfId="159" applyNumberFormat="1" applyFont="1" applyBorder="1" applyAlignment="1" applyProtection="1">
      <alignment/>
      <protection locked="0"/>
    </xf>
    <xf numFmtId="39" fontId="1" fillId="34" borderId="0" xfId="159" applyNumberFormat="1" applyFont="1" applyFill="1" applyBorder="1" applyAlignment="1" applyProtection="1">
      <alignment/>
      <protection locked="0"/>
    </xf>
    <xf numFmtId="49" fontId="0" fillId="37" borderId="0" xfId="159" applyNumberFormat="1" applyFont="1" applyFill="1" applyBorder="1" applyAlignment="1" applyProtection="1">
      <alignment horizontal="center"/>
      <protection locked="0"/>
    </xf>
    <xf numFmtId="0" fontId="0" fillId="37" borderId="14" xfId="159" applyNumberFormat="1" applyFont="1" applyFill="1" applyBorder="1" applyAlignment="1" applyProtection="1">
      <alignment horizontal="center"/>
      <protection locked="0"/>
    </xf>
    <xf numFmtId="0" fontId="0" fillId="37" borderId="14" xfId="0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39" fontId="12" fillId="35" borderId="0" xfId="0" applyNumberFormat="1" applyFont="1" applyFill="1" applyAlignment="1">
      <alignment/>
    </xf>
    <xf numFmtId="49" fontId="0" fillId="36" borderId="0" xfId="0" applyNumberFormat="1" applyFill="1" applyAlignment="1">
      <alignment horizontal="center"/>
    </xf>
    <xf numFmtId="39" fontId="0" fillId="36" borderId="0" xfId="0" applyNumberFormat="1" applyFill="1" applyAlignment="1">
      <alignment/>
    </xf>
    <xf numFmtId="39" fontId="0" fillId="0" borderId="0" xfId="0" applyNumberFormat="1" applyFont="1" applyBorder="1" applyAlignment="1">
      <alignment horizontal="right"/>
    </xf>
    <xf numFmtId="39" fontId="0" fillId="0" borderId="0" xfId="0" applyNumberFormat="1" applyFont="1" applyAlignment="1">
      <alignment horizontal="right"/>
    </xf>
    <xf numFmtId="39" fontId="0" fillId="0" borderId="0" xfId="0" applyNumberFormat="1" applyAlignment="1">
      <alignment horizontal="right"/>
    </xf>
    <xf numFmtId="39" fontId="0" fillId="0" borderId="0" xfId="0" applyNumberFormat="1" applyBorder="1" applyAlignment="1">
      <alignment horizontal="right"/>
    </xf>
    <xf numFmtId="39" fontId="0" fillId="0" borderId="19" xfId="0" applyNumberFormat="1" applyBorder="1" applyAlignment="1">
      <alignment horizontal="right"/>
    </xf>
    <xf numFmtId="39" fontId="0" fillId="0" borderId="18" xfId="0" applyNumberFormat="1" applyBorder="1" applyAlignment="1">
      <alignment horizontal="right"/>
    </xf>
    <xf numFmtId="39" fontId="0" fillId="0" borderId="0" xfId="0" applyNumberFormat="1" applyFill="1" applyAlignment="1">
      <alignment horizontal="right"/>
    </xf>
    <xf numFmtId="39" fontId="0" fillId="0" borderId="28" xfId="0" applyNumberFormat="1" applyBorder="1" applyAlignment="1">
      <alignment/>
    </xf>
    <xf numFmtId="39" fontId="0" fillId="0" borderId="29" xfId="0" applyNumberFormat="1" applyBorder="1" applyAlignment="1">
      <alignment/>
    </xf>
    <xf numFmtId="39" fontId="0" fillId="0" borderId="30" xfId="0" applyNumberFormat="1" applyFont="1" applyBorder="1" applyAlignment="1">
      <alignment/>
    </xf>
    <xf numFmtId="39" fontId="1" fillId="0" borderId="0" xfId="0" applyNumberFormat="1" applyFont="1" applyFill="1" applyAlignment="1">
      <alignment/>
    </xf>
    <xf numFmtId="39" fontId="1" fillId="0" borderId="23" xfId="0" applyNumberFormat="1" applyFont="1" applyFill="1" applyBorder="1" applyAlignment="1">
      <alignment/>
    </xf>
    <xf numFmtId="39" fontId="1" fillId="0" borderId="24" xfId="0" applyNumberFormat="1" applyFont="1" applyFill="1" applyBorder="1" applyAlignment="1">
      <alignment/>
    </xf>
    <xf numFmtId="39" fontId="1" fillId="0" borderId="14" xfId="0" applyNumberFormat="1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9" fontId="0" fillId="0" borderId="28" xfId="0" applyNumberFormat="1" applyFont="1" applyFill="1" applyBorder="1" applyAlignment="1">
      <alignment/>
    </xf>
    <xf numFmtId="39" fontId="0" fillId="0" borderId="29" xfId="0" applyNumberFormat="1" applyFont="1" applyFill="1" applyBorder="1" applyAlignment="1">
      <alignment/>
    </xf>
    <xf numFmtId="39" fontId="0" fillId="0" borderId="30" xfId="0" applyNumberFormat="1" applyFont="1" applyFill="1" applyBorder="1" applyAlignment="1">
      <alignment/>
    </xf>
    <xf numFmtId="39" fontId="0" fillId="0" borderId="15" xfId="0" applyNumberFormat="1" applyFont="1" applyFill="1" applyBorder="1" applyAlignment="1">
      <alignment/>
    </xf>
    <xf numFmtId="39" fontId="0" fillId="0" borderId="9" xfId="0" applyNumberFormat="1" applyFont="1" applyFill="1" applyBorder="1" applyAlignment="1">
      <alignment/>
    </xf>
    <xf numFmtId="39" fontId="0" fillId="0" borderId="16" xfId="0" applyNumberFormat="1" applyFont="1" applyFill="1" applyBorder="1" applyAlignment="1">
      <alignment/>
    </xf>
    <xf numFmtId="0" fontId="30" fillId="0" borderId="0" xfId="0" applyFont="1" applyAlignment="1">
      <alignment/>
    </xf>
    <xf numFmtId="183" fontId="1" fillId="0" borderId="0" xfId="42" applyNumberFormat="1" applyFont="1" applyAlignment="1">
      <alignment/>
    </xf>
    <xf numFmtId="185" fontId="1" fillId="0" borderId="0" xfId="90" applyNumberFormat="1" applyFont="1" applyAlignment="1">
      <alignment/>
    </xf>
    <xf numFmtId="0" fontId="0" fillId="0" borderId="0" xfId="0" applyFont="1" applyAlignment="1">
      <alignment horizontal="right"/>
    </xf>
    <xf numFmtId="183" fontId="10" fillId="0" borderId="9" xfId="42" applyNumberFormat="1" applyFont="1" applyBorder="1" applyAlignment="1">
      <alignment horizontal="center"/>
    </xf>
    <xf numFmtId="185" fontId="10" fillId="0" borderId="9" xfId="90" applyNumberFormat="1" applyFont="1" applyBorder="1" applyAlignment="1">
      <alignment horizontal="center"/>
    </xf>
    <xf numFmtId="39" fontId="12" fillId="38" borderId="0" xfId="159" applyNumberFormat="1" applyFont="1" applyFill="1" applyBorder="1" applyAlignment="1" applyProtection="1">
      <alignment/>
      <protection locked="0"/>
    </xf>
    <xf numFmtId="0" fontId="0" fillId="0" borderId="0" xfId="159" applyNumberFormat="1" applyFont="1" applyAlignment="1" applyProtection="1">
      <alignment horizontal="right"/>
      <protection locked="0"/>
    </xf>
    <xf numFmtId="0" fontId="0" fillId="38" borderId="0" xfId="159" applyNumberFormat="1" applyFont="1" applyFill="1" applyAlignment="1" applyProtection="1">
      <alignment/>
      <protection locked="0"/>
    </xf>
    <xf numFmtId="39" fontId="71" fillId="0" borderId="0" xfId="0" applyNumberFormat="1" applyFont="1" applyBorder="1" applyAlignment="1">
      <alignment/>
    </xf>
    <xf numFmtId="39" fontId="0" fillId="38" borderId="0" xfId="0" applyNumberFormat="1" applyFill="1" applyBorder="1" applyAlignment="1">
      <alignment/>
    </xf>
    <xf numFmtId="0" fontId="0" fillId="0" borderId="0" xfId="159" applyNumberFormat="1" applyFont="1" applyFill="1" applyBorder="1" applyAlignment="1" applyProtection="1">
      <alignment/>
      <protection locked="0"/>
    </xf>
    <xf numFmtId="164" fontId="9" fillId="0" borderId="13" xfId="159" applyNumberFormat="1" applyFont="1" applyBorder="1" applyAlignment="1" applyProtection="1">
      <alignment horizontal="center"/>
      <protection locked="0"/>
    </xf>
    <xf numFmtId="39" fontId="72" fillId="0" borderId="14" xfId="0" applyNumberFormat="1" applyFont="1" applyBorder="1" applyAlignment="1">
      <alignment/>
    </xf>
    <xf numFmtId="39" fontId="72" fillId="0" borderId="0" xfId="0" applyNumberFormat="1" applyFont="1" applyFill="1" applyBorder="1" applyAlignment="1">
      <alignment/>
    </xf>
    <xf numFmtId="37" fontId="12" fillId="0" borderId="0" xfId="159" applyNumberFormat="1" applyFont="1" applyFill="1" applyBorder="1" applyAlignment="1" applyProtection="1">
      <alignment/>
      <protection locked="0"/>
    </xf>
    <xf numFmtId="39" fontId="0" fillId="0" borderId="11" xfId="0" applyNumberFormat="1" applyFont="1" applyFill="1" applyBorder="1" applyAlignment="1">
      <alignment/>
    </xf>
    <xf numFmtId="39" fontId="0" fillId="0" borderId="12" xfId="0" applyNumberFormat="1" applyFont="1" applyFill="1" applyBorder="1" applyAlignment="1">
      <alignment/>
    </xf>
    <xf numFmtId="39" fontId="0" fillId="0" borderId="13" xfId="0" applyNumberFormat="1" applyFont="1" applyFill="1" applyBorder="1" applyAlignment="1">
      <alignment/>
    </xf>
    <xf numFmtId="39" fontId="0" fillId="0" borderId="17" xfId="0" applyNumberFormat="1" applyFont="1" applyFill="1" applyBorder="1" applyAlignment="1">
      <alignment/>
    </xf>
    <xf numFmtId="39" fontId="0" fillId="0" borderId="14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1" fillId="0" borderId="27" xfId="0" applyNumberFormat="1" applyFont="1" applyFill="1" applyBorder="1" applyAlignment="1">
      <alignment/>
    </xf>
    <xf numFmtId="39" fontId="0" fillId="0" borderId="0" xfId="0" applyNumberFormat="1" applyFont="1" applyBorder="1" applyAlignment="1">
      <alignment/>
    </xf>
    <xf numFmtId="39" fontId="1" fillId="0" borderId="25" xfId="0" applyNumberFormat="1" applyFont="1" applyFill="1" applyBorder="1" applyAlignment="1">
      <alignment/>
    </xf>
    <xf numFmtId="39" fontId="1" fillId="0" borderId="17" xfId="0" applyNumberFormat="1" applyFont="1" applyFill="1" applyBorder="1" applyAlignment="1">
      <alignment/>
    </xf>
    <xf numFmtId="39" fontId="73" fillId="0" borderId="14" xfId="0" applyNumberFormat="1" applyFont="1" applyBorder="1" applyAlignment="1">
      <alignment/>
    </xf>
    <xf numFmtId="39" fontId="73" fillId="0" borderId="0" xfId="0" applyNumberFormat="1" applyFont="1" applyBorder="1" applyAlignment="1">
      <alignment/>
    </xf>
    <xf numFmtId="39" fontId="73" fillId="0" borderId="19" xfId="0" applyNumberFormat="1" applyFont="1" applyBorder="1" applyAlignment="1">
      <alignment/>
    </xf>
    <xf numFmtId="39" fontId="73" fillId="0" borderId="21" xfId="0" applyNumberFormat="1" applyFont="1" applyBorder="1" applyAlignment="1">
      <alignment/>
    </xf>
    <xf numFmtId="39" fontId="0" fillId="38" borderId="0" xfId="0" applyNumberFormat="1" applyFont="1" applyFill="1" applyBorder="1" applyAlignment="1">
      <alignment/>
    </xf>
    <xf numFmtId="39" fontId="71" fillId="0" borderId="14" xfId="0" applyNumberFormat="1" applyFont="1" applyBorder="1" applyAlignment="1">
      <alignment/>
    </xf>
    <xf numFmtId="39" fontId="27" fillId="0" borderId="14" xfId="0" applyNumberFormat="1" applyFont="1" applyBorder="1" applyAlignment="1">
      <alignment/>
    </xf>
    <xf numFmtId="39" fontId="0" fillId="38" borderId="0" xfId="0" applyNumberFormat="1" applyFont="1" applyFill="1" applyBorder="1" applyAlignment="1">
      <alignment horizontal="right"/>
    </xf>
    <xf numFmtId="39" fontId="71" fillId="0" borderId="0" xfId="0" applyNumberFormat="1" applyFont="1" applyAlignment="1">
      <alignment/>
    </xf>
    <xf numFmtId="37" fontId="0" fillId="0" borderId="0" xfId="159" applyNumberFormat="1" applyFont="1" applyBorder="1" applyAlignment="1" applyProtection="1">
      <alignment/>
      <protection locked="0"/>
    </xf>
    <xf numFmtId="37" fontId="12" fillId="0" borderId="0" xfId="159" applyNumberFormat="1" applyFont="1" applyBorder="1" applyAlignment="1" applyProtection="1">
      <alignment/>
      <protection locked="0"/>
    </xf>
    <xf numFmtId="39" fontId="1" fillId="0" borderId="0" xfId="159" applyNumberFormat="1" applyFont="1" applyFill="1" applyBorder="1" applyAlignment="1" applyProtection="1">
      <alignment horizontal="center"/>
      <protection locked="0"/>
    </xf>
    <xf numFmtId="1" fontId="0" fillId="0" borderId="0" xfId="159" applyNumberFormat="1" applyFont="1" applyFill="1" applyBorder="1" applyAlignment="1">
      <alignment horizontal="center"/>
      <protection/>
    </xf>
    <xf numFmtId="39" fontId="12" fillId="0" borderId="0" xfId="159" applyNumberFormat="1" applyFont="1" applyFill="1" applyBorder="1" applyAlignment="1">
      <alignment horizontal="right"/>
      <protection/>
    </xf>
    <xf numFmtId="39" fontId="12" fillId="0" borderId="0" xfId="159" applyNumberFormat="1" applyFont="1" applyFill="1" applyBorder="1" applyAlignment="1" applyProtection="1">
      <alignment horizontal="right"/>
      <protection locked="0"/>
    </xf>
    <xf numFmtId="1" fontId="13" fillId="0" borderId="0" xfId="159" applyNumberFormat="1" applyFont="1" applyFill="1" applyBorder="1" applyAlignment="1">
      <alignment horizontal="center"/>
      <protection/>
    </xf>
    <xf numFmtId="39" fontId="33" fillId="0" borderId="0" xfId="159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left"/>
    </xf>
    <xf numFmtId="40" fontId="0" fillId="0" borderId="0" xfId="151" applyNumberFormat="1" applyFont="1" applyFill="1" applyBorder="1">
      <alignment/>
      <protection/>
    </xf>
    <xf numFmtId="0" fontId="1" fillId="0" borderId="0" xfId="159" applyNumberFormat="1" applyFont="1" applyFill="1" applyBorder="1" applyAlignment="1" applyProtection="1">
      <alignment horizontal="left"/>
      <protection locked="0"/>
    </xf>
    <xf numFmtId="39" fontId="0" fillId="0" borderId="0" xfId="159" applyNumberFormat="1" applyFont="1" applyFill="1" applyBorder="1" applyAlignment="1" applyProtection="1">
      <alignment horizontal="left"/>
      <protection locked="0"/>
    </xf>
    <xf numFmtId="43" fontId="12" fillId="0" borderId="0" xfId="42" applyFont="1" applyFill="1" applyBorder="1" applyAlignment="1">
      <alignment/>
    </xf>
    <xf numFmtId="39" fontId="74" fillId="0" borderId="14" xfId="0" applyNumberFormat="1" applyFont="1" applyBorder="1" applyAlignment="1">
      <alignment/>
    </xf>
    <xf numFmtId="39" fontId="74" fillId="0" borderId="0" xfId="0" applyNumberFormat="1" applyFont="1" applyBorder="1" applyAlignment="1">
      <alignment/>
    </xf>
    <xf numFmtId="39" fontId="74" fillId="0" borderId="14" xfId="0" applyNumberFormat="1" applyFont="1" applyFill="1" applyBorder="1" applyAlignment="1">
      <alignment/>
    </xf>
    <xf numFmtId="39" fontId="74" fillId="0" borderId="0" xfId="0" applyNumberFormat="1" applyFont="1" applyFill="1" applyBorder="1" applyAlignment="1">
      <alignment/>
    </xf>
    <xf numFmtId="39" fontId="34" fillId="0" borderId="0" xfId="0" applyNumberFormat="1" applyFont="1" applyAlignment="1">
      <alignment horizontal="center"/>
    </xf>
    <xf numFmtId="37" fontId="0" fillId="0" borderId="0" xfId="0" applyNumberFormat="1" applyFont="1" applyFill="1" applyAlignment="1">
      <alignment/>
    </xf>
    <xf numFmtId="37" fontId="1" fillId="0" borderId="0" xfId="0" applyNumberFormat="1" applyFont="1" applyFill="1" applyAlignment="1">
      <alignment/>
    </xf>
    <xf numFmtId="39" fontId="0" fillId="0" borderId="11" xfId="0" applyNumberFormat="1" applyFont="1" applyBorder="1" applyAlignment="1">
      <alignment/>
    </xf>
    <xf numFmtId="39" fontId="74" fillId="0" borderId="0" xfId="0" applyNumberFormat="1" applyFont="1" applyAlignment="1">
      <alignment/>
    </xf>
    <xf numFmtId="39" fontId="74" fillId="0" borderId="0" xfId="0" applyNumberFormat="1" applyFont="1" applyFill="1" applyAlignment="1">
      <alignment/>
    </xf>
    <xf numFmtId="171" fontId="74" fillId="0" borderId="0" xfId="0" applyNumberFormat="1" applyFont="1" applyBorder="1" applyAlignment="1">
      <alignment/>
    </xf>
    <xf numFmtId="171" fontId="74" fillId="0" borderId="18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31" xfId="159" applyNumberFormat="1" applyFont="1" applyBorder="1" applyAlignment="1" applyProtection="1">
      <alignment horizontal="center"/>
      <protection locked="0"/>
    </xf>
    <xf numFmtId="39" fontId="12" fillId="0" borderId="16" xfId="159" applyNumberFormat="1" applyFont="1" applyBorder="1" applyAlignment="1" applyProtection="1">
      <alignment/>
      <protection locked="0"/>
    </xf>
    <xf numFmtId="0" fontId="1" fillId="0" borderId="17" xfId="0" applyFont="1" applyBorder="1" applyAlignment="1">
      <alignment/>
    </xf>
    <xf numFmtId="0" fontId="0" fillId="0" borderId="15" xfId="159" applyNumberFormat="1" applyFont="1" applyBorder="1" applyAlignment="1" applyProtection="1">
      <alignment horizontal="center"/>
      <protection locked="0"/>
    </xf>
    <xf numFmtId="43" fontId="12" fillId="0" borderId="17" xfId="42" applyFont="1" applyBorder="1" applyAlignment="1">
      <alignment/>
    </xf>
    <xf numFmtId="39" fontId="12" fillId="0" borderId="17" xfId="159" applyNumberFormat="1" applyFont="1" applyBorder="1" applyAlignment="1" applyProtection="1">
      <alignment/>
      <protection locked="0"/>
    </xf>
    <xf numFmtId="0" fontId="10" fillId="35" borderId="15" xfId="159" applyNumberFormat="1" applyFont="1" applyFill="1" applyBorder="1" applyAlignment="1" applyProtection="1">
      <alignment horizontal="left"/>
      <protection locked="0"/>
    </xf>
    <xf numFmtId="39" fontId="0" fillId="35" borderId="16" xfId="159" applyNumberFormat="1" applyFont="1" applyFill="1" applyBorder="1" applyAlignment="1" applyProtection="1">
      <alignment/>
      <protection locked="0"/>
    </xf>
    <xf numFmtId="37" fontId="1" fillId="0" borderId="0" xfId="0" applyNumberFormat="1" applyFont="1" applyFill="1" applyAlignment="1">
      <alignment horizontal="center"/>
    </xf>
    <xf numFmtId="9" fontId="0" fillId="0" borderId="0" xfId="162" applyFont="1" applyAlignment="1">
      <alignment horizontal="center"/>
    </xf>
    <xf numFmtId="181" fontId="1" fillId="39" borderId="0" xfId="0" applyNumberFormat="1" applyFont="1" applyFill="1" applyAlignment="1">
      <alignment horizontal="center"/>
    </xf>
    <xf numFmtId="191" fontId="0" fillId="0" borderId="0" xfId="42" applyNumberFormat="1" applyFont="1" applyFill="1" applyBorder="1" applyAlignment="1">
      <alignment horizontal="center"/>
    </xf>
    <xf numFmtId="39" fontId="53" fillId="0" borderId="0" xfId="159" applyNumberFormat="1" applyFont="1" applyBorder="1" applyAlignment="1" applyProtection="1">
      <alignment vertical="center" textRotation="180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0" fontId="9" fillId="0" borderId="14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39" fontId="1" fillId="0" borderId="0" xfId="159" applyNumberFormat="1" applyFont="1" applyFill="1" applyBorder="1" applyAlignment="1" applyProtection="1">
      <alignment horizontal="center" vertical="center"/>
      <protection locked="0"/>
    </xf>
    <xf numFmtId="0" fontId="1" fillId="0" borderId="0" xfId="159" applyNumberFormat="1" applyFont="1" applyBorder="1" applyAlignment="1" applyProtection="1">
      <alignment horizontal="center"/>
      <protection locked="0"/>
    </xf>
    <xf numFmtId="0" fontId="1" fillId="34" borderId="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39" fontId="14" fillId="0" borderId="0" xfId="0" applyNumberFormat="1" applyFont="1" applyAlignment="1">
      <alignment horizontal="center"/>
    </xf>
    <xf numFmtId="180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9" fontId="1" fillId="0" borderId="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11 2" xfId="47"/>
    <cellStyle name="Comma 12" xfId="48"/>
    <cellStyle name="Comma 12 2" xfId="49"/>
    <cellStyle name="Comma 13" xfId="50"/>
    <cellStyle name="Comma 13 2" xfId="51"/>
    <cellStyle name="Comma 13 2 2" xfId="52"/>
    <cellStyle name="Comma 13 2 2 2" xfId="53"/>
    <cellStyle name="Comma 13 2 3" xfId="54"/>
    <cellStyle name="Comma 13 3" xfId="55"/>
    <cellStyle name="Comma 13 3 2" xfId="56"/>
    <cellStyle name="Comma 13 4" xfId="57"/>
    <cellStyle name="Comma 13 4 2" xfId="58"/>
    <cellStyle name="Comma 13 5" xfId="59"/>
    <cellStyle name="Comma 13 6" xfId="60"/>
    <cellStyle name="Comma 13 7" xfId="61"/>
    <cellStyle name="Comma 14" xfId="62"/>
    <cellStyle name="Comma 14 2" xfId="63"/>
    <cellStyle name="Comma 14 2 2" xfId="64"/>
    <cellStyle name="Comma 14 3" xfId="65"/>
    <cellStyle name="Comma 15" xfId="66"/>
    <cellStyle name="Comma 15 2" xfId="67"/>
    <cellStyle name="Comma 16" xfId="68"/>
    <cellStyle name="Comma 16 2" xfId="69"/>
    <cellStyle name="Comma 17" xfId="70"/>
    <cellStyle name="Comma 18" xfId="71"/>
    <cellStyle name="Comma 18 2" xfId="72"/>
    <cellStyle name="Comma 19" xfId="73"/>
    <cellStyle name="Comma 2" xfId="74"/>
    <cellStyle name="Comma 2 2" xfId="75"/>
    <cellStyle name="Comma 3" xfId="76"/>
    <cellStyle name="Comma 4" xfId="77"/>
    <cellStyle name="Comma 4 2" xfId="78"/>
    <cellStyle name="Comma 5" xfId="79"/>
    <cellStyle name="Comma 6" xfId="80"/>
    <cellStyle name="Comma 6 2" xfId="81"/>
    <cellStyle name="Comma 6 2 2" xfId="82"/>
    <cellStyle name="Comma 6 3" xfId="83"/>
    <cellStyle name="Comma 7" xfId="84"/>
    <cellStyle name="Comma 7 2" xfId="85"/>
    <cellStyle name="Comma 8" xfId="86"/>
    <cellStyle name="Comma 8 2" xfId="87"/>
    <cellStyle name="Comma 9" xfId="88"/>
    <cellStyle name="Comma 9 2" xfId="89"/>
    <cellStyle name="Currency" xfId="90"/>
    <cellStyle name="Currency [0]" xfId="91"/>
    <cellStyle name="Currency 10" xfId="92"/>
    <cellStyle name="Currency 10 2" xfId="93"/>
    <cellStyle name="Currency 11" xfId="94"/>
    <cellStyle name="Currency 11 2" xfId="95"/>
    <cellStyle name="Currency 11 2 2" xfId="96"/>
    <cellStyle name="Currency 11 2 2 2" xfId="97"/>
    <cellStyle name="Currency 11 2 3" xfId="98"/>
    <cellStyle name="Currency 11 3" xfId="99"/>
    <cellStyle name="Currency 11 3 2" xfId="100"/>
    <cellStyle name="Currency 11 4" xfId="101"/>
    <cellStyle name="Currency 11 4 2" xfId="102"/>
    <cellStyle name="Currency 11 5" xfId="103"/>
    <cellStyle name="Currency 11 6" xfId="104"/>
    <cellStyle name="Currency 11 7" xfId="105"/>
    <cellStyle name="Currency 12" xfId="106"/>
    <cellStyle name="Currency 12 2" xfId="107"/>
    <cellStyle name="Currency 12 2 2" xfId="108"/>
    <cellStyle name="Currency 12 3" xfId="109"/>
    <cellStyle name="Currency 13" xfId="110"/>
    <cellStyle name="Currency 13 2" xfId="111"/>
    <cellStyle name="Currency 14" xfId="112"/>
    <cellStyle name="Currency 14 2" xfId="113"/>
    <cellStyle name="Currency 15" xfId="114"/>
    <cellStyle name="Currency 16" xfId="115"/>
    <cellStyle name="Currency 16 2" xfId="116"/>
    <cellStyle name="Currency 17" xfId="117"/>
    <cellStyle name="Currency 2" xfId="118"/>
    <cellStyle name="Currency 2 2" xfId="119"/>
    <cellStyle name="Currency 3" xfId="120"/>
    <cellStyle name="Currency 4" xfId="121"/>
    <cellStyle name="Currency 4 2" xfId="122"/>
    <cellStyle name="Currency 4 2 2" xfId="123"/>
    <cellStyle name="Currency 4 3" xfId="124"/>
    <cellStyle name="Currency 5" xfId="125"/>
    <cellStyle name="Currency 5 2" xfId="126"/>
    <cellStyle name="Currency 6" xfId="127"/>
    <cellStyle name="Currency 6 2" xfId="128"/>
    <cellStyle name="Currency 7" xfId="129"/>
    <cellStyle name="Currency 7 2" xfId="130"/>
    <cellStyle name="Currency 8" xfId="131"/>
    <cellStyle name="Currency 8 2" xfId="132"/>
    <cellStyle name="Currency 9" xfId="133"/>
    <cellStyle name="Currency 9 2" xfId="134"/>
    <cellStyle name="Explanatory Text" xfId="135"/>
    <cellStyle name="Followed Hyperlink" xfId="136"/>
    <cellStyle name="Good" xfId="137"/>
    <cellStyle name="Heading 1" xfId="138"/>
    <cellStyle name="Heading 2" xfId="139"/>
    <cellStyle name="Heading 3" xfId="140"/>
    <cellStyle name="Heading 4" xfId="141"/>
    <cellStyle name="Hyperlink" xfId="142"/>
    <cellStyle name="Input" xfId="143"/>
    <cellStyle name="Linked Cell" xfId="144"/>
    <cellStyle name="Neutral" xfId="145"/>
    <cellStyle name="Normal 2" xfId="146"/>
    <cellStyle name="Normal 2 2" xfId="147"/>
    <cellStyle name="Normal 2 2 2" xfId="148"/>
    <cellStyle name="Normal 3" xfId="149"/>
    <cellStyle name="Normal 3 2" xfId="150"/>
    <cellStyle name="Normal 4" xfId="151"/>
    <cellStyle name="Normal 5" xfId="152"/>
    <cellStyle name="Normal 5 2" xfId="153"/>
    <cellStyle name="Normal 6" xfId="154"/>
    <cellStyle name="Normal 6 2" xfId="155"/>
    <cellStyle name="Normal 7" xfId="156"/>
    <cellStyle name="Normal 7 2" xfId="157"/>
    <cellStyle name="Normal 8" xfId="158"/>
    <cellStyle name="Normal_INV10HANDLING" xfId="159"/>
    <cellStyle name="Note" xfId="160"/>
    <cellStyle name="Output" xfId="161"/>
    <cellStyle name="Percent" xfId="162"/>
    <cellStyle name="Percent 10" xfId="163"/>
    <cellStyle name="Percent 10 2" xfId="164"/>
    <cellStyle name="Percent 11" xfId="165"/>
    <cellStyle name="Percent 11 2" xfId="166"/>
    <cellStyle name="Percent 11 2 2" xfId="167"/>
    <cellStyle name="Percent 11 2 2 2" xfId="168"/>
    <cellStyle name="Percent 11 2 3" xfId="169"/>
    <cellStyle name="Percent 11 3" xfId="170"/>
    <cellStyle name="Percent 11 3 2" xfId="171"/>
    <cellStyle name="Percent 11 4" xfId="172"/>
    <cellStyle name="Percent 11 4 2" xfId="173"/>
    <cellStyle name="Percent 11 5" xfId="174"/>
    <cellStyle name="Percent 11 6" xfId="175"/>
    <cellStyle name="Percent 11 7" xfId="176"/>
    <cellStyle name="Percent 12" xfId="177"/>
    <cellStyle name="Percent 12 2" xfId="178"/>
    <cellStyle name="Percent 12 2 2" xfId="179"/>
    <cellStyle name="Percent 12 3" xfId="180"/>
    <cellStyle name="Percent 13" xfId="181"/>
    <cellStyle name="Percent 14" xfId="182"/>
    <cellStyle name="Percent 14 2" xfId="183"/>
    <cellStyle name="Percent 2" xfId="184"/>
    <cellStyle name="Percent 2 2" xfId="185"/>
    <cellStyle name="Percent 3" xfId="186"/>
    <cellStyle name="Percent 4" xfId="187"/>
    <cellStyle name="Percent 4 2" xfId="188"/>
    <cellStyle name="Percent 4 2 2" xfId="189"/>
    <cellStyle name="Percent 4 3" xfId="190"/>
    <cellStyle name="Percent 5" xfId="191"/>
    <cellStyle name="Percent 5 2" xfId="192"/>
    <cellStyle name="Percent 6" xfId="193"/>
    <cellStyle name="Percent 6 2" xfId="194"/>
    <cellStyle name="Percent 7" xfId="195"/>
    <cellStyle name="Percent 7 2" xfId="196"/>
    <cellStyle name="Percent 8" xfId="197"/>
    <cellStyle name="Percent 8 2" xfId="198"/>
    <cellStyle name="Percent 9" xfId="199"/>
    <cellStyle name="Percent 9 2" xfId="200"/>
    <cellStyle name="PSChar" xfId="201"/>
    <cellStyle name="PSChar 2" xfId="202"/>
    <cellStyle name="PSChar 2 2" xfId="203"/>
    <cellStyle name="PSChar 3" xfId="204"/>
    <cellStyle name="PSChar 3 2" xfId="205"/>
    <cellStyle name="PSChar 4" xfId="206"/>
    <cellStyle name="PSChar 4 2" xfId="207"/>
    <cellStyle name="PSChar 5" xfId="208"/>
    <cellStyle name="PSChar 5 2" xfId="209"/>
    <cellStyle name="PSChar 6" xfId="210"/>
    <cellStyle name="PSChar 6 2" xfId="211"/>
    <cellStyle name="PSChar 7" xfId="212"/>
    <cellStyle name="PSDate" xfId="213"/>
    <cellStyle name="PSDate 2" xfId="214"/>
    <cellStyle name="PSDate 2 2" xfId="215"/>
    <cellStyle name="PSDate 3" xfId="216"/>
    <cellStyle name="PSDate 3 2" xfId="217"/>
    <cellStyle name="PSDate 4" xfId="218"/>
    <cellStyle name="PSDate 4 2" xfId="219"/>
    <cellStyle name="PSDate 5" xfId="220"/>
    <cellStyle name="PSDate 5 2" xfId="221"/>
    <cellStyle name="PSDate 6" xfId="222"/>
    <cellStyle name="PSDate 6 2" xfId="223"/>
    <cellStyle name="PSDate 7" xfId="224"/>
    <cellStyle name="PSDec" xfId="225"/>
    <cellStyle name="PSDec 2" xfId="226"/>
    <cellStyle name="PSDec 2 2" xfId="227"/>
    <cellStyle name="PSDec 3" xfId="228"/>
    <cellStyle name="PSDec 3 2" xfId="229"/>
    <cellStyle name="PSDec 4" xfId="230"/>
    <cellStyle name="PSDec 4 2" xfId="231"/>
    <cellStyle name="PSDec 5" xfId="232"/>
    <cellStyle name="PSDec 5 2" xfId="233"/>
    <cellStyle name="PSDec 6" xfId="234"/>
    <cellStyle name="PSDec 6 2" xfId="235"/>
    <cellStyle name="PSDec 7" xfId="236"/>
    <cellStyle name="PSHeading" xfId="237"/>
    <cellStyle name="PSHeading 2" xfId="238"/>
    <cellStyle name="PSHeading 2 2" xfId="239"/>
    <cellStyle name="PSHeading 3" xfId="240"/>
    <cellStyle name="PSHeading 3 2" xfId="241"/>
    <cellStyle name="PSHeading 4" xfId="242"/>
    <cellStyle name="PSHeading 4 2" xfId="243"/>
    <cellStyle name="PSHeading 5" xfId="244"/>
    <cellStyle name="PSHeading 5 2" xfId="245"/>
    <cellStyle name="PSHeading 6" xfId="246"/>
    <cellStyle name="PSHeading 6 2" xfId="247"/>
    <cellStyle name="PSHeading 7" xfId="248"/>
    <cellStyle name="PSHeading_AMOS OPCO HIGH SULFUR" xfId="249"/>
    <cellStyle name="PSInt" xfId="250"/>
    <cellStyle name="PSInt 2" xfId="251"/>
    <cellStyle name="PSInt 2 2" xfId="252"/>
    <cellStyle name="PSInt 3" xfId="253"/>
    <cellStyle name="PSInt 3 2" xfId="254"/>
    <cellStyle name="PSInt 4" xfId="255"/>
    <cellStyle name="PSInt 4 2" xfId="256"/>
    <cellStyle name="PSInt 5" xfId="257"/>
    <cellStyle name="PSInt 5 2" xfId="258"/>
    <cellStyle name="PSInt 6" xfId="259"/>
    <cellStyle name="PSInt 6 2" xfId="260"/>
    <cellStyle name="PSInt 7" xfId="261"/>
    <cellStyle name="PSSpacer" xfId="262"/>
    <cellStyle name="PSSpacer 2" xfId="263"/>
    <cellStyle name="PSSpacer 2 2" xfId="264"/>
    <cellStyle name="PSSpacer 3" xfId="265"/>
    <cellStyle name="PSSpacer 3 2" xfId="266"/>
    <cellStyle name="PSSpacer 4" xfId="267"/>
    <cellStyle name="PSSpacer 4 2" xfId="268"/>
    <cellStyle name="PSSpacer 5" xfId="269"/>
    <cellStyle name="PSSpacer 5 2" xfId="270"/>
    <cellStyle name="PSSpacer 6" xfId="271"/>
    <cellStyle name="PSSpacer 6 2" xfId="272"/>
    <cellStyle name="PSSpacer 7" xfId="273"/>
    <cellStyle name="Title" xfId="274"/>
    <cellStyle name="Total" xfId="275"/>
    <cellStyle name="Warning Text" xfId="2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V03CO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V03HANDL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V03O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CONSUMPTION RATIOS"/>
      <sheetName val="MITCHELL"/>
      <sheetName val="MITCHELL_KP_OP"/>
      <sheetName val="MITCHELL HIGH SULFUR"/>
      <sheetName val="MITCHELL_KP_OP_HIGH SULFUR"/>
      <sheetName val="MITCHELL LOW SULFUR"/>
      <sheetName val="MITCHELL_KP_OP_LOW SULFUR"/>
      <sheetName val="NO LOAD"/>
      <sheetName val="NO LOAD COAL"/>
      <sheetName val="JE0305"/>
      <sheetName val="MI0305-Upload"/>
      <sheetName val="CONTROL"/>
      <sheetName val="REVISION"/>
      <sheetName val="Risk Assessment"/>
      <sheetName val="Complex SS Info"/>
    </sheetNames>
    <sheetDataSet>
      <sheetData sheetId="0">
        <row r="3">
          <cell r="A3" t="str">
            <v>APRIL 2014</v>
          </cell>
        </row>
      </sheetData>
      <sheetData sheetId="2">
        <row r="21">
          <cell r="E21">
            <v>12184</v>
          </cell>
        </row>
      </sheetData>
      <sheetData sheetId="4">
        <row r="7">
          <cell r="B7">
            <v>237538.96</v>
          </cell>
          <cell r="C7">
            <v>14132804.46</v>
          </cell>
        </row>
        <row r="9">
          <cell r="B9">
            <v>68523.2</v>
          </cell>
          <cell r="C9">
            <v>3887098.3599999994</v>
          </cell>
        </row>
        <row r="10">
          <cell r="C10">
            <v>0</v>
          </cell>
        </row>
        <row r="15">
          <cell r="B15">
            <v>153889</v>
          </cell>
          <cell r="C15">
            <v>9060261.31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</sheetData>
      <sheetData sheetId="5">
        <row r="7">
          <cell r="B7">
            <v>118769.48</v>
          </cell>
          <cell r="C7">
            <v>7066402.23</v>
          </cell>
        </row>
        <row r="9">
          <cell r="B9">
            <v>33454.32999999999</v>
          </cell>
          <cell r="C9">
            <v>1896020.8399999994</v>
          </cell>
        </row>
        <row r="10">
          <cell r="C10">
            <v>0</v>
          </cell>
        </row>
        <row r="15">
          <cell r="B15">
            <v>44170.79</v>
          </cell>
          <cell r="C15">
            <v>2600568.23</v>
          </cell>
        </row>
        <row r="16">
          <cell r="B16">
            <v>31966.44</v>
          </cell>
          <cell r="C16">
            <v>1882034.0900000003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  <row r="19">
          <cell r="B19">
            <v>0</v>
          </cell>
          <cell r="C19">
            <v>0</v>
          </cell>
        </row>
        <row r="20">
          <cell r="B20">
            <v>0</v>
          </cell>
          <cell r="C20">
            <v>0</v>
          </cell>
        </row>
        <row r="32">
          <cell r="B32">
            <v>118769.48</v>
          </cell>
          <cell r="C32">
            <v>7066402.23</v>
          </cell>
        </row>
        <row r="34">
          <cell r="B34">
            <v>35068.87000000001</v>
          </cell>
          <cell r="C34">
            <v>1991077.52</v>
          </cell>
        </row>
        <row r="35">
          <cell r="C35">
            <v>0</v>
          </cell>
        </row>
        <row r="40">
          <cell r="B40">
            <v>45108.21</v>
          </cell>
          <cell r="C40">
            <v>2655759.68</v>
          </cell>
        </row>
        <row r="41">
          <cell r="B41">
            <v>32643.56</v>
          </cell>
          <cell r="C41">
            <v>1921899.31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</sheetData>
      <sheetData sheetId="6">
        <row r="7">
          <cell r="B7">
            <v>108117.69</v>
          </cell>
          <cell r="C7">
            <v>8466792.86</v>
          </cell>
        </row>
        <row r="9">
          <cell r="B9">
            <v>277123.13</v>
          </cell>
          <cell r="C9">
            <v>16123103.080000002</v>
          </cell>
        </row>
        <row r="10">
          <cell r="C10">
            <v>1743403.6099999999</v>
          </cell>
        </row>
        <row r="15">
          <cell r="B15">
            <v>142775</v>
          </cell>
          <cell r="C15">
            <v>9757173.63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</sheetData>
      <sheetData sheetId="7">
        <row r="7">
          <cell r="B7">
            <v>54058.84</v>
          </cell>
          <cell r="C7">
            <v>4233396.43</v>
          </cell>
        </row>
        <row r="9">
          <cell r="B9">
            <v>137812.67</v>
          </cell>
          <cell r="C9">
            <v>8015366.130000002</v>
          </cell>
        </row>
        <row r="10">
          <cell r="C10">
            <v>866707.7399999998</v>
          </cell>
        </row>
        <row r="15">
          <cell r="B15">
            <v>37562.9</v>
          </cell>
          <cell r="C15">
            <v>2567030.1000000006</v>
          </cell>
        </row>
        <row r="16">
          <cell r="B16">
            <v>33075.7</v>
          </cell>
          <cell r="C16">
            <v>2260377.2400000007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  <row r="19">
          <cell r="B19">
            <v>0</v>
          </cell>
          <cell r="C19">
            <v>0</v>
          </cell>
        </row>
        <row r="20">
          <cell r="B20">
            <v>0</v>
          </cell>
          <cell r="C20">
            <v>0</v>
          </cell>
        </row>
        <row r="32">
          <cell r="B32">
            <v>54058.85</v>
          </cell>
          <cell r="C32">
            <v>4233396.43</v>
          </cell>
        </row>
        <row r="34">
          <cell r="B34">
            <v>139310.46</v>
          </cell>
          <cell r="C34">
            <v>8107736.95</v>
          </cell>
        </row>
        <row r="35">
          <cell r="C35">
            <v>876695.8700000001</v>
          </cell>
        </row>
        <row r="40">
          <cell r="B40">
            <v>38360.1</v>
          </cell>
          <cell r="C40">
            <v>2621509.76</v>
          </cell>
        </row>
        <row r="41">
          <cell r="B41">
            <v>33776.3</v>
          </cell>
          <cell r="C41">
            <v>2308256.53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MITCHELL"/>
      <sheetName val="MITCHELL_KP_OP"/>
      <sheetName val="CONTROLS"/>
    </sheetNames>
    <sheetDataSet>
      <sheetData sheetId="2">
        <row r="7">
          <cell r="C7">
            <v>474873.59</v>
          </cell>
        </row>
        <row r="9">
          <cell r="C9">
            <v>246326.74000000005</v>
          </cell>
        </row>
        <row r="13">
          <cell r="C13">
            <v>171305.63999999998</v>
          </cell>
        </row>
        <row r="14">
          <cell r="C14">
            <v>136321.81999999995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29">
          <cell r="C29">
            <v>474873.59</v>
          </cell>
        </row>
        <row r="31">
          <cell r="C31">
            <v>252849.89999999997</v>
          </cell>
        </row>
        <row r="35">
          <cell r="C35">
            <v>174941.23</v>
          </cell>
        </row>
        <row r="36">
          <cell r="C36">
            <v>139209.39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ITCHELL"/>
      <sheetName val="MITCHELL_KP_OP"/>
      <sheetName val="CONTROLS"/>
      <sheetName val="Risk Assessment"/>
      <sheetName val="Complex SS Info"/>
    </sheetNames>
    <sheetDataSet>
      <sheetData sheetId="0">
        <row r="17">
          <cell r="E17">
            <v>137515</v>
          </cell>
        </row>
      </sheetData>
      <sheetData sheetId="1">
        <row r="7">
          <cell r="B7">
            <v>412185</v>
          </cell>
          <cell r="C7">
            <v>1363216.05</v>
          </cell>
        </row>
        <row r="9">
          <cell r="B9">
            <v>74232.59606999997</v>
          </cell>
          <cell r="C9">
            <v>247999.2837425</v>
          </cell>
        </row>
        <row r="13">
          <cell r="B13">
            <v>26662.077500000003</v>
          </cell>
          <cell r="C13">
            <v>88315.774235</v>
          </cell>
        </row>
        <row r="14">
          <cell r="B14">
            <v>45957.266879999996</v>
          </cell>
          <cell r="C14">
            <v>152229.3994032</v>
          </cell>
        </row>
        <row r="15">
          <cell r="B15">
            <v>58.87525</v>
          </cell>
          <cell r="C15">
            <v>195.01560750000002</v>
          </cell>
        </row>
        <row r="16">
          <cell r="B16">
            <v>58.876439999999995</v>
          </cell>
          <cell r="C16">
            <v>195.0244968</v>
          </cell>
        </row>
        <row r="28">
          <cell r="B28">
            <v>412185</v>
          </cell>
          <cell r="C28">
            <v>1363216.05</v>
          </cell>
        </row>
        <row r="30">
          <cell r="B30">
            <v>75774.40393000003</v>
          </cell>
          <cell r="C30">
            <v>253106.39625749993</v>
          </cell>
        </row>
        <row r="34">
          <cell r="B34">
            <v>27227.922499999997</v>
          </cell>
          <cell r="C34">
            <v>90190.08576499998</v>
          </cell>
        </row>
        <row r="35">
          <cell r="B35">
            <v>46930.733120000004</v>
          </cell>
          <cell r="C35">
            <v>155453.92059680002</v>
          </cell>
        </row>
        <row r="36">
          <cell r="B36">
            <v>60.12475</v>
          </cell>
          <cell r="C36">
            <v>199.1543925</v>
          </cell>
        </row>
        <row r="37">
          <cell r="B37">
            <v>60.123560000000005</v>
          </cell>
          <cell r="C37">
            <v>199.1555032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U181"/>
  <sheetViews>
    <sheetView tabSelected="1" zoomScale="80" zoomScaleNormal="80" zoomScalePageLayoutView="0" workbookViewId="0" topLeftCell="A1">
      <selection activeCell="A1" sqref="A1:J1"/>
    </sheetView>
  </sheetViews>
  <sheetFormatPr defaultColWidth="13.8515625" defaultRowHeight="12.75"/>
  <cols>
    <col min="1" max="1" width="39.57421875" style="24" customWidth="1"/>
    <col min="2" max="2" width="18.28125" style="24" bestFit="1" customWidth="1"/>
    <col min="3" max="3" width="16.8515625" style="24" bestFit="1" customWidth="1"/>
    <col min="4" max="4" width="22.00390625" style="24" customWidth="1"/>
    <col min="5" max="5" width="19.8515625" style="24" bestFit="1" customWidth="1"/>
    <col min="6" max="6" width="21.8515625" style="24" customWidth="1"/>
    <col min="7" max="7" width="21.57421875" style="24" bestFit="1" customWidth="1"/>
    <col min="8" max="8" width="16.28125" style="24" customWidth="1"/>
    <col min="9" max="9" width="21.00390625" style="24" bestFit="1" customWidth="1"/>
    <col min="10" max="10" width="14.57421875" style="24" customWidth="1"/>
    <col min="11" max="11" width="11.00390625" style="24" bestFit="1" customWidth="1"/>
    <col min="12" max="12" width="19.7109375" style="24" bestFit="1" customWidth="1"/>
    <col min="13" max="13" width="15.7109375" style="24" bestFit="1" customWidth="1"/>
    <col min="14" max="15" width="13.8515625" style="24" customWidth="1"/>
    <col min="16" max="16" width="17.28125" style="24" bestFit="1" customWidth="1"/>
    <col min="17" max="16384" width="13.8515625" style="24" customWidth="1"/>
  </cols>
  <sheetData>
    <row r="1" spans="1:19" ht="12.75">
      <c r="A1" s="328" t="s">
        <v>203</v>
      </c>
      <c r="B1" s="329"/>
      <c r="C1" s="329"/>
      <c r="D1" s="329"/>
      <c r="E1" s="329"/>
      <c r="F1" s="329"/>
      <c r="G1" s="329"/>
      <c r="H1" s="329"/>
      <c r="I1" s="329"/>
      <c r="J1" s="329"/>
      <c r="K1" s="206"/>
      <c r="L1" s="206"/>
      <c r="M1" s="47"/>
      <c r="N1" s="47"/>
      <c r="O1" s="47"/>
      <c r="P1" s="47"/>
      <c r="Q1" s="47"/>
      <c r="R1" s="47"/>
      <c r="S1" s="207"/>
    </row>
    <row r="2" spans="1:19" ht="12.75">
      <c r="A2" s="330" t="s">
        <v>135</v>
      </c>
      <c r="B2" s="331"/>
      <c r="C2" s="331"/>
      <c r="D2" s="331"/>
      <c r="E2" s="331"/>
      <c r="F2" s="331"/>
      <c r="G2" s="331"/>
      <c r="H2" s="331"/>
      <c r="I2" s="331"/>
      <c r="J2" s="331"/>
      <c r="K2" s="86"/>
      <c r="L2" s="86"/>
      <c r="M2" s="26"/>
      <c r="N2" s="26"/>
      <c r="O2" s="26"/>
      <c r="P2" s="26"/>
      <c r="Q2" s="26"/>
      <c r="R2" s="26"/>
      <c r="S2" s="27"/>
    </row>
    <row r="3" spans="1:19" ht="13.5" thickBot="1">
      <c r="A3" s="332" t="str">
        <f>'[1]INPUTS'!$A$3</f>
        <v>APRIL 2014</v>
      </c>
      <c r="B3" s="333"/>
      <c r="C3" s="333"/>
      <c r="D3" s="333"/>
      <c r="E3" s="333"/>
      <c r="F3" s="333"/>
      <c r="G3" s="333"/>
      <c r="H3" s="333"/>
      <c r="I3" s="333"/>
      <c r="J3" s="333"/>
      <c r="K3" s="86"/>
      <c r="L3" s="86"/>
      <c r="M3" s="26"/>
      <c r="N3" s="26"/>
      <c r="O3" s="26"/>
      <c r="P3" s="26"/>
      <c r="Q3" s="26"/>
      <c r="R3" s="26"/>
      <c r="S3" s="27"/>
    </row>
    <row r="4" spans="1:19" ht="12.75">
      <c r="A4" s="45" t="s">
        <v>194</v>
      </c>
      <c r="B4" s="46"/>
      <c r="C4" s="46"/>
      <c r="D4" s="46"/>
      <c r="E4" s="46"/>
      <c r="F4" s="46"/>
      <c r="G4" s="266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26"/>
    </row>
    <row r="5" spans="1:19" ht="12.75">
      <c r="A5" s="25"/>
      <c r="B5" s="26"/>
      <c r="C5" s="26"/>
      <c r="D5" s="26"/>
      <c r="E5" s="26"/>
      <c r="F5" s="26"/>
      <c r="G5" s="27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2.75">
      <c r="A6" s="28"/>
      <c r="B6" s="29" t="s">
        <v>31</v>
      </c>
      <c r="C6" s="331" t="s">
        <v>32</v>
      </c>
      <c r="D6" s="331"/>
      <c r="E6" s="331"/>
      <c r="F6" s="314"/>
      <c r="G6" s="317"/>
      <c r="H6" s="314"/>
      <c r="I6" s="314"/>
      <c r="J6" s="314"/>
      <c r="K6" s="86"/>
      <c r="L6" s="86"/>
      <c r="M6" s="26"/>
      <c r="N6" s="26"/>
      <c r="O6" s="26"/>
      <c r="P6" s="26"/>
      <c r="Q6" s="26"/>
      <c r="R6" s="26"/>
      <c r="S6" s="26"/>
    </row>
    <row r="7" spans="1:21" ht="12.75">
      <c r="A7" s="28" t="s">
        <v>136</v>
      </c>
      <c r="B7" s="29" t="s">
        <v>37</v>
      </c>
      <c r="C7" s="29" t="s">
        <v>96</v>
      </c>
      <c r="D7" s="29" t="s">
        <v>213</v>
      </c>
      <c r="E7" s="29" t="s">
        <v>215</v>
      </c>
      <c r="F7" s="29" t="s">
        <v>229</v>
      </c>
      <c r="G7" s="30" t="s">
        <v>230</v>
      </c>
      <c r="H7" s="29"/>
      <c r="I7" s="29"/>
      <c r="J7" s="29"/>
      <c r="K7" s="29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2.75">
      <c r="A8" s="34" t="s">
        <v>232</v>
      </c>
      <c r="B8" s="198">
        <v>3406.52</v>
      </c>
      <c r="C8" s="32"/>
      <c r="D8" s="32">
        <f>C8-E8</f>
        <v>0</v>
      </c>
      <c r="E8" s="32"/>
      <c r="F8" s="32"/>
      <c r="G8" s="33">
        <f>+B8</f>
        <v>3406.52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2.75">
      <c r="A9" s="34">
        <v>1002</v>
      </c>
      <c r="B9" s="198">
        <v>15.94</v>
      </c>
      <c r="C9" s="26"/>
      <c r="D9" s="32">
        <f aca="true" t="shared" si="0" ref="D9:D51">C9-E9</f>
        <v>0</v>
      </c>
      <c r="E9" s="26"/>
      <c r="F9" s="26"/>
      <c r="G9" s="33">
        <f>+B9</f>
        <v>15.94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2.75">
      <c r="A10" s="34">
        <v>1006</v>
      </c>
      <c r="B10" s="198">
        <v>263.51</v>
      </c>
      <c r="C10" s="26"/>
      <c r="D10" s="32">
        <f t="shared" si="0"/>
        <v>0</v>
      </c>
      <c r="E10" s="26"/>
      <c r="F10" s="26"/>
      <c r="G10" s="33">
        <f>+B10</f>
        <v>263.51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2.75">
      <c r="A11" s="34">
        <v>1060</v>
      </c>
      <c r="B11" s="198">
        <v>3.91</v>
      </c>
      <c r="C11" s="32"/>
      <c r="D11" s="32">
        <f t="shared" si="0"/>
        <v>0</v>
      </c>
      <c r="E11" s="32"/>
      <c r="F11" s="32"/>
      <c r="G11" s="33">
        <f>+B11</f>
        <v>3.91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2.75">
      <c r="A12" s="34">
        <v>1062</v>
      </c>
      <c r="B12" s="198">
        <v>-2.44</v>
      </c>
      <c r="C12" s="26"/>
      <c r="D12" s="32">
        <f t="shared" si="0"/>
        <v>0</v>
      </c>
      <c r="E12" s="26"/>
      <c r="F12" s="26"/>
      <c r="G12" s="33">
        <f>+B12</f>
        <v>-2.44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7" ht="12.75">
      <c r="A13" s="34">
        <v>1125</v>
      </c>
      <c r="B13" s="198">
        <v>4618.59</v>
      </c>
      <c r="C13" s="26"/>
      <c r="D13" s="32">
        <f t="shared" si="0"/>
        <v>0</v>
      </c>
      <c r="E13" s="26"/>
      <c r="F13" s="32">
        <f>+B13</f>
        <v>4618.59</v>
      </c>
      <c r="G13" s="33"/>
    </row>
    <row r="14" spans="1:7" ht="12.75">
      <c r="A14" s="34">
        <v>1140</v>
      </c>
      <c r="B14" s="198">
        <v>0</v>
      </c>
      <c r="C14" s="32"/>
      <c r="D14" s="32">
        <f t="shared" si="0"/>
        <v>0</v>
      </c>
      <c r="E14" s="32"/>
      <c r="F14" s="32"/>
      <c r="G14" s="33">
        <f>+B14</f>
        <v>0</v>
      </c>
    </row>
    <row r="15" spans="1:7" ht="12.75">
      <c r="A15" s="34">
        <v>1171</v>
      </c>
      <c r="B15" s="198">
        <v>0</v>
      </c>
      <c r="C15" s="26"/>
      <c r="D15" s="32">
        <f t="shared" si="0"/>
        <v>0</v>
      </c>
      <c r="E15" s="26"/>
      <c r="F15" s="26"/>
      <c r="G15" s="33">
        <f>+B15</f>
        <v>0</v>
      </c>
    </row>
    <row r="16" spans="1:7" ht="12.75">
      <c r="A16" s="34">
        <v>1176</v>
      </c>
      <c r="B16" s="198">
        <v>0</v>
      </c>
      <c r="C16" s="32"/>
      <c r="D16" s="32">
        <f t="shared" si="0"/>
        <v>0</v>
      </c>
      <c r="E16" s="32"/>
      <c r="F16" s="32"/>
      <c r="G16" s="33">
        <f>+B16</f>
        <v>0</v>
      </c>
    </row>
    <row r="17" spans="1:7" ht="12.75">
      <c r="A17" s="34" t="s">
        <v>246</v>
      </c>
      <c r="B17" s="198">
        <v>0</v>
      </c>
      <c r="C17" s="32">
        <f>+B17</f>
        <v>0</v>
      </c>
      <c r="D17" s="32">
        <f t="shared" si="0"/>
        <v>0</v>
      </c>
      <c r="E17" s="26"/>
      <c r="F17" s="26"/>
      <c r="G17" s="33"/>
    </row>
    <row r="18" spans="1:7" ht="12.75">
      <c r="A18" s="34" t="s">
        <v>236</v>
      </c>
      <c r="B18" s="198">
        <f>1363.88-36742.03+2216.1+1432.36+95516.14+1734.22+2996.54+4695.71+22387</f>
        <v>95599.92</v>
      </c>
      <c r="C18" s="32">
        <f>+B18</f>
        <v>95599.92</v>
      </c>
      <c r="D18" s="32">
        <f t="shared" si="0"/>
        <v>95599.92</v>
      </c>
      <c r="E18" s="26"/>
      <c r="F18" s="26"/>
      <c r="G18" s="33"/>
    </row>
    <row r="19" spans="1:7" ht="12.75">
      <c r="A19" s="34" t="s">
        <v>247</v>
      </c>
      <c r="B19" s="198">
        <v>0</v>
      </c>
      <c r="C19" s="32">
        <f>+B19</f>
        <v>0</v>
      </c>
      <c r="D19" s="32">
        <f t="shared" si="0"/>
        <v>0</v>
      </c>
      <c r="E19" s="26"/>
      <c r="F19" s="26"/>
      <c r="G19" s="33"/>
    </row>
    <row r="20" spans="1:7" ht="12.75">
      <c r="A20" s="34">
        <v>1469</v>
      </c>
      <c r="B20" s="198">
        <v>601.07</v>
      </c>
      <c r="C20" s="32"/>
      <c r="D20" s="32">
        <f t="shared" si="0"/>
        <v>0</v>
      </c>
      <c r="E20" s="32"/>
      <c r="F20" s="32"/>
      <c r="G20" s="33">
        <f>+B20</f>
        <v>601.07</v>
      </c>
    </row>
    <row r="21" spans="1:7" ht="12.75">
      <c r="A21" s="34" t="s">
        <v>237</v>
      </c>
      <c r="B21" s="198">
        <v>551.82</v>
      </c>
      <c r="C21" s="32">
        <f>+B21</f>
        <v>551.82</v>
      </c>
      <c r="D21" s="32">
        <f t="shared" si="0"/>
        <v>551.82</v>
      </c>
      <c r="E21" s="32"/>
      <c r="F21" s="32"/>
      <c r="G21" s="33"/>
    </row>
    <row r="22" spans="1:7" ht="12.75">
      <c r="A22" s="34" t="s">
        <v>238</v>
      </c>
      <c r="B22" s="198">
        <v>13102.62</v>
      </c>
      <c r="C22" s="32">
        <f>+B22</f>
        <v>13102.62</v>
      </c>
      <c r="D22" s="32">
        <f t="shared" si="0"/>
        <v>13102.62</v>
      </c>
      <c r="E22" s="32"/>
      <c r="F22" s="32"/>
      <c r="G22" s="33"/>
    </row>
    <row r="23" spans="1:7" ht="12.75">
      <c r="A23" s="34">
        <v>1846</v>
      </c>
      <c r="B23" s="198">
        <v>92.01</v>
      </c>
      <c r="C23" s="26"/>
      <c r="D23" s="32">
        <f t="shared" si="0"/>
        <v>0</v>
      </c>
      <c r="E23" s="26"/>
      <c r="F23" s="26"/>
      <c r="G23" s="33">
        <f>+B23</f>
        <v>92.01</v>
      </c>
    </row>
    <row r="24" spans="1:7" ht="12.75">
      <c r="A24" s="34"/>
      <c r="B24" s="198">
        <v>0</v>
      </c>
      <c r="C24" s="32">
        <f>+B24</f>
        <v>0</v>
      </c>
      <c r="D24" s="32">
        <f t="shared" si="0"/>
        <v>0</v>
      </c>
      <c r="E24" s="32"/>
      <c r="F24" s="32"/>
      <c r="G24" s="33"/>
    </row>
    <row r="25" spans="1:7" ht="12.75">
      <c r="A25" s="34"/>
      <c r="B25" s="198">
        <v>0</v>
      </c>
      <c r="C25" s="26"/>
      <c r="D25" s="32">
        <f t="shared" si="0"/>
        <v>0</v>
      </c>
      <c r="E25" s="26"/>
      <c r="F25" s="26"/>
      <c r="G25" s="33"/>
    </row>
    <row r="26" spans="1:7" ht="12.75">
      <c r="A26" s="34"/>
      <c r="B26" s="198">
        <v>0</v>
      </c>
      <c r="C26" s="26"/>
      <c r="D26" s="32">
        <f t="shared" si="0"/>
        <v>0</v>
      </c>
      <c r="E26" s="26"/>
      <c r="F26" s="26"/>
      <c r="G26" s="33"/>
    </row>
    <row r="27" spans="1:7" ht="12.75">
      <c r="A27" s="34"/>
      <c r="B27" s="198">
        <v>0</v>
      </c>
      <c r="C27" s="32"/>
      <c r="D27" s="32">
        <f t="shared" si="0"/>
        <v>0</v>
      </c>
      <c r="E27" s="32"/>
      <c r="F27" s="32"/>
      <c r="G27" s="33"/>
    </row>
    <row r="28" spans="1:7" ht="12.75">
      <c r="A28" s="34"/>
      <c r="B28" s="198">
        <v>0</v>
      </c>
      <c r="C28" s="26"/>
      <c r="D28" s="32">
        <f t="shared" si="0"/>
        <v>0</v>
      </c>
      <c r="E28" s="26"/>
      <c r="F28" s="26"/>
      <c r="G28" s="33"/>
    </row>
    <row r="29" spans="1:7" ht="12.75">
      <c r="A29" s="34"/>
      <c r="B29" s="198">
        <v>0</v>
      </c>
      <c r="C29" s="32"/>
      <c r="D29" s="32">
        <f t="shared" si="0"/>
        <v>0</v>
      </c>
      <c r="E29" s="32"/>
      <c r="F29" s="32"/>
      <c r="G29" s="33"/>
    </row>
    <row r="30" spans="1:7" ht="12.75">
      <c r="A30" s="34"/>
      <c r="B30" s="198">
        <v>0</v>
      </c>
      <c r="C30" s="32"/>
      <c r="D30" s="32">
        <f t="shared" si="0"/>
        <v>0</v>
      </c>
      <c r="E30" s="32"/>
      <c r="F30" s="32"/>
      <c r="G30" s="33">
        <f>+B30</f>
        <v>0</v>
      </c>
    </row>
    <row r="31" spans="1:7" ht="12.75">
      <c r="A31" s="34"/>
      <c r="B31" s="198">
        <v>0</v>
      </c>
      <c r="C31" s="26"/>
      <c r="D31" s="32">
        <f t="shared" si="0"/>
        <v>0</v>
      </c>
      <c r="E31" s="26"/>
      <c r="F31" s="26"/>
      <c r="G31" s="33"/>
    </row>
    <row r="32" spans="1:7" ht="12.75">
      <c r="A32" s="34"/>
      <c r="B32" s="198">
        <v>0</v>
      </c>
      <c r="C32" s="26"/>
      <c r="D32" s="32">
        <f t="shared" si="0"/>
        <v>0</v>
      </c>
      <c r="E32" s="26"/>
      <c r="F32" s="26"/>
      <c r="G32" s="33"/>
    </row>
    <row r="33" spans="1:7" ht="12.75">
      <c r="A33" s="34"/>
      <c r="B33" s="198">
        <v>0</v>
      </c>
      <c r="C33" s="26"/>
      <c r="D33" s="32">
        <f t="shared" si="0"/>
        <v>0</v>
      </c>
      <c r="E33" s="26"/>
      <c r="F33" s="26"/>
      <c r="G33" s="33"/>
    </row>
    <row r="34" spans="1:7" ht="12.75">
      <c r="A34" s="34"/>
      <c r="B34" s="198">
        <v>0</v>
      </c>
      <c r="C34" s="26"/>
      <c r="D34" s="32">
        <f t="shared" si="0"/>
        <v>0</v>
      </c>
      <c r="E34" s="26"/>
      <c r="F34" s="26"/>
      <c r="G34" s="33"/>
    </row>
    <row r="35" spans="1:7" ht="12.75">
      <c r="A35" s="34"/>
      <c r="B35" s="198">
        <v>0</v>
      </c>
      <c r="C35" s="43"/>
      <c r="D35" s="32">
        <f t="shared" si="0"/>
        <v>0</v>
      </c>
      <c r="E35" s="43"/>
      <c r="F35" s="43"/>
      <c r="G35" s="33">
        <f>+B35</f>
        <v>0</v>
      </c>
    </row>
    <row r="36" spans="1:7" ht="12.75">
      <c r="A36" s="34"/>
      <c r="B36" s="198">
        <v>0</v>
      </c>
      <c r="C36" s="26"/>
      <c r="D36" s="32">
        <f t="shared" si="0"/>
        <v>0</v>
      </c>
      <c r="E36" s="26"/>
      <c r="F36" s="26"/>
      <c r="G36" s="33"/>
    </row>
    <row r="37" spans="1:7" ht="12.75">
      <c r="A37" s="34"/>
      <c r="B37" s="260">
        <v>0</v>
      </c>
      <c r="C37" s="32"/>
      <c r="D37" s="32">
        <f t="shared" si="0"/>
        <v>0</v>
      </c>
      <c r="E37" s="32"/>
      <c r="F37" s="32"/>
      <c r="G37" s="33"/>
    </row>
    <row r="38" spans="1:7" ht="12.75">
      <c r="A38" s="34"/>
      <c r="B38" s="198">
        <v>0</v>
      </c>
      <c r="C38" s="32">
        <f>+B38</f>
        <v>0</v>
      </c>
      <c r="D38" s="32">
        <f t="shared" si="0"/>
        <v>0</v>
      </c>
      <c r="E38" s="32"/>
      <c r="F38" s="32"/>
      <c r="G38" s="33"/>
    </row>
    <row r="39" spans="1:7" ht="12.75">
      <c r="A39" s="34"/>
      <c r="B39" s="198">
        <v>0</v>
      </c>
      <c r="C39" s="26"/>
      <c r="D39" s="32">
        <f t="shared" si="0"/>
        <v>0</v>
      </c>
      <c r="E39" s="26"/>
      <c r="F39" s="26"/>
      <c r="G39" s="33"/>
    </row>
    <row r="40" spans="1:7" ht="12.75">
      <c r="A40" s="34"/>
      <c r="B40" s="260">
        <v>0</v>
      </c>
      <c r="C40" s="32"/>
      <c r="D40" s="32">
        <f t="shared" si="0"/>
        <v>0</v>
      </c>
      <c r="E40" s="32"/>
      <c r="F40" s="32"/>
      <c r="G40" s="33"/>
    </row>
    <row r="41" spans="1:7" ht="12.75">
      <c r="A41" s="34"/>
      <c r="B41" s="260">
        <v>0</v>
      </c>
      <c r="C41" s="32">
        <f>+B41</f>
        <v>0</v>
      </c>
      <c r="D41" s="32">
        <f t="shared" si="0"/>
        <v>0</v>
      </c>
      <c r="E41" s="32"/>
      <c r="F41" s="32"/>
      <c r="G41" s="33"/>
    </row>
    <row r="42" spans="1:7" ht="12.75">
      <c r="A42" s="34"/>
      <c r="B42" s="198">
        <v>0</v>
      </c>
      <c r="C42" s="26"/>
      <c r="D42" s="32">
        <f t="shared" si="0"/>
        <v>0</v>
      </c>
      <c r="E42" s="26"/>
      <c r="F42" s="26"/>
      <c r="G42" s="33"/>
    </row>
    <row r="43" spans="1:7" ht="12.75">
      <c r="A43" s="31" t="s">
        <v>248</v>
      </c>
      <c r="B43" s="260">
        <v>0</v>
      </c>
      <c r="C43" s="32">
        <f>+B43</f>
        <v>0</v>
      </c>
      <c r="D43" s="32">
        <f>+C43</f>
        <v>0</v>
      </c>
      <c r="E43" s="32">
        <f>-B43</f>
        <v>0</v>
      </c>
      <c r="F43" s="26"/>
      <c r="G43" s="33"/>
    </row>
    <row r="44" spans="1:7" ht="12.75">
      <c r="A44" s="31" t="s">
        <v>233</v>
      </c>
      <c r="B44" s="260">
        <f>-6017.24-53027.79-11312.15</f>
        <v>-70357.18</v>
      </c>
      <c r="C44" s="32">
        <f>+B44</f>
        <v>-70357.18</v>
      </c>
      <c r="D44" s="32">
        <f>+C44</f>
        <v>-70357.18</v>
      </c>
      <c r="E44" s="32">
        <f>-B44</f>
        <v>70357.18</v>
      </c>
      <c r="F44" s="26"/>
      <c r="G44" s="33"/>
    </row>
    <row r="45" spans="1:7" ht="12.75">
      <c r="A45" s="31" t="s">
        <v>249</v>
      </c>
      <c r="B45" s="260">
        <v>0</v>
      </c>
      <c r="C45" s="32">
        <f aca="true" t="shared" si="1" ref="C45:D47">+B45</f>
        <v>0</v>
      </c>
      <c r="D45" s="32">
        <f t="shared" si="1"/>
        <v>0</v>
      </c>
      <c r="E45" s="32">
        <f>-B45</f>
        <v>0</v>
      </c>
      <c r="F45" s="32"/>
      <c r="G45" s="33"/>
    </row>
    <row r="46" spans="1:7" ht="12.75">
      <c r="A46" s="31" t="s">
        <v>234</v>
      </c>
      <c r="B46" s="260">
        <v>-275.96</v>
      </c>
      <c r="C46" s="32">
        <f t="shared" si="1"/>
        <v>-275.96</v>
      </c>
      <c r="D46" s="32">
        <f t="shared" si="1"/>
        <v>-275.96</v>
      </c>
      <c r="E46" s="32">
        <f>-B46</f>
        <v>275.96</v>
      </c>
      <c r="F46" s="32"/>
      <c r="G46" s="33"/>
    </row>
    <row r="47" spans="1:7" ht="12.75">
      <c r="A47" s="31" t="s">
        <v>235</v>
      </c>
      <c r="B47" s="260">
        <v>-6551.93</v>
      </c>
      <c r="C47" s="32">
        <f t="shared" si="1"/>
        <v>-6551.93</v>
      </c>
      <c r="D47" s="32">
        <f t="shared" si="1"/>
        <v>-6551.93</v>
      </c>
      <c r="E47" s="32">
        <f>-B47</f>
        <v>6551.93</v>
      </c>
      <c r="F47" s="32"/>
      <c r="G47" s="33"/>
    </row>
    <row r="48" spans="1:7" ht="12.75">
      <c r="A48" s="31"/>
      <c r="B48" s="198">
        <v>0</v>
      </c>
      <c r="C48" s="32"/>
      <c r="D48" s="32">
        <f t="shared" si="0"/>
        <v>0</v>
      </c>
      <c r="E48" s="32"/>
      <c r="F48" s="32">
        <f>+B48</f>
        <v>0</v>
      </c>
      <c r="G48" s="33"/>
    </row>
    <row r="49" spans="1:7" ht="12.75">
      <c r="A49" s="31"/>
      <c r="B49" s="198">
        <v>0</v>
      </c>
      <c r="C49" s="32"/>
      <c r="D49" s="32">
        <f t="shared" si="0"/>
        <v>0</v>
      </c>
      <c r="E49" s="32"/>
      <c r="F49" s="32">
        <f>+B49</f>
        <v>0</v>
      </c>
      <c r="G49" s="33"/>
    </row>
    <row r="50" spans="1:7" ht="12.75">
      <c r="A50" s="31"/>
      <c r="B50" s="198">
        <v>0</v>
      </c>
      <c r="C50" s="32"/>
      <c r="D50" s="32">
        <f t="shared" si="0"/>
        <v>0</v>
      </c>
      <c r="E50" s="32"/>
      <c r="F50" s="32">
        <f>+B50</f>
        <v>0</v>
      </c>
      <c r="G50" s="33"/>
    </row>
    <row r="51" spans="1:7" ht="12.75">
      <c r="A51" s="34"/>
      <c r="B51" s="198">
        <v>0</v>
      </c>
      <c r="C51" s="32"/>
      <c r="D51" s="32">
        <f t="shared" si="0"/>
        <v>0</v>
      </c>
      <c r="E51" s="32"/>
      <c r="F51" s="32"/>
      <c r="G51" s="33"/>
    </row>
    <row r="52" spans="1:8" ht="12.75">
      <c r="A52" s="51" t="s">
        <v>33</v>
      </c>
      <c r="B52" s="32">
        <f aca="true" t="shared" si="2" ref="B52:G52">SUM(B8:B51)</f>
        <v>41068.40000000001</v>
      </c>
      <c r="C52" s="32">
        <f t="shared" si="2"/>
        <v>32069.290000000008</v>
      </c>
      <c r="D52" s="32">
        <f t="shared" si="2"/>
        <v>32069.290000000008</v>
      </c>
      <c r="E52" s="32">
        <f t="shared" si="2"/>
        <v>77185.07</v>
      </c>
      <c r="F52" s="32">
        <f t="shared" si="2"/>
        <v>4618.59</v>
      </c>
      <c r="G52" s="33">
        <f t="shared" si="2"/>
        <v>4380.52</v>
      </c>
      <c r="H52" s="35">
        <f>+D52+F52+G52-B52</f>
        <v>0</v>
      </c>
    </row>
    <row r="53" spans="1:8" ht="12.75">
      <c r="A53" s="51" t="s">
        <v>34</v>
      </c>
      <c r="B53" s="32">
        <f>SUM(C53:G53)-C53</f>
        <v>0</v>
      </c>
      <c r="C53" s="32">
        <f>D53+E53</f>
        <v>2590.45</v>
      </c>
      <c r="D53" s="32">
        <f>+C144</f>
        <v>2590.45</v>
      </c>
      <c r="E53" s="32">
        <v>0</v>
      </c>
      <c r="F53" s="32">
        <f>+C142</f>
        <v>1790.07</v>
      </c>
      <c r="G53" s="33">
        <f>-C147</f>
        <v>-4380.5199999999995</v>
      </c>
      <c r="H53" s="35">
        <f>C53+F53+G53</f>
        <v>0</v>
      </c>
    </row>
    <row r="54" spans="1:8" ht="13.5" thickBot="1">
      <c r="A54" s="52" t="s">
        <v>35</v>
      </c>
      <c r="B54" s="85">
        <f aca="true" t="shared" si="3" ref="B54:G54">SUM(B52:B53)</f>
        <v>41068.40000000001</v>
      </c>
      <c r="C54" s="85">
        <f t="shared" si="3"/>
        <v>34659.740000000005</v>
      </c>
      <c r="D54" s="85">
        <f t="shared" si="3"/>
        <v>34659.740000000005</v>
      </c>
      <c r="E54" s="85">
        <f t="shared" si="3"/>
        <v>77185.07</v>
      </c>
      <c r="F54" s="85">
        <f t="shared" si="3"/>
        <v>6408.66</v>
      </c>
      <c r="G54" s="50">
        <f t="shared" si="3"/>
        <v>0</v>
      </c>
      <c r="H54" s="35">
        <f>+D54+F54+G54-B54</f>
        <v>0</v>
      </c>
    </row>
    <row r="55" spans="1:13" ht="13.5" thickBot="1">
      <c r="A55" s="318" t="s">
        <v>157</v>
      </c>
      <c r="B55" s="316">
        <v>51914.82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13.5" thickBot="1">
      <c r="A56" s="318" t="s">
        <v>240</v>
      </c>
      <c r="B56" s="316">
        <v>17901.4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ht="13.5" thickBot="1">
      <c r="A57" s="36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7" ht="12.75">
      <c r="A58" s="45" t="s">
        <v>158</v>
      </c>
      <c r="B58" s="46"/>
      <c r="C58" s="46"/>
      <c r="D58" s="46"/>
      <c r="E58" s="46"/>
      <c r="F58" s="46"/>
      <c r="G58" s="266"/>
      <c r="H58" s="81"/>
      <c r="I58" s="81"/>
      <c r="J58" s="81"/>
      <c r="K58" s="81"/>
      <c r="L58" s="81"/>
      <c r="M58" s="32"/>
      <c r="N58" s="26"/>
      <c r="O58" s="26"/>
      <c r="P58" s="26"/>
      <c r="Q58" s="26"/>
    </row>
    <row r="59" spans="1:17" ht="12.75">
      <c r="A59" s="25"/>
      <c r="B59" s="26"/>
      <c r="C59" s="26"/>
      <c r="D59" s="26"/>
      <c r="E59" s="26"/>
      <c r="F59" s="26"/>
      <c r="G59" s="27"/>
      <c r="H59" s="26"/>
      <c r="I59" s="26"/>
      <c r="J59" s="26"/>
      <c r="K59" s="26"/>
      <c r="L59" s="26"/>
      <c r="M59" s="32"/>
      <c r="N59" s="26"/>
      <c r="O59" s="26"/>
      <c r="P59" s="26"/>
      <c r="Q59" s="26"/>
    </row>
    <row r="60" spans="1:17" ht="12.75">
      <c r="A60" s="28"/>
      <c r="B60" s="29" t="s">
        <v>31</v>
      </c>
      <c r="C60" s="331" t="s">
        <v>32</v>
      </c>
      <c r="D60" s="331"/>
      <c r="E60" s="331"/>
      <c r="F60" s="314"/>
      <c r="G60" s="317"/>
      <c r="H60" s="314"/>
      <c r="I60" s="314"/>
      <c r="J60" s="86"/>
      <c r="K60" s="86"/>
      <c r="L60" s="86"/>
      <c r="M60" s="32"/>
      <c r="N60" s="26"/>
      <c r="O60" s="26"/>
      <c r="P60" s="26"/>
      <c r="Q60" s="26"/>
    </row>
    <row r="61" spans="1:18" ht="12.75">
      <c r="A61" s="28" t="s">
        <v>136</v>
      </c>
      <c r="B61" s="29" t="s">
        <v>41</v>
      </c>
      <c r="C61" s="29" t="s">
        <v>96</v>
      </c>
      <c r="D61" s="29" t="s">
        <v>213</v>
      </c>
      <c r="E61" s="29" t="s">
        <v>215</v>
      </c>
      <c r="F61" s="29" t="s">
        <v>229</v>
      </c>
      <c r="G61" s="30" t="s">
        <v>230</v>
      </c>
      <c r="H61" s="29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1:18" ht="12.75">
      <c r="A62" s="34">
        <v>1236</v>
      </c>
      <c r="B62" s="73">
        <v>0</v>
      </c>
      <c r="C62" s="82"/>
      <c r="D62" s="32">
        <f>C62-E62</f>
        <v>0</v>
      </c>
      <c r="E62" s="82"/>
      <c r="F62" s="43"/>
      <c r="G62" s="33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1:18" ht="12.75">
      <c r="A63" s="34" t="s">
        <v>233</v>
      </c>
      <c r="B63" s="73">
        <v>74430.19</v>
      </c>
      <c r="C63" s="32">
        <f>+B63</f>
        <v>74430.19</v>
      </c>
      <c r="D63" s="32">
        <f>+C63</f>
        <v>74430.19</v>
      </c>
      <c r="E63" s="32">
        <f>-B63</f>
        <v>-74430.19</v>
      </c>
      <c r="F63" s="32"/>
      <c r="G63" s="33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1:18" ht="12.75">
      <c r="A64" s="34" t="s">
        <v>239</v>
      </c>
      <c r="B64" s="73">
        <v>-147298.98</v>
      </c>
      <c r="C64" s="32">
        <f>+B64</f>
        <v>-147298.98</v>
      </c>
      <c r="D64" s="32">
        <f aca="true" t="shared" si="4" ref="D64:D89">C64-E64</f>
        <v>-147298.98</v>
      </c>
      <c r="E64" s="32"/>
      <c r="F64" s="32"/>
      <c r="G64" s="33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1:18" ht="12.75">
      <c r="A65" s="34">
        <v>1198</v>
      </c>
      <c r="B65" s="73">
        <v>0</v>
      </c>
      <c r="C65" s="32"/>
      <c r="D65" s="32">
        <f t="shared" si="4"/>
        <v>0</v>
      </c>
      <c r="E65" s="32"/>
      <c r="F65" s="32"/>
      <c r="G65" s="33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ht="12.75">
      <c r="A66" s="34">
        <v>1455</v>
      </c>
      <c r="B66" s="73">
        <v>0</v>
      </c>
      <c r="C66" s="32"/>
      <c r="D66" s="32">
        <f t="shared" si="4"/>
        <v>0</v>
      </c>
      <c r="E66" s="32"/>
      <c r="F66" s="32"/>
      <c r="G66" s="33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1:18" ht="12.75">
      <c r="A67" s="34">
        <v>1326</v>
      </c>
      <c r="B67" s="73">
        <v>0</v>
      </c>
      <c r="C67" s="32"/>
      <c r="D67" s="32">
        <f t="shared" si="4"/>
        <v>0</v>
      </c>
      <c r="E67" s="32"/>
      <c r="F67" s="32"/>
      <c r="G67" s="33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1:18" ht="12.75">
      <c r="A68" s="34">
        <v>1593</v>
      </c>
      <c r="B68" s="73">
        <v>0</v>
      </c>
      <c r="C68" s="32"/>
      <c r="D68" s="32">
        <f t="shared" si="4"/>
        <v>0</v>
      </c>
      <c r="E68" s="32"/>
      <c r="F68" s="32"/>
      <c r="G68" s="33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1:18" ht="12.75">
      <c r="A69" s="34" t="s">
        <v>166</v>
      </c>
      <c r="B69" s="73">
        <v>0</v>
      </c>
      <c r="C69" s="32"/>
      <c r="D69" s="32">
        <f t="shared" si="4"/>
        <v>0</v>
      </c>
      <c r="E69" s="32"/>
      <c r="F69" s="32"/>
      <c r="G69" s="33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1:18" ht="12.75">
      <c r="A70" s="34">
        <v>1004</v>
      </c>
      <c r="B70" s="73">
        <v>0</v>
      </c>
      <c r="C70" s="32"/>
      <c r="D70" s="32">
        <f t="shared" si="4"/>
        <v>0</v>
      </c>
      <c r="E70" s="32"/>
      <c r="F70" s="32"/>
      <c r="G70" s="33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1:18" ht="12.75">
      <c r="A71" s="34">
        <v>1048</v>
      </c>
      <c r="B71" s="73">
        <v>0</v>
      </c>
      <c r="C71" s="32"/>
      <c r="D71" s="32">
        <f t="shared" si="4"/>
        <v>0</v>
      </c>
      <c r="E71" s="32"/>
      <c r="F71" s="32"/>
      <c r="G71" s="33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1:18" ht="12.75">
      <c r="A72" s="34">
        <v>1074</v>
      </c>
      <c r="B72" s="73">
        <v>0</v>
      </c>
      <c r="C72" s="32"/>
      <c r="D72" s="32">
        <f t="shared" si="4"/>
        <v>0</v>
      </c>
      <c r="E72" s="32"/>
      <c r="F72" s="32"/>
      <c r="G72" s="33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1:18" ht="12.75">
      <c r="A73" s="34">
        <v>1078</v>
      </c>
      <c r="B73" s="73">
        <v>0</v>
      </c>
      <c r="C73" s="32"/>
      <c r="D73" s="32">
        <f t="shared" si="4"/>
        <v>0</v>
      </c>
      <c r="E73" s="32"/>
      <c r="F73" s="32"/>
      <c r="G73" s="33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1:18" ht="12.75">
      <c r="A74" s="34">
        <v>1134</v>
      </c>
      <c r="B74" s="73">
        <v>0</v>
      </c>
      <c r="C74" s="32"/>
      <c r="D74" s="32">
        <f t="shared" si="4"/>
        <v>0</v>
      </c>
      <c r="E74" s="32"/>
      <c r="F74" s="32"/>
      <c r="G74" s="33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1:18" ht="12.75">
      <c r="A75" s="34">
        <v>1137</v>
      </c>
      <c r="B75" s="73">
        <v>0</v>
      </c>
      <c r="C75" s="32"/>
      <c r="D75" s="32">
        <f t="shared" si="4"/>
        <v>0</v>
      </c>
      <c r="E75" s="32"/>
      <c r="F75" s="32"/>
      <c r="G75" s="33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1:18" ht="12.75">
      <c r="A76" s="34">
        <v>1218</v>
      </c>
      <c r="B76" s="73">
        <v>0</v>
      </c>
      <c r="C76" s="32"/>
      <c r="D76" s="32">
        <f t="shared" si="4"/>
        <v>0</v>
      </c>
      <c r="E76" s="32"/>
      <c r="F76" s="32"/>
      <c r="G76" s="33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1:8" ht="12.75">
      <c r="A77" s="34">
        <v>1268</v>
      </c>
      <c r="B77" s="73">
        <v>0</v>
      </c>
      <c r="C77" s="32"/>
      <c r="D77" s="32">
        <f t="shared" si="4"/>
        <v>0</v>
      </c>
      <c r="E77" s="32"/>
      <c r="F77" s="32"/>
      <c r="G77" s="33"/>
      <c r="H77" s="26"/>
    </row>
    <row r="78" spans="1:8" ht="12.75">
      <c r="A78" s="34">
        <v>1307</v>
      </c>
      <c r="B78" s="73">
        <v>0</v>
      </c>
      <c r="C78" s="32"/>
      <c r="D78" s="32">
        <f t="shared" si="4"/>
        <v>0</v>
      </c>
      <c r="E78" s="32"/>
      <c r="F78" s="32"/>
      <c r="G78" s="33"/>
      <c r="H78" s="26"/>
    </row>
    <row r="79" spans="1:8" ht="12.75">
      <c r="A79" s="34">
        <v>1346</v>
      </c>
      <c r="B79" s="73">
        <v>0</v>
      </c>
      <c r="C79" s="32"/>
      <c r="D79" s="32">
        <f t="shared" si="4"/>
        <v>0</v>
      </c>
      <c r="E79" s="32"/>
      <c r="F79" s="32"/>
      <c r="G79" s="33"/>
      <c r="H79" s="26"/>
    </row>
    <row r="80" spans="1:8" ht="12.75">
      <c r="A80" s="34">
        <v>1491</v>
      </c>
      <c r="B80" s="73">
        <v>0</v>
      </c>
      <c r="C80" s="32"/>
      <c r="D80" s="32">
        <f t="shared" si="4"/>
        <v>0</v>
      </c>
      <c r="E80" s="32"/>
      <c r="F80" s="32"/>
      <c r="G80" s="33"/>
      <c r="H80" s="26"/>
    </row>
    <row r="81" spans="1:8" ht="12.75">
      <c r="A81" s="34">
        <v>1508</v>
      </c>
      <c r="B81" s="73">
        <v>0</v>
      </c>
      <c r="C81" s="32"/>
      <c r="D81" s="32">
        <f t="shared" si="4"/>
        <v>0</v>
      </c>
      <c r="E81" s="32"/>
      <c r="F81" s="32"/>
      <c r="G81" s="33"/>
      <c r="H81" s="26"/>
    </row>
    <row r="82" spans="1:8" ht="12.75">
      <c r="A82" s="34">
        <v>144</v>
      </c>
      <c r="B82" s="73">
        <v>0</v>
      </c>
      <c r="C82" s="26"/>
      <c r="D82" s="32">
        <f t="shared" si="4"/>
        <v>0</v>
      </c>
      <c r="E82" s="26"/>
      <c r="F82" s="26"/>
      <c r="G82" s="33"/>
      <c r="H82" s="26"/>
    </row>
    <row r="83" spans="1:8" ht="12.75">
      <c r="A83" s="31" t="s">
        <v>93</v>
      </c>
      <c r="B83" s="73">
        <v>0</v>
      </c>
      <c r="C83" s="32"/>
      <c r="D83" s="32">
        <f t="shared" si="4"/>
        <v>0</v>
      </c>
      <c r="E83" s="32"/>
      <c r="F83" s="32">
        <f aca="true" t="shared" si="5" ref="F83:F88">+B83</f>
        <v>0</v>
      </c>
      <c r="G83" s="33"/>
      <c r="H83" s="26"/>
    </row>
    <row r="84" spans="1:8" ht="12.75">
      <c r="A84" s="31" t="s">
        <v>94</v>
      </c>
      <c r="B84" s="73">
        <v>0</v>
      </c>
      <c r="C84" s="32"/>
      <c r="D84" s="32">
        <f t="shared" si="4"/>
        <v>0</v>
      </c>
      <c r="E84" s="32"/>
      <c r="F84" s="32">
        <f t="shared" si="5"/>
        <v>0</v>
      </c>
      <c r="G84" s="33"/>
      <c r="H84" s="26"/>
    </row>
    <row r="85" spans="1:8" ht="12.75">
      <c r="A85" s="31" t="s">
        <v>196</v>
      </c>
      <c r="B85" s="73">
        <v>0</v>
      </c>
      <c r="C85" s="32"/>
      <c r="D85" s="32">
        <f t="shared" si="4"/>
        <v>0</v>
      </c>
      <c r="E85" s="32"/>
      <c r="F85" s="32">
        <f t="shared" si="5"/>
        <v>0</v>
      </c>
      <c r="G85" s="33"/>
      <c r="H85" s="26"/>
    </row>
    <row r="86" spans="1:8" ht="12.75">
      <c r="A86" s="31">
        <v>1626</v>
      </c>
      <c r="B86" s="73">
        <v>0</v>
      </c>
      <c r="C86" s="32"/>
      <c r="D86" s="32">
        <f t="shared" si="4"/>
        <v>0</v>
      </c>
      <c r="E86" s="32"/>
      <c r="F86" s="32">
        <f t="shared" si="5"/>
        <v>0</v>
      </c>
      <c r="G86" s="33"/>
      <c r="H86" s="26"/>
    </row>
    <row r="87" spans="1:8" ht="12.75">
      <c r="A87" s="31">
        <v>1627</v>
      </c>
      <c r="B87" s="73">
        <v>0</v>
      </c>
      <c r="C87" s="32"/>
      <c r="D87" s="32">
        <f t="shared" si="4"/>
        <v>0</v>
      </c>
      <c r="E87" s="32"/>
      <c r="F87" s="32">
        <f t="shared" si="5"/>
        <v>0</v>
      </c>
      <c r="G87" s="33"/>
      <c r="H87" s="26"/>
    </row>
    <row r="88" spans="1:8" ht="12.75">
      <c r="A88" s="31" t="s">
        <v>198</v>
      </c>
      <c r="B88" s="73">
        <v>0</v>
      </c>
      <c r="C88" s="32"/>
      <c r="D88" s="32">
        <f t="shared" si="4"/>
        <v>0</v>
      </c>
      <c r="E88" s="32"/>
      <c r="F88" s="32">
        <f t="shared" si="5"/>
        <v>0</v>
      </c>
      <c r="G88" s="33"/>
      <c r="H88" s="26"/>
    </row>
    <row r="89" spans="1:8" ht="12.75">
      <c r="A89" s="31"/>
      <c r="B89" s="32">
        <v>0</v>
      </c>
      <c r="C89" s="32"/>
      <c r="D89" s="32">
        <f t="shared" si="4"/>
        <v>0</v>
      </c>
      <c r="E89" s="32"/>
      <c r="F89" s="32"/>
      <c r="G89" s="33"/>
      <c r="H89" s="26"/>
    </row>
    <row r="90" spans="1:8" ht="12.75">
      <c r="A90" s="51" t="s">
        <v>33</v>
      </c>
      <c r="B90" s="32">
        <f aca="true" t="shared" si="6" ref="B90:G90">SUM(B62:B89)</f>
        <v>-72868.79000000001</v>
      </c>
      <c r="C90" s="32">
        <f t="shared" si="6"/>
        <v>-72868.79000000001</v>
      </c>
      <c r="D90" s="32">
        <f t="shared" si="6"/>
        <v>-72868.79000000001</v>
      </c>
      <c r="E90" s="32">
        <f t="shared" si="6"/>
        <v>-74430.19</v>
      </c>
      <c r="F90" s="32">
        <f t="shared" si="6"/>
        <v>0</v>
      </c>
      <c r="G90" s="33">
        <f t="shared" si="6"/>
        <v>0</v>
      </c>
      <c r="H90" s="32">
        <f>+D90+F90+G90-B90</f>
        <v>0</v>
      </c>
    </row>
    <row r="91" spans="1:8" ht="12.75">
      <c r="A91" s="51" t="s">
        <v>34</v>
      </c>
      <c r="B91" s="32">
        <f>SUM(C91:G91)</f>
        <v>0</v>
      </c>
      <c r="C91" s="221">
        <f>D91+E91</f>
        <v>0</v>
      </c>
      <c r="D91" s="221">
        <f>D144</f>
        <v>0</v>
      </c>
      <c r="E91" s="221">
        <v>0</v>
      </c>
      <c r="F91" s="32">
        <f>+D142</f>
        <v>0</v>
      </c>
      <c r="G91" s="222">
        <f>+D147</f>
        <v>0</v>
      </c>
      <c r="H91" s="32">
        <f>+C91+F91+G91</f>
        <v>0</v>
      </c>
    </row>
    <row r="92" spans="1:8" ht="13.5" thickBot="1">
      <c r="A92" s="52" t="s">
        <v>35</v>
      </c>
      <c r="B92" s="85">
        <f aca="true" t="shared" si="7" ref="B92:G92">SUM(B90:B91)</f>
        <v>-72868.79000000001</v>
      </c>
      <c r="C92" s="85">
        <f t="shared" si="7"/>
        <v>-72868.79000000001</v>
      </c>
      <c r="D92" s="85">
        <f t="shared" si="7"/>
        <v>-72868.79000000001</v>
      </c>
      <c r="E92" s="85">
        <f t="shared" si="7"/>
        <v>-74430.19</v>
      </c>
      <c r="F92" s="85">
        <f t="shared" si="7"/>
        <v>0</v>
      </c>
      <c r="G92" s="50">
        <f t="shared" si="7"/>
        <v>0</v>
      </c>
      <c r="H92" s="32">
        <f>+D92+F92+G92-B92</f>
        <v>0</v>
      </c>
    </row>
    <row r="93" spans="1:13" ht="13.5" thickBot="1">
      <c r="A93" s="315" t="s">
        <v>159</v>
      </c>
      <c r="B93" s="316">
        <v>-72868.79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ht="13.5" thickBot="1">
      <c r="A94" s="36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9" ht="12.75">
      <c r="A95" s="148" t="s">
        <v>39</v>
      </c>
      <c r="B95" s="149"/>
      <c r="C95" s="149"/>
      <c r="D95" s="149"/>
      <c r="E95" s="338"/>
      <c r="F95" s="339"/>
      <c r="G95" s="81"/>
      <c r="H95" s="81"/>
      <c r="I95" s="35"/>
    </row>
    <row r="96" spans="1:9" ht="12.75">
      <c r="A96" s="150"/>
      <c r="B96" s="151"/>
      <c r="C96" s="151"/>
      <c r="D96" s="151"/>
      <c r="E96" s="336"/>
      <c r="F96" s="337"/>
      <c r="G96" s="26"/>
      <c r="H96" s="26"/>
      <c r="I96" s="35"/>
    </row>
    <row r="97" spans="1:9" ht="12.75">
      <c r="A97" s="153"/>
      <c r="B97" s="154" t="s">
        <v>31</v>
      </c>
      <c r="C97" s="336" t="s">
        <v>32</v>
      </c>
      <c r="D97" s="336"/>
      <c r="E97" s="336"/>
      <c r="F97" s="337"/>
      <c r="G97" s="86"/>
      <c r="H97" s="86"/>
      <c r="I97" s="35"/>
    </row>
    <row r="98" spans="1:7" ht="12.75">
      <c r="A98" s="153" t="s">
        <v>136</v>
      </c>
      <c r="B98" s="154" t="s">
        <v>40</v>
      </c>
      <c r="C98" s="154" t="s">
        <v>96</v>
      </c>
      <c r="D98" s="154" t="s">
        <v>213</v>
      </c>
      <c r="E98" s="154" t="s">
        <v>215</v>
      </c>
      <c r="F98" s="146" t="s">
        <v>97</v>
      </c>
      <c r="G98" s="35"/>
    </row>
    <row r="99" spans="1:7" ht="12.75">
      <c r="A99" s="147"/>
      <c r="B99" s="155">
        <v>0</v>
      </c>
      <c r="C99" s="156"/>
      <c r="D99" s="156"/>
      <c r="E99" s="156"/>
      <c r="F99" s="157"/>
      <c r="G99" s="35"/>
    </row>
    <row r="100" spans="1:7" ht="12.75">
      <c r="A100" s="147"/>
      <c r="B100" s="155">
        <v>0</v>
      </c>
      <c r="C100" s="74"/>
      <c r="D100" s="74"/>
      <c r="E100" s="74"/>
      <c r="F100" s="158"/>
      <c r="G100" s="35"/>
    </row>
    <row r="101" spans="1:7" ht="12.75">
      <c r="A101" s="147"/>
      <c r="B101" s="155">
        <v>0</v>
      </c>
      <c r="C101" s="74"/>
      <c r="D101" s="74"/>
      <c r="E101" s="74"/>
      <c r="F101" s="158"/>
      <c r="G101" s="35"/>
    </row>
    <row r="102" spans="1:7" ht="12.75">
      <c r="A102" s="147"/>
      <c r="B102" s="155">
        <v>0</v>
      </c>
      <c r="C102" s="74"/>
      <c r="D102" s="74"/>
      <c r="E102" s="74"/>
      <c r="F102" s="158"/>
      <c r="G102" s="35"/>
    </row>
    <row r="103" spans="1:7" ht="12.75">
      <c r="A103" s="147"/>
      <c r="B103" s="155">
        <v>0</v>
      </c>
      <c r="C103" s="74"/>
      <c r="D103" s="74"/>
      <c r="E103" s="74"/>
      <c r="F103" s="158"/>
      <c r="G103" s="35"/>
    </row>
    <row r="104" spans="1:7" ht="12.75">
      <c r="A104" s="147"/>
      <c r="B104" s="155">
        <v>0</v>
      </c>
      <c r="C104" s="74"/>
      <c r="D104" s="74"/>
      <c r="E104" s="74"/>
      <c r="F104" s="158"/>
      <c r="G104" s="35"/>
    </row>
    <row r="105" spans="1:7" ht="12.75">
      <c r="A105" s="147"/>
      <c r="B105" s="155">
        <v>0</v>
      </c>
      <c r="C105" s="74"/>
      <c r="D105" s="74"/>
      <c r="E105" s="74"/>
      <c r="F105" s="158"/>
      <c r="G105" s="35"/>
    </row>
    <row r="106" spans="1:7" ht="12.75">
      <c r="A106" s="147"/>
      <c r="B106" s="155">
        <v>0</v>
      </c>
      <c r="C106" s="74"/>
      <c r="D106" s="74"/>
      <c r="E106" s="74"/>
      <c r="F106" s="158"/>
      <c r="G106" s="35"/>
    </row>
    <row r="107" spans="1:7" ht="12.75">
      <c r="A107" s="147"/>
      <c r="B107" s="155">
        <v>0</v>
      </c>
      <c r="C107" s="74"/>
      <c r="D107" s="74"/>
      <c r="E107" s="74"/>
      <c r="F107" s="158"/>
      <c r="G107" s="35"/>
    </row>
    <row r="108" spans="1:7" ht="12.75">
      <c r="A108" s="147"/>
      <c r="B108" s="155">
        <v>0</v>
      </c>
      <c r="C108" s="74"/>
      <c r="D108" s="74"/>
      <c r="E108" s="74"/>
      <c r="F108" s="158"/>
      <c r="G108" s="35"/>
    </row>
    <row r="109" spans="1:7" ht="12.75">
      <c r="A109" s="147"/>
      <c r="B109" s="155">
        <v>0</v>
      </c>
      <c r="C109" s="74"/>
      <c r="D109" s="74"/>
      <c r="E109" s="74"/>
      <c r="F109" s="158"/>
      <c r="G109" s="35"/>
    </row>
    <row r="110" spans="1:7" ht="12.75">
      <c r="A110" s="147"/>
      <c r="B110" s="155">
        <v>0</v>
      </c>
      <c r="C110" s="74"/>
      <c r="D110" s="74"/>
      <c r="E110" s="74"/>
      <c r="F110" s="158"/>
      <c r="G110" s="35"/>
    </row>
    <row r="111" spans="1:7" ht="12.75">
      <c r="A111" s="147"/>
      <c r="B111" s="155">
        <v>0</v>
      </c>
      <c r="C111" s="74"/>
      <c r="D111" s="74"/>
      <c r="E111" s="74"/>
      <c r="F111" s="158"/>
      <c r="G111" s="35"/>
    </row>
    <row r="112" spans="1:7" ht="12.75">
      <c r="A112" s="147"/>
      <c r="B112" s="155">
        <v>0</v>
      </c>
      <c r="C112" s="74"/>
      <c r="D112" s="74"/>
      <c r="E112" s="74"/>
      <c r="F112" s="158"/>
      <c r="G112" s="35"/>
    </row>
    <row r="113" spans="1:7" ht="12.75">
      <c r="A113" s="147"/>
      <c r="B113" s="155">
        <v>0</v>
      </c>
      <c r="C113" s="74"/>
      <c r="D113" s="74"/>
      <c r="E113" s="74"/>
      <c r="F113" s="158"/>
      <c r="G113" s="35"/>
    </row>
    <row r="114" spans="1:7" ht="12.75">
      <c r="A114" s="147"/>
      <c r="B114" s="155">
        <v>0</v>
      </c>
      <c r="C114" s="74"/>
      <c r="D114" s="74"/>
      <c r="E114" s="74"/>
      <c r="F114" s="158"/>
      <c r="G114" s="35"/>
    </row>
    <row r="115" spans="1:7" ht="12.75">
      <c r="A115" s="147"/>
      <c r="B115" s="155">
        <v>0</v>
      </c>
      <c r="C115" s="151"/>
      <c r="D115" s="151"/>
      <c r="E115" s="151"/>
      <c r="F115" s="152"/>
      <c r="G115" s="35"/>
    </row>
    <row r="116" spans="1:7" ht="12.75">
      <c r="A116" s="159" t="s">
        <v>93</v>
      </c>
      <c r="B116" s="155">
        <v>0</v>
      </c>
      <c r="C116" s="74"/>
      <c r="D116" s="74"/>
      <c r="E116" s="74"/>
      <c r="F116" s="158">
        <f>+B116</f>
        <v>0</v>
      </c>
      <c r="G116" s="35"/>
    </row>
    <row r="117" spans="1:7" ht="12.75">
      <c r="A117" s="159" t="s">
        <v>94</v>
      </c>
      <c r="B117" s="155">
        <v>0</v>
      </c>
      <c r="C117" s="74"/>
      <c r="D117" s="74"/>
      <c r="E117" s="74"/>
      <c r="F117" s="158">
        <f>+B117</f>
        <v>0</v>
      </c>
      <c r="G117" s="35"/>
    </row>
    <row r="118" spans="1:7" ht="12.75">
      <c r="A118" s="159" t="s">
        <v>95</v>
      </c>
      <c r="B118" s="155">
        <v>0</v>
      </c>
      <c r="C118" s="74"/>
      <c r="D118" s="74"/>
      <c r="E118" s="74"/>
      <c r="F118" s="158">
        <f>+B118</f>
        <v>0</v>
      </c>
      <c r="G118" s="35"/>
    </row>
    <row r="119" spans="1:7" ht="12.75">
      <c r="A119" s="159"/>
      <c r="B119" s="160">
        <v>0</v>
      </c>
      <c r="C119" s="160"/>
      <c r="D119" s="160"/>
      <c r="E119" s="160"/>
      <c r="F119" s="161"/>
      <c r="G119" s="35"/>
    </row>
    <row r="120" spans="1:11" ht="13.5" thickBot="1">
      <c r="A120" s="162" t="s">
        <v>35</v>
      </c>
      <c r="B120" s="75">
        <f>SUM(B99:B119)</f>
        <v>0</v>
      </c>
      <c r="C120" s="75">
        <f>SUM(C99:C119)</f>
        <v>0</v>
      </c>
      <c r="D120" s="75">
        <f>SUM(D99:D119)</f>
        <v>0</v>
      </c>
      <c r="E120" s="75">
        <f>SUM(E99:E119)</f>
        <v>0</v>
      </c>
      <c r="F120" s="163">
        <f>SUM(F99:F119)</f>
        <v>0</v>
      </c>
      <c r="G120" s="32">
        <f>SUM(C120:F120)</f>
        <v>0</v>
      </c>
      <c r="H120" s="32"/>
      <c r="I120" s="32"/>
      <c r="J120" s="32"/>
      <c r="K120" s="35"/>
    </row>
    <row r="121" spans="1:13" ht="13.5" thickBot="1">
      <c r="A121" s="36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ht="12.75">
      <c r="A122" s="169" t="s">
        <v>63</v>
      </c>
      <c r="B122" s="193" t="s">
        <v>70</v>
      </c>
      <c r="C122" s="194" t="s">
        <v>74</v>
      </c>
      <c r="D122" s="223" t="s">
        <v>72</v>
      </c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ht="12.75">
      <c r="A123" s="228" t="s">
        <v>148</v>
      </c>
      <c r="B123" s="166">
        <v>0</v>
      </c>
      <c r="C123" s="319">
        <v>0</v>
      </c>
      <c r="D123" s="72" t="s">
        <v>63</v>
      </c>
      <c r="E123" s="72" t="s">
        <v>69</v>
      </c>
      <c r="F123" s="72" t="s">
        <v>73</v>
      </c>
      <c r="G123" s="72" t="s">
        <v>74</v>
      </c>
      <c r="H123" s="35"/>
      <c r="I123" s="35"/>
      <c r="J123" s="35"/>
      <c r="K123" s="35"/>
      <c r="L123" s="35"/>
      <c r="M123" s="35"/>
    </row>
    <row r="124" spans="1:13" ht="12.75">
      <c r="A124" s="192" t="s">
        <v>145</v>
      </c>
      <c r="B124" s="166">
        <v>0</v>
      </c>
      <c r="C124" s="319">
        <v>0</v>
      </c>
      <c r="D124" s="179">
        <v>1510003</v>
      </c>
      <c r="E124" s="73">
        <v>0</v>
      </c>
      <c r="F124" s="73">
        <v>0</v>
      </c>
      <c r="G124" s="32">
        <f aca="true" t="shared" si="8" ref="G124:G129">+E124+F124</f>
        <v>0</v>
      </c>
      <c r="H124" s="327"/>
      <c r="I124" s="32"/>
      <c r="J124" s="35"/>
      <c r="K124" s="35"/>
      <c r="L124" s="35"/>
      <c r="M124" s="35"/>
    </row>
    <row r="125" spans="1:13" ht="12.75">
      <c r="A125" s="228" t="s">
        <v>167</v>
      </c>
      <c r="B125" s="166">
        <v>0</v>
      </c>
      <c r="C125" s="319">
        <v>0</v>
      </c>
      <c r="D125" s="179" t="s">
        <v>99</v>
      </c>
      <c r="E125" s="73">
        <v>39370847.71</v>
      </c>
      <c r="F125" s="73">
        <v>-4291209.69</v>
      </c>
      <c r="G125" s="32">
        <f t="shared" si="8"/>
        <v>35079638.02</v>
      </c>
      <c r="H125" s="327"/>
      <c r="I125" s="269"/>
      <c r="J125" s="35"/>
      <c r="K125" s="35"/>
      <c r="L125" s="35"/>
      <c r="M125" s="35"/>
    </row>
    <row r="126" spans="1:13" ht="12.75">
      <c r="A126" s="181" t="s">
        <v>144</v>
      </c>
      <c r="B126" s="166">
        <v>0</v>
      </c>
      <c r="C126" s="320">
        <v>0</v>
      </c>
      <c r="D126" s="214" t="s">
        <v>150</v>
      </c>
      <c r="E126" s="73">
        <v>2600680.42</v>
      </c>
      <c r="F126" s="73">
        <v>-173329.15</v>
      </c>
      <c r="G126" s="32">
        <f t="shared" si="8"/>
        <v>2427351.27</v>
      </c>
      <c r="H126" s="327"/>
      <c r="I126" s="269"/>
      <c r="J126" s="35"/>
      <c r="K126" s="35"/>
      <c r="L126" s="35"/>
      <c r="M126" s="35"/>
    </row>
    <row r="127" spans="1:13" ht="12.75">
      <c r="A127" s="192" t="s">
        <v>169</v>
      </c>
      <c r="B127" s="166">
        <v>0</v>
      </c>
      <c r="C127" s="320">
        <v>0</v>
      </c>
      <c r="D127" s="179" t="s">
        <v>101</v>
      </c>
      <c r="E127" s="73">
        <v>0</v>
      </c>
      <c r="F127" s="73">
        <v>0</v>
      </c>
      <c r="G127" s="32">
        <f t="shared" si="8"/>
        <v>0</v>
      </c>
      <c r="H127" s="327"/>
      <c r="I127" s="289"/>
      <c r="J127" s="35"/>
      <c r="K127" s="35"/>
      <c r="L127" s="35"/>
      <c r="M127" s="35"/>
    </row>
    <row r="128" spans="1:13" ht="12.75">
      <c r="A128" s="192" t="s">
        <v>176</v>
      </c>
      <c r="B128" s="166">
        <v>0</v>
      </c>
      <c r="C128" s="320">
        <v>0</v>
      </c>
      <c r="D128" s="214" t="s">
        <v>160</v>
      </c>
      <c r="E128" s="73">
        <v>0</v>
      </c>
      <c r="F128" s="73">
        <v>0</v>
      </c>
      <c r="G128" s="32">
        <f t="shared" si="8"/>
        <v>0</v>
      </c>
      <c r="H128" s="327"/>
      <c r="I128" s="290"/>
      <c r="J128" s="35"/>
      <c r="K128" s="35"/>
      <c r="L128" s="35"/>
      <c r="M128" s="35"/>
    </row>
    <row r="129" spans="1:13" ht="12.75">
      <c r="A129" s="181" t="s">
        <v>177</v>
      </c>
      <c r="B129" s="166">
        <v>17901.4</v>
      </c>
      <c r="C129" s="320">
        <v>52769</v>
      </c>
      <c r="D129" s="179" t="s">
        <v>100</v>
      </c>
      <c r="E129" s="73">
        <v>2600680.42</v>
      </c>
      <c r="F129" s="73">
        <v>-173329.15</v>
      </c>
      <c r="G129" s="32">
        <f t="shared" si="8"/>
        <v>2427351.27</v>
      </c>
      <c r="H129" s="327"/>
      <c r="I129" s="290"/>
      <c r="J129" s="35"/>
      <c r="K129" s="35"/>
      <c r="L129" s="35"/>
      <c r="M129" s="35"/>
    </row>
    <row r="130" spans="1:13" ht="12.75">
      <c r="A130" s="227">
        <v>5470004</v>
      </c>
      <c r="B130" s="166">
        <v>0</v>
      </c>
      <c r="C130" s="319">
        <v>0</v>
      </c>
      <c r="D130" s="226" t="s">
        <v>161</v>
      </c>
      <c r="E130" s="74"/>
      <c r="F130" s="73">
        <f>-28747.82+51914.82</f>
        <v>23167</v>
      </c>
      <c r="G130" s="73">
        <f>51062.71+107025.09</f>
        <v>158087.8</v>
      </c>
      <c r="H130" s="32"/>
      <c r="I130" s="289"/>
      <c r="J130" s="35"/>
      <c r="K130" s="35"/>
      <c r="L130" s="35"/>
      <c r="M130" s="35"/>
    </row>
    <row r="131" spans="1:13" ht="12.75">
      <c r="A131" s="227" t="s">
        <v>163</v>
      </c>
      <c r="B131" s="73">
        <v>0</v>
      </c>
      <c r="C131" s="320">
        <v>0</v>
      </c>
      <c r="D131" s="226" t="s">
        <v>170</v>
      </c>
      <c r="E131" s="74"/>
      <c r="F131" s="73">
        <v>24580551.01</v>
      </c>
      <c r="G131" s="73">
        <v>99809554.18</v>
      </c>
      <c r="H131" s="32"/>
      <c r="I131" s="289"/>
      <c r="J131" s="35"/>
      <c r="K131" s="35"/>
      <c r="L131" s="35"/>
      <c r="M131" s="35"/>
    </row>
    <row r="132" spans="1:13" ht="12.75">
      <c r="A132" s="227">
        <v>5490001</v>
      </c>
      <c r="B132" s="73">
        <v>0</v>
      </c>
      <c r="C132" s="320">
        <v>0</v>
      </c>
      <c r="D132" s="226" t="s">
        <v>168</v>
      </c>
      <c r="E132" s="74"/>
      <c r="F132" s="73">
        <v>1031076.75</v>
      </c>
      <c r="G132" s="73">
        <v>4606432.46</v>
      </c>
      <c r="H132" s="32"/>
      <c r="I132" s="289"/>
      <c r="J132" s="35"/>
      <c r="K132" s="35"/>
      <c r="L132" s="35"/>
      <c r="M132" s="35"/>
    </row>
    <row r="133" spans="1:13" ht="12.75">
      <c r="A133" s="227" t="s">
        <v>164</v>
      </c>
      <c r="B133" s="73">
        <v>0</v>
      </c>
      <c r="C133" s="320">
        <v>0</v>
      </c>
      <c r="D133" s="226" t="s">
        <v>162</v>
      </c>
      <c r="E133" s="74"/>
      <c r="F133" s="73">
        <v>-72868.79</v>
      </c>
      <c r="G133" s="73">
        <v>-294453.42</v>
      </c>
      <c r="H133" s="32"/>
      <c r="I133" s="32"/>
      <c r="J133" s="35"/>
      <c r="K133" s="35"/>
      <c r="L133" s="35"/>
      <c r="M133" s="35"/>
    </row>
    <row r="134" spans="1:13" ht="12.75">
      <c r="A134" s="31"/>
      <c r="B134" s="73">
        <v>0</v>
      </c>
      <c r="C134" s="320">
        <v>0</v>
      </c>
      <c r="D134" s="226">
        <v>5010013</v>
      </c>
      <c r="E134" s="74"/>
      <c r="F134" s="73">
        <v>-1192190.81</v>
      </c>
      <c r="G134" s="73">
        <v>-734602.28</v>
      </c>
      <c r="H134" s="32"/>
      <c r="I134" s="73"/>
      <c r="J134" s="35"/>
      <c r="K134" s="35"/>
      <c r="L134" s="35"/>
      <c r="M134" s="35"/>
    </row>
    <row r="135" spans="1:16" ht="12.75">
      <c r="A135" s="31"/>
      <c r="B135" s="73">
        <v>0</v>
      </c>
      <c r="C135" s="320">
        <v>0</v>
      </c>
      <c r="D135" s="226" t="s">
        <v>173</v>
      </c>
      <c r="E135" s="74"/>
      <c r="F135" s="73">
        <v>612386.39</v>
      </c>
      <c r="G135" s="73">
        <v>2440552.67</v>
      </c>
      <c r="H135" s="32"/>
      <c r="I135" s="198"/>
      <c r="J135" s="35"/>
      <c r="K135" s="221"/>
      <c r="L135" s="221"/>
      <c r="M135" s="221"/>
      <c r="N135" s="265"/>
      <c r="O135" s="265"/>
      <c r="P135" s="265"/>
    </row>
    <row r="136" spans="1:16" ht="13.5" thickBot="1">
      <c r="A136" s="321" t="s">
        <v>141</v>
      </c>
      <c r="B136" s="180"/>
      <c r="C136" s="322"/>
      <c r="D136" s="224" t="s">
        <v>78</v>
      </c>
      <c r="E136" s="225"/>
      <c r="F136" s="224">
        <f>+F130+F131+F132+F133+F134+F135+B126+B124+B125+B123+B128+B129+B133+B131+B132+B127+B130</f>
        <v>25000022.950000003</v>
      </c>
      <c r="G136" s="224">
        <f>+G130+G131+G132+G133+G134+G135+C126+C124+C125+C123+C128+C129+C133+C131+C132+C127+C130</f>
        <v>106038340.41</v>
      </c>
      <c r="H136" s="35"/>
      <c r="I136" s="35"/>
      <c r="J136" s="35"/>
      <c r="K136" s="221"/>
      <c r="L136" s="221"/>
      <c r="M136" s="221"/>
      <c r="N136" s="265"/>
      <c r="O136" s="265"/>
      <c r="P136" s="265"/>
    </row>
    <row r="137" spans="1:16" ht="12.75">
      <c r="A137" s="36"/>
      <c r="B137" s="35"/>
      <c r="C137" s="35"/>
      <c r="D137" s="35"/>
      <c r="E137" s="35"/>
      <c r="F137" s="35"/>
      <c r="G137" s="35"/>
      <c r="H137" s="35"/>
      <c r="I137" s="35"/>
      <c r="J137" s="35"/>
      <c r="K137" s="221"/>
      <c r="L137" s="221"/>
      <c r="M137" s="221"/>
      <c r="N137" s="265"/>
      <c r="O137" s="265"/>
      <c r="P137" s="265"/>
    </row>
    <row r="138" spans="1:16" ht="13.5" thickBot="1">
      <c r="A138" s="26"/>
      <c r="B138" s="26"/>
      <c r="C138" s="26"/>
      <c r="D138" s="335"/>
      <c r="E138" s="335"/>
      <c r="F138" s="334"/>
      <c r="G138" s="334"/>
      <c r="H138" s="334"/>
      <c r="I138" s="334"/>
      <c r="J138" s="208"/>
      <c r="K138" s="208"/>
      <c r="L138" s="221"/>
      <c r="M138" s="221"/>
      <c r="N138" s="221"/>
      <c r="O138" s="296"/>
      <c r="P138" s="265"/>
    </row>
    <row r="139" spans="1:16" ht="12.75">
      <c r="A139" s="215" t="s">
        <v>231</v>
      </c>
      <c r="B139" s="216"/>
      <c r="C139" s="216"/>
      <c r="D139" s="217"/>
      <c r="E139" s="211"/>
      <c r="F139" s="291"/>
      <c r="G139" s="291"/>
      <c r="H139" s="291"/>
      <c r="I139" s="291"/>
      <c r="J139" s="208"/>
      <c r="K139" s="208"/>
      <c r="L139" s="297"/>
      <c r="M139" s="221"/>
      <c r="N139" s="221"/>
      <c r="O139" s="296"/>
      <c r="P139" s="265"/>
    </row>
    <row r="140" spans="1:16" ht="12.75">
      <c r="A140" s="25"/>
      <c r="B140" s="26"/>
      <c r="C140" s="29" t="s">
        <v>38</v>
      </c>
      <c r="D140" s="48" t="s">
        <v>98</v>
      </c>
      <c r="E140" s="209"/>
      <c r="F140" s="292"/>
      <c r="G140" s="293"/>
      <c r="H140" s="294"/>
      <c r="I140" s="294"/>
      <c r="J140" s="205"/>
      <c r="K140" s="208"/>
      <c r="L140" s="265"/>
      <c r="M140" s="297"/>
      <c r="N140" s="297"/>
      <c r="O140" s="296"/>
      <c r="P140" s="265"/>
    </row>
    <row r="141" spans="1:16" ht="12.75">
      <c r="A141" s="25"/>
      <c r="B141" s="37" t="s">
        <v>36</v>
      </c>
      <c r="C141" s="38" t="s">
        <v>31</v>
      </c>
      <c r="D141" s="48" t="s">
        <v>31</v>
      </c>
      <c r="E141" s="209"/>
      <c r="F141" s="295"/>
      <c r="G141" s="293"/>
      <c r="H141" s="198"/>
      <c r="I141" s="198"/>
      <c r="J141" s="205"/>
      <c r="K141" s="208"/>
      <c r="L141" s="298"/>
      <c r="M141" s="299"/>
      <c r="N141" s="300"/>
      <c r="O141" s="291"/>
      <c r="P141" s="265"/>
    </row>
    <row r="142" spans="1:16" ht="12.75">
      <c r="A142" s="49" t="s">
        <v>229</v>
      </c>
      <c r="B142" s="39">
        <v>1078</v>
      </c>
      <c r="C142" s="40">
        <f>ROUND($G$52*(B142/$B$147),2)</f>
        <v>1790.07</v>
      </c>
      <c r="D142" s="218">
        <f>ROUND($G$90*(C142/$B$147),2)</f>
        <v>0</v>
      </c>
      <c r="E142" s="210"/>
      <c r="F142" s="198"/>
      <c r="G142" s="182"/>
      <c r="H142" s="182"/>
      <c r="I142" s="182"/>
      <c r="J142" s="182"/>
      <c r="K142" s="182"/>
      <c r="L142" s="294"/>
      <c r="M142" s="299"/>
      <c r="N142" s="221"/>
      <c r="O142" s="291"/>
      <c r="P142" s="265"/>
    </row>
    <row r="143" spans="1:16" ht="12.75">
      <c r="A143" s="49"/>
      <c r="B143" s="42"/>
      <c r="C143" s="41"/>
      <c r="D143" s="219"/>
      <c r="E143" s="210"/>
      <c r="F143" s="221"/>
      <c r="G143" s="183"/>
      <c r="H143" s="183"/>
      <c r="I143" s="183"/>
      <c r="J143" s="183"/>
      <c r="K143" s="183"/>
      <c r="L143" s="294"/>
      <c r="M143" s="299"/>
      <c r="N143" s="221"/>
      <c r="O143" s="291"/>
      <c r="P143" s="265"/>
    </row>
    <row r="144" spans="1:16" ht="12.75">
      <c r="A144" s="49" t="s">
        <v>96</v>
      </c>
      <c r="B144" s="39">
        <v>1560</v>
      </c>
      <c r="C144" s="40">
        <f>ROUND($G$52*(B144/$B$147),2)</f>
        <v>2590.45</v>
      </c>
      <c r="D144" s="218">
        <f>ROUND($G$90*(C144/$B$147),2)</f>
        <v>0</v>
      </c>
      <c r="E144" s="212"/>
      <c r="F144" s="208"/>
      <c r="G144" s="183"/>
      <c r="H144" s="183"/>
      <c r="I144" s="183"/>
      <c r="J144" s="183"/>
      <c r="K144" s="183"/>
      <c r="L144" s="298"/>
      <c r="M144" s="299"/>
      <c r="N144" s="221"/>
      <c r="O144" s="291"/>
      <c r="P144" s="265"/>
    </row>
    <row r="145" spans="1:16" ht="12.75">
      <c r="A145" s="49"/>
      <c r="B145" s="39"/>
      <c r="C145" s="40"/>
      <c r="D145" s="218"/>
      <c r="E145" s="212"/>
      <c r="F145" s="208"/>
      <c r="G145" s="183"/>
      <c r="H145" s="183"/>
      <c r="I145" s="183"/>
      <c r="J145" s="183"/>
      <c r="K145" s="183"/>
      <c r="L145" s="208"/>
      <c r="M145" s="265"/>
      <c r="N145" s="265"/>
      <c r="O145" s="265"/>
      <c r="P145" s="265"/>
    </row>
    <row r="146" spans="1:16" ht="12.75">
      <c r="A146" s="49"/>
      <c r="B146" s="39"/>
      <c r="C146" s="40"/>
      <c r="D146" s="218"/>
      <c r="E146" s="213"/>
      <c r="F146" s="208"/>
      <c r="G146" s="183"/>
      <c r="H146" s="183"/>
      <c r="I146" s="183"/>
      <c r="J146" s="183"/>
      <c r="K146" s="183"/>
      <c r="L146" s="208"/>
      <c r="M146" s="265"/>
      <c r="N146" s="265"/>
      <c r="O146" s="265"/>
      <c r="P146" s="265"/>
    </row>
    <row r="147" spans="1:16" ht="13.5" thickBot="1">
      <c r="A147" s="49" t="s">
        <v>35</v>
      </c>
      <c r="B147" s="44">
        <f>SUM(B142:B146)</f>
        <v>2638</v>
      </c>
      <c r="C147" s="83">
        <f>SUM(C142:C146)</f>
        <v>4380.5199999999995</v>
      </c>
      <c r="D147" s="220">
        <f>SUM(D142:D146)</f>
        <v>0</v>
      </c>
      <c r="E147" s="84"/>
      <c r="F147" s="208"/>
      <c r="G147" s="183"/>
      <c r="H147" s="183"/>
      <c r="I147" s="183"/>
      <c r="J147" s="183"/>
      <c r="K147" s="301"/>
      <c r="L147" s="208"/>
      <c r="M147" s="265"/>
      <c r="N147" s="265"/>
      <c r="O147" s="265"/>
      <c r="P147" s="265"/>
    </row>
    <row r="148" spans="1:12" ht="13.5" thickTop="1">
      <c r="A148" s="31"/>
      <c r="B148" s="32"/>
      <c r="C148" s="32">
        <f>+G52-C147</f>
        <v>0</v>
      </c>
      <c r="D148" s="33">
        <f>+G90-D147</f>
        <v>0</v>
      </c>
      <c r="E148" s="32"/>
      <c r="F148" s="208"/>
      <c r="G148" s="183"/>
      <c r="H148" s="183"/>
      <c r="I148" s="183"/>
      <c r="J148" s="183"/>
      <c r="K148" s="184"/>
      <c r="L148" s="35"/>
    </row>
    <row r="149" spans="1:12" ht="13.5" thickBot="1">
      <c r="A149" s="318"/>
      <c r="B149" s="85"/>
      <c r="C149" s="85"/>
      <c r="D149" s="50"/>
      <c r="E149" s="32"/>
      <c r="F149" s="208"/>
      <c r="G149" s="183"/>
      <c r="H149" s="183"/>
      <c r="I149" s="183"/>
      <c r="J149" s="183"/>
      <c r="K149" s="185"/>
      <c r="L149" s="35"/>
    </row>
    <row r="150" spans="1:10" ht="12.75">
      <c r="A150" s="113"/>
      <c r="B150" s="191"/>
      <c r="C150" s="191"/>
      <c r="D150" s="191"/>
      <c r="E150" s="185"/>
      <c r="F150" s="86"/>
      <c r="G150" s="191"/>
      <c r="H150" s="191"/>
      <c r="I150" s="191"/>
      <c r="J150" s="185"/>
    </row>
    <row r="151" spans="1:10" ht="12.75">
      <c r="A151" s="73"/>
      <c r="B151" s="187"/>
      <c r="C151" s="187"/>
      <c r="D151" s="73"/>
      <c r="E151" s="187"/>
      <c r="F151" s="187"/>
      <c r="G151" s="73"/>
      <c r="H151" s="187"/>
      <c r="I151" s="187"/>
      <c r="J151" s="185"/>
    </row>
    <row r="152" spans="1:10" ht="12.75">
      <c r="A152" s="86"/>
      <c r="B152" s="167"/>
      <c r="C152" s="167"/>
      <c r="D152" s="86"/>
      <c r="E152" s="167"/>
      <c r="F152" s="167"/>
      <c r="G152" s="86"/>
      <c r="H152" s="167"/>
      <c r="I152" s="167"/>
      <c r="J152" s="185"/>
    </row>
    <row r="153" spans="1:10" ht="12.75">
      <c r="A153" s="208"/>
      <c r="B153" s="167"/>
      <c r="C153" s="167"/>
      <c r="D153" s="208"/>
      <c r="E153" s="167"/>
      <c r="F153" s="167"/>
      <c r="G153" s="208"/>
      <c r="H153" s="167"/>
      <c r="I153" s="167"/>
      <c r="J153" s="185"/>
    </row>
    <row r="154" spans="1:10" ht="12.75">
      <c r="A154" s="86"/>
      <c r="B154" s="167"/>
      <c r="C154" s="167"/>
      <c r="D154" s="86"/>
      <c r="E154" s="167"/>
      <c r="F154" s="167"/>
      <c r="G154" s="86"/>
      <c r="H154" s="167"/>
      <c r="I154" s="167"/>
      <c r="J154" s="185"/>
    </row>
    <row r="155" spans="1:10" ht="12.75">
      <c r="A155" s="86"/>
      <c r="B155" s="167"/>
      <c r="C155" s="167"/>
      <c r="D155" s="86"/>
      <c r="E155" s="167"/>
      <c r="F155" s="167"/>
      <c r="G155" s="86"/>
      <c r="H155" s="167"/>
      <c r="I155" s="167"/>
      <c r="J155" s="185"/>
    </row>
    <row r="156" spans="1:10" ht="12.75">
      <c r="A156" s="86"/>
      <c r="B156" s="167"/>
      <c r="C156" s="167"/>
      <c r="D156" s="86"/>
      <c r="E156" s="167"/>
      <c r="F156" s="167"/>
      <c r="G156" s="86"/>
      <c r="H156" s="167"/>
      <c r="I156" s="167"/>
      <c r="J156" s="185"/>
    </row>
    <row r="157" spans="1:10" ht="12.75">
      <c r="A157" s="86"/>
      <c r="B157" s="167"/>
      <c r="C157" s="167"/>
      <c r="D157" s="86"/>
      <c r="E157" s="167"/>
      <c r="F157" s="167"/>
      <c r="G157" s="86"/>
      <c r="H157" s="167"/>
      <c r="I157" s="167"/>
      <c r="J157" s="185"/>
    </row>
    <row r="158" spans="1:10" ht="12.75">
      <c r="A158" s="86"/>
      <c r="B158" s="167"/>
      <c r="C158" s="167"/>
      <c r="D158" s="86"/>
      <c r="E158" s="167"/>
      <c r="F158" s="167"/>
      <c r="G158" s="86"/>
      <c r="H158" s="167"/>
      <c r="I158" s="167"/>
      <c r="J158" s="185"/>
    </row>
    <row r="159" spans="1:10" ht="12.75">
      <c r="A159" s="86"/>
      <c r="B159" s="167"/>
      <c r="C159" s="167"/>
      <c r="D159" s="86"/>
      <c r="E159" s="167"/>
      <c r="F159" s="167"/>
      <c r="G159" s="86"/>
      <c r="H159" s="167"/>
      <c r="I159" s="167"/>
      <c r="J159" s="185"/>
    </row>
    <row r="160" spans="1:10" ht="12.75">
      <c r="A160" s="86"/>
      <c r="B160" s="191"/>
      <c r="C160" s="191"/>
      <c r="D160" s="86"/>
      <c r="E160" s="191"/>
      <c r="F160" s="191"/>
      <c r="G160" s="86"/>
      <c r="H160" s="191"/>
      <c r="I160" s="191"/>
      <c r="J160" s="185"/>
    </row>
    <row r="161" spans="1:10" ht="12.75">
      <c r="A161" s="168" t="s">
        <v>142</v>
      </c>
      <c r="B161" s="191"/>
      <c r="C161" s="191"/>
      <c r="D161" s="191"/>
      <c r="E161" s="185"/>
      <c r="F161" s="86"/>
      <c r="G161" s="191"/>
      <c r="H161" s="191"/>
      <c r="I161" s="191"/>
      <c r="J161" s="185"/>
    </row>
    <row r="162" ht="12.75">
      <c r="A162" s="24" t="s">
        <v>143</v>
      </c>
    </row>
    <row r="163" spans="1:13" ht="18">
      <c r="A163" s="121" t="s">
        <v>91</v>
      </c>
      <c r="B163" s="122"/>
      <c r="C163" s="122"/>
      <c r="H163" s="122"/>
      <c r="I163" s="122"/>
      <c r="J163" s="122"/>
      <c r="K163" s="122"/>
      <c r="L163" s="122"/>
      <c r="M163" s="122"/>
    </row>
    <row r="164" spans="1:13" ht="12.75">
      <c r="A164" s="122"/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</row>
    <row r="165" spans="1:13" ht="18">
      <c r="A165" s="121" t="s">
        <v>118</v>
      </c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</row>
    <row r="166" spans="4:7" ht="12.75">
      <c r="D166" s="122"/>
      <c r="E166" s="122"/>
      <c r="F166" s="122"/>
      <c r="G166" s="122"/>
    </row>
    <row r="167" spans="1:11" ht="18">
      <c r="A167" s="123" t="s">
        <v>119</v>
      </c>
      <c r="B167" s="123"/>
      <c r="C167" s="123"/>
      <c r="H167" s="124"/>
      <c r="I167" s="124"/>
      <c r="J167" s="124"/>
      <c r="K167" s="124"/>
    </row>
    <row r="168" spans="4:7" ht="18">
      <c r="D168" s="123"/>
      <c r="E168" s="123"/>
      <c r="F168" s="123"/>
      <c r="G168" s="123"/>
    </row>
    <row r="171" ht="12.75">
      <c r="E171" s="36"/>
    </row>
    <row r="173" spans="1:3" ht="15.75">
      <c r="A173" s="254"/>
      <c r="B173" s="255"/>
      <c r="C173" s="256"/>
    </row>
    <row r="176" spans="2:3" ht="13.5" thickBot="1">
      <c r="B176" s="258" t="s">
        <v>190</v>
      </c>
      <c r="C176" s="259" t="s">
        <v>191</v>
      </c>
    </row>
    <row r="177" spans="1:3" ht="12.75">
      <c r="A177" s="257" t="s">
        <v>189</v>
      </c>
      <c r="B177" s="35">
        <f>+MITCHELL!B22</f>
        <v>394638.98</v>
      </c>
      <c r="C177" s="35">
        <f>+MITCHELL!C22</f>
        <v>25535767.430000003</v>
      </c>
    </row>
    <row r="179" ht="12.75">
      <c r="A179" s="24" t="s">
        <v>195</v>
      </c>
    </row>
    <row r="180" spans="1:3" ht="12.75">
      <c r="A180" s="261" t="s">
        <v>189</v>
      </c>
      <c r="B180" s="262">
        <v>12142</v>
      </c>
      <c r="C180" s="24" t="s">
        <v>250</v>
      </c>
    </row>
    <row r="181" ht="12.75">
      <c r="A181" s="261"/>
    </row>
  </sheetData>
  <sheetProtection/>
  <mergeCells count="10">
    <mergeCell ref="A1:J1"/>
    <mergeCell ref="A2:J2"/>
    <mergeCell ref="A3:J3"/>
    <mergeCell ref="F138:I138"/>
    <mergeCell ref="D138:E138"/>
    <mergeCell ref="C6:E6"/>
    <mergeCell ref="C60:E60"/>
    <mergeCell ref="C97:F97"/>
    <mergeCell ref="E95:F95"/>
    <mergeCell ref="E96:F96"/>
  </mergeCells>
  <printOptions/>
  <pageMargins left="0.5" right="0.5" top="0.5" bottom="0.5" header="0.3" footer="0.3"/>
  <pageSetup fitToHeight="1" fitToWidth="1" horizontalDpi="600" verticalDpi="600" orientation="portrait" scale="22" r:id="rId3"/>
  <headerFooter alignWithMargins="0">
    <oddFooter>&amp;C&amp;Z&amp;F 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L64"/>
  <sheetViews>
    <sheetView zoomScalePageLayoutView="0" workbookViewId="0" topLeftCell="A1">
      <selection activeCell="J11" sqref="J11:K56"/>
    </sheetView>
  </sheetViews>
  <sheetFormatPr defaultColWidth="17.7109375" defaultRowHeight="12.75" outlineLevelRow="1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s="200" customFormat="1" ht="15">
      <c r="H1" s="89" t="s">
        <v>224</v>
      </c>
    </row>
    <row r="2" spans="1:9" s="92" customFormat="1" ht="15">
      <c r="A2" s="340" t="s">
        <v>204</v>
      </c>
      <c r="B2" s="340"/>
      <c r="C2" s="340"/>
      <c r="D2" s="340"/>
      <c r="E2" s="340"/>
      <c r="F2" s="340"/>
      <c r="G2" s="340"/>
      <c r="H2" s="340"/>
      <c r="I2" s="91"/>
    </row>
    <row r="3" spans="1:9" s="92" customFormat="1" ht="15">
      <c r="A3" s="340" t="s">
        <v>0</v>
      </c>
      <c r="B3" s="340"/>
      <c r="C3" s="340"/>
      <c r="D3" s="340"/>
      <c r="E3" s="340"/>
      <c r="F3" s="340"/>
      <c r="G3" s="340"/>
      <c r="H3" s="340"/>
      <c r="I3" s="91"/>
    </row>
    <row r="4" spans="1:9" s="92" customFormat="1" ht="15">
      <c r="A4" s="340" t="s">
        <v>221</v>
      </c>
      <c r="B4" s="340"/>
      <c r="C4" s="340"/>
      <c r="D4" s="340"/>
      <c r="E4" s="340"/>
      <c r="F4" s="340"/>
      <c r="G4" s="340"/>
      <c r="H4" s="340"/>
      <c r="I4" s="91"/>
    </row>
    <row r="5" spans="1:9" s="92" customFormat="1" ht="15">
      <c r="A5" s="342" t="str">
        <f>+INPUT!A3</f>
        <v>APRIL 2014</v>
      </c>
      <c r="B5" s="342"/>
      <c r="C5" s="342"/>
      <c r="D5" s="342"/>
      <c r="E5" s="342"/>
      <c r="F5" s="342"/>
      <c r="G5" s="342"/>
      <c r="H5" s="342"/>
      <c r="I5" s="91"/>
    </row>
    <row r="6" s="92" customFormat="1" ht="14.25">
      <c r="I6" s="91"/>
    </row>
    <row r="7" spans="2:11" s="92" customFormat="1" ht="15">
      <c r="B7" s="340" t="s">
        <v>2</v>
      </c>
      <c r="C7" s="340"/>
      <c r="D7" s="340"/>
      <c r="E7" s="90"/>
      <c r="F7" s="340" t="s">
        <v>3</v>
      </c>
      <c r="G7" s="340"/>
      <c r="H7" s="340"/>
      <c r="I7" s="91"/>
      <c r="J7" s="340" t="s">
        <v>4</v>
      </c>
      <c r="K7" s="340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152</v>
      </c>
      <c r="B10" s="5"/>
      <c r="C10" s="6"/>
      <c r="D10" s="7"/>
      <c r="F10" s="270"/>
      <c r="G10" s="271"/>
      <c r="H10" s="272"/>
      <c r="I10" s="4"/>
      <c r="J10" s="19"/>
      <c r="K10" s="19"/>
    </row>
    <row r="11" spans="1:12" s="3" customFormat="1" ht="12.75">
      <c r="A11" s="3" t="s">
        <v>9</v>
      </c>
      <c r="B11" s="267">
        <f>'[1]MITCHELL_KP_OP_HIGH SULFUR'!$B$32</f>
        <v>118769.48</v>
      </c>
      <c r="C11" s="188">
        <f>'[1]MITCHELL_KP_OP_HIGH SULFUR'!$C$32</f>
        <v>7066402.23</v>
      </c>
      <c r="D11" s="15">
        <f>IF(AND(B11&lt;&gt;0,C11&lt;&gt;0),C11/B11,"")</f>
        <v>59.49678511684989</v>
      </c>
      <c r="E11" s="18"/>
      <c r="F11" s="304">
        <v>192151.63</v>
      </c>
      <c r="G11" s="305">
        <v>11763689.48</v>
      </c>
      <c r="H11" s="273">
        <f>IF(AND(F11&lt;&gt;0,G11&lt;&gt;0),G11/F11,"")</f>
        <v>61.22086749927649</v>
      </c>
      <c r="I11" s="4"/>
      <c r="J11" s="19">
        <v>192151.63</v>
      </c>
      <c r="K11" s="19">
        <v>11763689.48</v>
      </c>
      <c r="L11" s="3">
        <v>46.65343942430702</v>
      </c>
    </row>
    <row r="12" spans="1:12" s="3" customFormat="1" ht="12.75">
      <c r="A12" s="3" t="s">
        <v>8</v>
      </c>
      <c r="B12" s="8"/>
      <c r="C12" s="9"/>
      <c r="D12" s="15">
        <f>IF(AND(B12&lt;&gt;0,C12&lt;&gt;0),C12/B12,"")</f>
      </c>
      <c r="F12" s="274"/>
      <c r="G12" s="275"/>
      <c r="H12" s="273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10</v>
      </c>
      <c r="B13" s="13">
        <f>'[1]MITCHELL_KP_OP_HIGH SULFUR'!$B$34</f>
        <v>35068.87000000001</v>
      </c>
      <c r="C13" s="14">
        <f>'[1]MITCHELL_KP_OP_HIGH SULFUR'!$C$34</f>
        <v>1991077.52</v>
      </c>
      <c r="D13" s="15">
        <f>IF(AND(B13&lt;&gt;0,C13&lt;&gt;0),C13/B13,"")</f>
        <v>56.77620978377688</v>
      </c>
      <c r="F13" s="274">
        <f>+B13+J13</f>
        <v>153427.59999999998</v>
      </c>
      <c r="G13" s="275">
        <f>+C13+K13</f>
        <v>8800588.99</v>
      </c>
      <c r="H13" s="273">
        <f>IF(AND(F13&lt;&gt;0,G13&lt;&gt;0),G13/F13,"")</f>
        <v>57.35988172923256</v>
      </c>
      <c r="I13" s="4"/>
      <c r="J13" s="19">
        <v>118358.72999999998</v>
      </c>
      <c r="K13" s="19">
        <v>6809511.47</v>
      </c>
      <c r="L13" s="3">
        <v>43.70496619112474</v>
      </c>
    </row>
    <row r="14" spans="1:12" s="3" customFormat="1" ht="12.75">
      <c r="A14" s="3" t="s">
        <v>11</v>
      </c>
      <c r="B14" s="53"/>
      <c r="C14" s="14">
        <f>'[1]MITCHELL_KP_OP_HIGH SULFUR'!$C$35</f>
        <v>0</v>
      </c>
      <c r="D14" s="15">
        <f>IF(AND(B13&lt;&gt;0,C14&lt;&gt;0),C14/B13,"")</f>
      </c>
      <c r="F14" s="274"/>
      <c r="G14" s="195">
        <f>+C14+K14</f>
        <v>3306.299999999581</v>
      </c>
      <c r="H14" s="273">
        <f>IF(AND(F13&lt;&gt;0,G14&lt;&gt;0),G14/F13,"")</f>
        <v>0.021549577781309108</v>
      </c>
      <c r="I14" s="4"/>
      <c r="J14" s="19"/>
      <c r="K14" s="19">
        <v>3306.299999999581</v>
      </c>
      <c r="L14" s="3">
        <v>3.7820777685323437</v>
      </c>
    </row>
    <row r="15" spans="1:12" s="2" customFormat="1" ht="12.75">
      <c r="A15" s="2" t="s">
        <v>12</v>
      </c>
      <c r="B15" s="101">
        <f>SUM(B13:B14)</f>
        <v>35068.87000000001</v>
      </c>
      <c r="C15" s="102">
        <f>SUM(C13:C14)</f>
        <v>1991077.52</v>
      </c>
      <c r="D15" s="103">
        <f aca="true" t="shared" si="0" ref="D15:D22">IF(AND(B15&lt;&gt;0,C15&lt;&gt;0),C15/B15,"")</f>
        <v>56.77620978377688</v>
      </c>
      <c r="F15" s="244">
        <f>SUM(F13:F14)</f>
        <v>153427.59999999998</v>
      </c>
      <c r="G15" s="245">
        <f>SUM(G13:G14)</f>
        <v>8803895.29</v>
      </c>
      <c r="H15" s="278">
        <f aca="true" t="shared" si="1" ref="H15:H22">IF(AND(F15&lt;&gt;0,G15&lt;&gt;0),G15/F15,"")</f>
        <v>57.38143130701386</v>
      </c>
      <c r="I15" s="4"/>
      <c r="J15" s="202">
        <v>118358.72999999998</v>
      </c>
      <c r="K15" s="202">
        <v>6812817.77</v>
      </c>
      <c r="L15" s="2">
        <v>47.487043959657086</v>
      </c>
    </row>
    <row r="16" spans="1:12" s="2" customFormat="1" ht="12.75">
      <c r="A16" s="2" t="s">
        <v>18</v>
      </c>
      <c r="B16" s="98">
        <f>+B11+B13</f>
        <v>153838.35</v>
      </c>
      <c r="C16" s="99">
        <f>+C11+C15</f>
        <v>9057479.75</v>
      </c>
      <c r="D16" s="100">
        <f t="shared" si="0"/>
        <v>58.876604890783085</v>
      </c>
      <c r="F16" s="246">
        <f>+F11+F15</f>
        <v>345579.23</v>
      </c>
      <c r="G16" s="247">
        <f>+G11+G15</f>
        <v>20567584.77</v>
      </c>
      <c r="H16" s="279">
        <f t="shared" si="1"/>
        <v>59.516264244237135</v>
      </c>
      <c r="I16" s="4"/>
      <c r="J16" s="202">
        <v>310510.36</v>
      </c>
      <c r="K16" s="202">
        <v>18576507.25</v>
      </c>
      <c r="L16" s="2">
        <v>47.28719144288433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186"/>
      <c r="G17" s="195"/>
      <c r="H17" s="88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13">
        <f>'[1]MITCHELL_KP_OP_HIGH SULFUR'!$B$40+'[1]MITCHELL_KP_OP_HIGH SULFUR'!$B$41</f>
        <v>77751.77</v>
      </c>
      <c r="C18" s="14">
        <f>'[1]MITCHELL_KP_OP_HIGH SULFUR'!$C$40+'[1]MITCHELL_KP_OP_HIGH SULFUR'!$C$41</f>
        <v>4577658.99</v>
      </c>
      <c r="D18" s="15">
        <f t="shared" si="0"/>
        <v>58.875302645843306</v>
      </c>
      <c r="F18" s="186">
        <f aca="true" t="shared" si="2" ref="F18:G20">+B18+J18</f>
        <v>269935.8</v>
      </c>
      <c r="G18" s="195">
        <f t="shared" si="2"/>
        <v>16114218.200000001</v>
      </c>
      <c r="H18" s="88">
        <f t="shared" si="1"/>
        <v>59.696484126966496</v>
      </c>
      <c r="I18" s="4"/>
      <c r="J18" s="19">
        <v>192184.03</v>
      </c>
      <c r="K18" s="19">
        <v>11536559.21</v>
      </c>
      <c r="L18" s="3">
        <v>47.2999488365436</v>
      </c>
    </row>
    <row r="19" spans="1:12" s="3" customFormat="1" ht="12.75">
      <c r="A19" s="3" t="s">
        <v>14</v>
      </c>
      <c r="B19" s="13">
        <f>'[1]MITCHELL_KP_OP_HIGH SULFUR'!$B$43+'[1]MITCHELL_KP_OP_HIGH SULFUR'!$B$44</f>
        <v>0</v>
      </c>
      <c r="C19" s="14">
        <f>'[1]MITCHELL_KP_OP_HIGH SULFUR'!$C$43+'[1]MITCHELL_KP_OP_HIGH SULFUR'!$C$44</f>
        <v>0</v>
      </c>
      <c r="D19" s="15">
        <f t="shared" si="0"/>
      </c>
      <c r="F19" s="186">
        <f t="shared" si="2"/>
        <v>-443.15</v>
      </c>
      <c r="G19" s="195">
        <f t="shared" si="2"/>
        <v>-26454.190000000002</v>
      </c>
      <c r="H19" s="88">
        <f t="shared" si="1"/>
        <v>59.69579149272256</v>
      </c>
      <c r="I19" s="4"/>
      <c r="J19" s="19">
        <v>-443.15</v>
      </c>
      <c r="K19" s="19">
        <v>-26454.190000000002</v>
      </c>
      <c r="L19" s="3">
        <v>47.36120052636906</v>
      </c>
    </row>
    <row r="20" spans="1:12" s="3" customFormat="1" ht="12.75">
      <c r="A20" s="3" t="s">
        <v>15</v>
      </c>
      <c r="B20" s="13">
        <f>'[1]MITCHELL_KP_OP_HIGH SULFUR'!$B$45+'[1]MITCHELL_KP_OP_HIGH SULFUR'!$B$42</f>
        <v>0</v>
      </c>
      <c r="C20" s="14">
        <f>'[1]MITCHELL_KP_OP_HIGH SULFUR'!$C$45+'[1]MITCHELL_KP_OP_HIGH SULFUR'!$C$42</f>
        <v>0</v>
      </c>
      <c r="D20" s="15">
        <f t="shared" si="0"/>
      </c>
      <c r="F20" s="186">
        <f t="shared" si="2"/>
        <v>0</v>
      </c>
      <c r="G20" s="195">
        <f t="shared" si="2"/>
        <v>0</v>
      </c>
      <c r="H20" s="88">
        <f t="shared" si="1"/>
      </c>
      <c r="I20" s="4"/>
      <c r="J20" s="19">
        <v>0</v>
      </c>
      <c r="K20" s="19">
        <v>0</v>
      </c>
      <c r="L20" s="3" t="s">
        <v>137</v>
      </c>
    </row>
    <row r="21" spans="1:12" s="2" customFormat="1" ht="12.75">
      <c r="A21" s="2" t="s">
        <v>16</v>
      </c>
      <c r="B21" s="101">
        <f>SUM(B18:B20)</f>
        <v>77751.77</v>
      </c>
      <c r="C21" s="102">
        <f>SUM(C18:C20)</f>
        <v>4577658.99</v>
      </c>
      <c r="D21" s="103">
        <f t="shared" si="0"/>
        <v>58.875302645843306</v>
      </c>
      <c r="F21" s="244">
        <f>SUM(F18:F20)</f>
        <v>269492.64999999997</v>
      </c>
      <c r="G21" s="245">
        <f>SUM(G18:G20)</f>
        <v>16087764.010000002</v>
      </c>
      <c r="H21" s="278">
        <f t="shared" si="1"/>
        <v>59.69648526592471</v>
      </c>
      <c r="I21" s="4"/>
      <c r="J21" s="202">
        <v>191740.88</v>
      </c>
      <c r="K21" s="202">
        <v>11510105.020000001</v>
      </c>
      <c r="L21" s="2">
        <v>47.30106304328886</v>
      </c>
    </row>
    <row r="22" spans="1:12" s="2" customFormat="1" ht="13.5" thickBot="1">
      <c r="A22" s="2" t="s">
        <v>17</v>
      </c>
      <c r="B22" s="104">
        <f>+B16-B21</f>
        <v>76086.58</v>
      </c>
      <c r="C22" s="105">
        <f>+C16-C21</f>
        <v>4479820.76</v>
      </c>
      <c r="D22" s="106">
        <f t="shared" si="0"/>
        <v>58.87793563595577</v>
      </c>
      <c r="F22" s="171">
        <f>+F16-F21</f>
        <v>76086.58000000002</v>
      </c>
      <c r="G22" s="170">
        <f>+G16-G21</f>
        <v>4479820.759999998</v>
      </c>
      <c r="H22" s="276">
        <f t="shared" si="1"/>
        <v>58.87793563595574</v>
      </c>
      <c r="I22" s="4"/>
      <c r="J22" s="202">
        <v>118769.47999999998</v>
      </c>
      <c r="K22" s="202">
        <v>7066402.229999999</v>
      </c>
      <c r="L22" s="2">
        <v>47.239333023420905</v>
      </c>
    </row>
    <row r="23" spans="2:11" s="3" customFormat="1" ht="14.25" thickBot="1" thickTop="1">
      <c r="B23" s="240"/>
      <c r="C23" s="241"/>
      <c r="D23" s="242"/>
      <c r="F23" s="248"/>
      <c r="G23" s="249"/>
      <c r="H23" s="250"/>
      <c r="I23" s="4"/>
      <c r="J23" s="19"/>
      <c r="K23" s="19"/>
    </row>
    <row r="24" spans="1:11" s="3" customFormat="1" ht="15">
      <c r="A24" s="89"/>
      <c r="B24" s="9"/>
      <c r="C24" s="9"/>
      <c r="D24" s="9"/>
      <c r="E24" s="9"/>
      <c r="F24" s="9"/>
      <c r="G24" s="9"/>
      <c r="H24" s="9"/>
      <c r="I24" s="4"/>
      <c r="J24" s="20"/>
      <c r="K24" s="20"/>
    </row>
    <row r="25" spans="2:11" s="3" customFormat="1" ht="12.75" hidden="1" outlineLevel="1">
      <c r="B25" s="188"/>
      <c r="C25" s="14"/>
      <c r="D25" s="17"/>
      <c r="E25" s="9"/>
      <c r="F25" s="203"/>
      <c r="G25" s="203"/>
      <c r="H25" s="17"/>
      <c r="I25" s="4"/>
      <c r="J25" s="20"/>
      <c r="K25" s="20"/>
    </row>
    <row r="26" spans="2:11" s="3" customFormat="1" ht="12.75" hidden="1" outlineLevel="1">
      <c r="B26" s="14"/>
      <c r="C26" s="14"/>
      <c r="D26" s="17"/>
      <c r="E26" s="9"/>
      <c r="F26" s="17"/>
      <c r="G26" s="17"/>
      <c r="H26" s="17"/>
      <c r="I26" s="4"/>
      <c r="J26" s="20"/>
      <c r="K26" s="20"/>
    </row>
    <row r="27" spans="2:11" s="2" customFormat="1" ht="12.75" hidden="1" outlineLevel="1">
      <c r="B27" s="99"/>
      <c r="C27" s="99"/>
      <c r="D27" s="99"/>
      <c r="E27" s="99"/>
      <c r="F27" s="99"/>
      <c r="G27" s="99"/>
      <c r="H27" s="99"/>
      <c r="I27" s="201"/>
      <c r="J27" s="204"/>
      <c r="K27" s="204"/>
    </row>
    <row r="28" spans="1:11" s="2" customFormat="1" ht="12.75" hidden="1" outlineLevel="1">
      <c r="A28" s="18"/>
      <c r="B28" s="99"/>
      <c r="C28" s="99"/>
      <c r="D28" s="99"/>
      <c r="E28" s="99"/>
      <c r="F28" s="99"/>
      <c r="G28" s="99"/>
      <c r="H28" s="99"/>
      <c r="I28" s="201"/>
      <c r="J28" s="204"/>
      <c r="K28" s="204"/>
    </row>
    <row r="29" spans="2:11" s="3" customFormat="1" ht="12.75" hidden="1" outlineLevel="1">
      <c r="B29" s="14"/>
      <c r="C29" s="14"/>
      <c r="D29" s="17"/>
      <c r="E29" s="9"/>
      <c r="F29" s="9"/>
      <c r="G29" s="9"/>
      <c r="H29" s="17"/>
      <c r="I29" s="4"/>
      <c r="J29" s="20"/>
      <c r="K29" s="20"/>
    </row>
    <row r="30" spans="2:11" s="3" customFormat="1" ht="12.75" hidden="1" outlineLevel="1">
      <c r="B30" s="14"/>
      <c r="C30" s="14"/>
      <c r="D30" s="17"/>
      <c r="E30" s="9"/>
      <c r="F30" s="9"/>
      <c r="G30" s="9"/>
      <c r="H30" s="17"/>
      <c r="I30" s="4"/>
      <c r="J30" s="20"/>
      <c r="K30" s="20"/>
    </row>
    <row r="31" spans="2:11" s="3" customFormat="1" ht="12.75" hidden="1" outlineLevel="1">
      <c r="B31" s="14"/>
      <c r="C31" s="14"/>
      <c r="D31" s="17"/>
      <c r="E31" s="9"/>
      <c r="F31" s="9"/>
      <c r="G31" s="9"/>
      <c r="H31" s="17"/>
      <c r="I31" s="4"/>
      <c r="J31" s="20"/>
      <c r="K31" s="20"/>
    </row>
    <row r="32" spans="1:11" s="3" customFormat="1" ht="12.75" hidden="1" outlineLevel="1">
      <c r="A32" s="2"/>
      <c r="B32" s="9"/>
      <c r="C32" s="9"/>
      <c r="D32" s="17"/>
      <c r="E32" s="9"/>
      <c r="F32" s="9"/>
      <c r="G32" s="9"/>
      <c r="H32" s="17"/>
      <c r="I32" s="4"/>
      <c r="J32" s="204"/>
      <c r="K32" s="204"/>
    </row>
    <row r="33" spans="2:11" s="2" customFormat="1" ht="12.75" hidden="1" outlineLevel="1">
      <c r="B33" s="99"/>
      <c r="C33" s="99"/>
      <c r="D33" s="99"/>
      <c r="E33" s="99"/>
      <c r="F33" s="99"/>
      <c r="G33" s="99"/>
      <c r="H33" s="99"/>
      <c r="I33" s="201"/>
      <c r="J33" s="204"/>
      <c r="K33" s="204"/>
    </row>
    <row r="34" spans="2:11" s="3" customFormat="1" ht="12.75" hidden="1" outlineLevel="1">
      <c r="B34" s="9"/>
      <c r="C34" s="9"/>
      <c r="D34" s="9"/>
      <c r="E34" s="9"/>
      <c r="F34" s="9"/>
      <c r="G34" s="9"/>
      <c r="H34" s="9"/>
      <c r="I34" s="4"/>
      <c r="J34" s="20"/>
      <c r="K34" s="20"/>
    </row>
    <row r="35" spans="1:11" s="3" customFormat="1" ht="15" hidden="1" outlineLevel="1">
      <c r="A35" s="89"/>
      <c r="B35" s="9"/>
      <c r="C35" s="9"/>
      <c r="D35" s="9"/>
      <c r="E35" s="9"/>
      <c r="F35" s="9"/>
      <c r="G35" s="9"/>
      <c r="H35" s="9"/>
      <c r="I35" s="4"/>
      <c r="J35" s="20"/>
      <c r="K35" s="20"/>
    </row>
    <row r="36" spans="2:11" s="3" customFormat="1" ht="12.75" hidden="1" outlineLevel="1">
      <c r="B36" s="14"/>
      <c r="C36" s="188"/>
      <c r="D36" s="17"/>
      <c r="E36" s="9"/>
      <c r="F36" s="203"/>
      <c r="G36" s="203"/>
      <c r="H36" s="17"/>
      <c r="I36" s="4"/>
      <c r="J36" s="20"/>
      <c r="K36" s="20"/>
    </row>
    <row r="37" spans="2:11" s="3" customFormat="1" ht="12.75" hidden="1" outlineLevel="1">
      <c r="B37" s="14"/>
      <c r="C37" s="14"/>
      <c r="D37" s="17"/>
      <c r="E37" s="9"/>
      <c r="F37" s="9"/>
      <c r="G37" s="17"/>
      <c r="H37" s="17"/>
      <c r="I37" s="4"/>
      <c r="J37" s="20"/>
      <c r="K37" s="20"/>
    </row>
    <row r="38" spans="2:11" s="2" customFormat="1" ht="12.75" hidden="1" outlineLevel="1">
      <c r="B38" s="99"/>
      <c r="C38" s="99"/>
      <c r="D38" s="99"/>
      <c r="E38" s="99"/>
      <c r="F38" s="99"/>
      <c r="G38" s="99"/>
      <c r="H38" s="99"/>
      <c r="I38" s="201"/>
      <c r="J38" s="204"/>
      <c r="K38" s="204"/>
    </row>
    <row r="39" spans="2:11" s="18" customFormat="1" ht="12.75" hidden="1" outlineLevel="1">
      <c r="B39" s="17"/>
      <c r="C39" s="17"/>
      <c r="D39" s="17"/>
      <c r="E39" s="17"/>
      <c r="F39" s="17"/>
      <c r="G39" s="17"/>
      <c r="H39" s="17"/>
      <c r="I39" s="199"/>
      <c r="J39" s="20"/>
      <c r="K39" s="20"/>
    </row>
    <row r="40" spans="2:11" s="3" customFormat="1" ht="12.75" hidden="1" outlineLevel="1">
      <c r="B40" s="14"/>
      <c r="C40" s="14"/>
      <c r="D40" s="17"/>
      <c r="E40" s="9"/>
      <c r="F40" s="277"/>
      <c r="G40" s="277"/>
      <c r="H40" s="17"/>
      <c r="I40" s="4"/>
      <c r="J40" s="20"/>
      <c r="K40" s="20"/>
    </row>
    <row r="41" spans="2:11" s="3" customFormat="1" ht="12.75" hidden="1" outlineLevel="1">
      <c r="B41" s="14"/>
      <c r="C41" s="14"/>
      <c r="D41" s="17"/>
      <c r="E41" s="9"/>
      <c r="F41" s="277"/>
      <c r="G41" s="277"/>
      <c r="H41" s="17"/>
      <c r="I41" s="4"/>
      <c r="J41" s="20"/>
      <c r="K41" s="20"/>
    </row>
    <row r="42" spans="2:11" s="2" customFormat="1" ht="12.75" hidden="1" outlineLevel="1">
      <c r="B42" s="99"/>
      <c r="C42" s="99"/>
      <c r="D42" s="99"/>
      <c r="E42" s="99"/>
      <c r="F42" s="99"/>
      <c r="G42" s="99"/>
      <c r="H42" s="99"/>
      <c r="I42" s="201"/>
      <c r="J42" s="204"/>
      <c r="K42" s="204"/>
    </row>
    <row r="43" spans="2:11" s="2" customFormat="1" ht="12.75" hidden="1" outlineLevel="1">
      <c r="B43" s="99"/>
      <c r="C43" s="99"/>
      <c r="D43" s="99"/>
      <c r="E43" s="99"/>
      <c r="F43" s="99"/>
      <c r="G43" s="99"/>
      <c r="H43" s="99"/>
      <c r="I43" s="201"/>
      <c r="J43" s="204"/>
      <c r="K43" s="204"/>
    </row>
    <row r="44" spans="2:11" s="3" customFormat="1" ht="13.5" collapsed="1" thickBot="1">
      <c r="B44" s="11"/>
      <c r="C44" s="11"/>
      <c r="D44" s="11"/>
      <c r="E44" s="9"/>
      <c r="F44" s="11"/>
      <c r="G44" s="11"/>
      <c r="H44" s="11"/>
      <c r="I44" s="4"/>
      <c r="J44" s="20"/>
      <c r="K44" s="20"/>
    </row>
    <row r="45" spans="1:11" s="3" customFormat="1" ht="15">
      <c r="A45" s="89" t="s">
        <v>153</v>
      </c>
      <c r="B45" s="8"/>
      <c r="C45" s="9"/>
      <c r="D45" s="139"/>
      <c r="F45" s="274"/>
      <c r="G45" s="275"/>
      <c r="H45" s="273"/>
      <c r="I45" s="4"/>
      <c r="J45" s="20"/>
      <c r="K45" s="20"/>
    </row>
    <row r="46" spans="1:11" s="3" customFormat="1" ht="12.75">
      <c r="A46" s="3" t="s">
        <v>21</v>
      </c>
      <c r="B46" s="8"/>
      <c r="C46" s="9"/>
      <c r="D46" s="15">
        <f>IF(AND(B46&lt;&gt;0,C46&lt;&gt;0),C46/B46,"")</f>
      </c>
      <c r="F46" s="274"/>
      <c r="G46" s="275"/>
      <c r="H46" s="273">
        <f>IF(AND(F46&lt;&gt;0,G46&lt;&gt;0),G46/F46,"")</f>
      </c>
      <c r="I46" s="4"/>
      <c r="J46" s="20"/>
      <c r="K46" s="20"/>
    </row>
    <row r="47" spans="1:12" s="3" customFormat="1" ht="12.75">
      <c r="A47" s="112" t="s">
        <v>185</v>
      </c>
      <c r="B47" s="53">
        <f>+B18</f>
        <v>77751.77</v>
      </c>
      <c r="C47" s="195">
        <f>+C18</f>
        <v>4577658.99</v>
      </c>
      <c r="D47" s="15">
        <f>IF(AND(B47&lt;&gt;0,C47&lt;&gt;0),C47/B47,"")</f>
        <v>58.875302645843306</v>
      </c>
      <c r="F47" s="274">
        <f>+B47+J47</f>
        <v>269935.8</v>
      </c>
      <c r="G47" s="275">
        <f>+C47+K47</f>
        <v>16114218.200000001</v>
      </c>
      <c r="H47" s="273">
        <f>IF(AND(F47&lt;&gt;0,G47&lt;&gt;0),G47/F47,"")</f>
        <v>59.696484126966496</v>
      </c>
      <c r="I47" s="4"/>
      <c r="J47" s="20">
        <v>192184.03</v>
      </c>
      <c r="K47" s="20">
        <v>11536559.21</v>
      </c>
      <c r="L47" s="3">
        <v>47.2999488365436</v>
      </c>
    </row>
    <row r="48" spans="1:12" s="3" customFormat="1" ht="12.75">
      <c r="A48" s="112" t="s">
        <v>14</v>
      </c>
      <c r="B48" s="53">
        <f>+B19</f>
        <v>0</v>
      </c>
      <c r="C48" s="205">
        <f>+C19</f>
        <v>0</v>
      </c>
      <c r="D48" s="15">
        <f>IF(AND(B48&lt;&gt;0,C48&lt;&gt;0),C48/B48,"")</f>
      </c>
      <c r="F48" s="274">
        <f>+B48+J48</f>
        <v>-443.15</v>
      </c>
      <c r="G48" s="275">
        <f>+C48+K48</f>
        <v>-26454.190000000002</v>
      </c>
      <c r="H48" s="273">
        <f>IF(AND(F48&lt;&gt;0,G48&lt;&gt;0),G48/F48,"")</f>
        <v>59.69579149272256</v>
      </c>
      <c r="I48" s="4"/>
      <c r="J48" s="20">
        <v>-443.15</v>
      </c>
      <c r="K48" s="20">
        <v>-26454.190000000002</v>
      </c>
      <c r="L48" s="3">
        <v>47.36120052636906</v>
      </c>
    </row>
    <row r="49" spans="1:11" s="3" customFormat="1" ht="12.75">
      <c r="A49" s="112" t="s">
        <v>200</v>
      </c>
      <c r="B49" s="53"/>
      <c r="C49" s="275"/>
      <c r="D49" s="15"/>
      <c r="F49" s="274"/>
      <c r="G49" s="275"/>
      <c r="H49" s="273"/>
      <c r="I49" s="4"/>
      <c r="J49" s="20"/>
      <c r="K49" s="20"/>
    </row>
    <row r="50" spans="1:11" s="3" customFormat="1" ht="12.75">
      <c r="A50" s="112" t="s">
        <v>186</v>
      </c>
      <c r="B50" s="53"/>
      <c r="C50" s="195"/>
      <c r="D50" s="15"/>
      <c r="F50" s="274"/>
      <c r="G50" s="275"/>
      <c r="H50" s="273"/>
      <c r="I50" s="4"/>
      <c r="J50" s="20"/>
      <c r="K50" s="20"/>
    </row>
    <row r="51" spans="1:11" s="3" customFormat="1" ht="12.75">
      <c r="A51" s="112" t="s">
        <v>107</v>
      </c>
      <c r="B51" s="53"/>
      <c r="C51" s="195"/>
      <c r="D51" s="15"/>
      <c r="F51" s="274"/>
      <c r="G51" s="275"/>
      <c r="H51" s="273"/>
      <c r="I51" s="4"/>
      <c r="J51" s="20"/>
      <c r="K51" s="20"/>
    </row>
    <row r="52" spans="1:11" s="3" customFormat="1" ht="12.75">
      <c r="A52" s="112" t="s">
        <v>187</v>
      </c>
      <c r="B52" s="53"/>
      <c r="C52" s="195"/>
      <c r="D52" s="15"/>
      <c r="F52" s="274"/>
      <c r="G52" s="275"/>
      <c r="H52" s="273"/>
      <c r="I52" s="4"/>
      <c r="J52" s="20"/>
      <c r="K52" s="20"/>
    </row>
    <row r="53" spans="1:11" s="3" customFormat="1" ht="12.75">
      <c r="A53" s="112" t="s">
        <v>108</v>
      </c>
      <c r="B53" s="53"/>
      <c r="C53" s="195"/>
      <c r="D53" s="15"/>
      <c r="F53" s="274"/>
      <c r="G53" s="275"/>
      <c r="H53" s="273"/>
      <c r="I53" s="4"/>
      <c r="J53" s="20"/>
      <c r="K53" s="20"/>
    </row>
    <row r="54" spans="1:11" s="3" customFormat="1" ht="12.75">
      <c r="A54" s="3" t="s">
        <v>188</v>
      </c>
      <c r="B54" s="53"/>
      <c r="C54" s="195"/>
      <c r="D54" s="15"/>
      <c r="F54" s="274"/>
      <c r="G54" s="275"/>
      <c r="H54" s="273"/>
      <c r="I54" s="4"/>
      <c r="J54" s="20"/>
      <c r="K54" s="20"/>
    </row>
    <row r="55" spans="1:11" s="3" customFormat="1" ht="12.75">
      <c r="A55" s="112"/>
      <c r="B55" s="53"/>
      <c r="C55" s="195"/>
      <c r="D55" s="15"/>
      <c r="F55" s="274"/>
      <c r="G55" s="275"/>
      <c r="H55" s="273"/>
      <c r="I55" s="4"/>
      <c r="J55" s="20"/>
      <c r="K55" s="20"/>
    </row>
    <row r="56" spans="1:12" s="2" customFormat="1" ht="13.5" thickBot="1">
      <c r="A56" s="243" t="s">
        <v>22</v>
      </c>
      <c r="B56" s="171">
        <f>SUM(B47:B55)</f>
        <v>77751.77</v>
      </c>
      <c r="C56" s="170">
        <f>SUM(C47:C55)</f>
        <v>4577658.99</v>
      </c>
      <c r="D56" s="106">
        <f>IF(AND(B56&lt;&gt;0,C56&lt;&gt;0),C56/B56,"")</f>
        <v>58.875302645843306</v>
      </c>
      <c r="F56" s="171">
        <f>SUM(F47:F55)</f>
        <v>269492.64999999997</v>
      </c>
      <c r="G56" s="170">
        <f>SUM(G47:G55)</f>
        <v>16087764.010000002</v>
      </c>
      <c r="H56" s="276">
        <f>IF(AND(F56&lt;&gt;0,G56&lt;&gt;0),G56/F56,"")</f>
        <v>59.69648526592471</v>
      </c>
      <c r="I56" s="201"/>
      <c r="J56" s="204">
        <v>191740.88</v>
      </c>
      <c r="K56" s="204">
        <v>11510105.020000001</v>
      </c>
      <c r="L56" s="2">
        <v>84.02955394044874</v>
      </c>
    </row>
    <row r="57" spans="2:11" s="3" customFormat="1" ht="14.25" thickBot="1" thickTop="1">
      <c r="B57" s="10"/>
      <c r="C57" s="11"/>
      <c r="D57" s="12"/>
      <c r="F57" s="251"/>
      <c r="G57" s="252"/>
      <c r="H57" s="253"/>
      <c r="I57" s="4"/>
      <c r="J57" s="20"/>
      <c r="K57" s="20"/>
    </row>
    <row r="58" spans="6:9" s="3" customFormat="1" ht="12.75">
      <c r="F58" s="18"/>
      <c r="G58" s="18"/>
      <c r="H58" s="18"/>
      <c r="I58" s="4"/>
    </row>
    <row r="59" spans="1:9" s="3" customFormat="1" ht="15">
      <c r="A59" s="89"/>
      <c r="F59" s="18"/>
      <c r="G59" s="18"/>
      <c r="H59" s="18"/>
      <c r="I59" s="4"/>
    </row>
    <row r="60" spans="2:9" s="3" customFormat="1" ht="12.75">
      <c r="B60" s="22"/>
      <c r="I60" s="4"/>
    </row>
    <row r="61" spans="2:9" s="3" customFormat="1" ht="12.75">
      <c r="B61" s="22"/>
      <c r="I61" s="4"/>
    </row>
    <row r="62" spans="2:9" s="3" customFormat="1" ht="12.75">
      <c r="B62" s="23"/>
      <c r="I62" s="4"/>
    </row>
    <row r="64" ht="12.75">
      <c r="A64" s="3"/>
    </row>
  </sheetData>
  <sheetProtection/>
  <mergeCells count="7">
    <mergeCell ref="J7:K7"/>
    <mergeCell ref="A2:H2"/>
    <mergeCell ref="A3:H3"/>
    <mergeCell ref="A4:H4"/>
    <mergeCell ref="A5:H5"/>
    <mergeCell ref="B7:D7"/>
    <mergeCell ref="F7:H7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74" r:id="rId3"/>
  <headerFooter alignWithMargins="0">
    <oddFooter>&amp;C&amp;Z&amp;F &amp;A&amp;R
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L64"/>
  <sheetViews>
    <sheetView zoomScalePageLayoutView="0" workbookViewId="0" topLeftCell="A1">
      <selection activeCell="J11" sqref="J11:K56"/>
    </sheetView>
  </sheetViews>
  <sheetFormatPr defaultColWidth="17.7109375" defaultRowHeight="12.75" outlineLevelRow="1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s="200" customFormat="1" ht="15">
      <c r="H1" s="89" t="s">
        <v>225</v>
      </c>
    </row>
    <row r="2" spans="1:9" s="92" customFormat="1" ht="15">
      <c r="A2" s="340" t="s">
        <v>204</v>
      </c>
      <c r="B2" s="340"/>
      <c r="C2" s="340"/>
      <c r="D2" s="340"/>
      <c r="E2" s="340"/>
      <c r="F2" s="340"/>
      <c r="G2" s="340"/>
      <c r="H2" s="340"/>
      <c r="I2" s="91"/>
    </row>
    <row r="3" spans="1:9" s="92" customFormat="1" ht="15">
      <c r="A3" s="340" t="s">
        <v>0</v>
      </c>
      <c r="B3" s="340"/>
      <c r="C3" s="340"/>
      <c r="D3" s="340"/>
      <c r="E3" s="340"/>
      <c r="F3" s="340"/>
      <c r="G3" s="340"/>
      <c r="H3" s="340"/>
      <c r="I3" s="91"/>
    </row>
    <row r="4" spans="1:9" s="92" customFormat="1" ht="15">
      <c r="A4" s="340" t="s">
        <v>222</v>
      </c>
      <c r="B4" s="340"/>
      <c r="C4" s="340"/>
      <c r="D4" s="340"/>
      <c r="E4" s="340"/>
      <c r="F4" s="340"/>
      <c r="G4" s="340"/>
      <c r="H4" s="340"/>
      <c r="I4" s="91"/>
    </row>
    <row r="5" spans="1:9" s="92" customFormat="1" ht="15">
      <c r="A5" s="342" t="str">
        <f>+INPUT!A3</f>
        <v>APRIL 2014</v>
      </c>
      <c r="B5" s="342"/>
      <c r="C5" s="342"/>
      <c r="D5" s="342"/>
      <c r="E5" s="342"/>
      <c r="F5" s="342"/>
      <c r="G5" s="342"/>
      <c r="H5" s="342"/>
      <c r="I5" s="91"/>
    </row>
    <row r="6" s="92" customFormat="1" ht="14.25">
      <c r="I6" s="91"/>
    </row>
    <row r="7" spans="2:11" s="92" customFormat="1" ht="15">
      <c r="B7" s="340" t="s">
        <v>2</v>
      </c>
      <c r="C7" s="340"/>
      <c r="D7" s="340"/>
      <c r="E7" s="90"/>
      <c r="F7" s="340" t="s">
        <v>3</v>
      </c>
      <c r="G7" s="340"/>
      <c r="H7" s="340"/>
      <c r="I7" s="91"/>
      <c r="J7" s="340" t="s">
        <v>4</v>
      </c>
      <c r="K7" s="340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152</v>
      </c>
      <c r="B10" s="5"/>
      <c r="C10" s="6"/>
      <c r="D10" s="7"/>
      <c r="F10" s="270"/>
      <c r="G10" s="271"/>
      <c r="H10" s="272"/>
      <c r="I10" s="4"/>
      <c r="J10" s="19"/>
      <c r="K10" s="19"/>
    </row>
    <row r="11" spans="1:12" s="3" customFormat="1" ht="12.75">
      <c r="A11" s="3" t="s">
        <v>9</v>
      </c>
      <c r="B11" s="286">
        <f>'[1]MITCHELL_KP_OP_LOW SULFUR'!$B$32</f>
        <v>54058.85</v>
      </c>
      <c r="C11" s="188">
        <f>'[1]MITCHELL_KP_OP_LOW SULFUR'!$C$32</f>
        <v>4233396.43</v>
      </c>
      <c r="D11" s="15">
        <f>IF(AND(B11&lt;&gt;0,C11&lt;&gt;0),C11/B11,"")</f>
        <v>78.31088582165548</v>
      </c>
      <c r="E11" s="18"/>
      <c r="F11" s="304">
        <v>229672.45</v>
      </c>
      <c r="G11" s="305">
        <v>18173790.58</v>
      </c>
      <c r="H11" s="273">
        <f>IF(AND(F11&lt;&gt;0,G11&lt;&gt;0),G11/F11,"")</f>
        <v>79.12917104337066</v>
      </c>
      <c r="I11" s="4"/>
      <c r="J11" s="19">
        <v>229672.45</v>
      </c>
      <c r="K11" s="19">
        <v>18173790.58</v>
      </c>
      <c r="L11" s="3">
        <v>82.21530175195363</v>
      </c>
    </row>
    <row r="12" spans="1:12" s="3" customFormat="1" ht="12.75">
      <c r="A12" s="3" t="s">
        <v>8</v>
      </c>
      <c r="B12" s="8"/>
      <c r="C12" s="9"/>
      <c r="D12" s="15">
        <f>IF(AND(B12&lt;&gt;0,C12&lt;&gt;0),C12/B12,"")</f>
      </c>
      <c r="F12" s="274"/>
      <c r="G12" s="275"/>
      <c r="H12" s="273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10</v>
      </c>
      <c r="B13" s="285">
        <f>'[1]MITCHELL_KP_OP_LOW SULFUR'!$B$34</f>
        <v>139310.46</v>
      </c>
      <c r="C13" s="14">
        <f>'[1]MITCHELL_KP_OP_LOW SULFUR'!$C$34</f>
        <v>8107736.95</v>
      </c>
      <c r="D13" s="15">
        <f>IF(AND(B13&lt;&gt;0,C13&lt;&gt;0),C13/B13,"")</f>
        <v>58.199053753752594</v>
      </c>
      <c r="F13" s="186">
        <f>+B13+J13</f>
        <v>227859.05</v>
      </c>
      <c r="G13" s="275">
        <f>+C13+K13</f>
        <v>14115278.629999999</v>
      </c>
      <c r="H13" s="273">
        <f>IF(AND(F13&lt;&gt;0,G13&lt;&gt;0),G13/F13,"")</f>
        <v>61.94741279751671</v>
      </c>
      <c r="I13" s="4"/>
      <c r="J13" s="19">
        <v>88548.59</v>
      </c>
      <c r="K13" s="19">
        <v>6007541.68</v>
      </c>
      <c r="L13" s="3">
        <v>76.33352086324872</v>
      </c>
    </row>
    <row r="14" spans="1:12" s="3" customFormat="1" ht="12.75">
      <c r="A14" s="3" t="s">
        <v>11</v>
      </c>
      <c r="B14" s="53"/>
      <c r="C14" s="14">
        <f>'[1]MITCHELL_KP_OP_LOW SULFUR'!$C$35</f>
        <v>876695.8700000001</v>
      </c>
      <c r="D14" s="15">
        <f>IF(AND(B13&lt;&gt;0,C14&lt;&gt;0),C14/B13,"")</f>
        <v>6.293108715598241</v>
      </c>
      <c r="F14" s="274"/>
      <c r="G14" s="275">
        <f>+C14+K14</f>
        <v>1868927.0600000003</v>
      </c>
      <c r="H14" s="273">
        <f>IF(AND(F13&lt;&gt;0,G14&lt;&gt;0),G14/F13,"")</f>
        <v>8.20211907317265</v>
      </c>
      <c r="I14" s="4"/>
      <c r="J14" s="19"/>
      <c r="K14" s="19">
        <v>992231.1900000002</v>
      </c>
      <c r="L14" s="3">
        <v>9.946764140594498</v>
      </c>
    </row>
    <row r="15" spans="1:12" s="2" customFormat="1" ht="12.75">
      <c r="A15" s="2" t="s">
        <v>12</v>
      </c>
      <c r="B15" s="101">
        <f>SUM(B13:B14)</f>
        <v>139310.46</v>
      </c>
      <c r="C15" s="102">
        <f>SUM(C13:C14)</f>
        <v>8984432.82</v>
      </c>
      <c r="D15" s="103">
        <f aca="true" t="shared" si="0" ref="D15:D22">IF(AND(B15&lt;&gt;0,C15&lt;&gt;0),C15/B15,"")</f>
        <v>64.49216246935083</v>
      </c>
      <c r="F15" s="244">
        <f>SUM(F13:F14)</f>
        <v>227859.05</v>
      </c>
      <c r="G15" s="245">
        <f>SUM(G13:G14)</f>
        <v>15984205.69</v>
      </c>
      <c r="H15" s="278">
        <f aca="true" t="shared" si="1" ref="H15:H22">IF(AND(F15&lt;&gt;0,G15&lt;&gt;0),G15/F15,"")</f>
        <v>70.14953187068936</v>
      </c>
      <c r="I15" s="4"/>
      <c r="J15" s="202">
        <v>88548.59</v>
      </c>
      <c r="K15" s="202">
        <v>6999772.87</v>
      </c>
      <c r="L15" s="2">
        <v>86.28028500384322</v>
      </c>
    </row>
    <row r="16" spans="1:12" s="2" customFormat="1" ht="12.75">
      <c r="A16" s="2" t="s">
        <v>18</v>
      </c>
      <c r="B16" s="98">
        <f>+B11+B15</f>
        <v>193369.31</v>
      </c>
      <c r="C16" s="99">
        <f>+C11+C15</f>
        <v>13217829.25</v>
      </c>
      <c r="D16" s="100">
        <f t="shared" si="0"/>
        <v>68.35536233748779</v>
      </c>
      <c r="F16" s="246">
        <f>+F11+F15</f>
        <v>457531.5</v>
      </c>
      <c r="G16" s="247">
        <f>+G11+G15</f>
        <v>34157996.269999996</v>
      </c>
      <c r="H16" s="279">
        <f t="shared" si="1"/>
        <v>74.65714660083512</v>
      </c>
      <c r="I16" s="4"/>
      <c r="J16" s="202">
        <v>318221.04000000004</v>
      </c>
      <c r="K16" s="202">
        <v>25173563.45</v>
      </c>
      <c r="L16" s="2">
        <v>84.72210503048149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186"/>
      <c r="G17" s="195"/>
      <c r="H17" s="88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13">
        <f>'[1]MITCHELL_KP_OP_LOW SULFUR'!$B$40+'[1]MITCHELL_KP_OP_LOW SULFUR'!$B$41</f>
        <v>72136.4</v>
      </c>
      <c r="C18" s="14">
        <f>'[1]MITCHELL_KP_OP_LOW SULFUR'!$C$40+'[1]MITCHELL_KP_OP_LOW SULFUR'!$C$41</f>
        <v>4929766.289999999</v>
      </c>
      <c r="D18" s="15">
        <f t="shared" si="0"/>
        <v>68.33951084334676</v>
      </c>
      <c r="F18" s="186">
        <f aca="true" t="shared" si="2" ref="F18:G20">+B18+J18</f>
        <v>306951.75</v>
      </c>
      <c r="G18" s="195">
        <f t="shared" si="2"/>
        <v>23512094.83</v>
      </c>
      <c r="H18" s="88">
        <f t="shared" si="1"/>
        <v>76.59866682630087</v>
      </c>
      <c r="I18" s="4"/>
      <c r="J18" s="19">
        <v>234815.34999999998</v>
      </c>
      <c r="K18" s="19">
        <v>18582328.54</v>
      </c>
      <c r="L18" s="3">
        <v>84.04583669517946</v>
      </c>
    </row>
    <row r="19" spans="1:12" s="3" customFormat="1" ht="12.75">
      <c r="A19" s="3" t="s">
        <v>14</v>
      </c>
      <c r="B19" s="13">
        <f>'[1]MITCHELL_KP_OP_LOW SULFUR'!$B$43+'[1]MITCHELL_KP_OP_LOW SULFUR'!$B$44</f>
        <v>0</v>
      </c>
      <c r="C19" s="14">
        <f>'[1]MITCHELL_KP_OP_LOW SULFUR'!$C$43+'[1]MITCHELL_KP_OP_LOW SULFUR'!$C$44</f>
        <v>0</v>
      </c>
      <c r="D19" s="15">
        <f t="shared" si="0"/>
      </c>
      <c r="F19" s="186">
        <f t="shared" si="2"/>
        <v>29346.839999999997</v>
      </c>
      <c r="G19" s="195">
        <f t="shared" si="2"/>
        <v>2357838.4800000004</v>
      </c>
      <c r="H19" s="88">
        <f t="shared" si="1"/>
        <v>80.3438625760048</v>
      </c>
      <c r="I19" s="4"/>
      <c r="J19" s="19">
        <v>29346.839999999997</v>
      </c>
      <c r="K19" s="19">
        <v>2357838.4800000004</v>
      </c>
      <c r="L19" s="3">
        <v>83.14841038791673</v>
      </c>
    </row>
    <row r="20" spans="1:12" s="3" customFormat="1" ht="12.75">
      <c r="A20" s="3" t="s">
        <v>15</v>
      </c>
      <c r="B20" s="13">
        <f>'[1]MITCHELL_KP_OP_LOW SULFUR'!$B$45+'[1]MITCHELL_KP_OP_LOW SULFUR'!$B$42</f>
        <v>0</v>
      </c>
      <c r="C20" s="14">
        <f>'[1]MITCHELL_KP_OP_LOW SULFUR'!$C$45+'[1]MITCHELL_KP_OP_LOW SULFUR'!$C$42</f>
        <v>0</v>
      </c>
      <c r="D20" s="15">
        <f t="shared" si="0"/>
      </c>
      <c r="F20" s="186">
        <f t="shared" si="2"/>
        <v>0</v>
      </c>
      <c r="G20" s="195">
        <f t="shared" si="2"/>
        <v>0</v>
      </c>
      <c r="H20" s="88">
        <f t="shared" si="1"/>
      </c>
      <c r="I20" s="4"/>
      <c r="J20" s="19">
        <v>0</v>
      </c>
      <c r="K20" s="19">
        <v>0</v>
      </c>
      <c r="L20" s="3" t="s">
        <v>137</v>
      </c>
    </row>
    <row r="21" spans="1:12" s="2" customFormat="1" ht="12.75">
      <c r="A21" s="2" t="s">
        <v>16</v>
      </c>
      <c r="B21" s="101">
        <f>SUM(B18:B20)</f>
        <v>72136.4</v>
      </c>
      <c r="C21" s="102">
        <f>SUM(C18:C20)</f>
        <v>4929766.289999999</v>
      </c>
      <c r="D21" s="103">
        <f t="shared" si="0"/>
        <v>68.33951084334676</v>
      </c>
      <c r="F21" s="244">
        <f>SUM(F18:F20)</f>
        <v>336298.58999999997</v>
      </c>
      <c r="G21" s="245">
        <f>SUM(G18:G20)</f>
        <v>25869933.31</v>
      </c>
      <c r="H21" s="278">
        <f t="shared" si="1"/>
        <v>76.9254884773677</v>
      </c>
      <c r="I21" s="4"/>
      <c r="J21" s="202">
        <v>264162.18999999994</v>
      </c>
      <c r="K21" s="202">
        <v>20940167.02</v>
      </c>
      <c r="L21" s="2">
        <v>84.02955394044872</v>
      </c>
    </row>
    <row r="22" spans="1:12" s="2" customFormat="1" ht="13.5" thickBot="1">
      <c r="A22" s="2" t="s">
        <v>17</v>
      </c>
      <c r="B22" s="104">
        <f>+B16-B21</f>
        <v>121232.91</v>
      </c>
      <c r="C22" s="105">
        <f>+C16-C21</f>
        <v>8288062.960000001</v>
      </c>
      <c r="D22" s="106">
        <f t="shared" si="0"/>
        <v>68.36479434503387</v>
      </c>
      <c r="F22" s="171">
        <f>+F16-F21</f>
        <v>121232.91000000003</v>
      </c>
      <c r="G22" s="170">
        <f>+G16-G21</f>
        <v>8288062.959999997</v>
      </c>
      <c r="H22" s="276">
        <f t="shared" si="1"/>
        <v>68.36479434503383</v>
      </c>
      <c r="I22" s="4"/>
      <c r="J22" s="202">
        <v>54058.85000000009</v>
      </c>
      <c r="K22" s="202">
        <v>4233396.43</v>
      </c>
      <c r="L22" s="2">
        <v>85.73411173247966</v>
      </c>
    </row>
    <row r="23" spans="2:11" s="3" customFormat="1" ht="14.25" thickBot="1" thickTop="1">
      <c r="B23" s="240"/>
      <c r="C23" s="241"/>
      <c r="D23" s="242"/>
      <c r="F23" s="248"/>
      <c r="G23" s="249"/>
      <c r="H23" s="250"/>
      <c r="I23" s="4"/>
      <c r="J23" s="19"/>
      <c r="K23" s="19"/>
    </row>
    <row r="24" spans="1:11" s="3" customFormat="1" ht="15">
      <c r="A24" s="89"/>
      <c r="B24" s="9"/>
      <c r="C24" s="9"/>
      <c r="D24" s="9"/>
      <c r="E24" s="9"/>
      <c r="F24" s="9"/>
      <c r="G24" s="9"/>
      <c r="H24" s="9"/>
      <c r="I24" s="4"/>
      <c r="J24" s="20"/>
      <c r="K24" s="20"/>
    </row>
    <row r="25" spans="2:11" s="3" customFormat="1" ht="12.75" hidden="1" outlineLevel="1">
      <c r="B25" s="188"/>
      <c r="C25" s="14"/>
      <c r="D25" s="17"/>
      <c r="E25" s="9"/>
      <c r="F25" s="203"/>
      <c r="G25" s="203"/>
      <c r="H25" s="17"/>
      <c r="I25" s="4"/>
      <c r="J25" s="20"/>
      <c r="K25" s="20"/>
    </row>
    <row r="26" spans="2:11" s="3" customFormat="1" ht="12.75" hidden="1" outlineLevel="1">
      <c r="B26" s="14"/>
      <c r="C26" s="14"/>
      <c r="D26" s="17"/>
      <c r="E26" s="9"/>
      <c r="F26" s="17"/>
      <c r="G26" s="17"/>
      <c r="H26" s="17"/>
      <c r="I26" s="4"/>
      <c r="J26" s="20"/>
      <c r="K26" s="20"/>
    </row>
    <row r="27" spans="2:11" s="2" customFormat="1" ht="12.75" hidden="1" outlineLevel="1">
      <c r="B27" s="99"/>
      <c r="C27" s="99"/>
      <c r="D27" s="99"/>
      <c r="E27" s="99"/>
      <c r="F27" s="99"/>
      <c r="G27" s="99"/>
      <c r="H27" s="99"/>
      <c r="I27" s="4"/>
      <c r="J27" s="204"/>
      <c r="K27" s="204"/>
    </row>
    <row r="28" spans="1:11" s="2" customFormat="1" ht="12.75" hidden="1" outlineLevel="1">
      <c r="A28" s="18"/>
      <c r="B28" s="99"/>
      <c r="C28" s="99"/>
      <c r="D28" s="99"/>
      <c r="E28" s="99"/>
      <c r="F28" s="99"/>
      <c r="G28" s="99"/>
      <c r="H28" s="99"/>
      <c r="I28" s="201"/>
      <c r="J28" s="204"/>
      <c r="K28" s="204"/>
    </row>
    <row r="29" spans="2:11" s="3" customFormat="1" ht="12.75" hidden="1" outlineLevel="1">
      <c r="B29" s="14"/>
      <c r="C29" s="14"/>
      <c r="D29" s="17"/>
      <c r="E29" s="9"/>
      <c r="F29" s="9"/>
      <c r="G29" s="9"/>
      <c r="H29" s="17"/>
      <c r="I29" s="4"/>
      <c r="J29" s="20"/>
      <c r="K29" s="20"/>
    </row>
    <row r="30" spans="2:11" s="3" customFormat="1" ht="12.75" hidden="1" outlineLevel="1">
      <c r="B30" s="14"/>
      <c r="C30" s="14"/>
      <c r="D30" s="17"/>
      <c r="E30" s="9"/>
      <c r="F30" s="9"/>
      <c r="G30" s="9"/>
      <c r="H30" s="17"/>
      <c r="I30" s="4"/>
      <c r="J30" s="20"/>
      <c r="K30" s="20"/>
    </row>
    <row r="31" spans="2:11" s="3" customFormat="1" ht="12.75" hidden="1" outlineLevel="1">
      <c r="B31" s="14"/>
      <c r="C31" s="14"/>
      <c r="D31" s="17"/>
      <c r="E31" s="9"/>
      <c r="F31" s="9"/>
      <c r="G31" s="9"/>
      <c r="H31" s="17"/>
      <c r="I31" s="4"/>
      <c r="J31" s="20"/>
      <c r="K31" s="20"/>
    </row>
    <row r="32" spans="1:11" s="3" customFormat="1" ht="12.75" hidden="1" outlineLevel="1">
      <c r="A32" s="2"/>
      <c r="B32" s="9"/>
      <c r="C32" s="9"/>
      <c r="D32" s="17"/>
      <c r="E32" s="9"/>
      <c r="F32" s="9"/>
      <c r="G32" s="9"/>
      <c r="H32" s="17"/>
      <c r="I32" s="4"/>
      <c r="J32" s="204"/>
      <c r="K32" s="204"/>
    </row>
    <row r="33" spans="2:11" s="2" customFormat="1" ht="12.75" hidden="1" outlineLevel="1">
      <c r="B33" s="99"/>
      <c r="C33" s="99"/>
      <c r="D33" s="99"/>
      <c r="E33" s="99"/>
      <c r="F33" s="99"/>
      <c r="G33" s="99"/>
      <c r="H33" s="99"/>
      <c r="I33" s="201"/>
      <c r="J33" s="204"/>
      <c r="K33" s="204"/>
    </row>
    <row r="34" spans="2:11" s="3" customFormat="1" ht="12.75" hidden="1" outlineLevel="1">
      <c r="B34" s="9"/>
      <c r="C34" s="9"/>
      <c r="D34" s="9"/>
      <c r="E34" s="9"/>
      <c r="F34" s="9"/>
      <c r="G34" s="9"/>
      <c r="H34" s="9"/>
      <c r="I34" s="4"/>
      <c r="J34" s="20"/>
      <c r="K34" s="20"/>
    </row>
    <row r="35" spans="1:11" s="3" customFormat="1" ht="15" hidden="1" outlineLevel="1">
      <c r="A35" s="89"/>
      <c r="B35" s="9"/>
      <c r="C35" s="9"/>
      <c r="D35" s="9"/>
      <c r="E35" s="9"/>
      <c r="F35" s="9"/>
      <c r="G35" s="9"/>
      <c r="H35" s="9"/>
      <c r="I35" s="4"/>
      <c r="J35" s="20"/>
      <c r="K35" s="20"/>
    </row>
    <row r="36" spans="2:11" s="3" customFormat="1" ht="12.75" hidden="1" outlineLevel="1">
      <c r="B36" s="14"/>
      <c r="C36" s="188"/>
      <c r="D36" s="17"/>
      <c r="E36" s="9"/>
      <c r="F36" s="203"/>
      <c r="G36" s="203"/>
      <c r="H36" s="17"/>
      <c r="I36" s="4"/>
      <c r="J36" s="20"/>
      <c r="K36" s="20"/>
    </row>
    <row r="37" spans="2:11" s="3" customFormat="1" ht="12.75" hidden="1" outlineLevel="1">
      <c r="B37" s="14"/>
      <c r="C37" s="14"/>
      <c r="D37" s="17"/>
      <c r="E37" s="9"/>
      <c r="F37" s="9"/>
      <c r="G37" s="17"/>
      <c r="H37" s="17"/>
      <c r="I37" s="4"/>
      <c r="J37" s="20"/>
      <c r="K37" s="20"/>
    </row>
    <row r="38" spans="2:11" s="2" customFormat="1" ht="12.75" hidden="1" outlineLevel="1">
      <c r="B38" s="99"/>
      <c r="C38" s="99"/>
      <c r="D38" s="99"/>
      <c r="E38" s="99"/>
      <c r="F38" s="99"/>
      <c r="G38" s="99"/>
      <c r="H38" s="99"/>
      <c r="I38" s="201"/>
      <c r="J38" s="204"/>
      <c r="K38" s="204"/>
    </row>
    <row r="39" spans="2:11" s="18" customFormat="1" ht="12.75" hidden="1" outlineLevel="1">
      <c r="B39" s="17"/>
      <c r="C39" s="17"/>
      <c r="D39" s="17"/>
      <c r="E39" s="17"/>
      <c r="F39" s="17"/>
      <c r="G39" s="17"/>
      <c r="H39" s="17"/>
      <c r="I39" s="199"/>
      <c r="J39" s="20"/>
      <c r="K39" s="20"/>
    </row>
    <row r="40" spans="2:11" s="3" customFormat="1" ht="12.75" hidden="1" outlineLevel="1">
      <c r="B40" s="14"/>
      <c r="C40" s="14"/>
      <c r="D40" s="17"/>
      <c r="E40" s="9"/>
      <c r="F40" s="277"/>
      <c r="G40" s="277"/>
      <c r="H40" s="17"/>
      <c r="I40" s="4"/>
      <c r="J40" s="20"/>
      <c r="K40" s="20"/>
    </row>
    <row r="41" spans="2:11" s="3" customFormat="1" ht="12.75" hidden="1" outlineLevel="1">
      <c r="B41" s="14"/>
      <c r="C41" s="14"/>
      <c r="D41" s="17"/>
      <c r="E41" s="9"/>
      <c r="F41" s="277"/>
      <c r="G41" s="277"/>
      <c r="H41" s="17"/>
      <c r="I41" s="4"/>
      <c r="J41" s="20"/>
      <c r="K41" s="20"/>
    </row>
    <row r="42" spans="2:11" s="2" customFormat="1" ht="12.75" hidden="1" outlineLevel="1">
      <c r="B42" s="99"/>
      <c r="C42" s="99"/>
      <c r="D42" s="99"/>
      <c r="E42" s="99"/>
      <c r="F42" s="99"/>
      <c r="G42" s="99"/>
      <c r="H42" s="99"/>
      <c r="I42" s="201"/>
      <c r="J42" s="204"/>
      <c r="K42" s="204"/>
    </row>
    <row r="43" spans="2:11" s="2" customFormat="1" ht="12.75" hidden="1" outlineLevel="1">
      <c r="B43" s="99"/>
      <c r="C43" s="99"/>
      <c r="D43" s="99"/>
      <c r="E43" s="99"/>
      <c r="F43" s="99"/>
      <c r="G43" s="99"/>
      <c r="H43" s="99"/>
      <c r="I43" s="201"/>
      <c r="J43" s="204"/>
      <c r="K43" s="204"/>
    </row>
    <row r="44" spans="2:11" s="3" customFormat="1" ht="13.5" collapsed="1" thickBot="1">
      <c r="B44" s="11"/>
      <c r="C44" s="11"/>
      <c r="D44" s="11"/>
      <c r="E44" s="9"/>
      <c r="F44" s="11"/>
      <c r="G44" s="11"/>
      <c r="H44" s="11"/>
      <c r="I44" s="4"/>
      <c r="J44" s="20"/>
      <c r="K44" s="20"/>
    </row>
    <row r="45" spans="1:11" s="3" customFormat="1" ht="15">
      <c r="A45" s="89" t="s">
        <v>153</v>
      </c>
      <c r="B45" s="8"/>
      <c r="C45" s="9"/>
      <c r="D45" s="139"/>
      <c r="F45" s="274"/>
      <c r="G45" s="275"/>
      <c r="H45" s="273"/>
      <c r="I45" s="4"/>
      <c r="J45" s="20"/>
      <c r="K45" s="20"/>
    </row>
    <row r="46" spans="1:11" s="3" customFormat="1" ht="12.75">
      <c r="A46" s="3" t="s">
        <v>21</v>
      </c>
      <c r="B46" s="8"/>
      <c r="C46" s="9"/>
      <c r="D46" s="15">
        <f>IF(AND(B46&lt;&gt;0,C46&lt;&gt;0),C46/B46,"")</f>
      </c>
      <c r="F46" s="274"/>
      <c r="G46" s="275"/>
      <c r="H46" s="273">
        <f>IF(AND(F46&lt;&gt;0,G46&lt;&gt;0),G46/F46,"")</f>
      </c>
      <c r="I46" s="4"/>
      <c r="J46" s="20"/>
      <c r="K46" s="20"/>
    </row>
    <row r="47" spans="1:12" s="3" customFormat="1" ht="12.75">
      <c r="A47" s="112" t="s">
        <v>185</v>
      </c>
      <c r="B47" s="53">
        <f>+B18</f>
        <v>72136.4</v>
      </c>
      <c r="C47" s="195">
        <f>+C18</f>
        <v>4929766.289999999</v>
      </c>
      <c r="D47" s="15">
        <f>IF(AND(B47&lt;&gt;0,C47&lt;&gt;0),C47/B47,"")</f>
        <v>68.33951084334676</v>
      </c>
      <c r="F47" s="274">
        <f>+B47+J47</f>
        <v>306951.75</v>
      </c>
      <c r="G47" s="275">
        <f>+C47+K47</f>
        <v>23512094.83</v>
      </c>
      <c r="H47" s="273">
        <f>IF(AND(F47&lt;&gt;0,G47&lt;&gt;0),G47/F47,"")</f>
        <v>76.59866682630087</v>
      </c>
      <c r="I47" s="4"/>
      <c r="J47" s="20">
        <v>234815.34999999998</v>
      </c>
      <c r="K47" s="20">
        <v>18582328.54</v>
      </c>
      <c r="L47" s="3">
        <v>84.04583669517947</v>
      </c>
    </row>
    <row r="48" spans="1:12" s="3" customFormat="1" ht="12.75">
      <c r="A48" s="112" t="s">
        <v>14</v>
      </c>
      <c r="B48" s="53">
        <f>+B19</f>
        <v>0</v>
      </c>
      <c r="C48" s="205">
        <f>+C19</f>
        <v>0</v>
      </c>
      <c r="D48" s="15">
        <f>IF(AND(B48&lt;&gt;0,C48&lt;&gt;0),C48/B48,"")</f>
      </c>
      <c r="F48" s="274">
        <f>+B48+J48</f>
        <v>29346.839999999997</v>
      </c>
      <c r="G48" s="275">
        <f>+C48+K48</f>
        <v>2357838.4800000004</v>
      </c>
      <c r="H48" s="273">
        <f>IF(AND(F48&lt;&gt;0,G48&lt;&gt;0),G48/F48,"")</f>
        <v>80.3438625760048</v>
      </c>
      <c r="I48" s="4"/>
      <c r="J48" s="20">
        <v>29346.839999999997</v>
      </c>
      <c r="K48" s="20">
        <v>2357838.4800000004</v>
      </c>
      <c r="L48" s="3">
        <v>83.14841038791673</v>
      </c>
    </row>
    <row r="49" spans="1:11" s="3" customFormat="1" ht="12.75">
      <c r="A49" s="112" t="s">
        <v>200</v>
      </c>
      <c r="B49" s="53"/>
      <c r="C49" s="275"/>
      <c r="D49" s="15"/>
      <c r="F49" s="274"/>
      <c r="G49" s="275"/>
      <c r="H49" s="273"/>
      <c r="I49" s="4"/>
      <c r="J49" s="20"/>
      <c r="K49" s="20"/>
    </row>
    <row r="50" spans="1:11" s="3" customFormat="1" ht="12.75">
      <c r="A50" s="112" t="s">
        <v>186</v>
      </c>
      <c r="B50" s="53"/>
      <c r="C50" s="195"/>
      <c r="D50" s="15"/>
      <c r="F50" s="274"/>
      <c r="G50" s="275"/>
      <c r="H50" s="273"/>
      <c r="I50" s="4"/>
      <c r="J50" s="20"/>
      <c r="K50" s="20"/>
    </row>
    <row r="51" spans="1:11" s="3" customFormat="1" ht="12.75">
      <c r="A51" s="112" t="s">
        <v>107</v>
      </c>
      <c r="B51" s="53"/>
      <c r="C51" s="195"/>
      <c r="D51" s="15"/>
      <c r="F51" s="274"/>
      <c r="G51" s="275"/>
      <c r="H51" s="273"/>
      <c r="I51" s="4"/>
      <c r="J51" s="20"/>
      <c r="K51" s="20"/>
    </row>
    <row r="52" spans="1:11" s="3" customFormat="1" ht="12.75">
      <c r="A52" s="112" t="s">
        <v>187</v>
      </c>
      <c r="B52" s="53"/>
      <c r="C52" s="195"/>
      <c r="D52" s="15"/>
      <c r="F52" s="274"/>
      <c r="G52" s="275"/>
      <c r="H52" s="273"/>
      <c r="I52" s="4"/>
      <c r="J52" s="20"/>
      <c r="K52" s="20"/>
    </row>
    <row r="53" spans="1:11" s="3" customFormat="1" ht="13.5" customHeight="1">
      <c r="A53" s="112" t="s">
        <v>108</v>
      </c>
      <c r="B53" s="53"/>
      <c r="C53" s="195"/>
      <c r="D53" s="15"/>
      <c r="F53" s="274"/>
      <c r="G53" s="275"/>
      <c r="H53" s="273"/>
      <c r="I53" s="4"/>
      <c r="J53" s="20"/>
      <c r="K53" s="20"/>
    </row>
    <row r="54" spans="1:11" s="3" customFormat="1" ht="13.5" customHeight="1">
      <c r="A54" s="3" t="s">
        <v>188</v>
      </c>
      <c r="B54" s="53"/>
      <c r="C54" s="195"/>
      <c r="D54" s="15"/>
      <c r="F54" s="274"/>
      <c r="G54" s="275"/>
      <c r="H54" s="273"/>
      <c r="I54" s="4"/>
      <c r="J54" s="20"/>
      <c r="K54" s="20"/>
    </row>
    <row r="55" spans="1:11" s="3" customFormat="1" ht="13.5" customHeight="1">
      <c r="A55" s="112"/>
      <c r="B55" s="53"/>
      <c r="C55" s="195"/>
      <c r="D55" s="15"/>
      <c r="F55" s="274"/>
      <c r="G55" s="275"/>
      <c r="H55" s="273"/>
      <c r="I55" s="4"/>
      <c r="J55" s="20"/>
      <c r="K55" s="20"/>
    </row>
    <row r="56" spans="1:12" s="2" customFormat="1" ht="13.5" thickBot="1">
      <c r="A56" s="243" t="s">
        <v>22</v>
      </c>
      <c r="B56" s="171">
        <f>SUM(B47:B55)</f>
        <v>72136.4</v>
      </c>
      <c r="C56" s="170">
        <f>SUM(C47:C55)</f>
        <v>4929766.289999999</v>
      </c>
      <c r="D56" s="106">
        <f>IF(AND(B56&lt;&gt;0,C56&lt;&gt;0),C56/B56,"")</f>
        <v>68.33951084334676</v>
      </c>
      <c r="F56" s="171">
        <f>SUM(F47:F55)</f>
        <v>336298.58999999997</v>
      </c>
      <c r="G56" s="170">
        <f>SUM(G47:G55)</f>
        <v>25869933.31</v>
      </c>
      <c r="H56" s="276">
        <f>IF(AND(F56&lt;&gt;0,G56&lt;&gt;0),G56/F56,"")</f>
        <v>76.9254884773677</v>
      </c>
      <c r="I56" s="201"/>
      <c r="J56" s="204">
        <v>264162.18999999994</v>
      </c>
      <c r="K56" s="204">
        <v>20940167.02</v>
      </c>
      <c r="L56" s="2">
        <v>84.02955394044874</v>
      </c>
    </row>
    <row r="57" spans="2:11" s="3" customFormat="1" ht="14.25" thickBot="1" thickTop="1">
      <c r="B57" s="10"/>
      <c r="C57" s="11"/>
      <c r="D57" s="12"/>
      <c r="F57" s="251"/>
      <c r="G57" s="252"/>
      <c r="H57" s="253"/>
      <c r="I57" s="4"/>
      <c r="J57" s="20"/>
      <c r="K57" s="20"/>
    </row>
    <row r="58" s="3" customFormat="1" ht="12.75">
      <c r="I58" s="4"/>
    </row>
    <row r="59" spans="1:9" s="3" customFormat="1" ht="15">
      <c r="A59" s="89"/>
      <c r="I59" s="4"/>
    </row>
    <row r="60" spans="2:9" s="3" customFormat="1" ht="12.75">
      <c r="B60" s="22"/>
      <c r="I60" s="4"/>
    </row>
    <row r="61" spans="2:9" s="3" customFormat="1" ht="12.75">
      <c r="B61" s="22"/>
      <c r="I61" s="4"/>
    </row>
    <row r="62" spans="2:9" s="3" customFormat="1" ht="12.75">
      <c r="B62" s="23"/>
      <c r="I62" s="4"/>
    </row>
    <row r="64" ht="12.75">
      <c r="A64" s="3"/>
    </row>
  </sheetData>
  <sheetProtection/>
  <mergeCells count="7">
    <mergeCell ref="J7:K7"/>
    <mergeCell ref="A2:H2"/>
    <mergeCell ref="A3:H3"/>
    <mergeCell ref="A4:H4"/>
    <mergeCell ref="A5:H5"/>
    <mergeCell ref="B7:D7"/>
    <mergeCell ref="F7:H7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74" r:id="rId3"/>
  <headerFooter alignWithMargins="0">
    <oddFooter>&amp;C&amp;Z&amp;F &amp;A&amp;R
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J36"/>
  <sheetViews>
    <sheetView zoomScalePageLayoutView="0" workbookViewId="0" topLeftCell="A1">
      <selection activeCell="D39" sqref="D39"/>
    </sheetView>
  </sheetViews>
  <sheetFormatPr defaultColWidth="15.7109375" defaultRowHeight="12.75"/>
  <cols>
    <col min="1" max="1" width="33.00390625" style="3" customWidth="1"/>
    <col min="2" max="2" width="15.7109375" style="3" customWidth="1"/>
    <col min="3" max="3" width="15.00390625" style="3" bestFit="1" customWidth="1"/>
    <col min="4" max="4" width="13.28125" style="58" customWidth="1"/>
    <col min="5" max="5" width="15.7109375" style="58" customWidth="1"/>
    <col min="6" max="6" width="19.421875" style="3" customWidth="1"/>
    <col min="7" max="7" width="15.7109375" style="119" customWidth="1"/>
    <col min="8" max="9" width="15.7109375" style="3" customWidth="1"/>
    <col min="10" max="10" width="15.7109375" style="119" customWidth="1"/>
    <col min="11" max="16384" width="15.7109375" style="3" customWidth="1"/>
  </cols>
  <sheetData>
    <row r="1" spans="1:10" ht="12.75">
      <c r="A1" s="343" t="s">
        <v>204</v>
      </c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2.75">
      <c r="A2" s="343" t="s">
        <v>113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2.75">
      <c r="A3" s="344" t="str">
        <f>INPUT!A3</f>
        <v>APRIL 2014</v>
      </c>
      <c r="B3" s="344"/>
      <c r="C3" s="344"/>
      <c r="D3" s="344"/>
      <c r="E3" s="344"/>
      <c r="F3" s="344"/>
      <c r="G3" s="344"/>
      <c r="H3" s="344"/>
      <c r="I3" s="344"/>
      <c r="J3" s="344"/>
    </row>
    <row r="5" spans="3:4" ht="12.75">
      <c r="C5" s="1" t="s">
        <v>205</v>
      </c>
      <c r="D5" s="57" t="s">
        <v>49</v>
      </c>
    </row>
    <row r="6" spans="2:10" s="1" customFormat="1" ht="12.75">
      <c r="B6" s="1" t="s">
        <v>45</v>
      </c>
      <c r="C6" s="1" t="s">
        <v>47</v>
      </c>
      <c r="D6" s="57" t="s">
        <v>206</v>
      </c>
      <c r="E6" s="57" t="s">
        <v>51</v>
      </c>
      <c r="F6" s="1" t="s">
        <v>207</v>
      </c>
      <c r="G6" s="62" t="s">
        <v>52</v>
      </c>
      <c r="H6" s="1" t="s">
        <v>208</v>
      </c>
      <c r="J6" s="62" t="s">
        <v>52</v>
      </c>
    </row>
    <row r="7" spans="1:10" s="1" customFormat="1" ht="13.5" thickBot="1">
      <c r="A7" s="1" t="s">
        <v>43</v>
      </c>
      <c r="B7" s="1" t="s">
        <v>46</v>
      </c>
      <c r="C7" s="1" t="s">
        <v>112</v>
      </c>
      <c r="D7" s="57" t="s">
        <v>50</v>
      </c>
      <c r="E7" s="57" t="s">
        <v>54</v>
      </c>
      <c r="F7" s="306" t="s">
        <v>209</v>
      </c>
      <c r="G7" s="62" t="s">
        <v>53</v>
      </c>
      <c r="H7" s="1" t="s">
        <v>210</v>
      </c>
      <c r="I7" s="1" t="s">
        <v>211</v>
      </c>
      <c r="J7" s="62" t="s">
        <v>55</v>
      </c>
    </row>
    <row r="8" spans="1:10" ht="12.75">
      <c r="A8" s="5"/>
      <c r="B8" s="6"/>
      <c r="C8" s="6"/>
      <c r="D8" s="63"/>
      <c r="E8" s="63"/>
      <c r="F8" s="6"/>
      <c r="G8" s="114"/>
      <c r="H8" s="6"/>
      <c r="I8" s="6"/>
      <c r="J8" s="116"/>
    </row>
    <row r="9" spans="1:10" ht="12.75">
      <c r="A9" s="16" t="s">
        <v>213</v>
      </c>
      <c r="B9" s="9" t="s">
        <v>21</v>
      </c>
      <c r="C9" s="9">
        <f>'MITCHELL KPCO'!B47+'MITCHELL KPCO'!B48</f>
        <v>146775.83000000002</v>
      </c>
      <c r="D9" s="64">
        <f>'MITCHELL KPCO'!B60</f>
        <v>12184</v>
      </c>
      <c r="E9" s="64">
        <f>ROUND(C9*D9*2/1000,0)</f>
        <v>3576633</v>
      </c>
      <c r="F9" s="9">
        <f>'MITCHELL KPCO'!C47+'MITCHELL KPCO'!C48+'MITCHELL KPCO'!C51+'MITCHELL KPCO'!C52+'MITCHELL KPCO'!C53+'MITCHELL KPCO'!C50+'MITCHELL KPCO'!C54</f>
        <v>9579428.070000002</v>
      </c>
      <c r="G9" s="115"/>
      <c r="H9" s="9">
        <f>'MITCHELL KPCO'!C51+'MITCHELL KPCO'!C52+'MITCHELL KPCO'!C53+'MITCHELL KPCO'!C50</f>
        <v>269418.4099999999</v>
      </c>
      <c r="I9" s="9">
        <f>+F9-H9</f>
        <v>9310009.660000002</v>
      </c>
      <c r="J9" s="117"/>
    </row>
    <row r="10" spans="1:10" ht="12.75">
      <c r="A10" s="8"/>
      <c r="B10" s="9" t="s">
        <v>48</v>
      </c>
      <c r="C10" s="9">
        <f>'MITCHELL KPCO'!B40</f>
        <v>72619.34438</v>
      </c>
      <c r="D10" s="64">
        <f>'MITCHELL KPCO'!B61</f>
        <v>137515</v>
      </c>
      <c r="E10" s="60">
        <f>ROUND(C10*D10/1000000,0)</f>
        <v>9986</v>
      </c>
      <c r="F10" s="61">
        <f>'MITCHELL KPCO'!C49</f>
        <v>240545.17363819998</v>
      </c>
      <c r="G10" s="115"/>
      <c r="H10" s="61"/>
      <c r="I10" s="61">
        <f>+F10-H10</f>
        <v>240545.17363819998</v>
      </c>
      <c r="J10" s="117"/>
    </row>
    <row r="11" spans="1:10" ht="12.75">
      <c r="A11" s="65" t="s">
        <v>35</v>
      </c>
      <c r="B11" s="9"/>
      <c r="C11" s="9"/>
      <c r="D11" s="64"/>
      <c r="E11" s="64">
        <f>SUM(E9:E10)</f>
        <v>3586619</v>
      </c>
      <c r="F11" s="9">
        <f>SUM(F9:F10)</f>
        <v>9819973.243638203</v>
      </c>
      <c r="G11" s="115">
        <f>ROUND(F11/E11*100,4)</f>
        <v>273.7947</v>
      </c>
      <c r="H11" s="9">
        <f>SUM(H9:H10)</f>
        <v>269418.4099999999</v>
      </c>
      <c r="I11" s="9">
        <f>SUM(I9:I10)</f>
        <v>9550554.833638202</v>
      </c>
      <c r="J11" s="117">
        <f>ROUND(I11/E11*100,4)</f>
        <v>266.2829</v>
      </c>
    </row>
    <row r="12" spans="1:10" ht="13.5" thickBot="1">
      <c r="A12" s="8"/>
      <c r="B12" s="9"/>
      <c r="C12" s="9"/>
      <c r="D12" s="64"/>
      <c r="E12" s="64"/>
      <c r="F12" s="9"/>
      <c r="G12" s="115"/>
      <c r="H12" s="9"/>
      <c r="I12" s="9"/>
      <c r="J12" s="117"/>
    </row>
    <row r="13" spans="1:10" ht="12.75">
      <c r="A13" s="5"/>
      <c r="B13" s="6"/>
      <c r="C13" s="6"/>
      <c r="D13" s="63"/>
      <c r="E13" s="63"/>
      <c r="F13" s="6"/>
      <c r="G13" s="114"/>
      <c r="H13" s="6"/>
      <c r="I13" s="6"/>
      <c r="J13" s="116"/>
    </row>
    <row r="14" spans="1:10" ht="12.75">
      <c r="A14" s="16" t="s">
        <v>214</v>
      </c>
      <c r="B14" s="9" t="s">
        <v>21</v>
      </c>
      <c r="C14" s="205">
        <f>+C9</f>
        <v>146775.83000000002</v>
      </c>
      <c r="D14" s="326" t="str">
        <f>IF(ABS((+C14/E14)-D35)&gt;E35,G35,F35)</f>
        <v>Review</v>
      </c>
      <c r="E14" s="64">
        <f>+E9</f>
        <v>3576633</v>
      </c>
      <c r="F14" s="9">
        <f>+F9</f>
        <v>9579428.070000002</v>
      </c>
      <c r="G14" s="115"/>
      <c r="H14" s="9">
        <f>+H9</f>
        <v>269418.4099999999</v>
      </c>
      <c r="I14" s="9">
        <f>+I9</f>
        <v>9310009.660000002</v>
      </c>
      <c r="J14" s="117"/>
    </row>
    <row r="15" spans="1:10" ht="12.75">
      <c r="A15" s="8"/>
      <c r="B15" s="9" t="s">
        <v>48</v>
      </c>
      <c r="C15" s="205">
        <f>+C10</f>
        <v>72619.34438</v>
      </c>
      <c r="D15" s="326" t="str">
        <f>IF(ABS((+C15/E15)-D36)&gt;E36,G36,F36)</f>
        <v>Trending</v>
      </c>
      <c r="E15" s="64">
        <f>+E10</f>
        <v>9986</v>
      </c>
      <c r="F15" s="9">
        <f>+F10</f>
        <v>240545.17363819998</v>
      </c>
      <c r="G15" s="115"/>
      <c r="H15" s="9">
        <v>0</v>
      </c>
      <c r="I15" s="9">
        <f>+I10</f>
        <v>240545.17363819998</v>
      </c>
      <c r="J15" s="117"/>
    </row>
    <row r="16" spans="1:10" ht="13.5" thickBot="1">
      <c r="A16" s="65" t="s">
        <v>35</v>
      </c>
      <c r="B16" s="9"/>
      <c r="C16" s="9"/>
      <c r="D16" s="64"/>
      <c r="E16" s="59">
        <f>SUM(E14:E15)</f>
        <v>3586619</v>
      </c>
      <c r="F16" s="56">
        <f>SUM(F14:F15)</f>
        <v>9819973.243638203</v>
      </c>
      <c r="G16" s="115">
        <f>ROUND(F16/E16*100,4)</f>
        <v>273.7947</v>
      </c>
      <c r="H16" s="56">
        <f>SUM(H14:H15)</f>
        <v>269418.4099999999</v>
      </c>
      <c r="I16" s="56">
        <f>SUM(I14:I15)</f>
        <v>9550554.833638202</v>
      </c>
      <c r="J16" s="117">
        <f>ROUND(I16/E16*100,4)</f>
        <v>266.2829</v>
      </c>
    </row>
    <row r="17" spans="1:10" ht="14.25" thickBot="1" thickTop="1">
      <c r="A17" s="10"/>
      <c r="B17" s="11"/>
      <c r="C17" s="11"/>
      <c r="D17" s="66"/>
      <c r="E17" s="66"/>
      <c r="F17" s="11"/>
      <c r="G17" s="190"/>
      <c r="H17" s="11"/>
      <c r="I17" s="11"/>
      <c r="J17" s="118"/>
    </row>
    <row r="19" ht="13.5" thickBot="1"/>
    <row r="20" spans="1:10" ht="12.75">
      <c r="A20" s="309" t="s">
        <v>215</v>
      </c>
      <c r="B20" s="6" t="s">
        <v>21</v>
      </c>
      <c r="C20" s="6">
        <f>'MITCHELL OPCO'!B47+'MITCHELL OPCO'!B48</f>
        <v>149888.16999999998</v>
      </c>
      <c r="D20" s="63">
        <f>'MITCHELL OPCO'!B60</f>
        <v>12184</v>
      </c>
      <c r="E20" s="63">
        <f>ROUND(C20*D20*2/1000,0)</f>
        <v>3652475</v>
      </c>
      <c r="F20" s="6">
        <f>'MITCHELL OPCO'!C47+'MITCHELL OPCO'!C48+'MITCHELL OPCO'!C51+'MITCHELL OPCO'!C52+'MITCHELL OPCO'!C53+'MITCHELL OPCO'!C50+'MITCHELL OPCO'!C54</f>
        <v>9824330.78</v>
      </c>
      <c r="G20" s="114"/>
      <c r="H20" s="6">
        <f>'MITCHELL OPCO'!C51+'MITCHELL OPCO'!C52+'MITCHELL OPCO'!C53+'MITCHELL OPCO'!C50</f>
        <v>316905.5</v>
      </c>
      <c r="I20" s="6">
        <f>+F20-H20</f>
        <v>9507425.28</v>
      </c>
      <c r="J20" s="116"/>
    </row>
    <row r="21" spans="1:10" ht="12.75">
      <c r="A21" s="8"/>
      <c r="B21" s="9" t="s">
        <v>48</v>
      </c>
      <c r="C21" s="9">
        <f>'MITCHELL OPCO'!B40</f>
        <v>74158.65562</v>
      </c>
      <c r="D21" s="64">
        <f>'MITCHELL OPCO'!B61</f>
        <v>137515</v>
      </c>
      <c r="E21" s="60">
        <f>ROUND(C21*D21/1000000,0)</f>
        <v>10198</v>
      </c>
      <c r="F21" s="61">
        <f>'MITCHELL OPCO'!C49</f>
        <v>245644.0063618</v>
      </c>
      <c r="G21" s="115"/>
      <c r="H21" s="61"/>
      <c r="I21" s="61">
        <f>+F21-H21</f>
        <v>245644.0063618</v>
      </c>
      <c r="J21" s="117"/>
    </row>
    <row r="22" spans="1:10" ht="13.5" thickBot="1">
      <c r="A22" s="189" t="s">
        <v>35</v>
      </c>
      <c r="B22" s="11"/>
      <c r="C22" s="11"/>
      <c r="D22" s="66"/>
      <c r="E22" s="66">
        <f>SUM(E20:E21)</f>
        <v>3662673</v>
      </c>
      <c r="F22" s="11">
        <f>SUM(F20:F21)</f>
        <v>10069974.786361799</v>
      </c>
      <c r="G22" s="190">
        <f>IF(E22&lt;&gt;0,ROUND(F22/E22*100,4),0)</f>
        <v>274.9351</v>
      </c>
      <c r="H22" s="11">
        <f>SUM(H20:H21)</f>
        <v>316905.5</v>
      </c>
      <c r="I22" s="11">
        <f>SUM(I20:I21)</f>
        <v>9753069.286361799</v>
      </c>
      <c r="J22" s="118">
        <f>IF(I22&lt;&gt;0,ROUND(I22/E22*100,4),0)</f>
        <v>266.2828</v>
      </c>
    </row>
    <row r="24" ht="13.5" thickBot="1"/>
    <row r="25" spans="1:10" ht="12.75">
      <c r="A25" s="309" t="s">
        <v>216</v>
      </c>
      <c r="B25" s="6" t="s">
        <v>21</v>
      </c>
      <c r="C25" s="6">
        <f>MITCHELL!B47+MITCHELL!B48</f>
        <v>296664</v>
      </c>
      <c r="D25" s="63">
        <f>MITCHELL!B60</f>
        <v>12184</v>
      </c>
      <c r="E25" s="63">
        <f>ROUND(C25*D25*2/1000,0)</f>
        <v>7229108</v>
      </c>
      <c r="F25" s="6">
        <f>MITCHELL!C47+MITCHELL!C48+MITCHELL!C51+MITCHELL!C52+MITCHELL!C53+MITCHELL!C50+MITCHELL!C54</f>
        <v>19403758.849999998</v>
      </c>
      <c r="G25" s="114"/>
      <c r="H25" s="6">
        <f>MITCHELL!C51+MITCHELL!C52+MITCHELL!C53+MITCHELL!C50</f>
        <v>586323.91</v>
      </c>
      <c r="I25" s="6">
        <f>+F25-H25</f>
        <v>18817434.939999998</v>
      </c>
      <c r="J25" s="116"/>
    </row>
    <row r="26" spans="1:10" ht="12.75">
      <c r="A26" s="8"/>
      <c r="B26" s="9" t="s">
        <v>48</v>
      </c>
      <c r="C26" s="9">
        <f>MITCHELL!B40</f>
        <v>146778</v>
      </c>
      <c r="D26" s="64">
        <f>MITCHELL!B61</f>
        <v>137515</v>
      </c>
      <c r="E26" s="60">
        <f>ROUND(C26*D26/1000000,0)</f>
        <v>20184</v>
      </c>
      <c r="F26" s="61">
        <f>MITCHELL!C49</f>
        <v>486189.18</v>
      </c>
      <c r="G26" s="115"/>
      <c r="H26" s="61"/>
      <c r="I26" s="61">
        <f>+F26-H26</f>
        <v>486189.18</v>
      </c>
      <c r="J26" s="117"/>
    </row>
    <row r="27" spans="1:10" ht="13.5" thickBot="1">
      <c r="A27" s="189" t="s">
        <v>35</v>
      </c>
      <c r="B27" s="11"/>
      <c r="C27" s="11"/>
      <c r="D27" s="66"/>
      <c r="E27" s="66">
        <f>SUM(E25:E26)</f>
        <v>7249292</v>
      </c>
      <c r="F27" s="11">
        <f>SUM(F25:F26)</f>
        <v>19889948.029999997</v>
      </c>
      <c r="G27" s="190">
        <f>ROUND(F27/E27*100,4)</f>
        <v>274.3709</v>
      </c>
      <c r="H27" s="11">
        <f>SUM(H25:H26)</f>
        <v>586323.91</v>
      </c>
      <c r="I27" s="11">
        <f>SUM(I25:I26)</f>
        <v>19303624.119999997</v>
      </c>
      <c r="J27" s="118">
        <f>ROUND(I27/E27*100,4)</f>
        <v>266.2829</v>
      </c>
    </row>
    <row r="29" ht="12.75">
      <c r="A29" s="3" t="s">
        <v>212</v>
      </c>
    </row>
    <row r="30" spans="1:5" ht="12.75">
      <c r="A30" s="69"/>
      <c r="B30" s="69"/>
      <c r="C30" s="69"/>
      <c r="D30" s="307"/>
      <c r="E30" s="307"/>
    </row>
    <row r="31" spans="1:5" ht="12.75">
      <c r="A31" s="243"/>
      <c r="B31" s="243"/>
      <c r="C31" s="243"/>
      <c r="D31" s="308"/>
      <c r="E31" s="308"/>
    </row>
    <row r="33" spans="3:5" ht="12.75">
      <c r="C33" s="243"/>
      <c r="D33" s="308" t="s">
        <v>241</v>
      </c>
      <c r="E33" s="308"/>
    </row>
    <row r="34" spans="3:6" ht="12.75">
      <c r="C34" s="243"/>
      <c r="D34" s="323" t="s">
        <v>242</v>
      </c>
      <c r="E34" s="323" t="s">
        <v>243</v>
      </c>
      <c r="F34" s="324">
        <v>0.01</v>
      </c>
    </row>
    <row r="35" spans="3:7" ht="12.75">
      <c r="C35" s="9" t="s">
        <v>21</v>
      </c>
      <c r="D35" s="325">
        <v>0.04303</v>
      </c>
      <c r="E35" s="325">
        <f>+D35*F34</f>
        <v>0.0004303</v>
      </c>
      <c r="F35" s="119" t="s">
        <v>244</v>
      </c>
      <c r="G35" s="3" t="s">
        <v>245</v>
      </c>
    </row>
    <row r="36" spans="3:7" ht="12.75">
      <c r="C36" s="9" t="s">
        <v>48</v>
      </c>
      <c r="D36" s="325">
        <v>7.31388</v>
      </c>
      <c r="E36" s="325">
        <f>+D36*F34</f>
        <v>0.0731388</v>
      </c>
      <c r="F36" s="119" t="s">
        <v>244</v>
      </c>
      <c r="G36" s="3" t="s">
        <v>245</v>
      </c>
    </row>
  </sheetData>
  <sheetProtection/>
  <mergeCells count="3">
    <mergeCell ref="A1:J1"/>
    <mergeCell ref="A2:J2"/>
    <mergeCell ref="A3:J3"/>
  </mergeCells>
  <printOptions horizontalCentered="1" verticalCentered="1"/>
  <pageMargins left="0.5" right="0.5" top="0.5" bottom="0.5" header="0.3" footer="0.3"/>
  <pageSetup fitToHeight="1" fitToWidth="1" horizontalDpi="600" verticalDpi="600" orientation="landscape" scale="66" r:id="rId1"/>
  <headerFooter alignWithMargins="0">
    <oddFooter>&amp;C&amp;Z&amp;F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M71"/>
  <sheetViews>
    <sheetView zoomScalePageLayoutView="0" workbookViewId="0" topLeftCell="A1">
      <selection activeCell="A1" sqref="A1:L1"/>
    </sheetView>
  </sheetViews>
  <sheetFormatPr defaultColWidth="13.7109375" defaultRowHeight="12.75"/>
  <cols>
    <col min="1" max="1" width="35.7109375" style="3" customWidth="1"/>
    <col min="2" max="2" width="15.421875" style="3" bestFit="1" customWidth="1"/>
    <col min="3" max="3" width="14.57421875" style="3" bestFit="1" customWidth="1"/>
    <col min="4" max="4" width="16.00390625" style="3" bestFit="1" customWidth="1"/>
    <col min="5" max="5" width="1.28515625" style="3" customWidth="1"/>
    <col min="6" max="6" width="16.00390625" style="3" bestFit="1" customWidth="1"/>
    <col min="7" max="7" width="16.28125" style="3" bestFit="1" customWidth="1"/>
    <col min="8" max="8" width="15.57421875" style="3" bestFit="1" customWidth="1"/>
    <col min="9" max="9" width="1.1484375" style="3" customWidth="1"/>
    <col min="10" max="10" width="15.421875" style="3" bestFit="1" customWidth="1"/>
    <col min="11" max="11" width="14.7109375" style="3" customWidth="1"/>
    <col min="12" max="12" width="16.28125" style="3" bestFit="1" customWidth="1"/>
    <col min="13" max="16384" width="13.7109375" style="3" customWidth="1"/>
  </cols>
  <sheetData>
    <row r="1" spans="1:12" ht="12.75">
      <c r="A1" s="343" t="s">
        <v>204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2" spans="1:12" ht="12.75">
      <c r="A2" s="343" t="s">
        <v>44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</row>
    <row r="3" spans="1:12" ht="12.75">
      <c r="A3" s="344" t="str">
        <f>+INPUT!A3</f>
        <v>APRIL 2014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5" ht="12.75">
      <c r="A5" s="67" t="s">
        <v>56</v>
      </c>
    </row>
    <row r="7" spans="2:12" ht="13.5" thickBot="1">
      <c r="B7" s="345" t="s">
        <v>2</v>
      </c>
      <c r="C7" s="345"/>
      <c r="D7" s="345"/>
      <c r="E7" s="68"/>
      <c r="F7" s="345" t="s">
        <v>3</v>
      </c>
      <c r="G7" s="345"/>
      <c r="H7" s="345"/>
      <c r="I7" s="68"/>
      <c r="J7" s="345" t="s">
        <v>60</v>
      </c>
      <c r="K7" s="345"/>
      <c r="L7" s="345"/>
    </row>
    <row r="8" spans="1:12" ht="13.5" thickBot="1">
      <c r="A8" s="55" t="s">
        <v>43</v>
      </c>
      <c r="B8" s="55" t="s">
        <v>57</v>
      </c>
      <c r="C8" s="55" t="s">
        <v>58</v>
      </c>
      <c r="D8" s="55" t="s">
        <v>59</v>
      </c>
      <c r="E8" s="55"/>
      <c r="F8" s="55" t="s">
        <v>57</v>
      </c>
      <c r="G8" s="55" t="s">
        <v>58</v>
      </c>
      <c r="H8" s="55" t="s">
        <v>59</v>
      </c>
      <c r="I8" s="68"/>
      <c r="J8" s="55" t="s">
        <v>57</v>
      </c>
      <c r="K8" s="55" t="s">
        <v>58</v>
      </c>
      <c r="L8" s="55" t="s">
        <v>59</v>
      </c>
    </row>
    <row r="9" spans="1:12" ht="12.75">
      <c r="A9" s="112" t="s">
        <v>1</v>
      </c>
      <c r="B9" s="3">
        <f>+'TOTAL CO'!D22</f>
        <v>64.70665269811917</v>
      </c>
      <c r="C9" s="3">
        <f>+'TOTAL CO'!D43</f>
        <v>3.312411680028428</v>
      </c>
      <c r="D9" s="3">
        <f>+'TOTAL CO'!D33</f>
        <v>2.0959554983646074</v>
      </c>
      <c r="F9" s="3">
        <f>+'TOTAL CO'!H22</f>
        <v>64.70665269811919</v>
      </c>
      <c r="G9" s="3">
        <f>+'TOTAL CO'!H43</f>
        <v>3.312411680028427</v>
      </c>
      <c r="H9" s="3">
        <f>+'TOTAL CO'!H33</f>
        <v>2.095955498364606</v>
      </c>
      <c r="J9" s="3">
        <f aca="true" t="shared" si="0" ref="J9:L12">+B9-F9</f>
        <v>0</v>
      </c>
      <c r="K9" s="3">
        <f t="shared" si="0"/>
        <v>0</v>
      </c>
      <c r="L9" s="3">
        <f t="shared" si="0"/>
        <v>0</v>
      </c>
    </row>
    <row r="10" spans="1:12" ht="12.75">
      <c r="A10" s="69" t="s">
        <v>228</v>
      </c>
      <c r="B10" s="112">
        <f>+MITCHELL!D22</f>
        <v>64.7066527234588</v>
      </c>
      <c r="C10" s="112">
        <f>+MITCHELL!D43</f>
        <v>3.3124116921150506</v>
      </c>
      <c r="D10" s="112">
        <f>+MITCHELL!D33</f>
        <v>2.095955498364607</v>
      </c>
      <c r="E10" s="112"/>
      <c r="F10" s="112">
        <f>+MITCHELL!H22</f>
        <v>64.70665272345884</v>
      </c>
      <c r="G10" s="112">
        <f>+MITCHELL!H43</f>
        <v>3.312411692115049</v>
      </c>
      <c r="H10" s="112">
        <f>+MITCHELL!H33</f>
        <v>2.0959554983646047</v>
      </c>
      <c r="I10" s="69"/>
      <c r="J10" s="3">
        <f t="shared" si="0"/>
        <v>0</v>
      </c>
      <c r="K10" s="3">
        <f t="shared" si="0"/>
        <v>0</v>
      </c>
      <c r="L10" s="3">
        <f t="shared" si="0"/>
        <v>0</v>
      </c>
    </row>
    <row r="11" spans="1:12" ht="12.75">
      <c r="A11" s="69" t="s">
        <v>226</v>
      </c>
      <c r="B11" s="112">
        <f>'MITCHELL KPCO'!D22</f>
        <v>64.70665269811917</v>
      </c>
      <c r="C11" s="3">
        <f>+'MITCHELL KPCO'!D43</f>
        <v>3.312411680028428</v>
      </c>
      <c r="D11" s="3">
        <f>+'MITCHELL KPCO'!D33</f>
        <v>2.0959554983646074</v>
      </c>
      <c r="F11" s="3">
        <f>+'MITCHELL KPCO'!H22</f>
        <v>64.70665269811919</v>
      </c>
      <c r="G11" s="3">
        <f>+'MITCHELL KPCO'!H43</f>
        <v>3.312411680028427</v>
      </c>
      <c r="H11" s="3">
        <f>+'MITCHELL KPCO'!H33</f>
        <v>2.095955498364606</v>
      </c>
      <c r="I11" s="69"/>
      <c r="J11" s="3">
        <f t="shared" si="0"/>
        <v>0</v>
      </c>
      <c r="K11" s="3">
        <f t="shared" si="0"/>
        <v>0</v>
      </c>
      <c r="L11" s="3">
        <f t="shared" si="0"/>
        <v>0</v>
      </c>
    </row>
    <row r="12" spans="1:12" ht="12.75">
      <c r="A12" s="69" t="s">
        <v>227</v>
      </c>
      <c r="B12" s="3">
        <f>'MITCHELL OPCO'!D22</f>
        <v>64.70665274879839</v>
      </c>
      <c r="C12" s="3">
        <f>'MITCHELL OPCO'!D43</f>
        <v>3.312411704201672</v>
      </c>
      <c r="D12" s="112">
        <f>'MITCHELL OPCO'!D33</f>
        <v>2.095955498364606</v>
      </c>
      <c r="F12" s="3">
        <f>'MITCHELL OPCO'!H22</f>
        <v>64.70665274879845</v>
      </c>
      <c r="G12" s="3">
        <f>'MITCHELL OPCO'!H43</f>
        <v>3.312411704201672</v>
      </c>
      <c r="H12" s="112">
        <f>'MITCHELL OPCO'!H33</f>
        <v>2.0959554983646074</v>
      </c>
      <c r="I12" s="69"/>
      <c r="J12" s="3">
        <f t="shared" si="0"/>
        <v>0</v>
      </c>
      <c r="K12" s="3">
        <f t="shared" si="0"/>
        <v>0</v>
      </c>
      <c r="L12" s="3">
        <f t="shared" si="0"/>
        <v>0</v>
      </c>
    </row>
    <row r="13" spans="1:12" ht="13.5" thickBot="1">
      <c r="A13" s="3" t="s">
        <v>35</v>
      </c>
      <c r="B13" s="56">
        <f>SUM(B9:B12)</f>
        <v>258.82661086849555</v>
      </c>
      <c r="C13" s="56">
        <f>SUM(C9:C12)</f>
        <v>13.249646756373577</v>
      </c>
      <c r="D13" s="56">
        <f>SUM(D9:D12)</f>
        <v>8.383821993458428</v>
      </c>
      <c r="E13" s="56"/>
      <c r="F13" s="56">
        <f aca="true" t="shared" si="1" ref="F13:L13">SUM(F9:F12)</f>
        <v>258.82661086849566</v>
      </c>
      <c r="G13" s="56">
        <f t="shared" si="1"/>
        <v>13.249646756373576</v>
      </c>
      <c r="H13" s="56">
        <f t="shared" si="1"/>
        <v>8.383821993458426</v>
      </c>
      <c r="I13" s="56">
        <f t="shared" si="1"/>
        <v>0</v>
      </c>
      <c r="J13" s="56">
        <f t="shared" si="1"/>
        <v>0</v>
      </c>
      <c r="K13" s="56">
        <f t="shared" si="1"/>
        <v>0</v>
      </c>
      <c r="L13" s="56">
        <f t="shared" si="1"/>
        <v>0</v>
      </c>
    </row>
    <row r="14" spans="1:12" ht="14.25" thickBot="1" thickTop="1">
      <c r="A14" s="3" t="s">
        <v>61</v>
      </c>
      <c r="B14" s="70">
        <f>+'TOTAL CO'!C22</f>
        <v>12767883.709999999</v>
      </c>
      <c r="C14" s="70">
        <f>+'TOTAL CO'!C43</f>
        <v>1370280.12</v>
      </c>
      <c r="D14" s="70">
        <f>+'TOTAL CO'!C33</f>
        <v>413572.8700000001</v>
      </c>
      <c r="E14" s="70"/>
      <c r="F14" s="70">
        <f>+'TOTAL CO'!G22</f>
        <v>12767883.71</v>
      </c>
      <c r="G14" s="70">
        <f>+'TOTAL CO'!G43</f>
        <v>1370280.1199999996</v>
      </c>
      <c r="H14" s="70">
        <f>+'TOTAL CO'!G33</f>
        <v>413572.8699999999</v>
      </c>
      <c r="I14" s="70"/>
      <c r="J14" s="70">
        <f aca="true" t="shared" si="2" ref="J14:L15">+B14-F14</f>
        <v>0</v>
      </c>
      <c r="K14" s="70">
        <f t="shared" si="2"/>
        <v>0</v>
      </c>
      <c r="L14" s="70">
        <f t="shared" si="2"/>
        <v>0</v>
      </c>
    </row>
    <row r="15" spans="1:12" ht="14.25" thickBot="1" thickTop="1">
      <c r="A15" s="3" t="s">
        <v>62</v>
      </c>
      <c r="B15" s="70">
        <f>+'TOTAL CO'!B22</f>
        <v>197319.49</v>
      </c>
      <c r="C15" s="70">
        <f>+'TOTAL CO'!B43</f>
        <v>413680.5</v>
      </c>
      <c r="D15" s="70">
        <f>+'TOTAL CO'!B33</f>
        <v>197319.49</v>
      </c>
      <c r="E15" s="70"/>
      <c r="F15" s="70">
        <f>+'TOTAL CO'!F22</f>
        <v>197319.49</v>
      </c>
      <c r="G15" s="70">
        <f>+'TOTAL CO'!F43</f>
        <v>413680.5</v>
      </c>
      <c r="H15" s="70">
        <f>+'TOTAL CO'!F33</f>
        <v>197319.49</v>
      </c>
      <c r="I15" s="70"/>
      <c r="J15" s="70">
        <f t="shared" si="2"/>
        <v>0</v>
      </c>
      <c r="K15" s="70">
        <f t="shared" si="2"/>
        <v>0</v>
      </c>
      <c r="L15" s="70">
        <f t="shared" si="2"/>
        <v>0</v>
      </c>
    </row>
    <row r="16" ht="13.5" thickTop="1"/>
    <row r="18" ht="12.75">
      <c r="A18" s="67" t="s">
        <v>114</v>
      </c>
    </row>
    <row r="20" spans="2:12" ht="12.75">
      <c r="B20" s="347" t="s">
        <v>64</v>
      </c>
      <c r="C20" s="347"/>
      <c r="D20" s="347" t="s">
        <v>65</v>
      </c>
      <c r="E20" s="347"/>
      <c r="F20" s="347"/>
      <c r="G20" s="348" t="s">
        <v>68</v>
      </c>
      <c r="H20" s="348"/>
      <c r="I20"/>
      <c r="J20" s="346" t="s">
        <v>60</v>
      </c>
      <c r="K20" s="346"/>
      <c r="L20" s="346"/>
    </row>
    <row r="21" spans="1:12" ht="13.5" thickBot="1">
      <c r="A21" s="55" t="s">
        <v>63</v>
      </c>
      <c r="B21" s="55" t="s">
        <v>66</v>
      </c>
      <c r="C21" s="55" t="s">
        <v>67</v>
      </c>
      <c r="D21" s="55" t="s">
        <v>66</v>
      </c>
      <c r="E21" s="11"/>
      <c r="F21" s="55" t="s">
        <v>67</v>
      </c>
      <c r="G21" s="55" t="s">
        <v>66</v>
      </c>
      <c r="H21" s="55" t="s">
        <v>67</v>
      </c>
      <c r="I21" s="11"/>
      <c r="J21" s="55" t="s">
        <v>69</v>
      </c>
      <c r="K21" s="55" t="s">
        <v>70</v>
      </c>
      <c r="L21" s="55" t="s">
        <v>71</v>
      </c>
    </row>
    <row r="22" spans="1:12" ht="12.75">
      <c r="A22" s="71" t="s">
        <v>183</v>
      </c>
      <c r="B22" s="3">
        <f>+'TOTAL CO'!C11</f>
        <v>11299798.66</v>
      </c>
      <c r="C22" s="3">
        <f>+INPUT!E125+INPUT!E127+INPUT!E128</f>
        <v>39370847.71</v>
      </c>
      <c r="D22" s="3">
        <f>+'TOTAL CO'!C15-'TOTAL CO'!C21</f>
        <v>1468085.0499999989</v>
      </c>
      <c r="F22" s="3">
        <f>+INPUT!F125+INPUT!F127+INPUT!F128</f>
        <v>-4291209.69</v>
      </c>
      <c r="G22" s="3">
        <f>+'TOTAL CO'!C22</f>
        <v>12767883.709999999</v>
      </c>
      <c r="H22" s="3">
        <f>+INPUT!G125+INPUT!G127+INPUT!G128</f>
        <v>35079638.02</v>
      </c>
      <c r="J22" s="3">
        <f>+B22-C22</f>
        <v>-28071049.05</v>
      </c>
      <c r="K22" s="3">
        <f>+D22-F22</f>
        <v>5759294.739999999</v>
      </c>
      <c r="L22" s="3">
        <f>+G22-H22</f>
        <v>-22311754.310000002</v>
      </c>
    </row>
    <row r="23" spans="1:12" ht="12.75">
      <c r="A23" s="71" t="s">
        <v>182</v>
      </c>
      <c r="B23" s="3">
        <f>+'TOTAL CO'!C36</f>
        <v>1363216.05</v>
      </c>
      <c r="C23" s="3">
        <f>+INPUT!E126</f>
        <v>2600680.42</v>
      </c>
      <c r="D23" s="3">
        <f>+'TOTAL CO'!C37-'TOTAL CO'!C42</f>
        <v>7064.070000000036</v>
      </c>
      <c r="F23" s="3">
        <f>+INPUT!F126</f>
        <v>-173329.15</v>
      </c>
      <c r="G23" s="3">
        <f>+'TOTAL CO'!C43</f>
        <v>1370280.12</v>
      </c>
      <c r="H23" s="3">
        <f>+INPUT!G126</f>
        <v>2427351.27</v>
      </c>
      <c r="J23" s="3">
        <f>+B23-C23</f>
        <v>-1237464.3699999999</v>
      </c>
      <c r="K23" s="3">
        <f>+D23-F23</f>
        <v>180393.22000000003</v>
      </c>
      <c r="L23" s="3">
        <f>+G23-H23</f>
        <v>-1057071.15</v>
      </c>
    </row>
    <row r="24" spans="1:12" ht="12.75">
      <c r="A24" s="231" t="s">
        <v>174</v>
      </c>
      <c r="B24" s="230">
        <v>0</v>
      </c>
      <c r="C24" s="3">
        <f>+INPUT!E124</f>
        <v>0</v>
      </c>
      <c r="D24" s="230">
        <v>0</v>
      </c>
      <c r="F24" s="3">
        <f>+INPUT!F124</f>
        <v>0</v>
      </c>
      <c r="G24" s="230">
        <v>0</v>
      </c>
      <c r="H24" s="3">
        <f>+INPUT!G124</f>
        <v>0</v>
      </c>
      <c r="J24" s="3">
        <f>+B24-C24</f>
        <v>0</v>
      </c>
      <c r="K24" s="3">
        <f>+D24-F24</f>
        <v>0</v>
      </c>
      <c r="L24" s="3">
        <f>+G24-H24</f>
        <v>0</v>
      </c>
    </row>
    <row r="25" spans="1:12" ht="12.75">
      <c r="A25" s="71" t="s">
        <v>100</v>
      </c>
      <c r="B25" s="3">
        <f>+'TOTAL CO'!C25</f>
        <v>474873.59</v>
      </c>
      <c r="C25" s="3">
        <f>+INPUT!E129</f>
        <v>2600680.42</v>
      </c>
      <c r="D25" s="3">
        <f>+'TOTAL CO'!C26-'TOTAL CO'!C32</f>
        <v>-61300.719999999914</v>
      </c>
      <c r="F25" s="3">
        <f>+INPUT!F129</f>
        <v>-173329.15</v>
      </c>
      <c r="G25" s="3">
        <f>+'TOTAL CO'!C33</f>
        <v>413572.8700000001</v>
      </c>
      <c r="H25" s="3">
        <f>+INPUT!G129</f>
        <v>2427351.27</v>
      </c>
      <c r="J25" s="3">
        <f>+B25-C25</f>
        <v>-2125806.83</v>
      </c>
      <c r="K25" s="3">
        <f>+D25-F25</f>
        <v>112028.43000000008</v>
      </c>
      <c r="L25" s="3">
        <f>+G25-H25</f>
        <v>-2013778.4</v>
      </c>
    </row>
    <row r="26" spans="1:12" ht="13.5" thickBot="1">
      <c r="A26" s="3" t="s">
        <v>35</v>
      </c>
      <c r="B26" s="56">
        <f aca="true" t="shared" si="3" ref="B26:L26">SUM(B22:B25)</f>
        <v>13137888.3</v>
      </c>
      <c r="C26" s="56">
        <f t="shared" si="3"/>
        <v>44572208.550000004</v>
      </c>
      <c r="D26" s="56">
        <f t="shared" si="3"/>
        <v>1413848.399999999</v>
      </c>
      <c r="E26" s="56">
        <f t="shared" si="3"/>
        <v>0</v>
      </c>
      <c r="F26" s="56">
        <f t="shared" si="3"/>
        <v>-4637867.990000001</v>
      </c>
      <c r="G26" s="56">
        <f t="shared" si="3"/>
        <v>14551736.7</v>
      </c>
      <c r="H26" s="56">
        <f t="shared" si="3"/>
        <v>39934340.56000001</v>
      </c>
      <c r="I26" s="56">
        <f t="shared" si="3"/>
        <v>0</v>
      </c>
      <c r="J26" s="56">
        <f t="shared" si="3"/>
        <v>-31434320.25</v>
      </c>
      <c r="K26" s="56">
        <f t="shared" si="3"/>
        <v>6051716.389999999</v>
      </c>
      <c r="L26" s="56">
        <f t="shared" si="3"/>
        <v>-25382603.86</v>
      </c>
    </row>
    <row r="27" spans="1:8" ht="13.5" thickTop="1">
      <c r="A27" s="232" t="s">
        <v>175</v>
      </c>
      <c r="G27" s="3">
        <f>+B26+D26-G26</f>
        <v>0</v>
      </c>
      <c r="H27" s="3">
        <f>+C26+F26-H26</f>
        <v>0</v>
      </c>
    </row>
    <row r="28" spans="10:12" ht="12.75">
      <c r="J28" s="172"/>
      <c r="K28" s="172"/>
      <c r="L28" s="172"/>
    </row>
    <row r="29" spans="1:12" ht="12.75">
      <c r="A29" s="67" t="s">
        <v>75</v>
      </c>
      <c r="J29" s="172"/>
      <c r="K29" s="172"/>
      <c r="L29" s="172"/>
    </row>
    <row r="30" spans="2:8" ht="12.75">
      <c r="B30" s="347" t="s">
        <v>2</v>
      </c>
      <c r="C30" s="347"/>
      <c r="D30" s="347" t="s">
        <v>3</v>
      </c>
      <c r="E30" s="347"/>
      <c r="F30" s="347"/>
      <c r="G30" s="348" t="s">
        <v>60</v>
      </c>
      <c r="H30" s="348"/>
    </row>
    <row r="31" spans="1:13" ht="13.5" thickBot="1">
      <c r="A31" s="55" t="s">
        <v>63</v>
      </c>
      <c r="B31" s="55" t="s">
        <v>66</v>
      </c>
      <c r="C31" s="55" t="s">
        <v>67</v>
      </c>
      <c r="D31" s="55" t="s">
        <v>66</v>
      </c>
      <c r="E31" s="11"/>
      <c r="F31" s="55" t="s">
        <v>67</v>
      </c>
      <c r="G31" s="55" t="s">
        <v>76</v>
      </c>
      <c r="H31" s="55" t="s">
        <v>77</v>
      </c>
      <c r="I31"/>
      <c r="J31"/>
      <c r="K31"/>
      <c r="L31"/>
      <c r="M31"/>
    </row>
    <row r="32" spans="1:13" ht="12.75">
      <c r="A32" s="71">
        <v>5010033</v>
      </c>
      <c r="B32" s="233">
        <f>+'TOTAL CO'!C54</f>
        <v>0</v>
      </c>
      <c r="C32" s="233">
        <f>+INPUT!B125</f>
        <v>0</v>
      </c>
      <c r="D32" s="233">
        <f>+'TOTAL CO'!G54</f>
        <v>0</v>
      </c>
      <c r="E32" s="17"/>
      <c r="F32" s="233">
        <f>+INPUT!C125</f>
        <v>0</v>
      </c>
      <c r="G32" s="235">
        <f aca="true" t="shared" si="4" ref="G32:G38">+B32-C32</f>
        <v>0</v>
      </c>
      <c r="H32" s="235">
        <f aca="true" t="shared" si="5" ref="H32:H38">+D32-F32</f>
        <v>0</v>
      </c>
      <c r="I32"/>
      <c r="J32"/>
      <c r="K32"/>
      <c r="L32"/>
      <c r="M32"/>
    </row>
    <row r="33" spans="1:13" ht="12.75">
      <c r="A33" s="71" t="s">
        <v>178</v>
      </c>
      <c r="B33" s="234">
        <f>+'TOTAL CO'!C47+'TOTAL CO'!C50</f>
        <v>9310009.660000002</v>
      </c>
      <c r="C33" s="235">
        <f>+INPUT!F131+INPUT!B133+INPUT!B131</f>
        <v>24580551.01</v>
      </c>
      <c r="D33" s="234">
        <f>+'TOTAL CO'!G47+'TOTAL CO'!G50</f>
        <v>39951418.2</v>
      </c>
      <c r="F33" s="235">
        <f>+INPUT!G131+INPUT!C133+INPUT!C131</f>
        <v>99809554.18</v>
      </c>
      <c r="G33" s="235">
        <f t="shared" si="4"/>
        <v>-15270541.35</v>
      </c>
      <c r="H33" s="235">
        <f t="shared" si="5"/>
        <v>-59858135.980000004</v>
      </c>
      <c r="I33"/>
      <c r="J33"/>
      <c r="K33"/>
      <c r="L33"/>
      <c r="M33"/>
    </row>
    <row r="34" spans="1:13" ht="12.75">
      <c r="A34" s="71" t="s">
        <v>115</v>
      </c>
      <c r="B34" s="235">
        <f>+'TOTAL CO'!C48</f>
        <v>0</v>
      </c>
      <c r="C34" s="235">
        <f>+INPUT!F134</f>
        <v>-1192190.81</v>
      </c>
      <c r="D34" s="235">
        <f>+'TOTAL CO'!G48</f>
        <v>457588.5299999999</v>
      </c>
      <c r="F34" s="235">
        <f>+INPUT!G134</f>
        <v>-734602.28</v>
      </c>
      <c r="G34" s="235">
        <f t="shared" si="4"/>
        <v>1192190.81</v>
      </c>
      <c r="H34" s="235">
        <f t="shared" si="5"/>
        <v>1192190.81</v>
      </c>
      <c r="I34"/>
      <c r="J34"/>
      <c r="K34"/>
      <c r="L34"/>
      <c r="M34"/>
    </row>
    <row r="35" spans="1:13" ht="12.75">
      <c r="A35" s="229" t="s">
        <v>181</v>
      </c>
      <c r="B35" s="235">
        <f>+'TOTAL CO'!C51</f>
        <v>307627.45999999996</v>
      </c>
      <c r="C35" s="235">
        <f>+INPUT!F132+INPUT!B130</f>
        <v>1031076.75</v>
      </c>
      <c r="D35" s="235">
        <f>+'TOTAL CO'!G51</f>
        <v>1450856.5699999998</v>
      </c>
      <c r="F35" s="235">
        <f>+INPUT!G132+INPUT!C130</f>
        <v>4606432.46</v>
      </c>
      <c r="G35" s="239">
        <f t="shared" si="4"/>
        <v>-723449.29</v>
      </c>
      <c r="H35" s="235">
        <f t="shared" si="5"/>
        <v>-3155575.89</v>
      </c>
      <c r="I35"/>
      <c r="J35"/>
      <c r="K35"/>
      <c r="L35"/>
      <c r="M35"/>
    </row>
    <row r="36" spans="1:13" ht="12.75">
      <c r="A36" s="229" t="s">
        <v>172</v>
      </c>
      <c r="B36" s="234">
        <f>+'TOTAL CO'!C52</f>
        <v>34659.740000000005</v>
      </c>
      <c r="C36" s="235">
        <f>+INPUT!F130+INPUT!B123+INPUT!B132+INPUT!B129</f>
        <v>41068.4</v>
      </c>
      <c r="D36" s="234">
        <f>+'TOTAL CO'!G52</f>
        <v>174886.40000000002</v>
      </c>
      <c r="F36" s="235">
        <f>+INPUT!G130+INPUT!C123+INPUT!C132+INPUT!C129</f>
        <v>210856.8</v>
      </c>
      <c r="G36" s="235">
        <f t="shared" si="4"/>
        <v>-6408.659999999996</v>
      </c>
      <c r="H36" s="235">
        <f t="shared" si="5"/>
        <v>-35970.399999999965</v>
      </c>
      <c r="I36"/>
      <c r="J36"/>
      <c r="K36"/>
      <c r="L36"/>
      <c r="M36"/>
    </row>
    <row r="37" spans="1:13" ht="12.75">
      <c r="A37" s="229" t="s">
        <v>179</v>
      </c>
      <c r="B37" s="236">
        <f>+'TOTAL CO'!C53</f>
        <v>-72868.79000000001</v>
      </c>
      <c r="C37" s="236">
        <f>+INPUT!F133</f>
        <v>-72868.79</v>
      </c>
      <c r="D37" s="236">
        <f>+'TOTAL CO'!G53</f>
        <v>-294453.42000000004</v>
      </c>
      <c r="E37" s="9"/>
      <c r="F37" s="236">
        <f>+INPUT!G133</f>
        <v>-294453.42</v>
      </c>
      <c r="G37" s="236">
        <f t="shared" si="4"/>
        <v>0</v>
      </c>
      <c r="H37" s="236">
        <f t="shared" si="5"/>
        <v>0</v>
      </c>
      <c r="I37" s="86"/>
      <c r="J37"/>
      <c r="K37"/>
      <c r="L37"/>
      <c r="M37"/>
    </row>
    <row r="38" spans="1:13" ht="12.75">
      <c r="A38" s="71" t="s">
        <v>180</v>
      </c>
      <c r="B38" s="237">
        <f>+'TOTAL CO'!C49</f>
        <v>240545.17363819998</v>
      </c>
      <c r="C38" s="237">
        <f>+INPUT!F135</f>
        <v>612386.39</v>
      </c>
      <c r="D38" s="237">
        <f>+'TOTAL CO'!G49</f>
        <v>1170752.4973946</v>
      </c>
      <c r="E38" s="61"/>
      <c r="F38" s="237">
        <f>+INPUT!G135</f>
        <v>2440552.67</v>
      </c>
      <c r="G38" s="237">
        <f t="shared" si="4"/>
        <v>-371841.21636180003</v>
      </c>
      <c r="H38" s="237">
        <f t="shared" si="5"/>
        <v>-1269800.1726054</v>
      </c>
      <c r="I38"/>
      <c r="J38"/>
      <c r="K38"/>
      <c r="L38"/>
      <c r="M38"/>
    </row>
    <row r="39" spans="1:8" ht="12.75">
      <c r="A39" s="3" t="s">
        <v>35</v>
      </c>
      <c r="B39" s="236">
        <f>SUM(B32:B38)</f>
        <v>9819973.243638203</v>
      </c>
      <c r="C39" s="236">
        <f>SUM(C33:C38)</f>
        <v>25000022.950000003</v>
      </c>
      <c r="D39" s="236">
        <f>SUM(D32:D38)</f>
        <v>42911048.7773946</v>
      </c>
      <c r="E39" s="9">
        <f>SUM(E33:E37)</f>
        <v>0</v>
      </c>
      <c r="F39" s="236">
        <f>SUM(F33:F38)</f>
        <v>106038340.41</v>
      </c>
      <c r="G39" s="236">
        <f>SUM(G33:G38)</f>
        <v>-15180049.706361799</v>
      </c>
      <c r="H39" s="236">
        <f>SUM(H33:H38)</f>
        <v>-63127291.6326054</v>
      </c>
    </row>
    <row r="40" spans="1:8" ht="12.75">
      <c r="A40" s="3" t="s">
        <v>78</v>
      </c>
      <c r="B40" s="235">
        <f>+INPUT!F136-INPUT!B126-INPUT!B124-INPUT!B127</f>
        <v>25000022.950000003</v>
      </c>
      <c r="C40" s="4"/>
      <c r="D40" s="235">
        <f>+INPUT!G136-INPUT!C126-INPUT!C124-INPUT!C127-INPUT!C128</f>
        <v>106038340.41</v>
      </c>
      <c r="F40" s="4"/>
      <c r="G40" s="4"/>
      <c r="H40" s="4"/>
    </row>
    <row r="41" spans="1:8" ht="13.5" thickBot="1">
      <c r="A41" s="3" t="s">
        <v>79</v>
      </c>
      <c r="B41" s="238">
        <f>+B39-B40</f>
        <v>-15180049.7063618</v>
      </c>
      <c r="C41" s="4"/>
      <c r="D41" s="238">
        <f>+D39-D40</f>
        <v>-63127291.632605396</v>
      </c>
      <c r="F41" s="4"/>
      <c r="G41" s="4"/>
      <c r="H41" s="4"/>
    </row>
    <row r="42" ht="13.5" thickTop="1"/>
    <row r="44" ht="12.75">
      <c r="A44" s="67" t="s">
        <v>87</v>
      </c>
    </row>
    <row r="46" spans="2:8" ht="12.75">
      <c r="B46" s="347" t="s">
        <v>83</v>
      </c>
      <c r="C46" s="347"/>
      <c r="D46" s="347" t="s">
        <v>82</v>
      </c>
      <c r="E46" s="347"/>
      <c r="F46" s="347"/>
      <c r="G46" s="348" t="s">
        <v>60</v>
      </c>
      <c r="H46" s="348"/>
    </row>
    <row r="47" spans="1:8" ht="13.5" thickBot="1">
      <c r="A47" s="55" t="s">
        <v>43</v>
      </c>
      <c r="B47" s="55" t="s">
        <v>66</v>
      </c>
      <c r="C47" s="55" t="s">
        <v>80</v>
      </c>
      <c r="D47" s="55" t="s">
        <v>66</v>
      </c>
      <c r="E47" s="11"/>
      <c r="F47" s="55" t="s">
        <v>81</v>
      </c>
      <c r="G47" s="55" t="s">
        <v>116</v>
      </c>
      <c r="H47" s="55" t="s">
        <v>117</v>
      </c>
    </row>
    <row r="48" spans="1:8" ht="12.75">
      <c r="A48" s="18" t="s">
        <v>228</v>
      </c>
      <c r="B48" s="9">
        <f>+MITCHELL!C56</f>
        <v>19889948.029999997</v>
      </c>
      <c r="C48" s="9">
        <f>C49+C50</f>
        <v>19889948.03</v>
      </c>
      <c r="D48" s="9">
        <f>+MITCHELL!B47+MITCHELL!B48+MITCHELL!B40</f>
        <v>443442</v>
      </c>
      <c r="E48" s="9"/>
      <c r="F48" s="9">
        <f>F49+F50</f>
        <v>443442</v>
      </c>
      <c r="G48" s="9">
        <f>+B48-C48</f>
        <v>0</v>
      </c>
      <c r="H48" s="9">
        <f>+D48-F48</f>
        <v>0</v>
      </c>
    </row>
    <row r="49" spans="1:8" ht="12.75">
      <c r="A49" s="18" t="s">
        <v>226</v>
      </c>
      <c r="B49" s="9">
        <f>'MITCHELL KPCO'!C56</f>
        <v>9819973.243638204</v>
      </c>
      <c r="C49" s="9">
        <f>'PRIN GEN'!F11</f>
        <v>9819973.243638203</v>
      </c>
      <c r="D49" s="9">
        <f>'MITCHELL KPCO'!B47+'MITCHELL KPCO'!B48+'MITCHELL KPCO'!B40</f>
        <v>219395.17438</v>
      </c>
      <c r="E49" s="9"/>
      <c r="F49" s="9">
        <f>'PRIN GEN'!C9+'PRIN GEN'!C10</f>
        <v>219395.17438</v>
      </c>
      <c r="G49" s="9">
        <f>+B49-C49</f>
        <v>0</v>
      </c>
      <c r="H49" s="9">
        <f>+D49-F49</f>
        <v>0</v>
      </c>
    </row>
    <row r="50" spans="1:8" ht="12.75">
      <c r="A50" s="18" t="s">
        <v>227</v>
      </c>
      <c r="B50" s="9">
        <f>'MITCHELL OPCO'!C56</f>
        <v>10069974.786361799</v>
      </c>
      <c r="C50" s="9">
        <f>'PRIN GEN'!F22</f>
        <v>10069974.786361799</v>
      </c>
      <c r="D50" s="9">
        <f>'MITCHELL OPCO'!B47+'MITCHELL OPCO'!B48+'MITCHELL OPCO'!B40</f>
        <v>224046.82562</v>
      </c>
      <c r="E50" s="9"/>
      <c r="F50" s="9">
        <f>'PRIN GEN'!C20+'PRIN GEN'!C21</f>
        <v>224046.82562</v>
      </c>
      <c r="G50" s="9">
        <f>+B50-C50</f>
        <v>0</v>
      </c>
      <c r="H50" s="9">
        <f>+D50-F50</f>
        <v>0</v>
      </c>
    </row>
    <row r="51" spans="1:8" ht="13.5" thickBot="1">
      <c r="A51" s="3" t="s">
        <v>35</v>
      </c>
      <c r="B51" s="56">
        <f>SUM(B48:B50)</f>
        <v>39779896.06</v>
      </c>
      <c r="C51" s="56">
        <f>SUM(C48:C50)</f>
        <v>39779896.06</v>
      </c>
      <c r="D51" s="56">
        <f>SUM(D48:D50)</f>
        <v>886884</v>
      </c>
      <c r="E51" s="9"/>
      <c r="F51" s="56">
        <f>SUM(F48:F50)</f>
        <v>886884</v>
      </c>
      <c r="G51" s="56">
        <f>SUM(G48:G50)</f>
        <v>0</v>
      </c>
      <c r="H51" s="56">
        <f>SUM(H48:H50)</f>
        <v>0</v>
      </c>
    </row>
    <row r="52" ht="13.5" thickTop="1"/>
    <row r="54" ht="12.75">
      <c r="A54" s="67" t="s">
        <v>85</v>
      </c>
    </row>
    <row r="55" ht="12.75">
      <c r="I55" s="68"/>
    </row>
    <row r="56" spans="2:12" ht="13.5" thickBot="1">
      <c r="B56" s="345" t="s">
        <v>2</v>
      </c>
      <c r="C56" s="345"/>
      <c r="D56" s="345"/>
      <c r="E56" s="68"/>
      <c r="F56" s="345" t="s">
        <v>84</v>
      </c>
      <c r="G56" s="345"/>
      <c r="H56" s="345"/>
      <c r="I56" s="68"/>
      <c r="J56" s="345" t="s">
        <v>86</v>
      </c>
      <c r="K56" s="345"/>
      <c r="L56" s="345"/>
    </row>
    <row r="57" spans="1:12" ht="13.5" thickBot="1">
      <c r="A57" s="55" t="s">
        <v>43</v>
      </c>
      <c r="B57" s="55" t="s">
        <v>57</v>
      </c>
      <c r="C57" s="55" t="s">
        <v>58</v>
      </c>
      <c r="D57" s="55" t="s">
        <v>59</v>
      </c>
      <c r="E57" s="55"/>
      <c r="F57" s="55" t="s">
        <v>57</v>
      </c>
      <c r="G57" s="55" t="s">
        <v>58</v>
      </c>
      <c r="H57" s="55" t="s">
        <v>59</v>
      </c>
      <c r="J57" s="55" t="s">
        <v>57</v>
      </c>
      <c r="K57" s="55" t="s">
        <v>58</v>
      </c>
      <c r="L57" s="55" t="s">
        <v>59</v>
      </c>
    </row>
    <row r="58" spans="1:12" ht="12.75">
      <c r="A58" s="112" t="s">
        <v>1</v>
      </c>
      <c r="B58" s="3">
        <f>+B9</f>
        <v>64.70665269811917</v>
      </c>
      <c r="C58" s="3">
        <f>+C9</f>
        <v>3.312411680028428</v>
      </c>
      <c r="D58" s="3">
        <f>+D9</f>
        <v>2.0959554983646074</v>
      </c>
      <c r="F58" s="310"/>
      <c r="G58" s="310"/>
      <c r="H58" s="310"/>
      <c r="J58" s="76" t="e">
        <f aca="true" t="shared" si="6" ref="J58:L62">ROUND((B58-F58)/F58,2)</f>
        <v>#DIV/0!</v>
      </c>
      <c r="K58" s="76" t="e">
        <f t="shared" si="6"/>
        <v>#DIV/0!</v>
      </c>
      <c r="L58" s="76" t="e">
        <f t="shared" si="6"/>
        <v>#DIV/0!</v>
      </c>
    </row>
    <row r="59" spans="1:12" ht="12.75">
      <c r="A59" s="69" t="s">
        <v>228</v>
      </c>
      <c r="B59" s="112">
        <f>+MITCHELL!D22</f>
        <v>64.7066527234588</v>
      </c>
      <c r="C59" s="112">
        <f>+MITCHELL!D43</f>
        <v>3.3124116921150506</v>
      </c>
      <c r="D59" s="112">
        <f>+MITCHELL!D33</f>
        <v>2.095955498364607</v>
      </c>
      <c r="E59" s="112"/>
      <c r="F59" s="311">
        <v>70.97</v>
      </c>
      <c r="G59" s="311">
        <v>3.22</v>
      </c>
      <c r="H59" s="311">
        <v>2.47</v>
      </c>
      <c r="I59" s="69"/>
      <c r="J59" s="76">
        <f t="shared" si="6"/>
        <v>-0.09</v>
      </c>
      <c r="K59" s="76">
        <f t="shared" si="6"/>
        <v>0.03</v>
      </c>
      <c r="L59" s="76">
        <f t="shared" si="6"/>
        <v>-0.15</v>
      </c>
    </row>
    <row r="60" spans="1:12" ht="12.75">
      <c r="A60" s="69" t="s">
        <v>226</v>
      </c>
      <c r="B60" s="3">
        <f>'MITCHELL KPCO'!D22</f>
        <v>64.70665269811917</v>
      </c>
      <c r="C60" s="3">
        <f>'MITCHELL KPCO'!D43</f>
        <v>3.312411680028428</v>
      </c>
      <c r="D60" s="3">
        <f>'MITCHELL KPCO'!D33</f>
        <v>2.0959554983646074</v>
      </c>
      <c r="F60" s="310">
        <v>0</v>
      </c>
      <c r="G60" s="310">
        <v>0</v>
      </c>
      <c r="H60" s="310">
        <v>0</v>
      </c>
      <c r="I60" s="69"/>
      <c r="J60" s="76" t="e">
        <f t="shared" si="6"/>
        <v>#DIV/0!</v>
      </c>
      <c r="K60" s="76" t="e">
        <f t="shared" si="6"/>
        <v>#DIV/0!</v>
      </c>
      <c r="L60" s="76" t="e">
        <f t="shared" si="6"/>
        <v>#DIV/0!</v>
      </c>
    </row>
    <row r="61" spans="1:12" ht="12.75">
      <c r="A61" s="69" t="s">
        <v>227</v>
      </c>
      <c r="B61" s="3">
        <f>'MITCHELL OPCO'!D22</f>
        <v>64.70665274879839</v>
      </c>
      <c r="C61" s="3">
        <f>'MITCHELL OPCO'!D43</f>
        <v>3.312411704201672</v>
      </c>
      <c r="D61" s="112">
        <f>'MITCHELL OPCO'!D33</f>
        <v>2.095955498364606</v>
      </c>
      <c r="F61" s="310">
        <v>0</v>
      </c>
      <c r="G61" s="310">
        <v>0</v>
      </c>
      <c r="H61" s="311">
        <v>0</v>
      </c>
      <c r="I61" s="69"/>
      <c r="J61" s="76" t="e">
        <f t="shared" si="6"/>
        <v>#DIV/0!</v>
      </c>
      <c r="K61" s="76" t="e">
        <f t="shared" si="6"/>
        <v>#DIV/0!</v>
      </c>
      <c r="L61" s="120" t="e">
        <f t="shared" si="6"/>
        <v>#DIV/0!</v>
      </c>
    </row>
    <row r="62" spans="1:12" ht="13.5" thickBot="1">
      <c r="A62" s="3" t="s">
        <v>35</v>
      </c>
      <c r="B62" s="56">
        <f>SUM(B58:B61)</f>
        <v>258.82661086849555</v>
      </c>
      <c r="C62" s="56">
        <f>SUM(C58:C61)</f>
        <v>13.249646756373577</v>
      </c>
      <c r="D62" s="56">
        <f>SUM(D58:D61)</f>
        <v>8.383821993458428</v>
      </c>
      <c r="E62" s="56"/>
      <c r="F62" s="56">
        <f>SUM(F58:F61)</f>
        <v>70.97</v>
      </c>
      <c r="G62" s="56">
        <f>SUM(G58:G61)</f>
        <v>3.22</v>
      </c>
      <c r="H62" s="56">
        <f>SUM(H58:H61)</f>
        <v>2.47</v>
      </c>
      <c r="I62"/>
      <c r="J62" s="77">
        <f t="shared" si="6"/>
        <v>2.65</v>
      </c>
      <c r="K62" s="77">
        <f t="shared" si="6"/>
        <v>3.11</v>
      </c>
      <c r="L62" s="77">
        <f t="shared" si="6"/>
        <v>2.39</v>
      </c>
    </row>
    <row r="63" spans="1:12" ht="13.5" thickTop="1">
      <c r="A63"/>
      <c r="B63"/>
      <c r="C63"/>
      <c r="D63"/>
      <c r="E63"/>
      <c r="F63"/>
      <c r="G63"/>
      <c r="H63"/>
      <c r="I63"/>
      <c r="J63"/>
      <c r="K63"/>
      <c r="L63"/>
    </row>
    <row r="64" spans="1:12" ht="12.75">
      <c r="A64"/>
      <c r="B64"/>
      <c r="C64"/>
      <c r="D64"/>
      <c r="E64"/>
      <c r="F64"/>
      <c r="G64"/>
      <c r="H64"/>
      <c r="J64"/>
      <c r="K64"/>
      <c r="L64"/>
    </row>
    <row r="65" ht="12.75">
      <c r="A65" s="67" t="s">
        <v>90</v>
      </c>
    </row>
    <row r="67" spans="1:8" ht="13.5" thickBot="1">
      <c r="A67" s="55" t="s">
        <v>43</v>
      </c>
      <c r="B67" s="55" t="s">
        <v>88</v>
      </c>
      <c r="C67" s="55" t="s">
        <v>89</v>
      </c>
      <c r="D67" s="55" t="s">
        <v>86</v>
      </c>
      <c r="E67"/>
      <c r="F67"/>
      <c r="G67"/>
      <c r="H67"/>
    </row>
    <row r="68" spans="1:8" ht="12.75">
      <c r="A68" s="18" t="s">
        <v>228</v>
      </c>
      <c r="B68" s="78">
        <f>'PRIN GEN'!G27</f>
        <v>274.3709</v>
      </c>
      <c r="C68" s="312">
        <v>336.2413</v>
      </c>
      <c r="D68" s="79">
        <f>ROUND((B68-C68)/C68,2)</f>
        <v>-0.18</v>
      </c>
      <c r="E68" s="9"/>
      <c r="F68"/>
      <c r="G68"/>
      <c r="H68"/>
    </row>
    <row r="69" spans="1:8" ht="12.75">
      <c r="A69" s="18" t="s">
        <v>226</v>
      </c>
      <c r="B69" s="78">
        <f>'PRIN GEN'!G11</f>
        <v>273.7947</v>
      </c>
      <c r="C69" s="312">
        <v>0</v>
      </c>
      <c r="D69" s="79" t="e">
        <f>ROUND((B69-C69)/C69,2)</f>
        <v>#DIV/0!</v>
      </c>
      <c r="E69" s="9"/>
      <c r="F69"/>
      <c r="G69"/>
      <c r="H69"/>
    </row>
    <row r="70" spans="1:8" ht="12.75">
      <c r="A70" s="18" t="s">
        <v>227</v>
      </c>
      <c r="B70" s="78">
        <f>'PRIN GEN'!G22</f>
        <v>274.9351</v>
      </c>
      <c r="C70" s="312">
        <v>0</v>
      </c>
      <c r="D70" s="79" t="e">
        <f>ROUND((B70-C70)/C70,2)</f>
        <v>#DIV/0!</v>
      </c>
      <c r="E70" s="9"/>
      <c r="F70"/>
      <c r="G70"/>
      <c r="H70"/>
    </row>
    <row r="71" spans="1:8" ht="13.5" thickBot="1">
      <c r="A71" s="3" t="s">
        <v>35</v>
      </c>
      <c r="B71" s="80">
        <f>'PRIN GEN'!G16</f>
        <v>273.7947</v>
      </c>
      <c r="C71" s="313">
        <v>364.1154</v>
      </c>
      <c r="D71" s="77">
        <f>ROUND((B71-C71)/C71,2)</f>
        <v>-0.25</v>
      </c>
      <c r="E71" s="9"/>
      <c r="F71"/>
      <c r="G71"/>
      <c r="H71"/>
    </row>
    <row r="72" ht="13.5" thickTop="1"/>
  </sheetData>
  <sheetProtection/>
  <mergeCells count="19">
    <mergeCell ref="B30:C30"/>
    <mergeCell ref="D30:F30"/>
    <mergeCell ref="G30:H30"/>
    <mergeCell ref="A1:L1"/>
    <mergeCell ref="A2:L2"/>
    <mergeCell ref="A3:L3"/>
    <mergeCell ref="B7:D7"/>
    <mergeCell ref="F7:H7"/>
    <mergeCell ref="J7:L7"/>
    <mergeCell ref="B56:D56"/>
    <mergeCell ref="F56:H56"/>
    <mergeCell ref="J56:L56"/>
    <mergeCell ref="J20:L20"/>
    <mergeCell ref="B46:C46"/>
    <mergeCell ref="D46:F46"/>
    <mergeCell ref="G46:H46"/>
    <mergeCell ref="B20:C20"/>
    <mergeCell ref="D20:F20"/>
    <mergeCell ref="G20:H20"/>
  </mergeCells>
  <printOptions/>
  <pageMargins left="0.5" right="0.5" top="0.5" bottom="0.5" header="0.3" footer="0.3"/>
  <pageSetup fitToHeight="1" fitToWidth="1" horizontalDpi="600" verticalDpi="600" orientation="portrait" scale="53" r:id="rId1"/>
  <headerFooter alignWithMargins="0">
    <oddFooter>&amp;C&amp;Z&amp;F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H28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33.57421875" style="0" bestFit="1" customWidth="1"/>
    <col min="2" max="5" width="15.7109375" style="0" customWidth="1"/>
    <col min="6" max="6" width="16.57421875" style="0" bestFit="1" customWidth="1"/>
    <col min="7" max="7" width="15.7109375" style="0" customWidth="1"/>
    <col min="8" max="8" width="13.140625" style="0" bestFit="1" customWidth="1"/>
    <col min="9" max="9" width="18.57421875" style="0" customWidth="1"/>
  </cols>
  <sheetData>
    <row r="1" spans="1:8" ht="12.75">
      <c r="A1" s="328" t="s">
        <v>92</v>
      </c>
      <c r="B1" s="329"/>
      <c r="C1" s="329"/>
      <c r="D1" s="329"/>
      <c r="E1" s="329"/>
      <c r="F1" s="329"/>
      <c r="G1" s="329"/>
      <c r="H1" s="137"/>
    </row>
    <row r="2" spans="1:8" ht="12.75">
      <c r="A2" s="330" t="s">
        <v>129</v>
      </c>
      <c r="B2" s="331"/>
      <c r="C2" s="331"/>
      <c r="D2" s="331"/>
      <c r="E2" s="331"/>
      <c r="F2" s="331"/>
      <c r="G2" s="331"/>
      <c r="H2" s="87"/>
    </row>
    <row r="3" spans="1:8" ht="12.75">
      <c r="A3" s="330" t="str">
        <f>+INPUT!A3</f>
        <v>APRIL 2014</v>
      </c>
      <c r="B3" s="331"/>
      <c r="C3" s="331"/>
      <c r="D3" s="331"/>
      <c r="E3" s="331"/>
      <c r="F3" s="331"/>
      <c r="G3" s="331"/>
      <c r="H3" s="87"/>
    </row>
    <row r="4" spans="1:8" ht="12.75">
      <c r="A4" s="113"/>
      <c r="B4" s="126"/>
      <c r="C4" s="126"/>
      <c r="D4" s="126"/>
      <c r="E4" s="126"/>
      <c r="F4" s="126"/>
      <c r="G4" s="126"/>
      <c r="H4" s="87"/>
    </row>
    <row r="5" spans="1:8" ht="12.75">
      <c r="A5" s="132"/>
      <c r="B5" s="133" t="s">
        <v>35</v>
      </c>
      <c r="C5" s="133" t="s">
        <v>35</v>
      </c>
      <c r="D5" s="133" t="s">
        <v>35</v>
      </c>
      <c r="E5" s="134" t="s">
        <v>124</v>
      </c>
      <c r="F5" s="133" t="s">
        <v>138</v>
      </c>
      <c r="G5" s="133" t="s">
        <v>121</v>
      </c>
      <c r="H5" s="138" t="s">
        <v>127</v>
      </c>
    </row>
    <row r="6" spans="1:8" ht="13.5" thickBot="1">
      <c r="A6" s="135" t="s">
        <v>102</v>
      </c>
      <c r="B6" s="130" t="s">
        <v>122</v>
      </c>
      <c r="C6" s="130" t="s">
        <v>121</v>
      </c>
      <c r="D6" s="136" t="s">
        <v>123</v>
      </c>
      <c r="E6" s="130" t="s">
        <v>120</v>
      </c>
      <c r="F6" s="130" t="s">
        <v>120</v>
      </c>
      <c r="G6" s="130" t="s">
        <v>120</v>
      </c>
      <c r="H6" s="140" t="s">
        <v>48</v>
      </c>
    </row>
    <row r="7" spans="1:8" ht="12.75">
      <c r="A7" s="113" t="s">
        <v>112</v>
      </c>
      <c r="B7" s="174" t="e">
        <f>+INPUT!#REF!</f>
        <v>#REF!</v>
      </c>
      <c r="C7" s="174" t="e">
        <f>+INPUT!#REF!</f>
        <v>#REF!</v>
      </c>
      <c r="D7" s="175" t="e">
        <f>B7+C7</f>
        <v>#REF!</v>
      </c>
      <c r="E7" s="176" t="e">
        <f>+#REF!</f>
        <v>#REF!</v>
      </c>
      <c r="F7" s="176" t="e">
        <f>+INPUT!#REF!</f>
        <v>#REF!</v>
      </c>
      <c r="G7" s="127" t="e">
        <f>+INPUT!#REF!</f>
        <v>#REF!</v>
      </c>
      <c r="H7" s="139" t="e">
        <f>+#REF!</f>
        <v>#REF!</v>
      </c>
    </row>
    <row r="8" spans="1:8" ht="13.5" thickBot="1">
      <c r="A8" s="128" t="s">
        <v>130</v>
      </c>
      <c r="B8" s="177" t="e">
        <f>+INPUT!#REF!</f>
        <v>#REF!</v>
      </c>
      <c r="C8" s="177" t="e">
        <f>+INPUT!#REF!</f>
        <v>#REF!</v>
      </c>
      <c r="D8" s="178" t="e">
        <f>B8+C8</f>
        <v>#REF!</v>
      </c>
      <c r="E8" s="173" t="e">
        <f>+#REF!</f>
        <v>#REF!</v>
      </c>
      <c r="F8" s="173" t="e">
        <f>+INPUT!#REF!</f>
        <v>#REF!</v>
      </c>
      <c r="G8" s="129" t="e">
        <f>+INPUT!#REF!</f>
        <v>#REF!</v>
      </c>
      <c r="H8" s="12" t="e">
        <f>+#REF!</f>
        <v>#REF!</v>
      </c>
    </row>
    <row r="9" spans="2:7" ht="12.75">
      <c r="B9" s="125"/>
      <c r="C9" s="125"/>
      <c r="D9" s="125"/>
      <c r="E9" s="125"/>
      <c r="F9" s="125"/>
      <c r="G9" s="125"/>
    </row>
    <row r="10" spans="2:7" ht="12.75">
      <c r="B10" s="125"/>
      <c r="C10" s="125"/>
      <c r="D10" s="125"/>
      <c r="E10" s="125"/>
      <c r="F10" s="125"/>
      <c r="G10" s="125"/>
    </row>
    <row r="11" spans="1:5" ht="12.75">
      <c r="A11" s="349" t="s">
        <v>92</v>
      </c>
      <c r="B11" s="349"/>
      <c r="C11" s="349"/>
      <c r="D11" s="349"/>
      <c r="E11" s="349"/>
    </row>
    <row r="12" spans="1:5" ht="12.75">
      <c r="A12" s="349" t="s">
        <v>129</v>
      </c>
      <c r="B12" s="349"/>
      <c r="C12" s="349"/>
      <c r="D12" s="349"/>
      <c r="E12" s="349"/>
    </row>
    <row r="13" spans="1:5" ht="12.75">
      <c r="A13" s="344" t="str">
        <f>+A3</f>
        <v>APRIL 2014</v>
      </c>
      <c r="B13" s="344"/>
      <c r="C13" s="344"/>
      <c r="D13" s="344"/>
      <c r="E13" s="344"/>
    </row>
    <row r="14" spans="2:4" ht="12.75">
      <c r="B14" s="3"/>
      <c r="C14" s="3"/>
      <c r="D14" s="131"/>
    </row>
    <row r="15" spans="2:4" ht="12.75">
      <c r="B15" s="3"/>
      <c r="C15" s="1" t="s">
        <v>35</v>
      </c>
      <c r="D15" s="1" t="s">
        <v>125</v>
      </c>
    </row>
    <row r="16" spans="1:4" ht="13.5" thickBot="1">
      <c r="A16" s="130" t="s">
        <v>102</v>
      </c>
      <c r="B16" s="55" t="s">
        <v>131</v>
      </c>
      <c r="C16" s="55" t="s">
        <v>52</v>
      </c>
      <c r="D16" s="55" t="s">
        <v>132</v>
      </c>
    </row>
    <row r="17" spans="1:4" ht="12.75">
      <c r="A17" t="s">
        <v>133</v>
      </c>
      <c r="B17" s="3"/>
      <c r="C17" s="3"/>
      <c r="D17" s="3"/>
    </row>
    <row r="18" spans="1:4" ht="12.75">
      <c r="A18" t="s">
        <v>128</v>
      </c>
      <c r="B18" s="18" t="e">
        <f>+F7</f>
        <v>#REF!</v>
      </c>
      <c r="C18" s="197" t="e">
        <f>ROUND(D18*B18,2)-1.07</f>
        <v>#REF!</v>
      </c>
      <c r="D18" s="141" t="e">
        <f>ROUND(IF(H7&lt;&gt;0,H7/E7,0),6)</f>
        <v>#REF!</v>
      </c>
    </row>
    <row r="19" spans="1:4" ht="12.75">
      <c r="A19" t="s">
        <v>126</v>
      </c>
      <c r="B19" s="18" t="e">
        <f>+G7</f>
        <v>#REF!</v>
      </c>
      <c r="C19" s="18" t="e">
        <f>ROUND(D19*B19,2)</f>
        <v>#REF!</v>
      </c>
      <c r="D19" s="141" t="e">
        <f>ROUND(IF(H7&lt;&gt;0,H7/E7,0),6)</f>
        <v>#REF!</v>
      </c>
    </row>
    <row r="20" spans="1:5" ht="13.5" thickBot="1">
      <c r="A20" t="s">
        <v>35</v>
      </c>
      <c r="B20" s="56" t="e">
        <f>SUM(B18:B19)</f>
        <v>#REF!</v>
      </c>
      <c r="C20" s="56" t="e">
        <f>SUM(C18:C19)</f>
        <v>#REF!</v>
      </c>
      <c r="D20" s="142" t="e">
        <f>ROUND(IF(C20&gt;0,C20/B20,0),6)</f>
        <v>#REF!</v>
      </c>
      <c r="E20" s="112" t="e">
        <f>+H7-C20</f>
        <v>#REF!</v>
      </c>
    </row>
    <row r="21" spans="2:4" ht="13.5" thickTop="1">
      <c r="B21" s="3"/>
      <c r="C21" s="3"/>
      <c r="D21" s="143"/>
    </row>
    <row r="22" spans="1:4" ht="12.75">
      <c r="A22" t="s">
        <v>134</v>
      </c>
      <c r="B22" s="3"/>
      <c r="C22" s="3"/>
      <c r="D22" s="143"/>
    </row>
    <row r="23" spans="1:4" ht="12.75">
      <c r="A23" t="s">
        <v>128</v>
      </c>
      <c r="B23" s="18" t="e">
        <f>+F8</f>
        <v>#REF!</v>
      </c>
      <c r="C23" s="172" t="e">
        <f>IF(B23&lt;&gt;0,ROUND((H8/E8)*B23,2),0)</f>
        <v>#REF!</v>
      </c>
      <c r="D23" s="141" t="e">
        <f>ROUND(IF(C23&lt;&gt;0,C23/B23,0),4)</f>
        <v>#REF!</v>
      </c>
    </row>
    <row r="24" spans="1:4" ht="12.75">
      <c r="A24" t="s">
        <v>126</v>
      </c>
      <c r="B24" s="18" t="e">
        <f>+G8</f>
        <v>#REF!</v>
      </c>
      <c r="C24" s="172" t="e">
        <f>IF(B24&lt;&gt;0,ROUND((H8/E8)*B24,2),0)</f>
        <v>#REF!</v>
      </c>
      <c r="D24" s="141" t="e">
        <f>ROUND(IF(C24&lt;&gt;0,C24/B24,0),4)</f>
        <v>#REF!</v>
      </c>
    </row>
    <row r="25" spans="1:5" ht="13.5" thickBot="1">
      <c r="A25" t="s">
        <v>35</v>
      </c>
      <c r="B25" s="56" t="e">
        <f>SUM(B23:B24)</f>
        <v>#REF!</v>
      </c>
      <c r="C25" s="56" t="e">
        <f>SUM(C23:C24)</f>
        <v>#REF!</v>
      </c>
      <c r="D25" s="142" t="e">
        <f>ROUND(IF(C25&lt;&gt;0,C25/B25,0),4)</f>
        <v>#REF!</v>
      </c>
      <c r="E25" s="3" t="e">
        <f>+H8-C25</f>
        <v>#REF!</v>
      </c>
    </row>
    <row r="26" ht="13.5" thickTop="1"/>
    <row r="27" spans="1:7" ht="12.75">
      <c r="A27" s="164"/>
      <c r="B27" s="164"/>
      <c r="C27" s="164"/>
      <c r="D27" s="164"/>
      <c r="E27" s="164"/>
      <c r="F27" s="164"/>
      <c r="G27" s="165"/>
    </row>
    <row r="28" spans="1:7" ht="12.75">
      <c r="A28" s="164"/>
      <c r="B28" s="164"/>
      <c r="C28" s="164"/>
      <c r="D28" s="164"/>
      <c r="E28" s="164"/>
      <c r="F28" s="164"/>
      <c r="G28" s="165"/>
    </row>
  </sheetData>
  <sheetProtection/>
  <mergeCells count="6">
    <mergeCell ref="A13:E13"/>
    <mergeCell ref="A3:G3"/>
    <mergeCell ref="A1:G1"/>
    <mergeCell ref="A2:G2"/>
    <mergeCell ref="A11:E11"/>
    <mergeCell ref="A12:E12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65"/>
  <sheetViews>
    <sheetView zoomScalePageLayoutView="0" workbookViewId="0" topLeftCell="A34">
      <selection activeCell="A11" sqref="A11"/>
    </sheetView>
  </sheetViews>
  <sheetFormatPr defaultColWidth="17.7109375" defaultRowHeight="12.75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6" width="15.7109375" style="0" customWidth="1"/>
    <col min="7" max="7" width="16.28125" style="0" customWidth="1"/>
    <col min="8" max="8" width="12.7109375" style="0" customWidth="1"/>
    <col min="9" max="9" width="2.421875" style="0" customWidth="1"/>
  </cols>
  <sheetData>
    <row r="1" spans="1:8" ht="15">
      <c r="A1" s="288" t="str">
        <f>IF(OR(ABS(B22-F22)&gt;1,ABS(C22-G22)&gt;1,ABS(B33-F33)&gt;1,ABS(C33-G33)&gt;1,ABS(B43-F43)&gt;1,ABS(C43-G43)&gt;1),"---&gt; THIS REPORT HAS SOME ISSUES MURNY","--&gt;  Checks out CM Endings = YTD Endings")</f>
        <v>--&gt;  Checks out CM Endings = YTD Endings</v>
      </c>
      <c r="H1" s="89" t="s">
        <v>27</v>
      </c>
    </row>
    <row r="2" spans="1:9" s="92" customFormat="1" ht="15">
      <c r="A2" s="340" t="s">
        <v>204</v>
      </c>
      <c r="B2" s="340"/>
      <c r="C2" s="340"/>
      <c r="D2" s="340"/>
      <c r="E2" s="340"/>
      <c r="F2" s="340"/>
      <c r="G2" s="340"/>
      <c r="H2" s="340"/>
      <c r="I2" s="91"/>
    </row>
    <row r="3" spans="1:9" s="92" customFormat="1" ht="15">
      <c r="A3" s="340" t="s">
        <v>0</v>
      </c>
      <c r="B3" s="340"/>
      <c r="C3" s="340"/>
      <c r="D3" s="340"/>
      <c r="E3" s="340"/>
      <c r="F3" s="340"/>
      <c r="G3" s="340"/>
      <c r="H3" s="340"/>
      <c r="I3" s="91"/>
    </row>
    <row r="4" spans="1:9" s="92" customFormat="1" ht="15">
      <c r="A4" s="340" t="s">
        <v>1</v>
      </c>
      <c r="B4" s="340"/>
      <c r="C4" s="340"/>
      <c r="D4" s="340"/>
      <c r="E4" s="340"/>
      <c r="F4" s="340"/>
      <c r="G4" s="340"/>
      <c r="H4" s="340"/>
      <c r="I4" s="91"/>
    </row>
    <row r="5" spans="1:9" s="92" customFormat="1" ht="15">
      <c r="A5" s="341" t="str">
        <f>+INPUT!A3</f>
        <v>APRIL 2014</v>
      </c>
      <c r="B5" s="341"/>
      <c r="C5" s="341"/>
      <c r="D5" s="341"/>
      <c r="E5" s="341"/>
      <c r="F5" s="341"/>
      <c r="G5" s="341"/>
      <c r="H5" s="341"/>
      <c r="I5" s="91"/>
    </row>
    <row r="6" s="92" customFormat="1" ht="14.25">
      <c r="I6" s="91"/>
    </row>
    <row r="7" spans="2:11" s="92" customFormat="1" ht="15">
      <c r="B7" s="340" t="s">
        <v>2</v>
      </c>
      <c r="C7" s="340"/>
      <c r="D7" s="340"/>
      <c r="E7" s="90"/>
      <c r="F7" s="340" t="s">
        <v>3</v>
      </c>
      <c r="G7" s="340"/>
      <c r="H7" s="340"/>
      <c r="I7" s="91"/>
      <c r="J7" s="340" t="s">
        <v>4</v>
      </c>
      <c r="K7" s="340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103</v>
      </c>
      <c r="B10" s="5"/>
      <c r="C10" s="6"/>
      <c r="D10" s="7"/>
      <c r="F10" s="5"/>
      <c r="G10" s="6"/>
      <c r="H10" s="7"/>
      <c r="I10" s="4"/>
      <c r="J10" s="107"/>
      <c r="K10" s="107"/>
    </row>
    <row r="11" spans="1:11" s="3" customFormat="1" ht="12.75">
      <c r="A11" s="3" t="s">
        <v>9</v>
      </c>
      <c r="B11" s="16">
        <f>'MITCHELL KPCO'!B11</f>
        <v>172828.32</v>
      </c>
      <c r="C11" s="17">
        <f>'MITCHELL KPCO'!C11</f>
        <v>11299798.66</v>
      </c>
      <c r="D11" s="15">
        <f aca="true" t="shared" si="0" ref="D11:D22">IF(AND(B11&lt;&gt;0,C11&lt;&gt;0),C11/B11,"")</f>
        <v>65.3816380324706</v>
      </c>
      <c r="E11" s="18"/>
      <c r="F11" s="16">
        <f>'MITCHELL KPCO'!F11</f>
        <v>421824.08</v>
      </c>
      <c r="G11" s="268">
        <f>'MITCHELL KPCO'!G11</f>
        <v>29937480.07</v>
      </c>
      <c r="H11" s="15">
        <f aca="true" t="shared" si="1" ref="H11:H22">IF(AND(F11&lt;&gt;0,G11&lt;&gt;0),G11/F11,"")</f>
        <v>70.97148192677858</v>
      </c>
      <c r="I11" s="4"/>
      <c r="J11" s="107"/>
      <c r="K11" s="107"/>
    </row>
    <row r="12" spans="1:11" s="3" customFormat="1" ht="12.75">
      <c r="A12" s="18" t="s">
        <v>8</v>
      </c>
      <c r="B12" s="16"/>
      <c r="C12" s="17"/>
      <c r="D12" s="15">
        <f t="shared" si="0"/>
      </c>
      <c r="F12" s="8"/>
      <c r="G12" s="9"/>
      <c r="H12" s="15">
        <f t="shared" si="1"/>
      </c>
      <c r="I12" s="4"/>
      <c r="J12" s="107"/>
      <c r="K12" s="107"/>
    </row>
    <row r="13" spans="1:11" s="3" customFormat="1" ht="12.75">
      <c r="A13" s="3" t="s">
        <v>10</v>
      </c>
      <c r="B13" s="16">
        <f>'MITCHELL KPCO'!B13</f>
        <v>171267</v>
      </c>
      <c r="C13" s="17">
        <f>'MITCHELL KPCO'!C13</f>
        <v>9911386.97</v>
      </c>
      <c r="D13" s="15">
        <f t="shared" si="0"/>
        <v>57.87096737842083</v>
      </c>
      <c r="F13" s="16">
        <f>'MITCHELL KPCO'!F13</f>
        <v>362340.17000000004</v>
      </c>
      <c r="G13" s="195">
        <f>'MITCHELL KPCO'!G13</f>
        <v>22181926.480000004</v>
      </c>
      <c r="H13" s="15">
        <f t="shared" si="1"/>
        <v>61.21851319990274</v>
      </c>
      <c r="I13" s="4"/>
      <c r="J13" s="107"/>
      <c r="K13" s="107"/>
    </row>
    <row r="14" spans="1:11" s="3" customFormat="1" ht="12.75">
      <c r="A14" s="3" t="s">
        <v>11</v>
      </c>
      <c r="B14" s="111"/>
      <c r="C14" s="195">
        <f>'MITCHELL KPCO'!C14</f>
        <v>866707.7399999998</v>
      </c>
      <c r="D14" s="95">
        <f>IF(AND(B13&lt;&gt;0,C14&lt;&gt;0),C14/B13,"")</f>
        <v>5.060564732260154</v>
      </c>
      <c r="F14" s="93"/>
      <c r="G14" s="195">
        <f>'MITCHELL KPCO'!G14</f>
        <v>1057483.8900000001</v>
      </c>
      <c r="H14" s="95">
        <f>IF(AND(F13&lt;&gt;0,G14&lt;&gt;0),G14/F13,"")</f>
        <v>2.918483727597743</v>
      </c>
      <c r="I14" s="4"/>
      <c r="J14" s="107"/>
      <c r="K14" s="107"/>
    </row>
    <row r="15" spans="1:11" s="3" customFormat="1" ht="12.75">
      <c r="A15" s="2" t="s">
        <v>12</v>
      </c>
      <c r="B15" s="101">
        <f>SUM(B13:B14)</f>
        <v>171267</v>
      </c>
      <c r="C15" s="102">
        <f>SUM(C13:C14)</f>
        <v>10778094.71</v>
      </c>
      <c r="D15" s="103">
        <f t="shared" si="0"/>
        <v>62.93153211068099</v>
      </c>
      <c r="E15" s="2"/>
      <c r="F15" s="101">
        <f>SUM(F13:F14)</f>
        <v>362340.17000000004</v>
      </c>
      <c r="G15" s="102">
        <f>SUM(G13:G14)</f>
        <v>23239410.370000005</v>
      </c>
      <c r="H15" s="103">
        <f t="shared" si="1"/>
        <v>64.13699692750048</v>
      </c>
      <c r="I15" s="4"/>
      <c r="J15" s="107"/>
      <c r="K15" s="107"/>
    </row>
    <row r="16" spans="1:11" s="3" customFormat="1" ht="12.75">
      <c r="A16" s="2" t="s">
        <v>18</v>
      </c>
      <c r="B16" s="98">
        <f>+B11+B15</f>
        <v>344095.32</v>
      </c>
      <c r="C16" s="99">
        <f>+C11+C15</f>
        <v>22077893.37</v>
      </c>
      <c r="D16" s="100">
        <f t="shared" si="0"/>
        <v>64.16214370483156</v>
      </c>
      <c r="E16" s="2"/>
      <c r="F16" s="98">
        <f>+F11+F15</f>
        <v>784164.25</v>
      </c>
      <c r="G16" s="99">
        <f>+G11+G15</f>
        <v>53176890.440000005</v>
      </c>
      <c r="H16" s="100">
        <f t="shared" si="1"/>
        <v>67.81345928483734</v>
      </c>
      <c r="I16" s="4"/>
      <c r="J16" s="107"/>
      <c r="K16" s="107"/>
    </row>
    <row r="17" spans="1:11" s="3" customFormat="1" ht="12.75">
      <c r="A17" s="3" t="s">
        <v>13</v>
      </c>
      <c r="B17" s="8"/>
      <c r="C17" s="9"/>
      <c r="D17" s="15">
        <f t="shared" si="0"/>
      </c>
      <c r="F17" s="8"/>
      <c r="G17" s="9"/>
      <c r="H17" s="15">
        <f t="shared" si="1"/>
      </c>
      <c r="I17" s="4"/>
      <c r="J17" s="107"/>
      <c r="K17" s="107"/>
    </row>
    <row r="18" spans="1:11" s="3" customFormat="1" ht="12.75">
      <c r="A18" s="3" t="s">
        <v>19</v>
      </c>
      <c r="B18" s="16">
        <f>'MITCHELL KPCO'!B18</f>
        <v>146775.83000000002</v>
      </c>
      <c r="C18" s="17">
        <f>'MITCHELL KPCO'!C18</f>
        <v>9310009.660000002</v>
      </c>
      <c r="D18" s="15">
        <f t="shared" si="0"/>
        <v>63.430127835080214</v>
      </c>
      <c r="F18" s="16">
        <f>'MITCHELL KPCO'!F18</f>
        <v>581171.45</v>
      </c>
      <c r="G18" s="17">
        <f>'MITCHELL KPCO'!G18</f>
        <v>39951418.2</v>
      </c>
      <c r="H18" s="15">
        <f t="shared" si="1"/>
        <v>68.7429126121044</v>
      </c>
      <c r="I18" s="4"/>
      <c r="J18" s="107"/>
      <c r="K18" s="107"/>
    </row>
    <row r="19" spans="1:11" s="3" customFormat="1" ht="12.75">
      <c r="A19" s="3" t="s">
        <v>14</v>
      </c>
      <c r="B19" s="16">
        <f>'MITCHELL KPCO'!B19</f>
        <v>0</v>
      </c>
      <c r="C19" s="17">
        <f>'MITCHELL KPCO'!C19</f>
        <v>0</v>
      </c>
      <c r="D19" s="15">
        <f t="shared" si="0"/>
      </c>
      <c r="F19" s="16">
        <f>'MITCHELL KPCO'!F19</f>
        <v>5673.310000000001</v>
      </c>
      <c r="G19" s="17">
        <f>'MITCHELL KPCO'!G19</f>
        <v>457588.5299999999</v>
      </c>
      <c r="H19" s="15">
        <f t="shared" si="1"/>
        <v>80.65635933872815</v>
      </c>
      <c r="I19" s="4"/>
      <c r="J19" s="107"/>
      <c r="K19" s="107"/>
    </row>
    <row r="20" spans="1:11" s="3" customFormat="1" ht="12.75">
      <c r="A20" s="3" t="s">
        <v>199</v>
      </c>
      <c r="B20" s="111">
        <f>'MITCHELL KPCO'!B20</f>
        <v>0</v>
      </c>
      <c r="C20" s="195">
        <f>'MITCHELL KPCO'!C20</f>
        <v>0</v>
      </c>
      <c r="D20" s="95">
        <f t="shared" si="0"/>
      </c>
      <c r="F20" s="16">
        <f>'MITCHELL KPCO'!F20</f>
        <v>0</v>
      </c>
      <c r="G20" s="17">
        <f>'MITCHELL KPCO'!G20</f>
        <v>0</v>
      </c>
      <c r="H20" s="95">
        <f t="shared" si="1"/>
      </c>
      <c r="I20" s="4"/>
      <c r="J20" s="107"/>
      <c r="K20" s="107"/>
    </row>
    <row r="21" spans="1:11" s="3" customFormat="1" ht="12.75">
      <c r="A21" s="2" t="s">
        <v>16</v>
      </c>
      <c r="B21" s="101">
        <f>SUM(B18:B20)</f>
        <v>146775.83000000002</v>
      </c>
      <c r="C21" s="102">
        <f>SUM(C18:C20)</f>
        <v>9310009.660000002</v>
      </c>
      <c r="D21" s="103">
        <f t="shared" si="0"/>
        <v>63.430127835080214</v>
      </c>
      <c r="E21" s="2"/>
      <c r="F21" s="101">
        <f>SUM(F18:F20)</f>
        <v>586844.76</v>
      </c>
      <c r="G21" s="102">
        <f>SUM(G18:G20)</f>
        <v>40409006.730000004</v>
      </c>
      <c r="H21" s="103">
        <f t="shared" si="1"/>
        <v>68.8580856204629</v>
      </c>
      <c r="I21" s="4"/>
      <c r="J21" s="107"/>
      <c r="K21" s="107"/>
    </row>
    <row r="22" spans="1:11" s="3" customFormat="1" ht="13.5" thickBot="1">
      <c r="A22" s="2" t="s">
        <v>140</v>
      </c>
      <c r="B22" s="104">
        <f>+B16-B21</f>
        <v>197319.49</v>
      </c>
      <c r="C22" s="105">
        <f>+C16-C21</f>
        <v>12767883.709999999</v>
      </c>
      <c r="D22" s="106">
        <f t="shared" si="0"/>
        <v>64.70665269811917</v>
      </c>
      <c r="E22" s="2"/>
      <c r="F22" s="104">
        <f>+F16-F21</f>
        <v>197319.49</v>
      </c>
      <c r="G22" s="105">
        <f>+G16-G21</f>
        <v>12767883.71</v>
      </c>
      <c r="H22" s="106">
        <f t="shared" si="1"/>
        <v>64.70665269811919</v>
      </c>
      <c r="I22" s="4"/>
      <c r="J22" s="107"/>
      <c r="K22" s="107"/>
    </row>
    <row r="23" spans="2:11" s="3" customFormat="1" ht="14.25" thickBot="1" thickTop="1">
      <c r="B23" s="10"/>
      <c r="C23" s="11"/>
      <c r="D23" s="15"/>
      <c r="F23" s="10"/>
      <c r="G23" s="11"/>
      <c r="H23" s="15"/>
      <c r="I23" s="4"/>
      <c r="J23" s="107"/>
      <c r="K23" s="107"/>
    </row>
    <row r="24" spans="1:11" s="3" customFormat="1" ht="15">
      <c r="A24" s="89" t="s">
        <v>104</v>
      </c>
      <c r="B24" s="5"/>
      <c r="C24" s="6"/>
      <c r="D24" s="7"/>
      <c r="F24" s="5"/>
      <c r="G24" s="6"/>
      <c r="H24" s="7"/>
      <c r="I24" s="4"/>
      <c r="J24" s="108"/>
      <c r="K24" s="108"/>
    </row>
    <row r="25" spans="1:11" s="3" customFormat="1" ht="12.75">
      <c r="A25" s="3" t="s">
        <v>9</v>
      </c>
      <c r="B25" s="16">
        <f>'MITCHELL KPCO'!B25</f>
        <v>172828.32</v>
      </c>
      <c r="C25" s="17">
        <f>'MITCHELL KPCO'!C25</f>
        <v>474873.59</v>
      </c>
      <c r="D25" s="15">
        <f aca="true" t="shared" si="2" ref="D25:D33">IF(AND(B25&lt;&gt;0,C25&lt;&gt;0),C25/B25,"")</f>
        <v>2.747660742174662</v>
      </c>
      <c r="F25" s="21">
        <f>'MITCHELL KPCO'!F25</f>
        <v>421824.08</v>
      </c>
      <c r="G25" s="17">
        <f>'MITCHELL KPCO'!G25</f>
        <v>1040932.76</v>
      </c>
      <c r="H25" s="15">
        <f aca="true" t="shared" si="3" ref="H25:H33">IF(AND(F25&lt;&gt;0,G25&lt;&gt;0),G25/F25,"")</f>
        <v>2.4676940206922278</v>
      </c>
      <c r="I25" s="4"/>
      <c r="J25" s="108"/>
      <c r="K25" s="108"/>
    </row>
    <row r="26" spans="1:11" s="3" customFormat="1" ht="12.75">
      <c r="A26" s="18" t="s">
        <v>8</v>
      </c>
      <c r="B26" s="109">
        <f>'MITCHELL KPCO'!B26</f>
        <v>171267</v>
      </c>
      <c r="C26" s="110">
        <f>'MITCHELL KPCO'!C26</f>
        <v>246326.74000000005</v>
      </c>
      <c r="D26" s="95">
        <f t="shared" si="2"/>
        <v>1.4382615448393448</v>
      </c>
      <c r="F26" s="109">
        <f>'MITCHELL KPCO'!F26</f>
        <v>362340.17000000004</v>
      </c>
      <c r="G26" s="110">
        <f>'MITCHELL KPCO'!G26</f>
        <v>823496.6799999999</v>
      </c>
      <c r="H26" s="95">
        <f t="shared" si="3"/>
        <v>2.2727170437658066</v>
      </c>
      <c r="I26" s="4"/>
      <c r="J26" s="108"/>
      <c r="K26" s="108"/>
    </row>
    <row r="27" spans="1:11" s="3" customFormat="1" ht="12.75">
      <c r="A27" s="2" t="s">
        <v>18</v>
      </c>
      <c r="B27" s="98">
        <f>SUM(B25:B26)</f>
        <v>344095.32</v>
      </c>
      <c r="C27" s="99">
        <f>SUM(C25:C26)</f>
        <v>721200.3300000001</v>
      </c>
      <c r="D27" s="100">
        <f t="shared" si="2"/>
        <v>2.095931819125003</v>
      </c>
      <c r="E27" s="2"/>
      <c r="F27" s="98">
        <f>SUM(F25:F26)</f>
        <v>784164.25</v>
      </c>
      <c r="G27" s="99">
        <f>SUM(G25:G26)</f>
        <v>1864429.44</v>
      </c>
      <c r="H27" s="100">
        <f t="shared" si="3"/>
        <v>2.377600662106185</v>
      </c>
      <c r="I27" s="4"/>
      <c r="J27" s="108"/>
      <c r="K27" s="108"/>
    </row>
    <row r="28" spans="1:11" s="3" customFormat="1" ht="12.75">
      <c r="A28" s="3" t="s">
        <v>13</v>
      </c>
      <c r="B28" s="8"/>
      <c r="C28" s="9"/>
      <c r="D28" s="15"/>
      <c r="F28" s="8"/>
      <c r="G28" s="9"/>
      <c r="H28" s="15"/>
      <c r="I28" s="4"/>
      <c r="J28" s="108"/>
      <c r="K28" s="108"/>
    </row>
    <row r="29" spans="1:11" s="3" customFormat="1" ht="12.75">
      <c r="A29" s="3" t="s">
        <v>19</v>
      </c>
      <c r="B29" s="16">
        <f>'MITCHELL KPCO'!B29</f>
        <v>146775.83000000002</v>
      </c>
      <c r="C29" s="17">
        <f>'MITCHELL KPCO'!C29</f>
        <v>307627.45999999996</v>
      </c>
      <c r="D29" s="15">
        <f t="shared" si="2"/>
        <v>2.095899985712906</v>
      </c>
      <c r="F29" s="8">
        <f>'MITCHELL KPCO'!F29</f>
        <v>581171.45</v>
      </c>
      <c r="G29" s="17">
        <f>'MITCHELL KPCO'!G29</f>
        <v>1436032.23</v>
      </c>
      <c r="H29" s="15">
        <f t="shared" si="3"/>
        <v>2.4709270044149623</v>
      </c>
      <c r="I29" s="4"/>
      <c r="J29" s="108"/>
      <c r="K29" s="108"/>
    </row>
    <row r="30" spans="1:11" s="3" customFormat="1" ht="12.75">
      <c r="A30" s="3" t="s">
        <v>14</v>
      </c>
      <c r="B30" s="16">
        <f>'MITCHELL KPCO'!B30</f>
        <v>0</v>
      </c>
      <c r="C30" s="17">
        <f>'MITCHELL KPCO'!C30</f>
        <v>0</v>
      </c>
      <c r="D30" s="15">
        <f t="shared" si="2"/>
      </c>
      <c r="F30" s="8">
        <f>'MITCHELL KPCO'!F30</f>
        <v>5673.310000000001</v>
      </c>
      <c r="G30" s="17">
        <f>'MITCHELL KPCO'!G30</f>
        <v>14824.34</v>
      </c>
      <c r="H30" s="15">
        <f t="shared" si="3"/>
        <v>2.612996645697132</v>
      </c>
      <c r="I30" s="4"/>
      <c r="J30" s="108"/>
      <c r="K30" s="108"/>
    </row>
    <row r="31" spans="1:11" s="3" customFormat="1" ht="12.75">
      <c r="A31" s="3" t="s">
        <v>15</v>
      </c>
      <c r="B31" s="16">
        <f>'MITCHELL KPCO'!B31</f>
        <v>0</v>
      </c>
      <c r="C31" s="17">
        <f>'MITCHELL KPCO'!C31</f>
        <v>0</v>
      </c>
      <c r="D31" s="15">
        <f t="shared" si="2"/>
      </c>
      <c r="F31" s="8">
        <f>'MITCHELL KPCO'!F31</f>
        <v>0</v>
      </c>
      <c r="G31" s="17">
        <f>'MITCHELL KPCO'!G31</f>
        <v>0</v>
      </c>
      <c r="H31" s="15">
        <f t="shared" si="3"/>
      </c>
      <c r="I31" s="4"/>
      <c r="J31" s="108"/>
      <c r="K31" s="108"/>
    </row>
    <row r="32" spans="1:11" s="3" customFormat="1" ht="12.75">
      <c r="A32" s="2" t="s">
        <v>26</v>
      </c>
      <c r="B32" s="101">
        <f>SUM(B29:B31)</f>
        <v>146775.83000000002</v>
      </c>
      <c r="C32" s="102">
        <f>SUM(C29:C31)</f>
        <v>307627.45999999996</v>
      </c>
      <c r="D32" s="103">
        <f t="shared" si="2"/>
        <v>2.095899985712906</v>
      </c>
      <c r="E32" s="2"/>
      <c r="F32" s="101">
        <f>SUM(F29:F31)</f>
        <v>586844.76</v>
      </c>
      <c r="G32" s="102">
        <f>SUM(G29:G31)</f>
        <v>1450856.57</v>
      </c>
      <c r="H32" s="103">
        <f t="shared" si="3"/>
        <v>2.4723004598354086</v>
      </c>
      <c r="I32" s="4"/>
      <c r="J32" s="108"/>
      <c r="K32" s="108"/>
    </row>
    <row r="33" spans="1:11" s="3" customFormat="1" ht="13.5" thickBot="1">
      <c r="A33" s="2" t="s">
        <v>17</v>
      </c>
      <c r="B33" s="104">
        <f>+B27-B32</f>
        <v>197319.49</v>
      </c>
      <c r="C33" s="170">
        <f>+C27-C32</f>
        <v>413572.8700000001</v>
      </c>
      <c r="D33" s="106">
        <f t="shared" si="2"/>
        <v>2.0959554983646074</v>
      </c>
      <c r="E33" s="2"/>
      <c r="F33" s="104">
        <f>+F27-F32</f>
        <v>197319.49</v>
      </c>
      <c r="G33" s="170">
        <f>+G27-G32</f>
        <v>413572.8699999999</v>
      </c>
      <c r="H33" s="106">
        <f t="shared" si="3"/>
        <v>2.095955498364606</v>
      </c>
      <c r="I33" s="4"/>
      <c r="J33" s="108"/>
      <c r="K33" s="108"/>
    </row>
    <row r="34" spans="2:11" s="3" customFormat="1" ht="14.25" thickBot="1" thickTop="1">
      <c r="B34" s="10"/>
      <c r="C34" s="11"/>
      <c r="D34" s="12"/>
      <c r="F34" s="10"/>
      <c r="G34" s="11"/>
      <c r="H34" s="12"/>
      <c r="I34" s="4"/>
      <c r="J34" s="108"/>
      <c r="K34" s="108"/>
    </row>
    <row r="35" spans="1:11" s="3" customFormat="1" ht="15">
      <c r="A35" s="89" t="s">
        <v>151</v>
      </c>
      <c r="B35" s="5"/>
      <c r="C35" s="6"/>
      <c r="D35" s="7"/>
      <c r="F35" s="5"/>
      <c r="G35" s="6"/>
      <c r="H35" s="7"/>
      <c r="I35" s="4"/>
      <c r="J35" s="108"/>
      <c r="K35" s="108"/>
    </row>
    <row r="36" spans="1:11" s="3" customFormat="1" ht="12.75">
      <c r="A36" s="3" t="s">
        <v>9</v>
      </c>
      <c r="B36" s="16">
        <f>'MITCHELL KPCO'!B36</f>
        <v>412185</v>
      </c>
      <c r="C36" s="17">
        <f>'MITCHELL KPCO'!C36</f>
        <v>1363216.05</v>
      </c>
      <c r="D36" s="15">
        <f aca="true" t="shared" si="4" ref="D36:D43">IF(AND(B36&lt;&gt;0,C36&lt;&gt;0),C36/B36,"")</f>
        <v>3.307291750063685</v>
      </c>
      <c r="F36" s="16">
        <f>'MITCHELL KPCO'!F36</f>
        <v>443787.5</v>
      </c>
      <c r="G36" s="17">
        <f>'MITCHELL KPCO'!G36</f>
        <v>1429567.35</v>
      </c>
      <c r="H36" s="15">
        <f aca="true" t="shared" si="5" ref="H36:H43">IF(AND(F36&lt;&gt;0,G36&lt;&gt;0),G36/F36,"")</f>
        <v>3.2212880038306624</v>
      </c>
      <c r="I36" s="4"/>
      <c r="J36" s="108"/>
      <c r="K36" s="108"/>
    </row>
    <row r="37" spans="1:11" s="3" customFormat="1" ht="12.75">
      <c r="A37" s="3" t="s">
        <v>8</v>
      </c>
      <c r="B37" s="109">
        <f>'MITCHELL KPCO'!B37</f>
        <v>74232.59606999997</v>
      </c>
      <c r="C37" s="110">
        <f>'MITCHELL KPCO'!C37</f>
        <v>247999.2837425</v>
      </c>
      <c r="D37" s="95">
        <f t="shared" si="4"/>
        <v>3.3408407744306996</v>
      </c>
      <c r="F37" s="109">
        <f>'MITCHELL KPCO'!F37</f>
        <v>326688.4583499999</v>
      </c>
      <c r="G37" s="110">
        <f>'MITCHELL KPCO'!G37</f>
        <v>1112494.8713713996</v>
      </c>
      <c r="H37" s="95">
        <f t="shared" si="5"/>
        <v>3.4053693754296046</v>
      </c>
      <c r="I37" s="4"/>
      <c r="J37" s="108"/>
      <c r="K37" s="108"/>
    </row>
    <row r="38" spans="1:11" s="3" customFormat="1" ht="12.75">
      <c r="A38" s="2" t="s">
        <v>18</v>
      </c>
      <c r="B38" s="98">
        <f>SUM(B36:B37)</f>
        <v>486417.59606999997</v>
      </c>
      <c r="C38" s="99">
        <f>SUM(C36:C37)</f>
        <v>1611215.3337425</v>
      </c>
      <c r="D38" s="100">
        <f t="shared" si="4"/>
        <v>3.3124116947254336</v>
      </c>
      <c r="E38" s="2"/>
      <c r="F38" s="98">
        <f>SUM(F36:F37)</f>
        <v>770475.95835</v>
      </c>
      <c r="G38" s="99">
        <f>SUM(G36:G37)</f>
        <v>2542062.2213713997</v>
      </c>
      <c r="H38" s="100">
        <f t="shared" si="5"/>
        <v>3.299340094680321</v>
      </c>
      <c r="I38" s="4"/>
      <c r="J38" s="108"/>
      <c r="K38" s="108"/>
    </row>
    <row r="39" spans="1:11" s="3" customFormat="1" ht="12.75">
      <c r="A39" s="3" t="s">
        <v>13</v>
      </c>
      <c r="B39" s="8"/>
      <c r="C39" s="9"/>
      <c r="D39" s="15"/>
      <c r="F39" s="8"/>
      <c r="G39" s="9"/>
      <c r="H39" s="15"/>
      <c r="I39" s="4"/>
      <c r="J39" s="108"/>
      <c r="K39" s="108"/>
    </row>
    <row r="40" spans="1:11" s="3" customFormat="1" ht="12.75">
      <c r="A40" s="3" t="s">
        <v>19</v>
      </c>
      <c r="B40" s="16">
        <f>'MITCHELL KPCO'!B40</f>
        <v>72619.34438</v>
      </c>
      <c r="C40" s="17">
        <f>'MITCHELL KPCO'!C40</f>
        <v>240545.17363819998</v>
      </c>
      <c r="D40" s="15">
        <f t="shared" si="4"/>
        <v>3.3124118055856235</v>
      </c>
      <c r="F40" s="16">
        <f>'MITCHELL KPCO'!F40</f>
        <v>356483.30556999997</v>
      </c>
      <c r="G40" s="17">
        <f>'MITCHELL KPCO'!G40</f>
        <v>1170752.4973946</v>
      </c>
      <c r="H40" s="15">
        <f t="shared" si="5"/>
        <v>3.284172019002747</v>
      </c>
      <c r="I40" s="4"/>
      <c r="J40" s="108"/>
      <c r="K40" s="108"/>
    </row>
    <row r="41" spans="1:11" s="3" customFormat="1" ht="12.75">
      <c r="A41" s="3" t="s">
        <v>20</v>
      </c>
      <c r="B41" s="16">
        <f>'MITCHELL KPCO'!B41</f>
        <v>117.75169</v>
      </c>
      <c r="C41" s="17">
        <f>'MITCHELL KPCO'!C41</f>
        <v>390.04010430000005</v>
      </c>
      <c r="D41" s="15">
        <f t="shared" si="4"/>
        <v>3.312394958407816</v>
      </c>
      <c r="F41" s="16">
        <f>'MITCHELL KPCO'!F41</f>
        <v>312.15278</v>
      </c>
      <c r="G41" s="17">
        <f>'MITCHELL KPCO'!G41</f>
        <v>1029.6039768</v>
      </c>
      <c r="H41" s="15">
        <f t="shared" si="5"/>
        <v>3.2983975885141885</v>
      </c>
      <c r="I41" s="4"/>
      <c r="J41" s="108"/>
      <c r="K41" s="108"/>
    </row>
    <row r="42" spans="1:11" s="3" customFormat="1" ht="12.75">
      <c r="A42" s="2" t="s">
        <v>16</v>
      </c>
      <c r="B42" s="101">
        <f>SUM(B40:B41)</f>
        <v>72737.09607</v>
      </c>
      <c r="C42" s="102">
        <f>SUM(C40:C41)</f>
        <v>240935.21374249997</v>
      </c>
      <c r="D42" s="103">
        <f t="shared" si="4"/>
        <v>3.3124117783122817</v>
      </c>
      <c r="E42" s="2"/>
      <c r="F42" s="101">
        <f>SUM(F40:F41)</f>
        <v>356795.45835</v>
      </c>
      <c r="G42" s="102">
        <f>SUM(G40:G41)</f>
        <v>1171782.1013714</v>
      </c>
      <c r="H42" s="103">
        <f t="shared" si="5"/>
        <v>3.2841844646518332</v>
      </c>
      <c r="I42" s="4"/>
      <c r="J42" s="108"/>
      <c r="K42" s="108"/>
    </row>
    <row r="43" spans="1:11" s="3" customFormat="1" ht="13.5" thickBot="1">
      <c r="A43" s="2" t="s">
        <v>17</v>
      </c>
      <c r="B43" s="171">
        <f>+B38-B42</f>
        <v>413680.5</v>
      </c>
      <c r="C43" s="105">
        <f>+C38-C42</f>
        <v>1370280.12</v>
      </c>
      <c r="D43" s="106">
        <f t="shared" si="4"/>
        <v>3.312411680028428</v>
      </c>
      <c r="E43" s="2"/>
      <c r="F43" s="171">
        <f>+F38-F42</f>
        <v>413680.5</v>
      </c>
      <c r="G43" s="105">
        <f>+G38-G42</f>
        <v>1370280.1199999996</v>
      </c>
      <c r="H43" s="106">
        <f t="shared" si="5"/>
        <v>3.312411680028427</v>
      </c>
      <c r="I43" s="4"/>
      <c r="J43" s="108"/>
      <c r="K43" s="108"/>
    </row>
    <row r="44" spans="2:11" s="3" customFormat="1" ht="14.25" thickBot="1" thickTop="1">
      <c r="B44" s="10"/>
      <c r="C44" s="11"/>
      <c r="D44" s="12"/>
      <c r="F44" s="10"/>
      <c r="G44" s="11"/>
      <c r="H44" s="12"/>
      <c r="I44" s="4"/>
      <c r="J44" s="108"/>
      <c r="K44" s="108"/>
    </row>
    <row r="45" spans="1:11" s="3" customFormat="1" ht="15">
      <c r="A45" s="89" t="s">
        <v>106</v>
      </c>
      <c r="B45" s="5"/>
      <c r="C45" s="6"/>
      <c r="D45" s="7"/>
      <c r="F45" s="5"/>
      <c r="G45" s="6"/>
      <c r="H45" s="7"/>
      <c r="I45" s="4"/>
      <c r="J45" s="108"/>
      <c r="K45" s="108"/>
    </row>
    <row r="46" spans="1:11" s="3" customFormat="1" ht="12.75">
      <c r="A46" s="3" t="s">
        <v>21</v>
      </c>
      <c r="B46" s="8"/>
      <c r="C46" s="9"/>
      <c r="D46" s="15">
        <f aca="true" t="shared" si="6" ref="D46:D51">IF(AND(B46&lt;&gt;0,C46&lt;&gt;0),C46/B46,"")</f>
      </c>
      <c r="F46" s="8"/>
      <c r="G46" s="9"/>
      <c r="H46" s="15">
        <f aca="true" t="shared" si="7" ref="H46:H51">IF(AND(F46&lt;&gt;0,G46&lt;&gt;0),G46/F46,"")</f>
      </c>
      <c r="I46" s="4"/>
      <c r="J46" s="108"/>
      <c r="K46" s="108"/>
    </row>
    <row r="47" spans="1:11" s="3" customFormat="1" ht="12.75">
      <c r="A47" s="3" t="s">
        <v>165</v>
      </c>
      <c r="B47" s="8">
        <f>'MITCHELL KPCO'!B47</f>
        <v>146775.83000000002</v>
      </c>
      <c r="C47" s="287">
        <f>'MITCHELL KPCO'!C47</f>
        <v>9310009.660000002</v>
      </c>
      <c r="D47" s="15">
        <f t="shared" si="6"/>
        <v>63.430127835080214</v>
      </c>
      <c r="F47" s="16">
        <f>'MITCHELL KPCO'!F47</f>
        <v>581171.45</v>
      </c>
      <c r="G47" s="17">
        <f>'MITCHELL KPCO'!G47</f>
        <v>39951418.2</v>
      </c>
      <c r="H47" s="15">
        <f t="shared" si="7"/>
        <v>68.7429126121044</v>
      </c>
      <c r="I47" s="4"/>
      <c r="J47" s="108"/>
      <c r="K47" s="108"/>
    </row>
    <row r="48" spans="1:11" s="3" customFormat="1" ht="12.75">
      <c r="A48" s="3" t="s">
        <v>14</v>
      </c>
      <c r="B48" s="8">
        <f>'MITCHELL KPCO'!B48</f>
        <v>0</v>
      </c>
      <c r="C48" s="205">
        <f>'MITCHELL KPCO'!C48</f>
        <v>0</v>
      </c>
      <c r="D48" s="15">
        <f t="shared" si="6"/>
      </c>
      <c r="F48" s="16">
        <f>'MITCHELL KPCO'!F48</f>
        <v>5673.310000000001</v>
      </c>
      <c r="G48" s="17">
        <f>'MITCHELL KPCO'!G48</f>
        <v>457588.5299999999</v>
      </c>
      <c r="H48" s="15">
        <f t="shared" si="7"/>
        <v>80.65635933872815</v>
      </c>
      <c r="I48" s="4"/>
      <c r="J48" s="108"/>
      <c r="K48" s="108"/>
    </row>
    <row r="49" spans="1:11" s="3" customFormat="1" ht="12.75">
      <c r="A49" s="3" t="s">
        <v>184</v>
      </c>
      <c r="B49" s="8">
        <f>'MITCHELL KPCO'!B49</f>
        <v>409.81</v>
      </c>
      <c r="C49" s="264">
        <f>'MITCHELL KPCO'!C49</f>
        <v>240545.17363819998</v>
      </c>
      <c r="D49" s="15">
        <f t="shared" si="6"/>
        <v>586.967554813694</v>
      </c>
      <c r="F49" s="16">
        <f>'MITCHELL KPCO'!F49</f>
        <v>2028.98</v>
      </c>
      <c r="G49" s="17">
        <f>'MITCHELL KPCO'!G49</f>
        <v>1170752.4973946</v>
      </c>
      <c r="H49" s="15">
        <f t="shared" si="7"/>
        <v>577.0152970431448</v>
      </c>
      <c r="I49" s="4"/>
      <c r="J49" s="108"/>
      <c r="K49" s="108"/>
    </row>
    <row r="50" spans="1:11" s="3" customFormat="1" ht="12.75">
      <c r="A50" s="3" t="s">
        <v>154</v>
      </c>
      <c r="B50" s="8"/>
      <c r="C50" s="264">
        <f>'MITCHELL KPCO'!C50</f>
        <v>0</v>
      </c>
      <c r="D50" s="15">
        <f t="shared" si="6"/>
      </c>
      <c r="F50" s="8"/>
      <c r="G50" s="17">
        <f>'MITCHELL KPCO'!G50</f>
        <v>0</v>
      </c>
      <c r="H50" s="15">
        <f t="shared" si="7"/>
      </c>
      <c r="I50" s="4"/>
      <c r="J50" s="108"/>
      <c r="K50" s="108"/>
    </row>
    <row r="51" spans="1:11" s="3" customFormat="1" ht="12.75">
      <c r="A51" s="3" t="s">
        <v>147</v>
      </c>
      <c r="B51" s="54"/>
      <c r="C51" s="264">
        <f>'MITCHELL KPCO'!C51</f>
        <v>307627.45999999996</v>
      </c>
      <c r="D51" s="88">
        <f t="shared" si="6"/>
      </c>
      <c r="F51" s="53"/>
      <c r="G51" s="17">
        <f>'MITCHELL KPCO'!G51</f>
        <v>1450856.5699999998</v>
      </c>
      <c r="H51" s="88">
        <f t="shared" si="7"/>
      </c>
      <c r="I51" s="4"/>
      <c r="J51" s="108"/>
      <c r="K51" s="108"/>
    </row>
    <row r="52" spans="1:11" s="3" customFormat="1" ht="12.75">
      <c r="A52" s="3" t="s">
        <v>155</v>
      </c>
      <c r="B52" s="186"/>
      <c r="C52" s="284">
        <f>'MITCHELL KPCO'!C52</f>
        <v>34659.740000000005</v>
      </c>
      <c r="D52" s="88"/>
      <c r="F52" s="53"/>
      <c r="G52" s="195">
        <f>'MITCHELL KPCO'!G52</f>
        <v>174886.40000000002</v>
      </c>
      <c r="H52" s="88"/>
      <c r="I52" s="4"/>
      <c r="J52" s="108"/>
      <c r="K52" s="108"/>
    </row>
    <row r="53" spans="1:11" s="3" customFormat="1" ht="12.75">
      <c r="A53" s="3" t="s">
        <v>156</v>
      </c>
      <c r="B53" s="54"/>
      <c r="C53" s="264">
        <f>'MITCHELL KPCO'!C53</f>
        <v>-72868.79000000001</v>
      </c>
      <c r="D53" s="88"/>
      <c r="F53" s="53"/>
      <c r="G53" s="17">
        <f>'MITCHELL KPCO'!G53</f>
        <v>-294453.42000000004</v>
      </c>
      <c r="H53" s="88"/>
      <c r="I53" s="4"/>
      <c r="J53" s="108"/>
      <c r="K53" s="108"/>
    </row>
    <row r="54" spans="1:11" s="3" customFormat="1" ht="12.75">
      <c r="A54" s="3" t="s">
        <v>149</v>
      </c>
      <c r="B54" s="54"/>
      <c r="C54" s="264">
        <f>'MITCHELL KPCO'!C54</f>
        <v>0</v>
      </c>
      <c r="D54" s="88"/>
      <c r="F54" s="53"/>
      <c r="G54" s="17">
        <f>'MITCHELL KPCO'!G54</f>
        <v>0</v>
      </c>
      <c r="H54" s="88"/>
      <c r="I54" s="4"/>
      <c r="J54" s="108"/>
      <c r="K54" s="108"/>
    </row>
    <row r="55" spans="2:11" s="3" customFormat="1" ht="12.75">
      <c r="B55" s="54"/>
      <c r="C55" s="9"/>
      <c r="D55" s="88"/>
      <c r="F55" s="53"/>
      <c r="G55" s="17"/>
      <c r="H55" s="88"/>
      <c r="I55" s="4"/>
      <c r="J55" s="108"/>
      <c r="K55" s="108"/>
    </row>
    <row r="56" spans="1:11" s="3" customFormat="1" ht="13.5" thickBot="1">
      <c r="A56" s="2" t="s">
        <v>22</v>
      </c>
      <c r="B56" s="104"/>
      <c r="C56" s="105">
        <f>SUM(C46:C55)</f>
        <v>9819973.243638204</v>
      </c>
      <c r="D56" s="106"/>
      <c r="E56" s="2"/>
      <c r="F56" s="104"/>
      <c r="G56" s="105">
        <f>SUM(G46:G55)</f>
        <v>42911048.7773946</v>
      </c>
      <c r="H56" s="106"/>
      <c r="I56" s="4"/>
      <c r="J56" s="108"/>
      <c r="K56" s="108"/>
    </row>
    <row r="57" spans="2:11" s="3" customFormat="1" ht="14.25" thickBot="1" thickTop="1">
      <c r="B57" s="10"/>
      <c r="C57" s="11"/>
      <c r="D57" s="12"/>
      <c r="F57" s="10"/>
      <c r="G57" s="11"/>
      <c r="H57" s="12"/>
      <c r="I57" s="4"/>
      <c r="J57" s="108"/>
      <c r="K57" s="108"/>
    </row>
    <row r="58" spans="1:9" s="3" customFormat="1" ht="12.75">
      <c r="A58" s="3" t="s">
        <v>171</v>
      </c>
      <c r="B58" s="144"/>
      <c r="I58" s="4"/>
    </row>
    <row r="59" s="3" customFormat="1" ht="12.75">
      <c r="I59" s="4"/>
    </row>
    <row r="60" spans="1:9" s="3" customFormat="1" ht="12.75">
      <c r="A60" s="3" t="s">
        <v>192</v>
      </c>
      <c r="I60" s="4"/>
    </row>
    <row r="61" spans="1:9" s="3" customFormat="1" ht="12.75">
      <c r="A61" s="69" t="s">
        <v>197</v>
      </c>
      <c r="B61" s="112"/>
      <c r="C61" s="112"/>
      <c r="D61" s="112"/>
      <c r="E61" s="112"/>
      <c r="F61" s="112"/>
      <c r="I61" s="4"/>
    </row>
    <row r="62" spans="1:9" s="3" customFormat="1" ht="12.75">
      <c r="A62" s="112"/>
      <c r="B62" s="112"/>
      <c r="C62" s="112"/>
      <c r="D62" s="112"/>
      <c r="E62" s="112"/>
      <c r="F62" s="112"/>
      <c r="I62" s="4"/>
    </row>
    <row r="63" spans="1:9" s="3" customFormat="1" ht="12.75">
      <c r="A63" s="112"/>
      <c r="B63" s="112"/>
      <c r="C63" s="112"/>
      <c r="D63" s="112"/>
      <c r="E63" s="112"/>
      <c r="F63" s="112"/>
      <c r="I63" s="4"/>
    </row>
    <row r="64" spans="7:9" s="3" customFormat="1" ht="12.75">
      <c r="G64" s="18"/>
      <c r="H64" s="18"/>
      <c r="I64"/>
    </row>
    <row r="65" spans="1:6" ht="12.75">
      <c r="A65" s="196"/>
      <c r="B65" s="3"/>
      <c r="C65" s="3"/>
      <c r="D65" s="3"/>
      <c r="E65" s="3"/>
      <c r="F65" s="3"/>
    </row>
  </sheetData>
  <sheetProtection/>
  <mergeCells count="7">
    <mergeCell ref="J7:K7"/>
    <mergeCell ref="B7:D7"/>
    <mergeCell ref="F7:H7"/>
    <mergeCell ref="A2:H2"/>
    <mergeCell ref="A3:H3"/>
    <mergeCell ref="A4:H4"/>
    <mergeCell ref="A5:H5"/>
  </mergeCells>
  <printOptions/>
  <pageMargins left="0.5" right="0.5" top="0.5" bottom="0.5" header="0.3" footer="0.3"/>
  <pageSetup fitToHeight="1" fitToWidth="1" horizontalDpi="600" verticalDpi="600" orientation="portrait" scale="74" r:id="rId3"/>
  <headerFooter alignWithMargins="0">
    <oddFooter>&amp;C&amp;Z&amp;F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62"/>
  <sheetViews>
    <sheetView zoomScalePageLayoutView="0" workbookViewId="0" topLeftCell="A43">
      <selection activeCell="B61" sqref="B61"/>
    </sheetView>
  </sheetViews>
  <sheetFormatPr defaultColWidth="17.7109375" defaultRowHeight="12.75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ht="15">
      <c r="H1" s="89" t="s">
        <v>28</v>
      </c>
    </row>
    <row r="2" spans="1:9" s="92" customFormat="1" ht="15">
      <c r="A2" s="340" t="s">
        <v>204</v>
      </c>
      <c r="B2" s="340"/>
      <c r="C2" s="340"/>
      <c r="D2" s="340"/>
      <c r="E2" s="340"/>
      <c r="F2" s="340"/>
      <c r="G2" s="340"/>
      <c r="H2" s="340"/>
      <c r="I2" s="91"/>
    </row>
    <row r="3" spans="1:9" s="92" customFormat="1" ht="15">
      <c r="A3" s="340" t="s">
        <v>0</v>
      </c>
      <c r="B3" s="340"/>
      <c r="C3" s="340"/>
      <c r="D3" s="340"/>
      <c r="E3" s="340"/>
      <c r="F3" s="340"/>
      <c r="G3" s="340"/>
      <c r="H3" s="340"/>
      <c r="I3" s="91"/>
    </row>
    <row r="4" spans="1:9" s="92" customFormat="1" ht="15">
      <c r="A4" s="340" t="s">
        <v>96</v>
      </c>
      <c r="B4" s="340"/>
      <c r="C4" s="340"/>
      <c r="D4" s="340"/>
      <c r="E4" s="340"/>
      <c r="F4" s="340"/>
      <c r="G4" s="340"/>
      <c r="H4" s="340"/>
      <c r="I4" s="91"/>
    </row>
    <row r="5" spans="1:9" s="92" customFormat="1" ht="15">
      <c r="A5" s="341" t="str">
        <f>+INPUT!A3</f>
        <v>APRIL 2014</v>
      </c>
      <c r="B5" s="341"/>
      <c r="C5" s="341"/>
      <c r="D5" s="341"/>
      <c r="E5" s="341"/>
      <c r="F5" s="341"/>
      <c r="G5" s="341"/>
      <c r="H5" s="341"/>
      <c r="I5" s="91"/>
    </row>
    <row r="6" s="92" customFormat="1" ht="14.25">
      <c r="I6" s="91"/>
    </row>
    <row r="7" spans="2:11" s="92" customFormat="1" ht="15">
      <c r="B7" s="340" t="s">
        <v>2</v>
      </c>
      <c r="C7" s="340"/>
      <c r="D7" s="340"/>
      <c r="E7" s="90"/>
      <c r="F7" s="340" t="s">
        <v>3</v>
      </c>
      <c r="G7" s="340"/>
      <c r="H7" s="340"/>
      <c r="I7" s="91"/>
      <c r="J7" s="340" t="s">
        <v>4</v>
      </c>
      <c r="K7" s="340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103</v>
      </c>
      <c r="B10" s="5"/>
      <c r="C10" s="6"/>
      <c r="D10" s="7"/>
      <c r="F10" s="5"/>
      <c r="G10" s="6"/>
      <c r="H10" s="7"/>
      <c r="I10" s="4"/>
      <c r="J10" s="19"/>
      <c r="K10" s="19"/>
    </row>
    <row r="11" spans="1:12" s="3" customFormat="1" ht="12.75">
      <c r="A11" s="3" t="s">
        <v>9</v>
      </c>
      <c r="B11" s="280">
        <f>+'MITCHELL HIGH SULFUR'!B11+'MITCHELL LOW SULFUR'!B11</f>
        <v>345656.65</v>
      </c>
      <c r="C11" s="281">
        <f>+'MITCHELL HIGH SULFUR'!C11+'MITCHELL LOW SULFUR'!C11</f>
        <v>22599597.32</v>
      </c>
      <c r="D11" s="15">
        <f>IF(AND(B11&lt;&gt;0,C11&lt;&gt;0),C11/B11,"")</f>
        <v>65.38163614095085</v>
      </c>
      <c r="E11" s="18"/>
      <c r="F11" s="302">
        <v>843648.16</v>
      </c>
      <c r="G11" s="303">
        <v>59874960.13</v>
      </c>
      <c r="H11" s="15">
        <f>IF(AND(F11&lt;&gt;0,G11&lt;&gt;0),G11/F11,"")</f>
        <v>70.97148191492529</v>
      </c>
      <c r="I11" s="4"/>
      <c r="J11" s="19">
        <v>843648.16</v>
      </c>
      <c r="K11" s="19">
        <v>59874960.13</v>
      </c>
      <c r="L11" s="3">
        <v>71.97037087559487</v>
      </c>
    </row>
    <row r="12" spans="1:12" s="3" customFormat="1" ht="12.75">
      <c r="A12" s="18" t="s">
        <v>8</v>
      </c>
      <c r="B12" s="8"/>
      <c r="C12" s="9"/>
      <c r="D12" s="15">
        <f>IF(AND(B12&lt;&gt;0,C12&lt;&gt;0),C12/B12,"")</f>
      </c>
      <c r="F12" s="8"/>
      <c r="G12" s="9"/>
      <c r="H12" s="15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139</v>
      </c>
      <c r="B13" s="280">
        <f>+'MITCHELL HIGH SULFUR'!B13+'MITCHELL LOW SULFUR'!B13</f>
        <v>345646.33</v>
      </c>
      <c r="C13" s="281">
        <f>+'MITCHELL HIGH SULFUR'!C13+'MITCHELL LOW SULFUR'!C13</f>
        <v>20010201.44</v>
      </c>
      <c r="D13" s="15">
        <f>IF(AND(B13&lt;&gt;0,C13&lt;&gt;0),C13/B13,"")</f>
        <v>57.89212759759376</v>
      </c>
      <c r="F13" s="8">
        <f>+B13+J13</f>
        <v>743626.8200000001</v>
      </c>
      <c r="G13" s="9">
        <f>+C13+K13</f>
        <v>45097794.10000001</v>
      </c>
      <c r="H13" s="15">
        <f>IF(AND(F13&lt;&gt;0,G13&lt;&gt;0),G13/F13,"")</f>
        <v>60.64573370282692</v>
      </c>
      <c r="I13" s="4"/>
      <c r="J13" s="19">
        <v>397980.49</v>
      </c>
      <c r="K13" s="19">
        <v>25087592.660000004</v>
      </c>
      <c r="L13" s="3">
        <v>69.49748483078884</v>
      </c>
    </row>
    <row r="14" spans="1:12" s="3" customFormat="1" ht="12.75">
      <c r="A14" s="3" t="s">
        <v>11</v>
      </c>
      <c r="B14" s="93"/>
      <c r="C14" s="282">
        <f>+'MITCHELL HIGH SULFUR'!C14+'MITCHELL LOW SULFUR'!C14</f>
        <v>1743403.6099999999</v>
      </c>
      <c r="D14" s="95">
        <f>IF(AND(B13&lt;&gt;0,C14&lt;&gt;0),C14/B13,"")</f>
        <v>5.043894462874811</v>
      </c>
      <c r="F14" s="93"/>
      <c r="G14" s="61">
        <f>+C14+K14</f>
        <v>2929717.25</v>
      </c>
      <c r="H14" s="95">
        <f>IF(AND(F13&lt;&gt;0,G14&lt;&gt;0),G14/F13,"")</f>
        <v>3.939768135312817</v>
      </c>
      <c r="I14" s="4"/>
      <c r="J14" s="19"/>
      <c r="K14" s="19">
        <v>1186313.6400000001</v>
      </c>
      <c r="L14" s="3">
        <v>3.5665582391519774</v>
      </c>
    </row>
    <row r="15" spans="1:12" s="3" customFormat="1" ht="12.75">
      <c r="A15" s="2" t="s">
        <v>12</v>
      </c>
      <c r="B15" s="101">
        <f>SUM(B13:B14)</f>
        <v>345646.33</v>
      </c>
      <c r="C15" s="102">
        <f>SUM(C13:C14)</f>
        <v>21753605.05</v>
      </c>
      <c r="D15" s="103">
        <f aca="true" t="shared" si="0" ref="D15:D22">IF(AND(B15&lt;&gt;0,C15&lt;&gt;0),C15/B15,"")</f>
        <v>62.936022060468574</v>
      </c>
      <c r="E15" s="2"/>
      <c r="F15" s="101">
        <f>SUM(F13:F14)</f>
        <v>743626.8200000001</v>
      </c>
      <c r="G15" s="102">
        <f>SUM(G13:G14)</f>
        <v>48027511.35000001</v>
      </c>
      <c r="H15" s="103">
        <f aca="true" t="shared" si="1" ref="H15:H22">IF(AND(F15&lt;&gt;0,G15&lt;&gt;0),G15/F15,"")</f>
        <v>64.58550183813973</v>
      </c>
      <c r="I15" s="4"/>
      <c r="J15" s="19">
        <v>397980.49</v>
      </c>
      <c r="K15" s="19">
        <v>26273906.300000004</v>
      </c>
      <c r="L15" s="3">
        <v>73.06404306994081</v>
      </c>
    </row>
    <row r="16" spans="1:12" s="3" customFormat="1" ht="12.75">
      <c r="A16" s="2" t="s">
        <v>18</v>
      </c>
      <c r="B16" s="98">
        <f>+B11+B15</f>
        <v>691302.98</v>
      </c>
      <c r="C16" s="99">
        <f>+C11+C15</f>
        <v>44353202.370000005</v>
      </c>
      <c r="D16" s="100">
        <f t="shared" si="0"/>
        <v>64.15884735517848</v>
      </c>
      <c r="E16" s="2"/>
      <c r="F16" s="98">
        <f>+F11+F15</f>
        <v>1587274.98</v>
      </c>
      <c r="G16" s="99">
        <f>+G11+G15</f>
        <v>107902471.48000002</v>
      </c>
      <c r="H16" s="100">
        <f t="shared" si="1"/>
        <v>67.97969654886138</v>
      </c>
      <c r="I16" s="4"/>
      <c r="J16" s="19">
        <v>1241628.65</v>
      </c>
      <c r="K16" s="19">
        <v>86148866.43</v>
      </c>
      <c r="L16" s="3">
        <v>72.73733583412616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8"/>
      <c r="G17" s="9"/>
      <c r="H17" s="15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280">
        <f>+'MITCHELL HIGH SULFUR'!B18+'MITCHELL LOW SULFUR'!B18</f>
        <v>296664</v>
      </c>
      <c r="C18" s="281">
        <f>+'MITCHELL HIGH SULFUR'!C18+'MITCHELL LOW SULFUR'!C18</f>
        <v>18817434.94</v>
      </c>
      <c r="D18" s="15">
        <f t="shared" si="0"/>
        <v>63.430126135965274</v>
      </c>
      <c r="F18" s="8">
        <f aca="true" t="shared" si="2" ref="F18:G20">+B18+J18</f>
        <v>1158059</v>
      </c>
      <c r="G18" s="9">
        <f t="shared" si="2"/>
        <v>79577731.23</v>
      </c>
      <c r="H18" s="15">
        <f t="shared" si="1"/>
        <v>68.71647405702127</v>
      </c>
      <c r="I18" s="4"/>
      <c r="J18" s="19">
        <v>861395</v>
      </c>
      <c r="K18" s="19">
        <v>60760296.29</v>
      </c>
      <c r="L18" s="3">
        <v>72.98936657851795</v>
      </c>
    </row>
    <row r="19" spans="1:12" s="3" customFormat="1" ht="12.75">
      <c r="A19" s="3" t="s">
        <v>14</v>
      </c>
      <c r="B19" s="280">
        <f>+'MITCHELL HIGH SULFUR'!B19+'MITCHELL LOW SULFUR'!B19</f>
        <v>0</v>
      </c>
      <c r="C19" s="281">
        <f>+'MITCHELL HIGH SULFUR'!C19+'MITCHELL LOW SULFUR'!C19</f>
        <v>0</v>
      </c>
      <c r="D19" s="15">
        <f t="shared" si="0"/>
      </c>
      <c r="F19" s="8">
        <f t="shared" si="2"/>
        <v>34577</v>
      </c>
      <c r="G19" s="9">
        <f t="shared" si="2"/>
        <v>2788972.82</v>
      </c>
      <c r="H19" s="15">
        <f t="shared" si="1"/>
        <v>80.65976863232784</v>
      </c>
      <c r="I19" s="4"/>
      <c r="J19" s="19">
        <v>34577</v>
      </c>
      <c r="K19" s="19">
        <v>2788972.82</v>
      </c>
      <c r="L19" s="3">
        <v>71.74072935651198</v>
      </c>
    </row>
    <row r="20" spans="1:12" s="3" customFormat="1" ht="12.75">
      <c r="A20" s="3" t="s">
        <v>109</v>
      </c>
      <c r="B20" s="283">
        <f>+'MITCHELL HIGH SULFUR'!B20+'MITCHELL LOW SULFUR'!B20</f>
        <v>0</v>
      </c>
      <c r="C20" s="282">
        <f>+'MITCHELL HIGH SULFUR'!C20+'MITCHELL LOW SULFUR'!C20</f>
        <v>0</v>
      </c>
      <c r="D20" s="95">
        <f t="shared" si="0"/>
      </c>
      <c r="F20" s="97">
        <f t="shared" si="2"/>
        <v>0</v>
      </c>
      <c r="G20" s="61">
        <f t="shared" si="2"/>
        <v>0</v>
      </c>
      <c r="H20" s="95">
        <f t="shared" si="1"/>
      </c>
      <c r="I20" s="4"/>
      <c r="J20" s="19">
        <v>0</v>
      </c>
      <c r="K20" s="19">
        <v>0</v>
      </c>
      <c r="L20" s="3" t="s">
        <v>137</v>
      </c>
    </row>
    <row r="21" spans="1:12" s="3" customFormat="1" ht="12.75">
      <c r="A21" s="2" t="s">
        <v>16</v>
      </c>
      <c r="B21" s="101">
        <f>SUM(B18:B20)</f>
        <v>296664</v>
      </c>
      <c r="C21" s="102">
        <f>SUM(C18:C20)</f>
        <v>18817434.94</v>
      </c>
      <c r="D21" s="103">
        <f t="shared" si="0"/>
        <v>63.430126135965274</v>
      </c>
      <c r="E21" s="2"/>
      <c r="F21" s="101">
        <f>SUM(F18:F20)</f>
        <v>1192636</v>
      </c>
      <c r="G21" s="102">
        <f>SUM(G18:G20)</f>
        <v>82366704.05</v>
      </c>
      <c r="H21" s="103">
        <f t="shared" si="1"/>
        <v>69.06273502560714</v>
      </c>
      <c r="I21" s="4"/>
      <c r="J21" s="19">
        <v>895972</v>
      </c>
      <c r="K21" s="19">
        <v>63549269.11</v>
      </c>
      <c r="L21" s="3">
        <v>73.0091983752075</v>
      </c>
    </row>
    <row r="22" spans="1:12" s="3" customFormat="1" ht="13.5" thickBot="1">
      <c r="A22" s="2" t="s">
        <v>17</v>
      </c>
      <c r="B22" s="104">
        <f>+B16-B21</f>
        <v>394638.98</v>
      </c>
      <c r="C22" s="105">
        <f>+C16-C21</f>
        <v>25535767.430000003</v>
      </c>
      <c r="D22" s="106">
        <f t="shared" si="0"/>
        <v>64.7066527234588</v>
      </c>
      <c r="E22" s="2"/>
      <c r="F22" s="104">
        <f>+F16-F21</f>
        <v>394638.98</v>
      </c>
      <c r="G22" s="105">
        <f>+G16-G21</f>
        <v>25535767.430000022</v>
      </c>
      <c r="H22" s="106">
        <f t="shared" si="1"/>
        <v>64.70665272345884</v>
      </c>
      <c r="I22" s="4"/>
      <c r="J22" s="19">
        <v>345656.6499999999</v>
      </c>
      <c r="K22" s="19">
        <v>22599597.320000008</v>
      </c>
      <c r="L22" s="3">
        <v>72.05055957597251</v>
      </c>
    </row>
    <row r="23" spans="2:11" s="3" customFormat="1" ht="14.25" thickBot="1" thickTop="1">
      <c r="B23" s="10"/>
      <c r="C23" s="11"/>
      <c r="D23" s="15"/>
      <c r="F23" s="10"/>
      <c r="G23" s="11"/>
      <c r="H23" s="15"/>
      <c r="I23" s="4"/>
      <c r="J23" s="19"/>
      <c r="K23" s="19"/>
    </row>
    <row r="24" spans="1:11" s="3" customFormat="1" ht="15">
      <c r="A24" s="89" t="s">
        <v>104</v>
      </c>
      <c r="B24" s="5"/>
      <c r="C24" s="6"/>
      <c r="D24" s="7"/>
      <c r="F24" s="5"/>
      <c r="G24" s="6"/>
      <c r="H24" s="7"/>
      <c r="I24" s="4"/>
      <c r="J24" s="20"/>
      <c r="K24" s="20"/>
    </row>
    <row r="25" spans="1:12" s="3" customFormat="1" ht="12.75">
      <c r="A25" s="3" t="s">
        <v>9</v>
      </c>
      <c r="B25" s="16">
        <f>'MITCHELL KPCO'!B25+'MITCHELL OPCO'!B25</f>
        <v>345656.65</v>
      </c>
      <c r="C25" s="14">
        <f>'MITCHELL KPCO'!C25+'MITCHELL OPCO'!C25</f>
        <v>949747.18</v>
      </c>
      <c r="D25" s="15">
        <f>IF(AND(B25&lt;&gt;0,C25&lt;&gt;0),C25/B25,"")</f>
        <v>2.7476606626836197</v>
      </c>
      <c r="F25" s="16">
        <f>+F11</f>
        <v>843648.16</v>
      </c>
      <c r="G25" s="303">
        <v>2081865.52</v>
      </c>
      <c r="H25" s="15">
        <f>IF(AND(F25&lt;&gt;0,G25&lt;&gt;0),G25/F25,"")</f>
        <v>2.4676940206922278</v>
      </c>
      <c r="I25" s="4"/>
      <c r="J25" s="20">
        <v>843648.16</v>
      </c>
      <c r="K25" s="20">
        <v>2081865.52</v>
      </c>
      <c r="L25" s="3">
        <v>1.9791502961917864</v>
      </c>
    </row>
    <row r="26" spans="1:12" s="3" customFormat="1" ht="12.75">
      <c r="A26" s="18" t="s">
        <v>8</v>
      </c>
      <c r="B26" s="109">
        <f>'MITCHELL KPCO'!B26+'MITCHELL OPCO'!B26</f>
        <v>345646.33</v>
      </c>
      <c r="C26" s="94">
        <f>'MITCHELL KPCO'!C26+'MITCHELL OPCO'!C26</f>
        <v>499176.64</v>
      </c>
      <c r="D26" s="95">
        <f>IF(AND(B26&lt;&gt;0,C26&lt;&gt;0),C26/B26,"")</f>
        <v>1.4441832493925222</v>
      </c>
      <c r="F26" s="97">
        <f>+F13</f>
        <v>743626.8200000001</v>
      </c>
      <c r="G26" s="61">
        <f>+C26+K26</f>
        <v>1695935.6099999999</v>
      </c>
      <c r="H26" s="95">
        <f>IF(AND(F26&lt;&gt;0,G26&lt;&gt;0),G26/F26,"")</f>
        <v>2.2806272775368694</v>
      </c>
      <c r="I26" s="4"/>
      <c r="J26" s="20">
        <v>397980.49</v>
      </c>
      <c r="K26" s="20">
        <v>1196758.97</v>
      </c>
      <c r="L26" s="3">
        <v>2.3162559604362927</v>
      </c>
    </row>
    <row r="27" spans="1:12" s="3" customFormat="1" ht="12.75">
      <c r="A27" s="2" t="s">
        <v>18</v>
      </c>
      <c r="B27" s="98">
        <f>SUM(B25:B26)</f>
        <v>691302.98</v>
      </c>
      <c r="C27" s="99">
        <f>SUM(C25:C26)</f>
        <v>1448923.82</v>
      </c>
      <c r="D27" s="100">
        <f>IF(AND(B27&lt;&gt;0,C27&lt;&gt;0),C27/B27,"")</f>
        <v>2.095931685409486</v>
      </c>
      <c r="E27" s="2"/>
      <c r="F27" s="98">
        <f>SUM(F25:F26)</f>
        <v>1587274.98</v>
      </c>
      <c r="G27" s="99">
        <f>SUM(G25:G26)</f>
        <v>3777801.13</v>
      </c>
      <c r="H27" s="100">
        <f>IF(AND(F27&lt;&gt;0,G27&lt;&gt;0),G27/F27,"")</f>
        <v>2.380054607803369</v>
      </c>
      <c r="I27" s="4"/>
      <c r="J27" s="20">
        <v>1241628.65</v>
      </c>
      <c r="K27" s="20">
        <v>3278624.49</v>
      </c>
      <c r="L27" s="3">
        <v>2.2155540679385575</v>
      </c>
    </row>
    <row r="28" spans="1:11" s="3" customFormat="1" ht="12.75">
      <c r="A28" s="3" t="s">
        <v>13</v>
      </c>
      <c r="B28" s="8"/>
      <c r="C28" s="9"/>
      <c r="D28" s="15"/>
      <c r="F28" s="8"/>
      <c r="G28" s="9"/>
      <c r="H28" s="15"/>
      <c r="I28" s="4"/>
      <c r="J28" s="20"/>
      <c r="K28" s="20"/>
    </row>
    <row r="29" spans="1:12" s="3" customFormat="1" ht="12.75">
      <c r="A29" s="3" t="s">
        <v>19</v>
      </c>
      <c r="B29" s="16">
        <f>'MITCHELL KPCO'!B29+'MITCHELL OPCO'!B29</f>
        <v>296664</v>
      </c>
      <c r="C29" s="14">
        <f>'MITCHELL KPCO'!C29+'MITCHELL OPCO'!C29</f>
        <v>621778.08</v>
      </c>
      <c r="D29" s="15">
        <f>IF(AND(B29&lt;&gt;0,C29&lt;&gt;0),C29/B29,"")</f>
        <v>2.09590000808996</v>
      </c>
      <c r="F29" s="8">
        <f>+F18</f>
        <v>1158059</v>
      </c>
      <c r="G29" s="9">
        <f>+C29+K29</f>
        <v>2860305.6900000004</v>
      </c>
      <c r="H29" s="15">
        <f>IF(AND(F29&lt;&gt;0,G29&lt;&gt;0),G29/F29,"")</f>
        <v>2.469913614073204</v>
      </c>
      <c r="I29" s="4"/>
      <c r="J29" s="20">
        <v>861395</v>
      </c>
      <c r="K29" s="20">
        <v>2238527.6100000003</v>
      </c>
      <c r="L29" s="3">
        <v>2.161623922022898</v>
      </c>
    </row>
    <row r="30" spans="1:12" s="3" customFormat="1" ht="12.75">
      <c r="A30" s="3" t="s">
        <v>14</v>
      </c>
      <c r="B30" s="16">
        <f>'MITCHELL KPCO'!B30+'MITCHELL OPCO'!B30</f>
        <v>0</v>
      </c>
      <c r="C30" s="14">
        <f>'MITCHELL KPCO'!C30+'MITCHELL OPCO'!C30</f>
        <v>0</v>
      </c>
      <c r="D30" s="15">
        <f>IF(AND(B30&lt;&gt;0,C30&lt;&gt;0),C30/B30,"")</f>
      </c>
      <c r="F30" s="8">
        <f>+F19</f>
        <v>34577</v>
      </c>
      <c r="G30" s="9">
        <f>+C30+K30</f>
        <v>90349.7</v>
      </c>
      <c r="H30" s="15">
        <f>IF(AND(F30&lt;&gt;0,G30&lt;&gt;0),G30/F30,"")</f>
        <v>2.612999971079041</v>
      </c>
      <c r="I30" s="4"/>
      <c r="J30" s="20">
        <v>34577</v>
      </c>
      <c r="K30" s="20">
        <v>90349.7</v>
      </c>
      <c r="L30" s="3">
        <v>2.589620426188139</v>
      </c>
    </row>
    <row r="31" spans="1:12" s="3" customFormat="1" ht="12.75">
      <c r="A31" s="3" t="s">
        <v>15</v>
      </c>
      <c r="B31" s="16">
        <f>'MITCHELL KPCO'!B31+'MITCHELL OPCO'!B31</f>
        <v>0</v>
      </c>
      <c r="C31" s="14">
        <f>'MITCHELL KPCO'!C31+'MITCHELL OPCO'!C31</f>
        <v>0</v>
      </c>
      <c r="D31" s="15">
        <f>IF(AND(B31&lt;&gt;0,C31&lt;&gt;0),C31/B31,"")</f>
      </c>
      <c r="F31" s="8">
        <f>+F20</f>
        <v>0</v>
      </c>
      <c r="G31" s="61">
        <f>+C31+K31</f>
        <v>0</v>
      </c>
      <c r="H31" s="15">
        <f>IF(AND(F31&lt;&gt;0,G31&lt;&gt;0),G31/F31,"")</f>
      </c>
      <c r="I31" s="4"/>
      <c r="J31" s="20">
        <v>0</v>
      </c>
      <c r="K31" s="20">
        <v>0</v>
      </c>
      <c r="L31" s="3" t="s">
        <v>137</v>
      </c>
    </row>
    <row r="32" spans="1:12" s="3" customFormat="1" ht="12.75">
      <c r="A32" s="2" t="s">
        <v>26</v>
      </c>
      <c r="B32" s="101">
        <f>SUM(B29:B31)</f>
        <v>296664</v>
      </c>
      <c r="C32" s="102">
        <f>SUM(C29:C31)</f>
        <v>621778.08</v>
      </c>
      <c r="D32" s="103">
        <f>IF(AND(B32&lt;&gt;0,C32&lt;&gt;0),C32/B32,"")</f>
        <v>2.09590000808996</v>
      </c>
      <c r="E32" s="2"/>
      <c r="F32" s="101">
        <f>SUM(F29:F31)</f>
        <v>1192636</v>
      </c>
      <c r="G32" s="102">
        <f>SUM(G29:G31)</f>
        <v>2950655.3900000006</v>
      </c>
      <c r="H32" s="103">
        <f>IF(AND(F32&lt;&gt;0,G32&lt;&gt;0),G32/F32,"")</f>
        <v>2.474061985383638</v>
      </c>
      <c r="I32" s="4"/>
      <c r="J32" s="20">
        <v>895972</v>
      </c>
      <c r="K32" s="20">
        <v>2328877.3100000005</v>
      </c>
      <c r="L32" s="3">
        <v>2.154826159226103</v>
      </c>
    </row>
    <row r="33" spans="1:12" s="3" customFormat="1" ht="13.5" thickBot="1">
      <c r="A33" s="2" t="s">
        <v>17</v>
      </c>
      <c r="B33" s="104">
        <f>+B27-B32</f>
        <v>394638.98</v>
      </c>
      <c r="C33" s="105">
        <f>+C27-C32</f>
        <v>827145.7400000001</v>
      </c>
      <c r="D33" s="106">
        <f>IF(AND(B33&lt;&gt;0,C33&lt;&gt;0),C33/B33,"")</f>
        <v>2.095955498364607</v>
      </c>
      <c r="E33" s="2"/>
      <c r="F33" s="104">
        <f>+F27-F32</f>
        <v>394638.98</v>
      </c>
      <c r="G33" s="105">
        <f>+G27-G32</f>
        <v>827145.7399999993</v>
      </c>
      <c r="H33" s="106">
        <f>IF(AND(F33&lt;&gt;0,G33&lt;&gt;0),G33/F33,"")</f>
        <v>2.0959554983646047</v>
      </c>
      <c r="I33" s="4"/>
      <c r="J33" s="20">
        <v>345656.6499999999</v>
      </c>
      <c r="K33" s="20">
        <v>949747.1799999997</v>
      </c>
      <c r="L33" s="3">
        <v>2.3689642646694007</v>
      </c>
    </row>
    <row r="34" spans="2:11" s="3" customFormat="1" ht="14.25" thickBot="1" thickTop="1">
      <c r="B34" s="10"/>
      <c r="C34" s="11"/>
      <c r="D34" s="12"/>
      <c r="F34" s="10"/>
      <c r="G34" s="11"/>
      <c r="H34" s="12"/>
      <c r="I34" s="4"/>
      <c r="J34" s="20"/>
      <c r="K34" s="20"/>
    </row>
    <row r="35" spans="1:11" s="3" customFormat="1" ht="15">
      <c r="A35" s="89" t="s">
        <v>105</v>
      </c>
      <c r="B35" s="5"/>
      <c r="C35" s="6"/>
      <c r="D35" s="7"/>
      <c r="F35" s="5"/>
      <c r="G35" s="6"/>
      <c r="H35" s="7"/>
      <c r="I35" s="4"/>
      <c r="J35" s="20"/>
      <c r="K35" s="20"/>
    </row>
    <row r="36" spans="1:12" s="3" customFormat="1" ht="12.75">
      <c r="A36" s="3" t="s">
        <v>9</v>
      </c>
      <c r="B36" s="13">
        <f>'MITCHELL KPCO'!B36+'MITCHELL OPCO'!B36</f>
        <v>824370</v>
      </c>
      <c r="C36" s="14">
        <f>'MITCHELL KPCO'!C36+'MITCHELL OPCO'!C36</f>
        <v>2726432.1</v>
      </c>
      <c r="D36" s="15">
        <f>IF(AND(B36&lt;&gt;0,C36&lt;&gt;0),C36/B36,"")</f>
        <v>3.307291750063685</v>
      </c>
      <c r="F36" s="302">
        <v>887575</v>
      </c>
      <c r="G36" s="303">
        <v>2859134.69</v>
      </c>
      <c r="H36" s="15">
        <f>IF(AND(F36&lt;&gt;0,G36&lt;&gt;0),G36/F36,"")</f>
        <v>3.2212879925640086</v>
      </c>
      <c r="I36" s="4"/>
      <c r="J36" s="20">
        <v>887575</v>
      </c>
      <c r="K36" s="20">
        <v>2859134.69</v>
      </c>
      <c r="L36" s="3">
        <v>3.3917200048730662</v>
      </c>
    </row>
    <row r="37" spans="1:12" s="3" customFormat="1" ht="12.75">
      <c r="A37" s="3" t="s">
        <v>8</v>
      </c>
      <c r="B37" s="96">
        <f>'MITCHELL KPCO'!B37+'MITCHELL OPCO'!B37</f>
        <v>150007</v>
      </c>
      <c r="C37" s="94">
        <f>'MITCHELL KPCO'!C37+'MITCHELL OPCO'!C37</f>
        <v>501105.67999999993</v>
      </c>
      <c r="D37" s="95">
        <f>IF(AND(B37&lt;&gt;0,C37&lt;&gt;0),C37/B37,"")</f>
        <v>3.3405486410634166</v>
      </c>
      <c r="F37" s="97">
        <f>+B37+J37</f>
        <v>648645</v>
      </c>
      <c r="G37" s="61">
        <f>+C37+K37</f>
        <v>2209565.9399999995</v>
      </c>
      <c r="H37" s="95">
        <f>IF(AND(F37&lt;&gt;0,G37&lt;&gt;0),G37/F37,"")</f>
        <v>3.4064333186874167</v>
      </c>
      <c r="I37" s="4"/>
      <c r="J37" s="20">
        <v>498638</v>
      </c>
      <c r="K37" s="20">
        <v>1708460.2599999993</v>
      </c>
      <c r="L37" s="3">
        <v>3.231198694895875</v>
      </c>
    </row>
    <row r="38" spans="1:12" s="3" customFormat="1" ht="12.75">
      <c r="A38" s="2" t="s">
        <v>18</v>
      </c>
      <c r="B38" s="98">
        <f>SUM(B36:B37)</f>
        <v>974377</v>
      </c>
      <c r="C38" s="99">
        <f>SUM(C36:C37)</f>
        <v>3227537.7800000003</v>
      </c>
      <c r="D38" s="100">
        <f>IF(AND(B38&lt;&gt;0,C38&lt;&gt;0),C38/B38,"")</f>
        <v>3.3124117051202977</v>
      </c>
      <c r="E38" s="2"/>
      <c r="F38" s="98">
        <f>SUM(F36:F37)</f>
        <v>1536220</v>
      </c>
      <c r="G38" s="99">
        <f>SUM(G36:G37)</f>
        <v>5068700.629999999</v>
      </c>
      <c r="H38" s="100">
        <f>IF(AND(F38&lt;&gt;0,G38&lt;&gt;0),G38/F38,"")</f>
        <v>3.2994627266927905</v>
      </c>
      <c r="I38" s="4"/>
      <c r="J38" s="20">
        <v>1386213</v>
      </c>
      <c r="K38" s="20">
        <v>4567594.949999999</v>
      </c>
      <c r="L38" s="3">
        <v>3.281488989932586</v>
      </c>
    </row>
    <row r="39" spans="1:11" s="3" customFormat="1" ht="12.75">
      <c r="A39" s="3" t="s">
        <v>13</v>
      </c>
      <c r="B39" s="8"/>
      <c r="C39" s="9"/>
      <c r="D39" s="15"/>
      <c r="F39" s="8"/>
      <c r="G39" s="9"/>
      <c r="H39" s="15"/>
      <c r="I39" s="4"/>
      <c r="J39" s="20"/>
      <c r="K39" s="20"/>
    </row>
    <row r="40" spans="1:12" s="3" customFormat="1" ht="12.75">
      <c r="A40" s="3" t="s">
        <v>19</v>
      </c>
      <c r="B40" s="13">
        <f>'MITCHELL KPCO'!B40+'MITCHELL OPCO'!B40</f>
        <v>146778</v>
      </c>
      <c r="C40" s="14">
        <f>'MITCHELL KPCO'!C40+'MITCHELL OPCO'!C40</f>
        <v>486189.18</v>
      </c>
      <c r="D40" s="15">
        <f>IF(AND(B40&lt;&gt;0,C40&lt;&gt;0),C40/B40,"")</f>
        <v>3.312411805583943</v>
      </c>
      <c r="F40" s="8">
        <f>+B40+J40</f>
        <v>708233</v>
      </c>
      <c r="G40" s="9">
        <f>+C40+K40</f>
        <v>2326075.53</v>
      </c>
      <c r="H40" s="15">
        <f>IF(AND(F40&lt;&gt;0,G40&lt;&gt;0),G40/F40,"")</f>
        <v>3.2843365530835187</v>
      </c>
      <c r="I40" s="4"/>
      <c r="J40" s="20">
        <v>561455</v>
      </c>
      <c r="K40" s="20">
        <v>1839886.3499999999</v>
      </c>
      <c r="L40" s="3">
        <v>3.2888528733173192</v>
      </c>
    </row>
    <row r="41" spans="1:12" s="3" customFormat="1" ht="12.75">
      <c r="A41" s="3" t="s">
        <v>20</v>
      </c>
      <c r="B41" s="13">
        <f>'MITCHELL KPCO'!B41+'MITCHELL OPCO'!B41</f>
        <v>238</v>
      </c>
      <c r="C41" s="263">
        <f>'MITCHELL KPCO'!C41+'MITCHELL OPCO'!C41</f>
        <v>788.35</v>
      </c>
      <c r="D41" s="15">
        <f>IF(AND(B41&lt;&gt;0,C41&lt;&gt;0),C41/B41,"")</f>
        <v>3.3123949579831935</v>
      </c>
      <c r="F41" s="8">
        <f>+B41+J41</f>
        <v>626</v>
      </c>
      <c r="G41" s="9">
        <f>+C41+K41</f>
        <v>2064.85</v>
      </c>
      <c r="H41" s="15">
        <f>IF(AND(F41&lt;&gt;0,G41&lt;&gt;0),G41/F41,"")</f>
        <v>3.298482428115016</v>
      </c>
      <c r="I41" s="4"/>
      <c r="J41" s="20">
        <v>388</v>
      </c>
      <c r="K41" s="20">
        <v>1276.5</v>
      </c>
      <c r="L41" s="3">
        <v>3.339617007788444</v>
      </c>
    </row>
    <row r="42" spans="1:12" s="3" customFormat="1" ht="12.75">
      <c r="A42" s="2" t="s">
        <v>16</v>
      </c>
      <c r="B42" s="101">
        <f>SUM(B40:B41)</f>
        <v>147016</v>
      </c>
      <c r="C42" s="102">
        <f>SUM(C40:C41)</f>
        <v>486977.52999999997</v>
      </c>
      <c r="D42" s="103">
        <f>IF(AND(B42&lt;&gt;0,C42&lt;&gt;0),C42/B42,"")</f>
        <v>3.3124117783098437</v>
      </c>
      <c r="E42" s="2"/>
      <c r="F42" s="101">
        <f>SUM(F40:F41)</f>
        <v>708859</v>
      </c>
      <c r="G42" s="102">
        <f>SUM(G40:G41)</f>
        <v>2328140.38</v>
      </c>
      <c r="H42" s="103">
        <f>IF(AND(F42&lt;&gt;0,G42&lt;&gt;0),G42/F42,"")</f>
        <v>3.2843490454378093</v>
      </c>
      <c r="I42" s="4"/>
      <c r="J42" s="20">
        <v>561843</v>
      </c>
      <c r="K42" s="20">
        <v>1841162.8499999999</v>
      </c>
      <c r="L42" s="3">
        <v>3.295455402638949</v>
      </c>
    </row>
    <row r="43" spans="1:12" s="3" customFormat="1" ht="13.5" thickBot="1">
      <c r="A43" s="2" t="s">
        <v>17</v>
      </c>
      <c r="B43" s="104">
        <f>+B38-B42</f>
        <v>827361</v>
      </c>
      <c r="C43" s="105">
        <f>+C38-C42</f>
        <v>2740560.2500000005</v>
      </c>
      <c r="D43" s="106">
        <f>IF(AND(B43&lt;&gt;0,C43&lt;&gt;0),C43/B43,"")</f>
        <v>3.3124116921150506</v>
      </c>
      <c r="E43" s="2"/>
      <c r="F43" s="104">
        <f>+F38-F42</f>
        <v>827361</v>
      </c>
      <c r="G43" s="105">
        <f>+G38-G42</f>
        <v>2740560.249999999</v>
      </c>
      <c r="H43" s="106">
        <f>IF(AND(F43&lt;&gt;0,G43&lt;&gt;0),G43/F43,"")</f>
        <v>3.312411692115049</v>
      </c>
      <c r="I43" s="4"/>
      <c r="J43" s="20">
        <v>824370</v>
      </c>
      <c r="K43" s="20">
        <v>2726432.0999999996</v>
      </c>
      <c r="L43" s="3">
        <v>3.246934176916388</v>
      </c>
    </row>
    <row r="44" spans="2:11" s="3" customFormat="1" ht="14.25" thickBot="1" thickTop="1">
      <c r="B44" s="10"/>
      <c r="C44" s="11"/>
      <c r="D44" s="12"/>
      <c r="F44" s="10"/>
      <c r="G44" s="11"/>
      <c r="H44" s="12"/>
      <c r="I44" s="4"/>
      <c r="J44" s="20"/>
      <c r="K44" s="20"/>
    </row>
    <row r="45" spans="1:11" s="3" customFormat="1" ht="15">
      <c r="A45" s="89" t="s">
        <v>106</v>
      </c>
      <c r="B45" s="5"/>
      <c r="C45" s="6"/>
      <c r="D45" s="7"/>
      <c r="F45" s="5"/>
      <c r="G45" s="6"/>
      <c r="H45" s="7"/>
      <c r="I45" s="4"/>
      <c r="J45" s="20"/>
      <c r="K45" s="20"/>
    </row>
    <row r="46" spans="1:12" s="3" customFormat="1" ht="12.75">
      <c r="A46" s="3" t="s">
        <v>21</v>
      </c>
      <c r="B46" s="8"/>
      <c r="C46" s="9"/>
      <c r="D46" s="15">
        <f aca="true" t="shared" si="3" ref="D46:D51">IF(AND(B46&lt;&gt;0,C46&lt;&gt;0),C46/B46,"")</f>
      </c>
      <c r="F46" s="8"/>
      <c r="G46" s="9"/>
      <c r="H46" s="15">
        <f aca="true" t="shared" si="4" ref="H46:H51">IF(AND(F46&lt;&gt;0,G46&lt;&gt;0),G46/F46,"")</f>
      </c>
      <c r="I46" s="4"/>
      <c r="J46" s="20"/>
      <c r="K46" s="20"/>
      <c r="L46" s="3" t="s">
        <v>137</v>
      </c>
    </row>
    <row r="47" spans="1:12" s="3" customFormat="1" ht="12.75">
      <c r="A47" s="3" t="s">
        <v>19</v>
      </c>
      <c r="B47" s="8">
        <f>+B18</f>
        <v>296664</v>
      </c>
      <c r="C47" s="9">
        <f>+C18</f>
        <v>18817434.94</v>
      </c>
      <c r="D47" s="15">
        <f t="shared" si="3"/>
        <v>63.430126135965274</v>
      </c>
      <c r="F47" s="8">
        <f aca="true" t="shared" si="5" ref="F47:G49">+B47+J47</f>
        <v>1158059</v>
      </c>
      <c r="G47" s="9">
        <f t="shared" si="5"/>
        <v>79577731.23</v>
      </c>
      <c r="H47" s="15">
        <f t="shared" si="4"/>
        <v>68.71647405702127</v>
      </c>
      <c r="I47" s="4"/>
      <c r="J47" s="20">
        <v>861395</v>
      </c>
      <c r="K47" s="20">
        <v>60760296.29</v>
      </c>
      <c r="L47" s="3">
        <v>72.98936657851795</v>
      </c>
    </row>
    <row r="48" spans="1:12" s="3" customFormat="1" ht="12.75">
      <c r="A48" s="3" t="s">
        <v>14</v>
      </c>
      <c r="B48" s="8">
        <f>+B19</f>
        <v>0</v>
      </c>
      <c r="C48" s="9">
        <f>+C19</f>
        <v>0</v>
      </c>
      <c r="D48" s="15">
        <f t="shared" si="3"/>
      </c>
      <c r="F48" s="8">
        <f t="shared" si="5"/>
        <v>34577</v>
      </c>
      <c r="G48" s="9">
        <f t="shared" si="5"/>
        <v>2788972.82</v>
      </c>
      <c r="H48" s="15">
        <f t="shared" si="4"/>
        <v>80.65976863232784</v>
      </c>
      <c r="I48" s="4"/>
      <c r="J48" s="20">
        <v>34577</v>
      </c>
      <c r="K48" s="20">
        <v>2788972.82</v>
      </c>
      <c r="L48" s="3">
        <v>71.74072935651198</v>
      </c>
    </row>
    <row r="49" spans="1:12" s="3" customFormat="1" ht="12.75">
      <c r="A49" s="3" t="s">
        <v>146</v>
      </c>
      <c r="B49" s="8">
        <f>ROUND(IF(B40&lt;&gt;0,(((B61/1000000)*B40)/((B60/1000)*2)),""),2)</f>
        <v>828.31</v>
      </c>
      <c r="C49" s="195">
        <f>+C40</f>
        <v>486189.18</v>
      </c>
      <c r="D49" s="15">
        <f t="shared" si="3"/>
        <v>586.9652424816796</v>
      </c>
      <c r="F49" s="8">
        <f t="shared" si="5"/>
        <v>4030.7</v>
      </c>
      <c r="G49" s="9">
        <f t="shared" si="5"/>
        <v>2326075.53</v>
      </c>
      <c r="H49" s="15">
        <f t="shared" si="4"/>
        <v>577.0897189073858</v>
      </c>
      <c r="I49" s="4"/>
      <c r="J49" s="20">
        <v>3202.39</v>
      </c>
      <c r="K49" s="20">
        <v>1839886.3499999999</v>
      </c>
      <c r="L49" s="3">
        <v>598.0721910682956</v>
      </c>
    </row>
    <row r="50" spans="1:12" s="3" customFormat="1" ht="12.75">
      <c r="A50" s="3" t="s">
        <v>154</v>
      </c>
      <c r="B50" s="8"/>
      <c r="C50" s="145">
        <v>0</v>
      </c>
      <c r="D50" s="15">
        <f t="shared" si="3"/>
      </c>
      <c r="F50" s="8"/>
      <c r="G50" s="9">
        <f>+C50+K50</f>
        <v>0</v>
      </c>
      <c r="H50" s="15">
        <f t="shared" si="4"/>
      </c>
      <c r="I50" s="4"/>
      <c r="J50" s="20"/>
      <c r="K50" s="20">
        <v>0</v>
      </c>
      <c r="L50" s="3" t="s">
        <v>137</v>
      </c>
    </row>
    <row r="51" spans="1:12" s="3" customFormat="1" ht="12.75">
      <c r="A51" s="3" t="s">
        <v>107</v>
      </c>
      <c r="B51" s="54"/>
      <c r="C51" s="9">
        <f>+C29+C30</f>
        <v>621778.08</v>
      </c>
      <c r="D51" s="88">
        <f t="shared" si="3"/>
      </c>
      <c r="F51" s="53"/>
      <c r="G51" s="9">
        <f>+C51+K51</f>
        <v>2950655.39</v>
      </c>
      <c r="H51" s="88">
        <f t="shared" si="4"/>
      </c>
      <c r="I51" s="4"/>
      <c r="J51" s="20"/>
      <c r="K51" s="20">
        <v>2328877.31</v>
      </c>
      <c r="L51" s="3" t="s">
        <v>137</v>
      </c>
    </row>
    <row r="52" spans="1:11" s="3" customFormat="1" ht="12.75">
      <c r="A52" s="3" t="s">
        <v>155</v>
      </c>
      <c r="B52" s="54"/>
      <c r="C52" s="17">
        <f>'MITCHELL KPCO'!C52+'MITCHELL OPCO'!C52</f>
        <v>111844.81000000001</v>
      </c>
      <c r="D52" s="88"/>
      <c r="F52" s="53"/>
      <c r="G52" s="9">
        <f>+C52+K52</f>
        <v>342693.7</v>
      </c>
      <c r="H52" s="88"/>
      <c r="I52" s="4"/>
      <c r="J52" s="20"/>
      <c r="K52" s="20">
        <v>230848.89</v>
      </c>
    </row>
    <row r="53" spans="1:11" s="3" customFormat="1" ht="12.75">
      <c r="A53" s="3" t="s">
        <v>156</v>
      </c>
      <c r="B53" s="54"/>
      <c r="C53" s="9">
        <f>'MITCHELL KPCO'!C53+'MITCHELL OPCO'!C53</f>
        <v>-147298.98</v>
      </c>
      <c r="D53" s="88"/>
      <c r="F53" s="53"/>
      <c r="G53" s="9">
        <f>+C53+K53</f>
        <v>-589739.07</v>
      </c>
      <c r="H53" s="88"/>
      <c r="I53" s="4"/>
      <c r="J53" s="20"/>
      <c r="K53" s="20">
        <v>-442440.08999999997</v>
      </c>
    </row>
    <row r="54" spans="1:11" s="3" customFormat="1" ht="12.75">
      <c r="A54" s="3" t="s">
        <v>149</v>
      </c>
      <c r="B54" s="54"/>
      <c r="C54" s="303">
        <v>0</v>
      </c>
      <c r="D54" s="88"/>
      <c r="F54" s="53"/>
      <c r="G54" s="9">
        <f>+C54+K54</f>
        <v>0</v>
      </c>
      <c r="H54" s="88"/>
      <c r="I54" s="4"/>
      <c r="J54" s="20"/>
      <c r="K54" s="20">
        <v>0</v>
      </c>
    </row>
    <row r="55" spans="2:11" s="3" customFormat="1" ht="12.75">
      <c r="B55" s="54"/>
      <c r="C55" s="9"/>
      <c r="D55" s="88"/>
      <c r="F55" s="53"/>
      <c r="G55" s="9"/>
      <c r="H55" s="88"/>
      <c r="I55" s="4"/>
      <c r="J55" s="20"/>
      <c r="K55" s="20"/>
    </row>
    <row r="56" spans="1:12" s="3" customFormat="1" ht="13.5" thickBot="1">
      <c r="A56" s="2" t="s">
        <v>22</v>
      </c>
      <c r="B56" s="104">
        <f>SUM(B46:B55)</f>
        <v>297492.31</v>
      </c>
      <c r="C56" s="105">
        <f>SUM(C46:C55)</f>
        <v>19889948.029999997</v>
      </c>
      <c r="D56" s="106">
        <f>IF(AND(B56&lt;&gt;0,C56&lt;&gt;0),C56/B56,"")</f>
        <v>66.858696381093</v>
      </c>
      <c r="E56" s="2"/>
      <c r="F56" s="104">
        <f>SUM(F46:F55)</f>
        <v>1196666.7</v>
      </c>
      <c r="G56" s="105">
        <f>SUM(G46:G55)</f>
        <v>87396389.60000001</v>
      </c>
      <c r="H56" s="106">
        <f>IF(AND(F56&lt;&gt;0,G56&lt;&gt;0),G56/F56,"")</f>
        <v>73.03319261745983</v>
      </c>
      <c r="I56" s="4"/>
      <c r="J56" s="20">
        <v>899174.39</v>
      </c>
      <c r="K56" s="20">
        <v>67506441.57</v>
      </c>
      <c r="L56" s="3">
        <v>78.15764107647016</v>
      </c>
    </row>
    <row r="57" spans="2:11" s="3" customFormat="1" ht="14.25" thickBot="1" thickTop="1">
      <c r="B57" s="10"/>
      <c r="C57" s="11"/>
      <c r="D57" s="12"/>
      <c r="F57" s="10"/>
      <c r="G57" s="11"/>
      <c r="H57" s="12"/>
      <c r="I57" s="4"/>
      <c r="J57" s="20"/>
      <c r="K57" s="20"/>
    </row>
    <row r="58" s="3" customFormat="1" ht="12.75">
      <c r="I58" s="4"/>
    </row>
    <row r="59" spans="1:9" s="3" customFormat="1" ht="15">
      <c r="A59" s="89" t="s">
        <v>23</v>
      </c>
      <c r="C59" s="18"/>
      <c r="I59" s="4"/>
    </row>
    <row r="60" spans="1:9" s="3" customFormat="1" ht="12.75">
      <c r="A60" s="3" t="s">
        <v>24</v>
      </c>
      <c r="B60" s="22">
        <f>'[1]MITCHELL'!$E$21</f>
        <v>12184</v>
      </c>
      <c r="I60" s="4"/>
    </row>
    <row r="61" spans="1:9" s="3" customFormat="1" ht="12.75">
      <c r="A61" s="3" t="s">
        <v>25</v>
      </c>
      <c r="B61" s="22">
        <f>'[3]MITCHELL'!$E$17</f>
        <v>137515</v>
      </c>
      <c r="I61" s="4"/>
    </row>
    <row r="62" spans="1:9" s="3" customFormat="1" ht="12.75">
      <c r="A62" s="3" t="s">
        <v>193</v>
      </c>
      <c r="B62" s="22">
        <f>INPUT!B180</f>
        <v>12142</v>
      </c>
      <c r="I62" s="4"/>
    </row>
  </sheetData>
  <sheetProtection/>
  <mergeCells count="7">
    <mergeCell ref="J7:K7"/>
    <mergeCell ref="B7:D7"/>
    <mergeCell ref="F7:H7"/>
    <mergeCell ref="A2:H2"/>
    <mergeCell ref="A3:H3"/>
    <mergeCell ref="A4:H4"/>
    <mergeCell ref="A5:H5"/>
  </mergeCells>
  <printOptions/>
  <pageMargins left="0.5" right="0.5" top="0.5" bottom="0.5" header="0.3" footer="0.3"/>
  <pageSetup fitToHeight="1" fitToWidth="1" horizontalDpi="600" verticalDpi="600" orientation="portrait" scale="74" r:id="rId1"/>
  <headerFooter alignWithMargins="0">
    <oddFooter>&amp;C&amp;Z&amp;F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tabColor theme="5"/>
    <pageSetUpPr fitToPage="1"/>
  </sheetPr>
  <dimension ref="A1:L64"/>
  <sheetViews>
    <sheetView zoomScalePageLayoutView="0" workbookViewId="0" topLeftCell="A1">
      <selection activeCell="C11" sqref="C11"/>
    </sheetView>
  </sheetViews>
  <sheetFormatPr defaultColWidth="17.7109375" defaultRowHeight="12.75" outlineLevelRow="1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s="200" customFormat="1" ht="15">
      <c r="H1" s="89" t="s">
        <v>29</v>
      </c>
    </row>
    <row r="2" spans="1:9" s="92" customFormat="1" ht="15">
      <c r="A2" s="340" t="s">
        <v>204</v>
      </c>
      <c r="B2" s="340"/>
      <c r="C2" s="340"/>
      <c r="D2" s="340"/>
      <c r="E2" s="340"/>
      <c r="F2" s="340"/>
      <c r="G2" s="340"/>
      <c r="H2" s="340"/>
      <c r="I2" s="91"/>
    </row>
    <row r="3" spans="1:9" s="92" customFormat="1" ht="15">
      <c r="A3" s="340" t="s">
        <v>0</v>
      </c>
      <c r="B3" s="340"/>
      <c r="C3" s="340"/>
      <c r="D3" s="340"/>
      <c r="E3" s="340"/>
      <c r="F3" s="340"/>
      <c r="G3" s="340"/>
      <c r="H3" s="340"/>
      <c r="I3" s="91"/>
    </row>
    <row r="4" spans="1:9" s="92" customFormat="1" ht="15">
      <c r="A4" s="340" t="s">
        <v>202</v>
      </c>
      <c r="B4" s="340"/>
      <c r="C4" s="340"/>
      <c r="D4" s="340"/>
      <c r="E4" s="340"/>
      <c r="F4" s="340"/>
      <c r="G4" s="340"/>
      <c r="H4" s="340"/>
      <c r="I4" s="91"/>
    </row>
    <row r="5" spans="1:9" s="92" customFormat="1" ht="15">
      <c r="A5" s="342" t="str">
        <f>+INPUT!A3</f>
        <v>APRIL 2014</v>
      </c>
      <c r="B5" s="342"/>
      <c r="C5" s="342"/>
      <c r="D5" s="342"/>
      <c r="E5" s="342"/>
      <c r="F5" s="342"/>
      <c r="G5" s="342"/>
      <c r="H5" s="342"/>
      <c r="I5" s="91"/>
    </row>
    <row r="6" s="92" customFormat="1" ht="14.25">
      <c r="I6" s="91"/>
    </row>
    <row r="7" spans="2:11" s="92" customFormat="1" ht="15">
      <c r="B7" s="340" t="s">
        <v>2</v>
      </c>
      <c r="C7" s="340"/>
      <c r="D7" s="340"/>
      <c r="E7" s="90"/>
      <c r="F7" s="340" t="s">
        <v>3</v>
      </c>
      <c r="G7" s="340"/>
      <c r="H7" s="340"/>
      <c r="I7" s="91"/>
      <c r="J7" s="340" t="s">
        <v>4</v>
      </c>
      <c r="K7" s="340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152</v>
      </c>
      <c r="B10" s="5"/>
      <c r="C10" s="6"/>
      <c r="D10" s="7"/>
      <c r="F10" s="270"/>
      <c r="G10" s="271"/>
      <c r="H10" s="272"/>
      <c r="I10" s="4"/>
      <c r="J10" s="19"/>
      <c r="K10" s="19"/>
    </row>
    <row r="11" spans="1:12" s="3" customFormat="1" ht="12.75">
      <c r="A11" s="3" t="s">
        <v>9</v>
      </c>
      <c r="B11" s="267">
        <f>'[1]MITCHELL HIGH SULFUR'!$B$7</f>
        <v>237538.96</v>
      </c>
      <c r="C11" s="188">
        <f>'[1]MITCHELL HIGH SULFUR'!$C$7</f>
        <v>14132804.46</v>
      </c>
      <c r="D11" s="15">
        <f>IF(AND(B11&lt;&gt;0,C11&lt;&gt;0),C11/B11,"")</f>
        <v>59.49678511684989</v>
      </c>
      <c r="E11" s="18"/>
      <c r="F11" s="304">
        <v>384303.26</v>
      </c>
      <c r="G11" s="305">
        <v>23527378.96</v>
      </c>
      <c r="H11" s="273">
        <f>IF(AND(F11&lt;&gt;0,G11&lt;&gt;0),G11/F11,"")</f>
        <v>61.22086749927649</v>
      </c>
      <c r="I11" s="4"/>
      <c r="J11" s="19">
        <v>384303.26</v>
      </c>
      <c r="K11" s="19">
        <v>23527378.96</v>
      </c>
      <c r="L11" s="3">
        <v>46.65343942430702</v>
      </c>
    </row>
    <row r="12" spans="1:12" s="3" customFormat="1" ht="12.75">
      <c r="A12" s="3" t="s">
        <v>8</v>
      </c>
      <c r="B12" s="8"/>
      <c r="C12" s="9"/>
      <c r="D12" s="15">
        <f>IF(AND(B12&lt;&gt;0,C12&lt;&gt;0),C12/B12,"")</f>
      </c>
      <c r="F12" s="274"/>
      <c r="G12" s="275"/>
      <c r="H12" s="273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10</v>
      </c>
      <c r="B13" s="13">
        <f>'[1]MITCHELL HIGH SULFUR'!$B$9</f>
        <v>68523.2</v>
      </c>
      <c r="C13" s="14">
        <f>'[1]MITCHELL HIGH SULFUR'!$C$9</f>
        <v>3887098.3599999994</v>
      </c>
      <c r="D13" s="15">
        <f>IF(AND(B13&lt;&gt;0,C13&lt;&gt;0),C13/B13,"")</f>
        <v>56.726748896724025</v>
      </c>
      <c r="F13" s="274">
        <f>+B13+J13</f>
        <v>308980.9</v>
      </c>
      <c r="G13" s="275">
        <f>+C13+K13</f>
        <v>17731714.41</v>
      </c>
      <c r="H13" s="273">
        <f>IF(AND(F13&lt;&gt;0,G13&lt;&gt;0),G13/F13,"")</f>
        <v>57.38773629696851</v>
      </c>
      <c r="I13" s="4"/>
      <c r="J13" s="19">
        <v>240457.7</v>
      </c>
      <c r="K13" s="19">
        <v>13844616.05</v>
      </c>
      <c r="L13" s="3">
        <v>43.70496619112474</v>
      </c>
    </row>
    <row r="14" spans="1:12" s="3" customFormat="1" ht="12.75">
      <c r="A14" s="3" t="s">
        <v>11</v>
      </c>
      <c r="B14" s="53"/>
      <c r="C14" s="14">
        <f>'[1]MITCHELL HIGH SULFUR'!$C$10</f>
        <v>0</v>
      </c>
      <c r="D14" s="15">
        <f>IF(AND(B13&lt;&gt;0,C14&lt;&gt;0),C14/B13,"")</f>
      </c>
      <c r="F14" s="274"/>
      <c r="G14" s="195">
        <f>+C14+K14</f>
        <v>7517.9</v>
      </c>
      <c r="H14" s="273">
        <f>IF(AND(F13&lt;&gt;0,G14&lt;&gt;0),G14/F13,"")</f>
        <v>0.024331277434948242</v>
      </c>
      <c r="I14" s="4"/>
      <c r="J14" s="19"/>
      <c r="K14" s="19">
        <v>7517.9</v>
      </c>
      <c r="L14" s="3">
        <v>3.7820777685323437</v>
      </c>
    </row>
    <row r="15" spans="1:12" s="2" customFormat="1" ht="12.75">
      <c r="A15" s="2" t="s">
        <v>12</v>
      </c>
      <c r="B15" s="101">
        <f>SUM(B13:B14)</f>
        <v>68523.2</v>
      </c>
      <c r="C15" s="102">
        <f>SUM(C13:C14)</f>
        <v>3887098.3599999994</v>
      </c>
      <c r="D15" s="103">
        <f aca="true" t="shared" si="0" ref="D15:D22">IF(AND(B15&lt;&gt;0,C15&lt;&gt;0),C15/B15,"")</f>
        <v>56.726748896724025</v>
      </c>
      <c r="F15" s="244">
        <f>SUM(F13:F14)</f>
        <v>308980.9</v>
      </c>
      <c r="G15" s="245">
        <f>SUM(G13:G14)</f>
        <v>17739232.31</v>
      </c>
      <c r="H15" s="278">
        <f aca="true" t="shared" si="1" ref="H15:H22">IF(AND(F15&lt;&gt;0,G15&lt;&gt;0),G15/F15,"")</f>
        <v>57.41206757440346</v>
      </c>
      <c r="I15" s="4"/>
      <c r="J15" s="202">
        <v>240457.7</v>
      </c>
      <c r="K15" s="202">
        <v>13852133.950000001</v>
      </c>
      <c r="L15" s="2">
        <v>47.487043959657086</v>
      </c>
    </row>
    <row r="16" spans="1:12" s="2" customFormat="1" ht="12.75">
      <c r="A16" s="2" t="s">
        <v>18</v>
      </c>
      <c r="B16" s="98">
        <f>+B11+B13</f>
        <v>306062.16</v>
      </c>
      <c r="C16" s="99">
        <f>+C11+C15</f>
        <v>18019902.82</v>
      </c>
      <c r="D16" s="100">
        <f t="shared" si="0"/>
        <v>58.87661127399742</v>
      </c>
      <c r="F16" s="246">
        <f>+F11+F15</f>
        <v>693284.16</v>
      </c>
      <c r="G16" s="247">
        <f>+G11+G15</f>
        <v>41266611.269999996</v>
      </c>
      <c r="H16" s="279">
        <f t="shared" si="1"/>
        <v>59.52337245091535</v>
      </c>
      <c r="I16" s="4"/>
      <c r="J16" s="202">
        <v>624760.96</v>
      </c>
      <c r="K16" s="202">
        <v>37379512.910000004</v>
      </c>
      <c r="L16" s="2">
        <v>47.28719144288433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186"/>
      <c r="G17" s="195"/>
      <c r="H17" s="88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13">
        <f>'[1]MITCHELL HIGH SULFUR'!$B$15</f>
        <v>153889</v>
      </c>
      <c r="C18" s="14">
        <f>'[1]MITCHELL HIGH SULFUR'!$C$15</f>
        <v>9060261.31</v>
      </c>
      <c r="D18" s="15">
        <f t="shared" si="0"/>
        <v>58.87530174346445</v>
      </c>
      <c r="F18" s="186">
        <f aca="true" t="shared" si="2" ref="F18:G20">+B18+J18</f>
        <v>541641</v>
      </c>
      <c r="G18" s="195">
        <f t="shared" si="2"/>
        <v>32338609.17</v>
      </c>
      <c r="H18" s="88">
        <f t="shared" si="1"/>
        <v>59.70487679108487</v>
      </c>
      <c r="I18" s="4"/>
      <c r="J18" s="19">
        <v>387752</v>
      </c>
      <c r="K18" s="19">
        <v>23278347.86</v>
      </c>
      <c r="L18" s="3">
        <v>47.2999488365436</v>
      </c>
    </row>
    <row r="19" spans="1:12" s="3" customFormat="1" ht="12.75">
      <c r="A19" s="3" t="s">
        <v>14</v>
      </c>
      <c r="B19" s="13">
        <f>'[1]MITCHELL HIGH SULFUR'!$B$17</f>
        <v>0</v>
      </c>
      <c r="C19" s="14">
        <f>'[1]MITCHELL HIGH SULFUR'!$C$17</f>
        <v>0</v>
      </c>
      <c r="D19" s="15">
        <f t="shared" si="0"/>
      </c>
      <c r="F19" s="186">
        <f t="shared" si="2"/>
        <v>-530</v>
      </c>
      <c r="G19" s="195">
        <f t="shared" si="2"/>
        <v>-31639.41</v>
      </c>
      <c r="H19" s="88">
        <f t="shared" si="1"/>
        <v>59.697</v>
      </c>
      <c r="I19" s="4"/>
      <c r="J19" s="19">
        <v>-530</v>
      </c>
      <c r="K19" s="19">
        <v>-31639.41</v>
      </c>
      <c r="L19" s="3">
        <v>47.36120052636906</v>
      </c>
    </row>
    <row r="20" spans="1:12" s="3" customFormat="1" ht="12.75">
      <c r="A20" s="3" t="s">
        <v>15</v>
      </c>
      <c r="B20" s="13">
        <f>'[1]MITCHELL HIGH SULFUR'!$B$18+'[1]MITCHELL HIGH SULFUR'!$B$16</f>
        <v>0</v>
      </c>
      <c r="C20" s="14">
        <f>'[1]MITCHELL HIGH SULFUR'!$C$18+'[1]MITCHELL HIGH SULFUR'!$C$16</f>
        <v>0</v>
      </c>
      <c r="D20" s="15">
        <f t="shared" si="0"/>
      </c>
      <c r="F20" s="186">
        <f t="shared" si="2"/>
        <v>0</v>
      </c>
      <c r="G20" s="195">
        <f t="shared" si="2"/>
        <v>0</v>
      </c>
      <c r="H20" s="88">
        <f t="shared" si="1"/>
      </c>
      <c r="I20" s="4"/>
      <c r="J20" s="19">
        <v>0</v>
      </c>
      <c r="K20" s="19">
        <v>0</v>
      </c>
      <c r="L20" s="3" t="s">
        <v>137</v>
      </c>
    </row>
    <row r="21" spans="1:12" s="2" customFormat="1" ht="12.75">
      <c r="A21" s="2" t="s">
        <v>16</v>
      </c>
      <c r="B21" s="101">
        <f>SUM(B18:B20)</f>
        <v>153889</v>
      </c>
      <c r="C21" s="102">
        <f>SUM(C18:C20)</f>
        <v>9060261.31</v>
      </c>
      <c r="D21" s="103">
        <f t="shared" si="0"/>
        <v>58.87530174346445</v>
      </c>
      <c r="F21" s="244">
        <f>SUM(F18:F20)</f>
        <v>541111</v>
      </c>
      <c r="G21" s="245">
        <f>SUM(G18:G20)</f>
        <v>32306969.76</v>
      </c>
      <c r="H21" s="278">
        <f t="shared" si="1"/>
        <v>59.70488450613645</v>
      </c>
      <c r="I21" s="4"/>
      <c r="J21" s="202">
        <v>387222</v>
      </c>
      <c r="K21" s="202">
        <v>23246708.45</v>
      </c>
      <c r="L21" s="2">
        <v>47.30106304328886</v>
      </c>
    </row>
    <row r="22" spans="1:12" s="2" customFormat="1" ht="13.5" thickBot="1">
      <c r="A22" s="2" t="s">
        <v>17</v>
      </c>
      <c r="B22" s="104">
        <f>+B16-B21</f>
        <v>152173.15999999997</v>
      </c>
      <c r="C22" s="105">
        <f>+C16-C21</f>
        <v>8959641.51</v>
      </c>
      <c r="D22" s="106">
        <f t="shared" si="0"/>
        <v>58.87793557024117</v>
      </c>
      <c r="F22" s="171">
        <f>+F16-F21</f>
        <v>152173.16000000003</v>
      </c>
      <c r="G22" s="170">
        <f>+G16-G21</f>
        <v>8959641.509999994</v>
      </c>
      <c r="H22" s="276">
        <f t="shared" si="1"/>
        <v>58.877935570241114</v>
      </c>
      <c r="I22" s="4"/>
      <c r="J22" s="202">
        <v>237538.95999999996</v>
      </c>
      <c r="K22" s="202">
        <v>14132804.460000005</v>
      </c>
      <c r="L22" s="2">
        <v>47.239333023420905</v>
      </c>
    </row>
    <row r="23" spans="2:11" s="3" customFormat="1" ht="14.25" thickBot="1" thickTop="1">
      <c r="B23" s="240"/>
      <c r="C23" s="241"/>
      <c r="D23" s="242"/>
      <c r="F23" s="248"/>
      <c r="G23" s="249"/>
      <c r="H23" s="250"/>
      <c r="I23" s="4"/>
      <c r="J23" s="19"/>
      <c r="K23" s="19"/>
    </row>
    <row r="24" spans="1:11" s="3" customFormat="1" ht="15">
      <c r="A24" s="89"/>
      <c r="B24" s="9"/>
      <c r="C24" s="9"/>
      <c r="D24" s="9"/>
      <c r="E24" s="9"/>
      <c r="F24" s="9"/>
      <c r="G24" s="9"/>
      <c r="H24" s="9"/>
      <c r="I24" s="4"/>
      <c r="J24" s="20"/>
      <c r="K24" s="20"/>
    </row>
    <row r="25" spans="2:11" s="3" customFormat="1" ht="12.75" hidden="1" outlineLevel="1">
      <c r="B25" s="188"/>
      <c r="C25" s="14"/>
      <c r="D25" s="17"/>
      <c r="E25" s="9"/>
      <c r="F25" s="203"/>
      <c r="G25" s="203"/>
      <c r="H25" s="17"/>
      <c r="I25" s="4"/>
      <c r="J25" s="20"/>
      <c r="K25" s="20"/>
    </row>
    <row r="26" spans="2:11" s="3" customFormat="1" ht="12.75" hidden="1" outlineLevel="1">
      <c r="B26" s="14"/>
      <c r="C26" s="14"/>
      <c r="D26" s="17"/>
      <c r="E26" s="9"/>
      <c r="F26" s="17"/>
      <c r="G26" s="17"/>
      <c r="H26" s="17"/>
      <c r="I26" s="4"/>
      <c r="J26" s="20"/>
      <c r="K26" s="20"/>
    </row>
    <row r="27" spans="2:11" s="2" customFormat="1" ht="12.75" hidden="1" outlineLevel="1">
      <c r="B27" s="99"/>
      <c r="C27" s="99"/>
      <c r="D27" s="99"/>
      <c r="E27" s="99"/>
      <c r="F27" s="99"/>
      <c r="G27" s="99"/>
      <c r="H27" s="99"/>
      <c r="I27" s="201"/>
      <c r="J27" s="204"/>
      <c r="K27" s="204"/>
    </row>
    <row r="28" spans="1:11" s="2" customFormat="1" ht="12.75" hidden="1" outlineLevel="1">
      <c r="A28" s="18"/>
      <c r="B28" s="99"/>
      <c r="C28" s="99"/>
      <c r="D28" s="99"/>
      <c r="E28" s="99"/>
      <c r="F28" s="99"/>
      <c r="G28" s="99"/>
      <c r="H28" s="99"/>
      <c r="I28" s="201"/>
      <c r="J28" s="204"/>
      <c r="K28" s="204"/>
    </row>
    <row r="29" spans="2:11" s="3" customFormat="1" ht="12.75" hidden="1" outlineLevel="1">
      <c r="B29" s="14"/>
      <c r="C29" s="14"/>
      <c r="D29" s="17"/>
      <c r="E29" s="9"/>
      <c r="F29" s="9"/>
      <c r="G29" s="9"/>
      <c r="H29" s="17"/>
      <c r="I29" s="4"/>
      <c r="J29" s="20"/>
      <c r="K29" s="20"/>
    </row>
    <row r="30" spans="2:11" s="3" customFormat="1" ht="12.75" hidden="1" outlineLevel="1">
      <c r="B30" s="14"/>
      <c r="C30" s="14"/>
      <c r="D30" s="17"/>
      <c r="E30" s="9"/>
      <c r="F30" s="9"/>
      <c r="G30" s="9"/>
      <c r="H30" s="17"/>
      <c r="I30" s="4"/>
      <c r="J30" s="20"/>
      <c r="K30" s="20"/>
    </row>
    <row r="31" spans="2:11" s="3" customFormat="1" ht="12.75" hidden="1" outlineLevel="1">
      <c r="B31" s="14"/>
      <c r="C31" s="14"/>
      <c r="D31" s="17"/>
      <c r="E31" s="9"/>
      <c r="F31" s="9"/>
      <c r="G31" s="9"/>
      <c r="H31" s="17"/>
      <c r="I31" s="4"/>
      <c r="J31" s="20"/>
      <c r="K31" s="20"/>
    </row>
    <row r="32" spans="1:11" s="3" customFormat="1" ht="12.75" hidden="1" outlineLevel="1">
      <c r="A32" s="2"/>
      <c r="B32" s="9"/>
      <c r="C32" s="9"/>
      <c r="D32" s="17"/>
      <c r="E32" s="9"/>
      <c r="F32" s="9"/>
      <c r="G32" s="9"/>
      <c r="H32" s="17"/>
      <c r="I32" s="4"/>
      <c r="J32" s="204"/>
      <c r="K32" s="204"/>
    </row>
    <row r="33" spans="2:11" s="2" customFormat="1" ht="12.75" hidden="1" outlineLevel="1">
      <c r="B33" s="99"/>
      <c r="C33" s="99"/>
      <c r="D33" s="99"/>
      <c r="E33" s="99"/>
      <c r="F33" s="99"/>
      <c r="G33" s="99"/>
      <c r="H33" s="99"/>
      <c r="I33" s="201"/>
      <c r="J33" s="204"/>
      <c r="K33" s="204"/>
    </row>
    <row r="34" spans="2:11" s="3" customFormat="1" ht="12.75" hidden="1" outlineLevel="1">
      <c r="B34" s="9"/>
      <c r="C34" s="9"/>
      <c r="D34" s="9"/>
      <c r="E34" s="9"/>
      <c r="F34" s="9"/>
      <c r="G34" s="9"/>
      <c r="H34" s="9"/>
      <c r="I34" s="4"/>
      <c r="J34" s="20"/>
      <c r="K34" s="20"/>
    </row>
    <row r="35" spans="1:11" s="3" customFormat="1" ht="15" hidden="1" outlineLevel="1">
      <c r="A35" s="89"/>
      <c r="B35" s="9"/>
      <c r="C35" s="9"/>
      <c r="D35" s="9"/>
      <c r="E35" s="9"/>
      <c r="F35" s="9"/>
      <c r="G35" s="9"/>
      <c r="H35" s="9"/>
      <c r="I35" s="4"/>
      <c r="J35" s="20"/>
      <c r="K35" s="20"/>
    </row>
    <row r="36" spans="2:11" s="3" customFormat="1" ht="12.75" hidden="1" outlineLevel="1">
      <c r="B36" s="14"/>
      <c r="C36" s="188"/>
      <c r="D36" s="17"/>
      <c r="E36" s="9"/>
      <c r="F36" s="203"/>
      <c r="G36" s="203"/>
      <c r="H36" s="17"/>
      <c r="I36" s="4"/>
      <c r="J36" s="20"/>
      <c r="K36" s="20"/>
    </row>
    <row r="37" spans="2:11" s="3" customFormat="1" ht="12.75" hidden="1" outlineLevel="1">
      <c r="B37" s="14"/>
      <c r="C37" s="14"/>
      <c r="D37" s="17"/>
      <c r="E37" s="9"/>
      <c r="F37" s="9"/>
      <c r="G37" s="17"/>
      <c r="H37" s="17"/>
      <c r="I37" s="4"/>
      <c r="J37" s="20"/>
      <c r="K37" s="20"/>
    </row>
    <row r="38" spans="2:11" s="2" customFormat="1" ht="12.75" hidden="1" outlineLevel="1">
      <c r="B38" s="99"/>
      <c r="C38" s="99"/>
      <c r="D38" s="99"/>
      <c r="E38" s="99"/>
      <c r="F38" s="99"/>
      <c r="G38" s="99"/>
      <c r="H38" s="99"/>
      <c r="I38" s="201"/>
      <c r="J38" s="204"/>
      <c r="K38" s="204"/>
    </row>
    <row r="39" spans="2:11" s="18" customFormat="1" ht="12.75" hidden="1" outlineLevel="1">
      <c r="B39" s="17"/>
      <c r="C39" s="17"/>
      <c r="D39" s="17"/>
      <c r="E39" s="17"/>
      <c r="F39" s="17"/>
      <c r="G39" s="17"/>
      <c r="H39" s="17"/>
      <c r="I39" s="199"/>
      <c r="J39" s="20"/>
      <c r="K39" s="20"/>
    </row>
    <row r="40" spans="2:11" s="3" customFormat="1" ht="12.75" hidden="1" outlineLevel="1">
      <c r="B40" s="14"/>
      <c r="C40" s="14"/>
      <c r="D40" s="17"/>
      <c r="E40" s="9"/>
      <c r="F40" s="277"/>
      <c r="G40" s="277"/>
      <c r="H40" s="17"/>
      <c r="I40" s="4"/>
      <c r="J40" s="20"/>
      <c r="K40" s="20"/>
    </row>
    <row r="41" spans="2:11" s="3" customFormat="1" ht="12.75" hidden="1" outlineLevel="1">
      <c r="B41" s="14"/>
      <c r="C41" s="14"/>
      <c r="D41" s="17"/>
      <c r="E41" s="9"/>
      <c r="F41" s="277"/>
      <c r="G41" s="277"/>
      <c r="H41" s="17"/>
      <c r="I41" s="4"/>
      <c r="J41" s="20"/>
      <c r="K41" s="20"/>
    </row>
    <row r="42" spans="2:11" s="2" customFormat="1" ht="12.75" hidden="1" outlineLevel="1">
      <c r="B42" s="99"/>
      <c r="C42" s="99"/>
      <c r="D42" s="99"/>
      <c r="E42" s="99"/>
      <c r="F42" s="99"/>
      <c r="G42" s="99"/>
      <c r="H42" s="99"/>
      <c r="I42" s="201"/>
      <c r="J42" s="204"/>
      <c r="K42" s="204"/>
    </row>
    <row r="43" spans="2:11" s="2" customFormat="1" ht="12.75" hidden="1" outlineLevel="1">
      <c r="B43" s="99"/>
      <c r="C43" s="99"/>
      <c r="D43" s="99"/>
      <c r="E43" s="99"/>
      <c r="F43" s="99"/>
      <c r="G43" s="99"/>
      <c r="H43" s="99"/>
      <c r="I43" s="201"/>
      <c r="J43" s="204"/>
      <c r="K43" s="204"/>
    </row>
    <row r="44" spans="2:11" s="3" customFormat="1" ht="13.5" collapsed="1" thickBot="1">
      <c r="B44" s="11"/>
      <c r="C44" s="11"/>
      <c r="D44" s="11"/>
      <c r="E44" s="9"/>
      <c r="F44" s="11"/>
      <c r="G44" s="11"/>
      <c r="H44" s="11"/>
      <c r="I44" s="4"/>
      <c r="J44" s="20"/>
      <c r="K44" s="20"/>
    </row>
    <row r="45" spans="1:11" s="3" customFormat="1" ht="15">
      <c r="A45" s="89" t="s">
        <v>153</v>
      </c>
      <c r="B45" s="8"/>
      <c r="C45" s="9"/>
      <c r="D45" s="139"/>
      <c r="F45" s="274"/>
      <c r="G45" s="275"/>
      <c r="H45" s="273"/>
      <c r="I45" s="4"/>
      <c r="J45" s="20"/>
      <c r="K45" s="20"/>
    </row>
    <row r="46" spans="1:11" s="3" customFormat="1" ht="12.75">
      <c r="A46" s="3" t="s">
        <v>21</v>
      </c>
      <c r="B46" s="8"/>
      <c r="C46" s="9"/>
      <c r="D46" s="15">
        <f>IF(AND(B46&lt;&gt;0,C46&lt;&gt;0),C46/B46,"")</f>
      </c>
      <c r="F46" s="274"/>
      <c r="G46" s="275"/>
      <c r="H46" s="273">
        <f>IF(AND(F46&lt;&gt;0,G46&lt;&gt;0),G46/F46,"")</f>
      </c>
      <c r="I46" s="4"/>
      <c r="J46" s="20"/>
      <c r="K46" s="20"/>
    </row>
    <row r="47" spans="1:12" s="3" customFormat="1" ht="12.75">
      <c r="A47" s="112" t="s">
        <v>185</v>
      </c>
      <c r="B47" s="53">
        <f>+B18</f>
        <v>153889</v>
      </c>
      <c r="C47" s="195">
        <f>+C18</f>
        <v>9060261.31</v>
      </c>
      <c r="D47" s="15">
        <f>IF(AND(B47&lt;&gt;0,C47&lt;&gt;0),C47/B47,"")</f>
        <v>58.87530174346445</v>
      </c>
      <c r="F47" s="274">
        <f>+B47+J47</f>
        <v>541641</v>
      </c>
      <c r="G47" s="275">
        <f>+C47+K47</f>
        <v>32338609.17</v>
      </c>
      <c r="H47" s="273">
        <f>IF(AND(F47&lt;&gt;0,G47&lt;&gt;0),G47/F47,"")</f>
        <v>59.70487679108487</v>
      </c>
      <c r="I47" s="4"/>
      <c r="J47" s="20">
        <v>387752</v>
      </c>
      <c r="K47" s="20">
        <v>23278347.86</v>
      </c>
      <c r="L47" s="3">
        <v>47.2999488365436</v>
      </c>
    </row>
    <row r="48" spans="1:12" s="3" customFormat="1" ht="12.75">
      <c r="A48" s="112" t="s">
        <v>14</v>
      </c>
      <c r="B48" s="53">
        <f>+B19</f>
        <v>0</v>
      </c>
      <c r="C48" s="205">
        <f>+C19</f>
        <v>0</v>
      </c>
      <c r="D48" s="15">
        <f>IF(AND(B48&lt;&gt;0,C48&lt;&gt;0),C48/B48,"")</f>
      </c>
      <c r="F48" s="274">
        <f>+B48+J48</f>
        <v>-530</v>
      </c>
      <c r="G48" s="275">
        <f>+C48+K48</f>
        <v>-31639.41</v>
      </c>
      <c r="H48" s="273">
        <f>IF(AND(F48&lt;&gt;0,G48&lt;&gt;0),G48/F48,"")</f>
        <v>59.697</v>
      </c>
      <c r="I48" s="4"/>
      <c r="J48" s="20">
        <v>-530</v>
      </c>
      <c r="K48" s="20">
        <v>-31639.41</v>
      </c>
      <c r="L48" s="3">
        <v>47.36120052636906</v>
      </c>
    </row>
    <row r="49" spans="1:11" s="3" customFormat="1" ht="12.75">
      <c r="A49" s="112" t="s">
        <v>200</v>
      </c>
      <c r="B49" s="53"/>
      <c r="C49" s="275"/>
      <c r="D49" s="15"/>
      <c r="F49" s="274"/>
      <c r="G49" s="275"/>
      <c r="H49" s="273"/>
      <c r="I49" s="4"/>
      <c r="J49" s="20"/>
      <c r="K49" s="20"/>
    </row>
    <row r="50" spans="1:11" s="3" customFormat="1" ht="12.75">
      <c r="A50" s="112" t="s">
        <v>186</v>
      </c>
      <c r="B50" s="53"/>
      <c r="C50" s="195"/>
      <c r="D50" s="15"/>
      <c r="F50" s="274"/>
      <c r="G50" s="275"/>
      <c r="H50" s="273"/>
      <c r="I50" s="4"/>
      <c r="J50" s="20"/>
      <c r="K50" s="20"/>
    </row>
    <row r="51" spans="1:11" s="3" customFormat="1" ht="12.75">
      <c r="A51" s="112" t="s">
        <v>107</v>
      </c>
      <c r="B51" s="53"/>
      <c r="C51" s="195"/>
      <c r="D51" s="15"/>
      <c r="F51" s="274"/>
      <c r="G51" s="275"/>
      <c r="H51" s="273"/>
      <c r="I51" s="4"/>
      <c r="J51" s="20"/>
      <c r="K51" s="20"/>
    </row>
    <row r="52" spans="1:11" s="3" customFormat="1" ht="12.75">
      <c r="A52" s="112" t="s">
        <v>187</v>
      </c>
      <c r="B52" s="53"/>
      <c r="C52" s="195"/>
      <c r="D52" s="15"/>
      <c r="F52" s="274"/>
      <c r="G52" s="275"/>
      <c r="H52" s="273"/>
      <c r="I52" s="4"/>
      <c r="J52" s="20"/>
      <c r="K52" s="20"/>
    </row>
    <row r="53" spans="1:11" s="3" customFormat="1" ht="12.75">
      <c r="A53" s="112" t="s">
        <v>108</v>
      </c>
      <c r="B53" s="53"/>
      <c r="C53" s="195"/>
      <c r="D53" s="15"/>
      <c r="F53" s="274"/>
      <c r="G53" s="275"/>
      <c r="H53" s="273"/>
      <c r="I53" s="4"/>
      <c r="J53" s="20"/>
      <c r="K53" s="20"/>
    </row>
    <row r="54" spans="1:11" s="3" customFormat="1" ht="12.75">
      <c r="A54" s="3" t="s">
        <v>188</v>
      </c>
      <c r="B54" s="53"/>
      <c r="C54" s="195"/>
      <c r="D54" s="15"/>
      <c r="F54" s="274"/>
      <c r="G54" s="275"/>
      <c r="H54" s="273"/>
      <c r="I54" s="4"/>
      <c r="J54" s="20"/>
      <c r="K54" s="20"/>
    </row>
    <row r="55" spans="1:11" s="3" customFormat="1" ht="12.75">
      <c r="A55" s="112"/>
      <c r="B55" s="53"/>
      <c r="C55" s="195"/>
      <c r="D55" s="15"/>
      <c r="F55" s="274"/>
      <c r="G55" s="275"/>
      <c r="H55" s="273"/>
      <c r="I55" s="4"/>
      <c r="J55" s="20"/>
      <c r="K55" s="20"/>
    </row>
    <row r="56" spans="1:12" s="2" customFormat="1" ht="13.5" thickBot="1">
      <c r="A56" s="243" t="s">
        <v>22</v>
      </c>
      <c r="B56" s="171">
        <f>SUM(B47:B55)</f>
        <v>153889</v>
      </c>
      <c r="C56" s="170">
        <f>SUM(C47:C55)</f>
        <v>9060261.31</v>
      </c>
      <c r="D56" s="106">
        <f>IF(AND(B56&lt;&gt;0,C56&lt;&gt;0),C56/B56,"")</f>
        <v>58.87530174346445</v>
      </c>
      <c r="F56" s="171">
        <f>SUM(F47:F55)</f>
        <v>541111</v>
      </c>
      <c r="G56" s="170">
        <f>SUM(G47:G55)</f>
        <v>32306969.76</v>
      </c>
      <c r="H56" s="276">
        <f>IF(AND(F56&lt;&gt;0,G56&lt;&gt;0),G56/F56,"")</f>
        <v>59.70488450613645</v>
      </c>
      <c r="I56" s="201"/>
      <c r="J56" s="204">
        <v>387222</v>
      </c>
      <c r="K56" s="204">
        <v>23246708.45</v>
      </c>
      <c r="L56" s="2">
        <v>84.02955394044874</v>
      </c>
    </row>
    <row r="57" spans="2:11" s="3" customFormat="1" ht="14.25" thickBot="1" thickTop="1">
      <c r="B57" s="10"/>
      <c r="C57" s="11"/>
      <c r="D57" s="12"/>
      <c r="F57" s="251"/>
      <c r="G57" s="252"/>
      <c r="H57" s="253"/>
      <c r="I57" s="4"/>
      <c r="J57" s="20"/>
      <c r="K57" s="20"/>
    </row>
    <row r="58" spans="6:9" s="3" customFormat="1" ht="12.75">
      <c r="F58" s="18"/>
      <c r="G58" s="18"/>
      <c r="H58" s="18"/>
      <c r="I58" s="4"/>
    </row>
    <row r="59" spans="1:9" s="3" customFormat="1" ht="15">
      <c r="A59" s="89"/>
      <c r="F59" s="18"/>
      <c r="G59" s="18"/>
      <c r="H59" s="18"/>
      <c r="I59" s="4"/>
    </row>
    <row r="60" spans="2:9" s="3" customFormat="1" ht="12.75">
      <c r="B60" s="22"/>
      <c r="I60" s="4"/>
    </row>
    <row r="61" spans="2:9" s="3" customFormat="1" ht="12.75">
      <c r="B61" s="22"/>
      <c r="I61" s="4"/>
    </row>
    <row r="62" spans="2:9" s="3" customFormat="1" ht="12.75">
      <c r="B62" s="23"/>
      <c r="I62" s="4"/>
    </row>
    <row r="64" ht="12.75">
      <c r="A64" s="3"/>
    </row>
  </sheetData>
  <sheetProtection/>
  <mergeCells count="7">
    <mergeCell ref="J7:K7"/>
    <mergeCell ref="A2:H2"/>
    <mergeCell ref="A3:H3"/>
    <mergeCell ref="A4:H4"/>
    <mergeCell ref="A5:H5"/>
    <mergeCell ref="B7:D7"/>
    <mergeCell ref="F7:H7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74" r:id="rId3"/>
  <headerFooter alignWithMargins="0">
    <oddFooter>&amp;C&amp;Z&amp;F &amp;A&amp;R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2">
    <tabColor theme="5"/>
    <pageSetUpPr fitToPage="1"/>
  </sheetPr>
  <dimension ref="A1:L64"/>
  <sheetViews>
    <sheetView zoomScalePageLayoutView="0" workbookViewId="0" topLeftCell="A1">
      <selection activeCell="J11" sqref="J11:K56"/>
    </sheetView>
  </sheetViews>
  <sheetFormatPr defaultColWidth="17.7109375" defaultRowHeight="12.75" outlineLevelRow="1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s="200" customFormat="1" ht="15">
      <c r="H1" s="89" t="s">
        <v>30</v>
      </c>
    </row>
    <row r="2" spans="1:9" s="92" customFormat="1" ht="15">
      <c r="A2" s="340" t="s">
        <v>204</v>
      </c>
      <c r="B2" s="340"/>
      <c r="C2" s="340"/>
      <c r="D2" s="340"/>
      <c r="E2" s="340"/>
      <c r="F2" s="340"/>
      <c r="G2" s="340"/>
      <c r="H2" s="340"/>
      <c r="I2" s="91"/>
    </row>
    <row r="3" spans="1:9" s="92" customFormat="1" ht="15">
      <c r="A3" s="340" t="s">
        <v>0</v>
      </c>
      <c r="B3" s="340"/>
      <c r="C3" s="340"/>
      <c r="D3" s="340"/>
      <c r="E3" s="340"/>
      <c r="F3" s="340"/>
      <c r="G3" s="340"/>
      <c r="H3" s="340"/>
      <c r="I3" s="91"/>
    </row>
    <row r="4" spans="1:9" s="92" customFormat="1" ht="15">
      <c r="A4" s="340" t="s">
        <v>201</v>
      </c>
      <c r="B4" s="340"/>
      <c r="C4" s="340"/>
      <c r="D4" s="340"/>
      <c r="E4" s="340"/>
      <c r="F4" s="340"/>
      <c r="G4" s="340"/>
      <c r="H4" s="340"/>
      <c r="I4" s="91"/>
    </row>
    <row r="5" spans="1:9" s="92" customFormat="1" ht="15">
      <c r="A5" s="342" t="str">
        <f>+INPUT!A3</f>
        <v>APRIL 2014</v>
      </c>
      <c r="B5" s="342"/>
      <c r="C5" s="342"/>
      <c r="D5" s="342"/>
      <c r="E5" s="342"/>
      <c r="F5" s="342"/>
      <c r="G5" s="342"/>
      <c r="H5" s="342"/>
      <c r="I5" s="91"/>
    </row>
    <row r="6" s="92" customFormat="1" ht="14.25">
      <c r="I6" s="91"/>
    </row>
    <row r="7" spans="2:11" s="92" customFormat="1" ht="15">
      <c r="B7" s="340" t="s">
        <v>2</v>
      </c>
      <c r="C7" s="340"/>
      <c r="D7" s="340"/>
      <c r="E7" s="90"/>
      <c r="F7" s="340" t="s">
        <v>3</v>
      </c>
      <c r="G7" s="340"/>
      <c r="H7" s="340"/>
      <c r="I7" s="91"/>
      <c r="J7" s="340" t="s">
        <v>4</v>
      </c>
      <c r="K7" s="340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152</v>
      </c>
      <c r="B10" s="5"/>
      <c r="C10" s="6"/>
      <c r="D10" s="7"/>
      <c r="F10" s="270"/>
      <c r="G10" s="271"/>
      <c r="H10" s="272"/>
      <c r="I10" s="4"/>
      <c r="J10" s="19"/>
      <c r="K10" s="19"/>
    </row>
    <row r="11" spans="1:12" s="3" customFormat="1" ht="12.75">
      <c r="A11" s="3" t="s">
        <v>9</v>
      </c>
      <c r="B11" s="286">
        <f>'[1]MITCHELL LOW SULFUR'!$B$7</f>
        <v>108117.69</v>
      </c>
      <c r="C11" s="188">
        <f>'[1]MITCHELL LOW SULFUR'!$C$7</f>
        <v>8466792.86</v>
      </c>
      <c r="D11" s="15">
        <f>IF(AND(B11&lt;&gt;0,C11&lt;&gt;0),C11/B11,"")</f>
        <v>78.31089306477043</v>
      </c>
      <c r="E11" s="18"/>
      <c r="F11" s="304">
        <v>459344.9</v>
      </c>
      <c r="G11" s="305">
        <v>36347581.17</v>
      </c>
      <c r="H11" s="273">
        <f>IF(AND(F11&lt;&gt;0,G11&lt;&gt;0),G11/F11,"")</f>
        <v>79.12917106514081</v>
      </c>
      <c r="I11" s="4"/>
      <c r="J11" s="19">
        <v>459344.9</v>
      </c>
      <c r="K11" s="19">
        <v>36347581.17</v>
      </c>
      <c r="L11" s="3">
        <v>82.21530175195363</v>
      </c>
    </row>
    <row r="12" spans="1:12" s="3" customFormat="1" ht="12.75">
      <c r="A12" s="3" t="s">
        <v>8</v>
      </c>
      <c r="B12" s="8"/>
      <c r="C12" s="9"/>
      <c r="D12" s="15">
        <f>IF(AND(B12&lt;&gt;0,C12&lt;&gt;0),C12/B12,"")</f>
      </c>
      <c r="F12" s="274"/>
      <c r="G12" s="275"/>
      <c r="H12" s="273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10</v>
      </c>
      <c r="B13" s="285">
        <f>'[1]MITCHELL LOW SULFUR'!$B$9</f>
        <v>277123.13</v>
      </c>
      <c r="C13" s="14">
        <f>'[1]MITCHELL LOW SULFUR'!$C$9</f>
        <v>16123103.080000002</v>
      </c>
      <c r="D13" s="15">
        <f>IF(AND(B13&lt;&gt;0,C13&lt;&gt;0),C13/B13,"")</f>
        <v>58.18028643080064</v>
      </c>
      <c r="F13" s="186">
        <f>+B13+J13</f>
        <v>434645.92000000004</v>
      </c>
      <c r="G13" s="275">
        <f>+C13+K13</f>
        <v>27366079.69</v>
      </c>
      <c r="H13" s="273">
        <f>IF(AND(F13&lt;&gt;0,G13&lt;&gt;0),G13/F13,"")</f>
        <v>62.96177746244575</v>
      </c>
      <c r="I13" s="4"/>
      <c r="J13" s="19">
        <v>157522.79</v>
      </c>
      <c r="K13" s="19">
        <v>11242976.61</v>
      </c>
      <c r="L13" s="3">
        <v>76.33352086324872</v>
      </c>
    </row>
    <row r="14" spans="1:12" s="3" customFormat="1" ht="12.75">
      <c r="A14" s="3" t="s">
        <v>11</v>
      </c>
      <c r="B14" s="53"/>
      <c r="C14" s="14">
        <f>'[1]MITCHELL LOW SULFUR'!$C$10</f>
        <v>1743403.6099999999</v>
      </c>
      <c r="D14" s="15">
        <f>IF(AND(B13&lt;&gt;0,C14&lt;&gt;0),C14/B13,"")</f>
        <v>6.291079384099046</v>
      </c>
      <c r="F14" s="274"/>
      <c r="G14" s="275">
        <f>+C14+K14</f>
        <v>2922199.35</v>
      </c>
      <c r="H14" s="273">
        <f>IF(AND(F13&lt;&gt;0,G14&lt;&gt;0),G14/F13,"")</f>
        <v>6.723172162757216</v>
      </c>
      <c r="I14" s="4"/>
      <c r="J14" s="19"/>
      <c r="K14" s="19">
        <v>1178795.7400000002</v>
      </c>
      <c r="L14" s="3">
        <v>9.946764140594498</v>
      </c>
    </row>
    <row r="15" spans="1:12" s="2" customFormat="1" ht="12.75">
      <c r="A15" s="2" t="s">
        <v>12</v>
      </c>
      <c r="B15" s="101">
        <f>SUM(B13:B14)</f>
        <v>277123.13</v>
      </c>
      <c r="C15" s="102">
        <f>SUM(C13:C14)</f>
        <v>17866506.69</v>
      </c>
      <c r="D15" s="103">
        <f aca="true" t="shared" si="0" ref="D15:D22">IF(AND(B15&lt;&gt;0,C15&lt;&gt;0),C15/B15,"")</f>
        <v>64.47136581489968</v>
      </c>
      <c r="F15" s="244">
        <f>SUM(F13:F14)</f>
        <v>434645.92000000004</v>
      </c>
      <c r="G15" s="245">
        <f>SUM(G13:G14)</f>
        <v>30288279.040000003</v>
      </c>
      <c r="H15" s="278">
        <f aca="true" t="shared" si="1" ref="H15:H22">IF(AND(F15&lt;&gt;0,G15&lt;&gt;0),G15/F15,"")</f>
        <v>69.68494962520298</v>
      </c>
      <c r="I15" s="4"/>
      <c r="J15" s="202">
        <v>157522.79</v>
      </c>
      <c r="K15" s="202">
        <v>12421772.35</v>
      </c>
      <c r="L15" s="2">
        <v>86.28028500384322</v>
      </c>
    </row>
    <row r="16" spans="1:12" s="2" customFormat="1" ht="12.75">
      <c r="A16" s="2" t="s">
        <v>18</v>
      </c>
      <c r="B16" s="98">
        <f>+B11+B15</f>
        <v>385240.82</v>
      </c>
      <c r="C16" s="99">
        <f>+C11+C15</f>
        <v>26333299.55</v>
      </c>
      <c r="D16" s="100">
        <f t="shared" si="0"/>
        <v>68.35542388784242</v>
      </c>
      <c r="F16" s="246">
        <f>+F11+F15</f>
        <v>893990.8200000001</v>
      </c>
      <c r="G16" s="247">
        <f>+G11+G15</f>
        <v>66635860.21000001</v>
      </c>
      <c r="H16" s="279">
        <f t="shared" si="1"/>
        <v>74.5375217723153</v>
      </c>
      <c r="I16" s="4"/>
      <c r="J16" s="202">
        <v>616867.6900000001</v>
      </c>
      <c r="K16" s="202">
        <v>48769353.52</v>
      </c>
      <c r="L16" s="2">
        <v>84.72210503048149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186"/>
      <c r="G17" s="195"/>
      <c r="H17" s="88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13">
        <f>'[1]MITCHELL LOW SULFUR'!$B$15</f>
        <v>142775</v>
      </c>
      <c r="C18" s="14">
        <f>'[1]MITCHELL LOW SULFUR'!$C$15</f>
        <v>9757173.63</v>
      </c>
      <c r="D18" s="15">
        <f t="shared" si="0"/>
        <v>68.33951062861146</v>
      </c>
      <c r="F18" s="186">
        <f aca="true" t="shared" si="2" ref="F18:G20">+B18+J18</f>
        <v>616418</v>
      </c>
      <c r="G18" s="195">
        <f t="shared" si="2"/>
        <v>47239122.06</v>
      </c>
      <c r="H18" s="88">
        <f t="shared" si="1"/>
        <v>76.63488421817664</v>
      </c>
      <c r="I18" s="4"/>
      <c r="J18" s="19">
        <v>473643</v>
      </c>
      <c r="K18" s="19">
        <v>37481948.43</v>
      </c>
      <c r="L18" s="3">
        <v>84.04583669517946</v>
      </c>
    </row>
    <row r="19" spans="1:12" s="3" customFormat="1" ht="12.75">
      <c r="A19" s="3" t="s">
        <v>14</v>
      </c>
      <c r="B19" s="13">
        <f>'[1]MITCHELL LOW SULFUR'!$B$17</f>
        <v>0</v>
      </c>
      <c r="C19" s="14">
        <f>'[1]MITCHELL LOW SULFUR'!$C$17</f>
        <v>0</v>
      </c>
      <c r="D19" s="15">
        <f t="shared" si="0"/>
      </c>
      <c r="F19" s="186">
        <f t="shared" si="2"/>
        <v>35107</v>
      </c>
      <c r="G19" s="195">
        <f t="shared" si="2"/>
        <v>2820612.23</v>
      </c>
      <c r="H19" s="88">
        <f t="shared" si="1"/>
        <v>80.34329991169852</v>
      </c>
      <c r="I19" s="4"/>
      <c r="J19" s="19">
        <v>35107</v>
      </c>
      <c r="K19" s="19">
        <v>2820612.23</v>
      </c>
      <c r="L19" s="3">
        <v>83.14841038791673</v>
      </c>
    </row>
    <row r="20" spans="1:12" s="3" customFormat="1" ht="12.75">
      <c r="A20" s="3" t="s">
        <v>15</v>
      </c>
      <c r="B20" s="13">
        <f>'[1]MITCHELL LOW SULFUR'!$B$18+'[1]MITCHELL LOW SULFUR'!$B$16</f>
        <v>0</v>
      </c>
      <c r="C20" s="14">
        <f>'[1]MITCHELL LOW SULFUR'!$C$18+'[1]MITCHELL LOW SULFUR'!$C$16</f>
        <v>0</v>
      </c>
      <c r="D20" s="15">
        <f t="shared" si="0"/>
      </c>
      <c r="F20" s="186">
        <f t="shared" si="2"/>
        <v>0</v>
      </c>
      <c r="G20" s="195">
        <f t="shared" si="2"/>
        <v>0</v>
      </c>
      <c r="H20" s="88">
        <f t="shared" si="1"/>
      </c>
      <c r="I20" s="4"/>
      <c r="J20" s="19">
        <v>0</v>
      </c>
      <c r="K20" s="19">
        <v>0</v>
      </c>
      <c r="L20" s="3" t="s">
        <v>137</v>
      </c>
    </row>
    <row r="21" spans="1:12" s="2" customFormat="1" ht="12.75">
      <c r="A21" s="2" t="s">
        <v>16</v>
      </c>
      <c r="B21" s="101">
        <f>SUM(B18:B20)</f>
        <v>142775</v>
      </c>
      <c r="C21" s="102">
        <f>SUM(C18:C20)</f>
        <v>9757173.63</v>
      </c>
      <c r="D21" s="103">
        <f t="shared" si="0"/>
        <v>68.33951062861146</v>
      </c>
      <c r="F21" s="244">
        <f>SUM(F18:F20)</f>
        <v>651525</v>
      </c>
      <c r="G21" s="245">
        <f>SUM(G18:G20)</f>
        <v>50059734.29</v>
      </c>
      <c r="H21" s="278">
        <f t="shared" si="1"/>
        <v>76.83470978089866</v>
      </c>
      <c r="I21" s="4"/>
      <c r="J21" s="202">
        <v>508750</v>
      </c>
      <c r="K21" s="202">
        <v>40302560.66</v>
      </c>
      <c r="L21" s="2">
        <v>84.02955394044872</v>
      </c>
    </row>
    <row r="22" spans="1:12" s="2" customFormat="1" ht="13.5" thickBot="1">
      <c r="A22" s="2" t="s">
        <v>17</v>
      </c>
      <c r="B22" s="104">
        <f>+B16-B21</f>
        <v>242465.82</v>
      </c>
      <c r="C22" s="105">
        <f>+C16-C21</f>
        <v>16576125.92</v>
      </c>
      <c r="D22" s="106">
        <f t="shared" si="0"/>
        <v>68.36479434503387</v>
      </c>
      <c r="F22" s="171">
        <f>+F16-F21</f>
        <v>242465.82000000007</v>
      </c>
      <c r="G22" s="170">
        <f>+G16-G21</f>
        <v>16576125.92000001</v>
      </c>
      <c r="H22" s="276">
        <f t="shared" si="1"/>
        <v>68.36479434503389</v>
      </c>
      <c r="I22" s="4"/>
      <c r="J22" s="202">
        <v>108117.69000000006</v>
      </c>
      <c r="K22" s="202">
        <v>8466792.860000007</v>
      </c>
      <c r="L22" s="2">
        <v>85.73411173247966</v>
      </c>
    </row>
    <row r="23" spans="2:11" s="3" customFormat="1" ht="14.25" thickBot="1" thickTop="1">
      <c r="B23" s="240"/>
      <c r="C23" s="241"/>
      <c r="D23" s="242"/>
      <c r="F23" s="248"/>
      <c r="G23" s="249"/>
      <c r="H23" s="250"/>
      <c r="I23" s="4"/>
      <c r="J23" s="19"/>
      <c r="K23" s="19"/>
    </row>
    <row r="24" spans="1:11" s="3" customFormat="1" ht="15">
      <c r="A24" s="89"/>
      <c r="B24" s="9"/>
      <c r="C24" s="9"/>
      <c r="D24" s="9"/>
      <c r="E24" s="9"/>
      <c r="F24" s="9"/>
      <c r="G24" s="9"/>
      <c r="H24" s="9"/>
      <c r="I24" s="4"/>
      <c r="J24" s="20"/>
      <c r="K24" s="20"/>
    </row>
    <row r="25" spans="2:11" s="3" customFormat="1" ht="12.75" hidden="1" outlineLevel="1">
      <c r="B25" s="188"/>
      <c r="C25" s="14"/>
      <c r="D25" s="17"/>
      <c r="E25" s="9"/>
      <c r="F25" s="203"/>
      <c r="G25" s="203"/>
      <c r="H25" s="17"/>
      <c r="I25" s="4"/>
      <c r="J25" s="20"/>
      <c r="K25" s="20"/>
    </row>
    <row r="26" spans="2:11" s="3" customFormat="1" ht="12.75" hidden="1" outlineLevel="1">
      <c r="B26" s="14"/>
      <c r="C26" s="14"/>
      <c r="D26" s="17"/>
      <c r="E26" s="9"/>
      <c r="F26" s="17"/>
      <c r="G26" s="17"/>
      <c r="H26" s="17"/>
      <c r="I26" s="4"/>
      <c r="J26" s="20"/>
      <c r="K26" s="20"/>
    </row>
    <row r="27" spans="2:11" s="2" customFormat="1" ht="12.75" hidden="1" outlineLevel="1">
      <c r="B27" s="99"/>
      <c r="C27" s="99"/>
      <c r="D27" s="99"/>
      <c r="E27" s="99"/>
      <c r="F27" s="99"/>
      <c r="G27" s="99"/>
      <c r="H27" s="99"/>
      <c r="I27" s="4"/>
      <c r="J27" s="204"/>
      <c r="K27" s="204"/>
    </row>
    <row r="28" spans="1:11" s="2" customFormat="1" ht="12.75" hidden="1" outlineLevel="1">
      <c r="A28" s="18"/>
      <c r="B28" s="99"/>
      <c r="C28" s="99"/>
      <c r="D28" s="99"/>
      <c r="E28" s="99"/>
      <c r="F28" s="99"/>
      <c r="G28" s="99"/>
      <c r="H28" s="99"/>
      <c r="I28" s="201"/>
      <c r="J28" s="204"/>
      <c r="K28" s="204"/>
    </row>
    <row r="29" spans="2:11" s="3" customFormat="1" ht="12.75" hidden="1" outlineLevel="1">
      <c r="B29" s="14"/>
      <c r="C29" s="14"/>
      <c r="D29" s="17"/>
      <c r="E29" s="9"/>
      <c r="F29" s="9"/>
      <c r="G29" s="9"/>
      <c r="H29" s="17"/>
      <c r="I29" s="4"/>
      <c r="J29" s="20"/>
      <c r="K29" s="20"/>
    </row>
    <row r="30" spans="2:11" s="3" customFormat="1" ht="12.75" hidden="1" outlineLevel="1">
      <c r="B30" s="14"/>
      <c r="C30" s="14"/>
      <c r="D30" s="17"/>
      <c r="E30" s="9"/>
      <c r="F30" s="9"/>
      <c r="G30" s="9"/>
      <c r="H30" s="17"/>
      <c r="I30" s="4"/>
      <c r="J30" s="20"/>
      <c r="K30" s="20"/>
    </row>
    <row r="31" spans="2:11" s="3" customFormat="1" ht="12.75" hidden="1" outlineLevel="1">
      <c r="B31" s="14"/>
      <c r="C31" s="14"/>
      <c r="D31" s="17"/>
      <c r="E31" s="9"/>
      <c r="F31" s="9"/>
      <c r="G31" s="9"/>
      <c r="H31" s="17"/>
      <c r="I31" s="4"/>
      <c r="J31" s="20"/>
      <c r="K31" s="20"/>
    </row>
    <row r="32" spans="1:11" s="3" customFormat="1" ht="12.75" hidden="1" outlineLevel="1">
      <c r="A32" s="2"/>
      <c r="B32" s="9"/>
      <c r="C32" s="9"/>
      <c r="D32" s="17"/>
      <c r="E32" s="9"/>
      <c r="F32" s="9"/>
      <c r="G32" s="9"/>
      <c r="H32" s="17"/>
      <c r="I32" s="4"/>
      <c r="J32" s="204"/>
      <c r="K32" s="204"/>
    </row>
    <row r="33" spans="2:11" s="2" customFormat="1" ht="12.75" hidden="1" outlineLevel="1">
      <c r="B33" s="99"/>
      <c r="C33" s="99"/>
      <c r="D33" s="99"/>
      <c r="E33" s="99"/>
      <c r="F33" s="99"/>
      <c r="G33" s="99"/>
      <c r="H33" s="99"/>
      <c r="I33" s="201"/>
      <c r="J33" s="204"/>
      <c r="K33" s="204"/>
    </row>
    <row r="34" spans="2:11" s="3" customFormat="1" ht="12.75" hidden="1" outlineLevel="1">
      <c r="B34" s="9"/>
      <c r="C34" s="9"/>
      <c r="D34" s="9"/>
      <c r="E34" s="9"/>
      <c r="F34" s="9"/>
      <c r="G34" s="9"/>
      <c r="H34" s="9"/>
      <c r="I34" s="4"/>
      <c r="J34" s="20"/>
      <c r="K34" s="20"/>
    </row>
    <row r="35" spans="1:11" s="3" customFormat="1" ht="15" hidden="1" outlineLevel="1">
      <c r="A35" s="89"/>
      <c r="B35" s="9"/>
      <c r="C35" s="9"/>
      <c r="D35" s="9"/>
      <c r="E35" s="9"/>
      <c r="F35" s="9"/>
      <c r="G35" s="9"/>
      <c r="H35" s="9"/>
      <c r="I35" s="4"/>
      <c r="J35" s="20"/>
      <c r="K35" s="20"/>
    </row>
    <row r="36" spans="2:11" s="3" customFormat="1" ht="12.75" hidden="1" outlineLevel="1">
      <c r="B36" s="14"/>
      <c r="C36" s="188"/>
      <c r="D36" s="17"/>
      <c r="E36" s="9"/>
      <c r="F36" s="203"/>
      <c r="G36" s="203"/>
      <c r="H36" s="17"/>
      <c r="I36" s="4"/>
      <c r="J36" s="20"/>
      <c r="K36" s="20"/>
    </row>
    <row r="37" spans="2:11" s="3" customFormat="1" ht="12.75" hidden="1" outlineLevel="1">
      <c r="B37" s="14"/>
      <c r="C37" s="14"/>
      <c r="D37" s="17"/>
      <c r="E37" s="9"/>
      <c r="F37" s="9"/>
      <c r="G37" s="17"/>
      <c r="H37" s="17"/>
      <c r="I37" s="4"/>
      <c r="J37" s="20"/>
      <c r="K37" s="20"/>
    </row>
    <row r="38" spans="2:11" s="2" customFormat="1" ht="12.75" hidden="1" outlineLevel="1">
      <c r="B38" s="99"/>
      <c r="C38" s="99"/>
      <c r="D38" s="99"/>
      <c r="E38" s="99"/>
      <c r="F38" s="99"/>
      <c r="G38" s="99"/>
      <c r="H38" s="99"/>
      <c r="I38" s="201"/>
      <c r="J38" s="204"/>
      <c r="K38" s="204"/>
    </row>
    <row r="39" spans="2:11" s="18" customFormat="1" ht="12.75" hidden="1" outlineLevel="1">
      <c r="B39" s="17"/>
      <c r="C39" s="17"/>
      <c r="D39" s="17"/>
      <c r="E39" s="17"/>
      <c r="F39" s="17"/>
      <c r="G39" s="17"/>
      <c r="H39" s="17"/>
      <c r="I39" s="199"/>
      <c r="J39" s="20"/>
      <c r="K39" s="20"/>
    </row>
    <row r="40" spans="2:11" s="3" customFormat="1" ht="12.75" hidden="1" outlineLevel="1">
      <c r="B40" s="14"/>
      <c r="C40" s="14"/>
      <c r="D40" s="17"/>
      <c r="E40" s="9"/>
      <c r="F40" s="277"/>
      <c r="G40" s="277"/>
      <c r="H40" s="17"/>
      <c r="I40" s="4"/>
      <c r="J40" s="20"/>
      <c r="K40" s="20"/>
    </row>
    <row r="41" spans="2:11" s="3" customFormat="1" ht="12.75" hidden="1" outlineLevel="1">
      <c r="B41" s="14"/>
      <c r="C41" s="14"/>
      <c r="D41" s="17"/>
      <c r="E41" s="9"/>
      <c r="F41" s="277"/>
      <c r="G41" s="277"/>
      <c r="H41" s="17"/>
      <c r="I41" s="4"/>
      <c r="J41" s="20"/>
      <c r="K41" s="20"/>
    </row>
    <row r="42" spans="2:11" s="2" customFormat="1" ht="12.75" hidden="1" outlineLevel="1">
      <c r="B42" s="99"/>
      <c r="C42" s="99"/>
      <c r="D42" s="99"/>
      <c r="E42" s="99"/>
      <c r="F42" s="99"/>
      <c r="G42" s="99"/>
      <c r="H42" s="99"/>
      <c r="I42" s="201"/>
      <c r="J42" s="204"/>
      <c r="K42" s="204"/>
    </row>
    <row r="43" spans="2:11" s="2" customFormat="1" ht="12.75" hidden="1" outlineLevel="1">
      <c r="B43" s="99"/>
      <c r="C43" s="99"/>
      <c r="D43" s="99"/>
      <c r="E43" s="99"/>
      <c r="F43" s="99"/>
      <c r="G43" s="99"/>
      <c r="H43" s="99"/>
      <c r="I43" s="201"/>
      <c r="J43" s="204"/>
      <c r="K43" s="204"/>
    </row>
    <row r="44" spans="2:11" s="3" customFormat="1" ht="13.5" collapsed="1" thickBot="1">
      <c r="B44" s="11"/>
      <c r="C44" s="11"/>
      <c r="D44" s="11"/>
      <c r="E44" s="9"/>
      <c r="F44" s="11"/>
      <c r="G44" s="11"/>
      <c r="H44" s="11"/>
      <c r="I44" s="4"/>
      <c r="J44" s="20"/>
      <c r="K44" s="20"/>
    </row>
    <row r="45" spans="1:11" s="3" customFormat="1" ht="15">
      <c r="A45" s="89" t="s">
        <v>153</v>
      </c>
      <c r="B45" s="8"/>
      <c r="C45" s="9"/>
      <c r="D45" s="139"/>
      <c r="F45" s="274"/>
      <c r="G45" s="275"/>
      <c r="H45" s="273"/>
      <c r="I45" s="4"/>
      <c r="J45" s="20"/>
      <c r="K45" s="20"/>
    </row>
    <row r="46" spans="1:11" s="3" customFormat="1" ht="12.75">
      <c r="A46" s="3" t="s">
        <v>21</v>
      </c>
      <c r="B46" s="8"/>
      <c r="C46" s="9"/>
      <c r="D46" s="15">
        <f>IF(AND(B46&lt;&gt;0,C46&lt;&gt;0),C46/B46,"")</f>
      </c>
      <c r="F46" s="274"/>
      <c r="G46" s="275"/>
      <c r="H46" s="273">
        <f>IF(AND(F46&lt;&gt;0,G46&lt;&gt;0),G46/F46,"")</f>
      </c>
      <c r="I46" s="4"/>
      <c r="J46" s="20"/>
      <c r="K46" s="20"/>
    </row>
    <row r="47" spans="1:12" s="3" customFormat="1" ht="12.75">
      <c r="A47" s="112" t="s">
        <v>185</v>
      </c>
      <c r="B47" s="53">
        <f>+B18</f>
        <v>142775</v>
      </c>
      <c r="C47" s="195">
        <f>+C18</f>
        <v>9757173.63</v>
      </c>
      <c r="D47" s="15">
        <f>IF(AND(B47&lt;&gt;0,C47&lt;&gt;0),C47/B47,"")</f>
        <v>68.33951062861146</v>
      </c>
      <c r="F47" s="274">
        <f>+B47+J47</f>
        <v>616418</v>
      </c>
      <c r="G47" s="275">
        <f>+C47+K47</f>
        <v>47239122.06</v>
      </c>
      <c r="H47" s="273">
        <f>IF(AND(F47&lt;&gt;0,G47&lt;&gt;0),G47/F47,"")</f>
        <v>76.63488421817664</v>
      </c>
      <c r="I47" s="4"/>
      <c r="J47" s="20">
        <v>473643</v>
      </c>
      <c r="K47" s="20">
        <v>37481948.43</v>
      </c>
      <c r="L47" s="3">
        <v>84.04583669517947</v>
      </c>
    </row>
    <row r="48" spans="1:12" s="3" customFormat="1" ht="12.75">
      <c r="A48" s="112" t="s">
        <v>14</v>
      </c>
      <c r="B48" s="53">
        <f>+B19</f>
        <v>0</v>
      </c>
      <c r="C48" s="205">
        <f>+C19</f>
        <v>0</v>
      </c>
      <c r="D48" s="15">
        <f>IF(AND(B48&lt;&gt;0,C48&lt;&gt;0),C48/B48,"")</f>
      </c>
      <c r="F48" s="274">
        <f>+B48+J48</f>
        <v>35107</v>
      </c>
      <c r="G48" s="275">
        <f>+C48+K48</f>
        <v>2820612.23</v>
      </c>
      <c r="H48" s="273">
        <f>IF(AND(F48&lt;&gt;0,G48&lt;&gt;0),G48/F48,"")</f>
        <v>80.34329991169852</v>
      </c>
      <c r="I48" s="4"/>
      <c r="J48" s="20">
        <v>35107</v>
      </c>
      <c r="K48" s="20">
        <v>2820612.23</v>
      </c>
      <c r="L48" s="3">
        <v>83.14841038791673</v>
      </c>
    </row>
    <row r="49" spans="1:11" s="3" customFormat="1" ht="12.75">
      <c r="A49" s="112" t="s">
        <v>200</v>
      </c>
      <c r="B49" s="53"/>
      <c r="C49" s="275"/>
      <c r="D49" s="15"/>
      <c r="F49" s="274"/>
      <c r="G49" s="275"/>
      <c r="H49" s="273"/>
      <c r="I49" s="4"/>
      <c r="J49" s="20"/>
      <c r="K49" s="20"/>
    </row>
    <row r="50" spans="1:11" s="3" customFormat="1" ht="12.75">
      <c r="A50" s="112" t="s">
        <v>186</v>
      </c>
      <c r="B50" s="53"/>
      <c r="C50" s="195"/>
      <c r="D50" s="15"/>
      <c r="F50" s="274"/>
      <c r="G50" s="275"/>
      <c r="H50" s="273"/>
      <c r="I50" s="4"/>
      <c r="J50" s="20"/>
      <c r="K50" s="20"/>
    </row>
    <row r="51" spans="1:11" s="3" customFormat="1" ht="12.75">
      <c r="A51" s="112" t="s">
        <v>107</v>
      </c>
      <c r="B51" s="53"/>
      <c r="C51" s="195"/>
      <c r="D51" s="15"/>
      <c r="F51" s="274"/>
      <c r="G51" s="275"/>
      <c r="H51" s="273"/>
      <c r="I51" s="4"/>
      <c r="J51" s="20"/>
      <c r="K51" s="20"/>
    </row>
    <row r="52" spans="1:11" s="3" customFormat="1" ht="12.75">
      <c r="A52" s="112" t="s">
        <v>187</v>
      </c>
      <c r="B52" s="53"/>
      <c r="C52" s="195"/>
      <c r="D52" s="15"/>
      <c r="F52" s="274"/>
      <c r="G52" s="275"/>
      <c r="H52" s="273"/>
      <c r="I52" s="4"/>
      <c r="J52" s="20"/>
      <c r="K52" s="20"/>
    </row>
    <row r="53" spans="1:11" s="3" customFormat="1" ht="13.5" customHeight="1">
      <c r="A53" s="112" t="s">
        <v>108</v>
      </c>
      <c r="B53" s="53"/>
      <c r="C53" s="195"/>
      <c r="D53" s="15"/>
      <c r="F53" s="274"/>
      <c r="G53" s="275"/>
      <c r="H53" s="273"/>
      <c r="I53" s="4"/>
      <c r="J53" s="20"/>
      <c r="K53" s="20"/>
    </row>
    <row r="54" spans="1:11" s="3" customFormat="1" ht="13.5" customHeight="1">
      <c r="A54" s="3" t="s">
        <v>188</v>
      </c>
      <c r="B54" s="53"/>
      <c r="C54" s="195"/>
      <c r="D54" s="15"/>
      <c r="F54" s="274"/>
      <c r="G54" s="275"/>
      <c r="H54" s="273"/>
      <c r="I54" s="4"/>
      <c r="J54" s="20"/>
      <c r="K54" s="20"/>
    </row>
    <row r="55" spans="1:11" s="3" customFormat="1" ht="13.5" customHeight="1">
      <c r="A55" s="112"/>
      <c r="B55" s="53"/>
      <c r="C55" s="195"/>
      <c r="D55" s="15"/>
      <c r="F55" s="274"/>
      <c r="G55" s="275"/>
      <c r="H55" s="273"/>
      <c r="I55" s="4"/>
      <c r="J55" s="20"/>
      <c r="K55" s="20"/>
    </row>
    <row r="56" spans="1:12" s="2" customFormat="1" ht="13.5" thickBot="1">
      <c r="A56" s="243" t="s">
        <v>22</v>
      </c>
      <c r="B56" s="171">
        <f>SUM(B47:B55)</f>
        <v>142775</v>
      </c>
      <c r="C56" s="170">
        <f>SUM(C47:C55)</f>
        <v>9757173.63</v>
      </c>
      <c r="D56" s="106">
        <f>IF(AND(B56&lt;&gt;0,C56&lt;&gt;0),C56/B56,"")</f>
        <v>68.33951062861146</v>
      </c>
      <c r="F56" s="171">
        <f>SUM(F47:F55)</f>
        <v>651525</v>
      </c>
      <c r="G56" s="170">
        <f>SUM(G47:G55)</f>
        <v>50059734.29</v>
      </c>
      <c r="H56" s="276">
        <f>IF(AND(F56&lt;&gt;0,G56&lt;&gt;0),G56/F56,"")</f>
        <v>76.83470978089866</v>
      </c>
      <c r="I56" s="201"/>
      <c r="J56" s="204">
        <v>508750</v>
      </c>
      <c r="K56" s="204">
        <v>40302560.66</v>
      </c>
      <c r="L56" s="2">
        <v>84.02955394044874</v>
      </c>
    </row>
    <row r="57" spans="2:11" s="3" customFormat="1" ht="14.25" thickBot="1" thickTop="1">
      <c r="B57" s="10"/>
      <c r="C57" s="11"/>
      <c r="D57" s="12"/>
      <c r="F57" s="251"/>
      <c r="G57" s="252"/>
      <c r="H57" s="253"/>
      <c r="I57" s="4"/>
      <c r="J57" s="20"/>
      <c r="K57" s="20"/>
    </row>
    <row r="58" s="3" customFormat="1" ht="12.75">
      <c r="I58" s="4"/>
    </row>
    <row r="59" spans="1:9" s="3" customFormat="1" ht="15">
      <c r="A59" s="89"/>
      <c r="I59" s="4"/>
    </row>
    <row r="60" spans="2:9" s="3" customFormat="1" ht="12.75">
      <c r="B60" s="22"/>
      <c r="I60" s="4"/>
    </row>
    <row r="61" spans="2:9" s="3" customFormat="1" ht="12.75">
      <c r="B61" s="22"/>
      <c r="I61" s="4"/>
    </row>
    <row r="62" spans="2:9" s="3" customFormat="1" ht="12.75">
      <c r="B62" s="23"/>
      <c r="I62" s="4"/>
    </row>
    <row r="64" ht="12.75">
      <c r="A64" s="3"/>
    </row>
  </sheetData>
  <sheetProtection/>
  <mergeCells count="7">
    <mergeCell ref="J7:K7"/>
    <mergeCell ref="A2:H2"/>
    <mergeCell ref="A3:H3"/>
    <mergeCell ref="A4:H4"/>
    <mergeCell ref="A5:H5"/>
    <mergeCell ref="B7:D7"/>
    <mergeCell ref="F7:H7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74" r:id="rId3"/>
  <headerFooter alignWithMargins="0">
    <oddFooter>&amp;C&amp;Z&amp;F &amp;A&amp;R
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62"/>
  <sheetViews>
    <sheetView zoomScalePageLayoutView="0" workbookViewId="0" topLeftCell="A1">
      <selection activeCell="J11" sqref="J11:K56"/>
    </sheetView>
  </sheetViews>
  <sheetFormatPr defaultColWidth="17.7109375" defaultRowHeight="12.75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ht="15">
      <c r="H1" s="89" t="s">
        <v>42</v>
      </c>
    </row>
    <row r="2" spans="1:9" s="92" customFormat="1" ht="15">
      <c r="A2" s="340" t="s">
        <v>204</v>
      </c>
      <c r="B2" s="340"/>
      <c r="C2" s="340"/>
      <c r="D2" s="340"/>
      <c r="E2" s="340"/>
      <c r="F2" s="340"/>
      <c r="G2" s="340"/>
      <c r="H2" s="340"/>
      <c r="I2" s="91"/>
    </row>
    <row r="3" spans="1:9" s="92" customFormat="1" ht="15">
      <c r="A3" s="340" t="s">
        <v>0</v>
      </c>
      <c r="B3" s="340"/>
      <c r="C3" s="340"/>
      <c r="D3" s="340"/>
      <c r="E3" s="340"/>
      <c r="F3" s="340"/>
      <c r="G3" s="340"/>
      <c r="H3" s="340"/>
      <c r="I3" s="91"/>
    </row>
    <row r="4" spans="1:9" s="92" customFormat="1" ht="15">
      <c r="A4" s="340" t="s">
        <v>217</v>
      </c>
      <c r="B4" s="340"/>
      <c r="C4" s="340"/>
      <c r="D4" s="340"/>
      <c r="E4" s="340"/>
      <c r="F4" s="340"/>
      <c r="G4" s="340"/>
      <c r="H4" s="340"/>
      <c r="I4" s="91"/>
    </row>
    <row r="5" spans="1:9" s="92" customFormat="1" ht="15">
      <c r="A5" s="341" t="str">
        <f>+INPUT!A3</f>
        <v>APRIL 2014</v>
      </c>
      <c r="B5" s="341"/>
      <c r="C5" s="341"/>
      <c r="D5" s="341"/>
      <c r="E5" s="341"/>
      <c r="F5" s="341"/>
      <c r="G5" s="341"/>
      <c r="H5" s="341"/>
      <c r="I5" s="91"/>
    </row>
    <row r="6" s="92" customFormat="1" ht="14.25">
      <c r="I6" s="91"/>
    </row>
    <row r="7" spans="2:11" s="92" customFormat="1" ht="15">
      <c r="B7" s="340" t="s">
        <v>2</v>
      </c>
      <c r="C7" s="340"/>
      <c r="D7" s="340"/>
      <c r="E7" s="90"/>
      <c r="F7" s="340" t="s">
        <v>3</v>
      </c>
      <c r="G7" s="340"/>
      <c r="H7" s="340"/>
      <c r="I7" s="91"/>
      <c r="J7" s="340" t="s">
        <v>4</v>
      </c>
      <c r="K7" s="340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103</v>
      </c>
      <c r="B10" s="5"/>
      <c r="C10" s="6"/>
      <c r="D10" s="7"/>
      <c r="F10" s="5"/>
      <c r="G10" s="6"/>
      <c r="H10" s="7"/>
      <c r="I10" s="4"/>
      <c r="J10" s="19"/>
      <c r="K10" s="19"/>
    </row>
    <row r="11" spans="1:12" s="3" customFormat="1" ht="12.75">
      <c r="A11" s="3" t="s">
        <v>9</v>
      </c>
      <c r="B11" s="280">
        <f>+'MITCHELL KPCO HIGH SULFUR'!B11+'MITCHELL KPCO LOW SULFUR'!B11</f>
        <v>172828.32</v>
      </c>
      <c r="C11" s="281">
        <f>+'MITCHELL KPCO HIGH SULFUR'!C11+'MITCHELL KPCO LOW SULFUR'!C11</f>
        <v>11299798.66</v>
      </c>
      <c r="D11" s="15">
        <f>IF(AND(B11&lt;&gt;0,C11&lt;&gt;0),C11/B11,"")</f>
        <v>65.3816380324706</v>
      </c>
      <c r="E11" s="18"/>
      <c r="F11" s="302">
        <f>+'MITCHELL KPCO HIGH SULFUR'!F11+'MITCHELL KPCO LOW SULFUR'!F11</f>
        <v>421824.08</v>
      </c>
      <c r="G11" s="303">
        <f>+'MITCHELL KPCO HIGH SULFUR'!G11+'MITCHELL KPCO LOW SULFUR'!G11</f>
        <v>29937480.07</v>
      </c>
      <c r="H11" s="15">
        <f>IF(AND(F11&lt;&gt;0,G11&lt;&gt;0),G11/F11,"")</f>
        <v>70.97148192677858</v>
      </c>
      <c r="I11" s="4"/>
      <c r="J11" s="19">
        <v>421824.08</v>
      </c>
      <c r="K11" s="19">
        <v>29937480.07</v>
      </c>
      <c r="L11" s="3">
        <v>71.97037087559487</v>
      </c>
    </row>
    <row r="12" spans="1:12" s="3" customFormat="1" ht="12.75">
      <c r="A12" s="18" t="s">
        <v>8</v>
      </c>
      <c r="B12" s="8"/>
      <c r="C12" s="9"/>
      <c r="D12" s="15">
        <f>IF(AND(B12&lt;&gt;0,C12&lt;&gt;0),C12/B12,"")</f>
      </c>
      <c r="F12" s="8"/>
      <c r="G12" s="9"/>
      <c r="H12" s="15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139</v>
      </c>
      <c r="B13" s="280">
        <f>+'MITCHELL KPCO HIGH SULFUR'!B13+'MITCHELL KPCO LOW SULFUR'!B13</f>
        <v>171267</v>
      </c>
      <c r="C13" s="281">
        <f>+'MITCHELL KPCO HIGH SULFUR'!C13+'MITCHELL KPCO LOW SULFUR'!C13</f>
        <v>9911386.97</v>
      </c>
      <c r="D13" s="15">
        <f>IF(AND(B13&lt;&gt;0,C13&lt;&gt;0),C13/B13,"")</f>
        <v>57.87096737842083</v>
      </c>
      <c r="F13" s="8">
        <f>+B13+J13</f>
        <v>362340.17000000004</v>
      </c>
      <c r="G13" s="9">
        <f>+C13+K13</f>
        <v>22181926.480000004</v>
      </c>
      <c r="H13" s="15">
        <f>IF(AND(F13&lt;&gt;0,G13&lt;&gt;0),G13/F13,"")</f>
        <v>61.21851319990274</v>
      </c>
      <c r="I13" s="4"/>
      <c r="J13" s="19">
        <v>191073.17000000004</v>
      </c>
      <c r="K13" s="19">
        <v>12270539.510000002</v>
      </c>
      <c r="L13" s="3">
        <v>69.49748483078884</v>
      </c>
    </row>
    <row r="14" spans="1:12" s="3" customFormat="1" ht="12.75">
      <c r="A14" s="3" t="s">
        <v>11</v>
      </c>
      <c r="B14" s="93"/>
      <c r="C14" s="282">
        <f>+'MITCHELL KPCO HIGH SULFUR'!C14+'MITCHELL KPCO LOW SULFUR'!C14</f>
        <v>866707.7399999998</v>
      </c>
      <c r="D14" s="95">
        <f>IF(AND(B13&lt;&gt;0,C14&lt;&gt;0),C14/B13,"")</f>
        <v>5.060564732260154</v>
      </c>
      <c r="F14" s="93"/>
      <c r="G14" s="61">
        <f>+C14+K14</f>
        <v>1057483.8900000001</v>
      </c>
      <c r="H14" s="95">
        <f>IF(AND(F13&lt;&gt;0,G14&lt;&gt;0),G14/F13,"")</f>
        <v>2.918483727597743</v>
      </c>
      <c r="I14" s="4"/>
      <c r="J14" s="19"/>
      <c r="K14" s="19">
        <v>190776.15000000034</v>
      </c>
      <c r="L14" s="3">
        <v>3.5665582391519774</v>
      </c>
    </row>
    <row r="15" spans="1:12" s="3" customFormat="1" ht="12.75">
      <c r="A15" s="2" t="s">
        <v>12</v>
      </c>
      <c r="B15" s="101">
        <f>SUM(B13:B14)</f>
        <v>171267</v>
      </c>
      <c r="C15" s="102">
        <f>SUM(C13:C14)</f>
        <v>10778094.71</v>
      </c>
      <c r="D15" s="103">
        <f aca="true" t="shared" si="0" ref="D15:D22">IF(AND(B15&lt;&gt;0,C15&lt;&gt;0),C15/B15,"")</f>
        <v>62.93153211068099</v>
      </c>
      <c r="E15" s="2"/>
      <c r="F15" s="101">
        <f>SUM(F13:F14)</f>
        <v>362340.17000000004</v>
      </c>
      <c r="G15" s="102">
        <f>SUM(G13:G14)</f>
        <v>23239410.370000005</v>
      </c>
      <c r="H15" s="103">
        <f aca="true" t="shared" si="1" ref="H15:H22">IF(AND(F15&lt;&gt;0,G15&lt;&gt;0),G15/F15,"")</f>
        <v>64.13699692750048</v>
      </c>
      <c r="I15" s="4"/>
      <c r="J15" s="19">
        <v>191073.17000000004</v>
      </c>
      <c r="K15" s="19">
        <v>12461315.660000002</v>
      </c>
      <c r="L15" s="3">
        <v>73.06404306994081</v>
      </c>
    </row>
    <row r="16" spans="1:12" s="3" customFormat="1" ht="12.75">
      <c r="A16" s="2" t="s">
        <v>18</v>
      </c>
      <c r="B16" s="98">
        <f>+B11+B15</f>
        <v>344095.32</v>
      </c>
      <c r="C16" s="99">
        <f>+C11+C15</f>
        <v>22077893.37</v>
      </c>
      <c r="D16" s="100">
        <f t="shared" si="0"/>
        <v>64.16214370483156</v>
      </c>
      <c r="E16" s="2"/>
      <c r="F16" s="98">
        <f>+F11+F15</f>
        <v>784164.25</v>
      </c>
      <c r="G16" s="99">
        <f>+G11+G15</f>
        <v>53176890.440000005</v>
      </c>
      <c r="H16" s="100">
        <f t="shared" si="1"/>
        <v>67.81345928483734</v>
      </c>
      <c r="I16" s="4"/>
      <c r="J16" s="19">
        <v>612897.25</v>
      </c>
      <c r="K16" s="19">
        <v>42398795.730000004</v>
      </c>
      <c r="L16" s="3">
        <v>72.73733583412616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8"/>
      <c r="G17" s="9"/>
      <c r="H17" s="15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280">
        <f>+'MITCHELL KPCO HIGH SULFUR'!B18+'MITCHELL KPCO LOW SULFUR'!B18</f>
        <v>146775.83000000002</v>
      </c>
      <c r="C18" s="281">
        <f>+'MITCHELL KPCO HIGH SULFUR'!C18+'MITCHELL KPCO LOW SULFUR'!C18</f>
        <v>9310009.660000002</v>
      </c>
      <c r="D18" s="15">
        <f t="shared" si="0"/>
        <v>63.430127835080214</v>
      </c>
      <c r="F18" s="8">
        <f aca="true" t="shared" si="2" ref="F18:G20">+B18+J18</f>
        <v>581171.45</v>
      </c>
      <c r="G18" s="9">
        <f t="shared" si="2"/>
        <v>39951418.2</v>
      </c>
      <c r="H18" s="15">
        <f t="shared" si="1"/>
        <v>68.7429126121044</v>
      </c>
      <c r="I18" s="4"/>
      <c r="J18" s="19">
        <v>434395.62</v>
      </c>
      <c r="K18" s="19">
        <v>30641408.54</v>
      </c>
      <c r="L18" s="3">
        <v>72.98936657851795</v>
      </c>
    </row>
    <row r="19" spans="1:12" s="3" customFormat="1" ht="12.75">
      <c r="A19" s="3" t="s">
        <v>14</v>
      </c>
      <c r="B19" s="280">
        <f>+'MITCHELL KPCO HIGH SULFUR'!B19+'MITCHELL KPCO LOW SULFUR'!B19</f>
        <v>0</v>
      </c>
      <c r="C19" s="281">
        <f>+'MITCHELL KPCO HIGH SULFUR'!C19+'MITCHELL KPCO LOW SULFUR'!C19</f>
        <v>0</v>
      </c>
      <c r="D19" s="15">
        <f t="shared" si="0"/>
      </c>
      <c r="F19" s="8">
        <f t="shared" si="2"/>
        <v>5673.310000000001</v>
      </c>
      <c r="G19" s="9">
        <f t="shared" si="2"/>
        <v>457588.5299999999</v>
      </c>
      <c r="H19" s="15">
        <f t="shared" si="1"/>
        <v>80.65635933872815</v>
      </c>
      <c r="I19" s="4"/>
      <c r="J19" s="19">
        <v>5673.310000000001</v>
      </c>
      <c r="K19" s="19">
        <v>457588.5299999999</v>
      </c>
      <c r="L19" s="3">
        <v>71.74072935651198</v>
      </c>
    </row>
    <row r="20" spans="1:12" s="3" customFormat="1" ht="12.75">
      <c r="A20" s="3" t="s">
        <v>109</v>
      </c>
      <c r="B20" s="283">
        <f>+'MITCHELL KPCO HIGH SULFUR'!B20+'MITCHELL KPCO LOW SULFUR'!B20</f>
        <v>0</v>
      </c>
      <c r="C20" s="282">
        <f>+'MITCHELL KPCO HIGH SULFUR'!C20+'MITCHELL KPCO LOW SULFUR'!C20</f>
        <v>0</v>
      </c>
      <c r="D20" s="95">
        <f t="shared" si="0"/>
      </c>
      <c r="F20" s="97">
        <f t="shared" si="2"/>
        <v>0</v>
      </c>
      <c r="G20" s="61">
        <f t="shared" si="2"/>
        <v>0</v>
      </c>
      <c r="H20" s="95">
        <f t="shared" si="1"/>
      </c>
      <c r="I20" s="4"/>
      <c r="J20" s="19">
        <v>0</v>
      </c>
      <c r="K20" s="19">
        <v>0</v>
      </c>
      <c r="L20" s="3" t="s">
        <v>137</v>
      </c>
    </row>
    <row r="21" spans="1:12" s="3" customFormat="1" ht="12.75">
      <c r="A21" s="2" t="s">
        <v>16</v>
      </c>
      <c r="B21" s="101">
        <f>SUM(B18:B20)</f>
        <v>146775.83000000002</v>
      </c>
      <c r="C21" s="102">
        <f>SUM(C18:C20)</f>
        <v>9310009.660000002</v>
      </c>
      <c r="D21" s="103">
        <f t="shared" si="0"/>
        <v>63.430127835080214</v>
      </c>
      <c r="E21" s="2"/>
      <c r="F21" s="101">
        <f>SUM(F18:F20)</f>
        <v>586844.76</v>
      </c>
      <c r="G21" s="102">
        <f>SUM(G18:G20)</f>
        <v>40409006.730000004</v>
      </c>
      <c r="H21" s="103">
        <f t="shared" si="1"/>
        <v>68.8580856204629</v>
      </c>
      <c r="I21" s="4"/>
      <c r="J21" s="19">
        <v>440068.93</v>
      </c>
      <c r="K21" s="19">
        <v>31098997.07</v>
      </c>
      <c r="L21" s="3">
        <v>73.0091983752075</v>
      </c>
    </row>
    <row r="22" spans="1:12" s="3" customFormat="1" ht="13.5" thickBot="1">
      <c r="A22" s="2" t="s">
        <v>17</v>
      </c>
      <c r="B22" s="104">
        <f>+B16-B21</f>
        <v>197319.49</v>
      </c>
      <c r="C22" s="105">
        <f>+C16-C21</f>
        <v>12767883.709999999</v>
      </c>
      <c r="D22" s="106">
        <f t="shared" si="0"/>
        <v>64.70665269811917</v>
      </c>
      <c r="E22" s="2"/>
      <c r="F22" s="104">
        <f>+F16-F21</f>
        <v>197319.49</v>
      </c>
      <c r="G22" s="105">
        <f>+G16-G21</f>
        <v>12767883.71</v>
      </c>
      <c r="H22" s="106">
        <f t="shared" si="1"/>
        <v>64.70665269811919</v>
      </c>
      <c r="I22" s="4"/>
      <c r="J22" s="19">
        <v>172828.32</v>
      </c>
      <c r="K22" s="19">
        <v>11299798.660000004</v>
      </c>
      <c r="L22" s="3">
        <v>72.05055957597251</v>
      </c>
    </row>
    <row r="23" spans="2:11" s="3" customFormat="1" ht="14.25" thickBot="1" thickTop="1">
      <c r="B23" s="10"/>
      <c r="C23" s="11"/>
      <c r="D23" s="15"/>
      <c r="F23" s="10"/>
      <c r="G23" s="11"/>
      <c r="H23" s="15"/>
      <c r="I23" s="4"/>
      <c r="J23" s="19"/>
      <c r="K23" s="19"/>
    </row>
    <row r="24" spans="1:11" s="3" customFormat="1" ht="15">
      <c r="A24" s="89" t="s">
        <v>104</v>
      </c>
      <c r="B24" s="5"/>
      <c r="C24" s="6"/>
      <c r="D24" s="7"/>
      <c r="F24" s="5"/>
      <c r="G24" s="6"/>
      <c r="H24" s="7"/>
      <c r="I24" s="4"/>
      <c r="J24" s="20"/>
      <c r="K24" s="20"/>
    </row>
    <row r="25" spans="1:12" s="3" customFormat="1" ht="12.75">
      <c r="A25" s="3" t="s">
        <v>9</v>
      </c>
      <c r="B25" s="16">
        <f>+B11</f>
        <v>172828.32</v>
      </c>
      <c r="C25" s="14">
        <f>'[2]MITCHELL_KP_OP'!$C$7</f>
        <v>474873.59</v>
      </c>
      <c r="D25" s="15">
        <f>IF(AND(B25&lt;&gt;0,C25&lt;&gt;0),C25/B25,"")</f>
        <v>2.747660742174662</v>
      </c>
      <c r="F25" s="16">
        <f>+F11</f>
        <v>421824.08</v>
      </c>
      <c r="G25" s="303">
        <v>1040932.76</v>
      </c>
      <c r="H25" s="15">
        <f>IF(AND(F25&lt;&gt;0,G25&lt;&gt;0),G25/F25,"")</f>
        <v>2.4676940206922278</v>
      </c>
      <c r="I25" s="4"/>
      <c r="J25" s="20">
        <v>421824.08</v>
      </c>
      <c r="K25" s="20">
        <v>1040932.76</v>
      </c>
      <c r="L25" s="3">
        <v>1.9791502961917864</v>
      </c>
    </row>
    <row r="26" spans="1:12" s="3" customFormat="1" ht="12.75">
      <c r="A26" s="18" t="s">
        <v>8</v>
      </c>
      <c r="B26" s="109">
        <f>+B13</f>
        <v>171267</v>
      </c>
      <c r="C26" s="94">
        <f>'[2]MITCHELL_KP_OP'!$C$9</f>
        <v>246326.74000000005</v>
      </c>
      <c r="D26" s="95">
        <f>IF(AND(B26&lt;&gt;0,C26&lt;&gt;0),C26/B26,"")</f>
        <v>1.4382615448393448</v>
      </c>
      <c r="F26" s="97">
        <f>+F13</f>
        <v>362340.17000000004</v>
      </c>
      <c r="G26" s="61">
        <f>+C26+K26</f>
        <v>823496.6799999999</v>
      </c>
      <c r="H26" s="95">
        <f>IF(AND(F26&lt;&gt;0,G26&lt;&gt;0),G26/F26,"")</f>
        <v>2.2727170437658066</v>
      </c>
      <c r="I26" s="4"/>
      <c r="J26" s="20">
        <v>191073.17000000004</v>
      </c>
      <c r="K26" s="20">
        <v>577169.9399999998</v>
      </c>
      <c r="L26" s="3">
        <v>2.3162559604362927</v>
      </c>
    </row>
    <row r="27" spans="1:12" s="3" customFormat="1" ht="12.75">
      <c r="A27" s="2" t="s">
        <v>18</v>
      </c>
      <c r="B27" s="98">
        <f>SUM(B25:B26)</f>
        <v>344095.32</v>
      </c>
      <c r="C27" s="99">
        <f>SUM(C25:C26)</f>
        <v>721200.3300000001</v>
      </c>
      <c r="D27" s="100">
        <f>IF(AND(B27&lt;&gt;0,C27&lt;&gt;0),C27/B27,"")</f>
        <v>2.095931819125003</v>
      </c>
      <c r="E27" s="2"/>
      <c r="F27" s="98">
        <f>SUM(F25:F26)</f>
        <v>784164.25</v>
      </c>
      <c r="G27" s="99">
        <f>SUM(G25:G26)</f>
        <v>1864429.44</v>
      </c>
      <c r="H27" s="100">
        <f>IF(AND(F27&lt;&gt;0,G27&lt;&gt;0),G27/F27,"")</f>
        <v>2.377600662106185</v>
      </c>
      <c r="I27" s="4"/>
      <c r="J27" s="20">
        <v>612897.25</v>
      </c>
      <c r="K27" s="20">
        <v>1618102.6999999997</v>
      </c>
      <c r="L27" s="3">
        <v>2.2155540679385575</v>
      </c>
    </row>
    <row r="28" spans="1:11" s="3" customFormat="1" ht="12.75">
      <c r="A28" s="3" t="s">
        <v>13</v>
      </c>
      <c r="B28" s="8"/>
      <c r="C28" s="9"/>
      <c r="D28" s="15"/>
      <c r="F28" s="8"/>
      <c r="G28" s="9"/>
      <c r="H28" s="15"/>
      <c r="I28" s="4"/>
      <c r="J28" s="20"/>
      <c r="K28" s="20"/>
    </row>
    <row r="29" spans="1:12" s="3" customFormat="1" ht="12.75">
      <c r="A29" s="3" t="s">
        <v>19</v>
      </c>
      <c r="B29" s="16">
        <f>+B18</f>
        <v>146775.83000000002</v>
      </c>
      <c r="C29" s="14">
        <f>'[2]MITCHELL_KP_OP'!$C$13+'[2]MITCHELL_KP_OP'!$C$14</f>
        <v>307627.45999999996</v>
      </c>
      <c r="D29" s="15">
        <f>IF(AND(B29&lt;&gt;0,C29&lt;&gt;0),C29/B29,"")</f>
        <v>2.095899985712906</v>
      </c>
      <c r="F29" s="8">
        <f>+F18</f>
        <v>581171.45</v>
      </c>
      <c r="G29" s="9">
        <f>+C29+K29</f>
        <v>1436032.23</v>
      </c>
      <c r="H29" s="15">
        <f>IF(AND(F29&lt;&gt;0,G29&lt;&gt;0),G29/F29,"")</f>
        <v>2.4709270044149623</v>
      </c>
      <c r="I29" s="4"/>
      <c r="J29" s="20">
        <v>434395.62</v>
      </c>
      <c r="K29" s="20">
        <v>1128404.77</v>
      </c>
      <c r="L29" s="3">
        <v>2.161623922022898</v>
      </c>
    </row>
    <row r="30" spans="1:12" s="3" customFormat="1" ht="12.75">
      <c r="A30" s="3" t="s">
        <v>14</v>
      </c>
      <c r="B30" s="16">
        <f>+B19</f>
        <v>0</v>
      </c>
      <c r="C30" s="14">
        <f>'[2]MITCHELL_KP_OP'!$C$15+'[2]MITCHELL_KP_OP'!$C$16</f>
        <v>0</v>
      </c>
      <c r="D30" s="15">
        <f>IF(AND(B30&lt;&gt;0,C30&lt;&gt;0),C30/B30,"")</f>
      </c>
      <c r="F30" s="8">
        <f>+F19</f>
        <v>5673.310000000001</v>
      </c>
      <c r="G30" s="9">
        <f>+C30+K30</f>
        <v>14824.34</v>
      </c>
      <c r="H30" s="15">
        <f>IF(AND(F30&lt;&gt;0,G30&lt;&gt;0),G30/F30,"")</f>
        <v>2.612996645697132</v>
      </c>
      <c r="I30" s="4"/>
      <c r="J30" s="20">
        <v>5673.310000000001</v>
      </c>
      <c r="K30" s="20">
        <v>14824.34</v>
      </c>
      <c r="L30" s="3">
        <v>2.589620426188139</v>
      </c>
    </row>
    <row r="31" spans="1:12" s="3" customFormat="1" ht="12.75">
      <c r="A31" s="3" t="s">
        <v>15</v>
      </c>
      <c r="B31" s="16">
        <f>+B20</f>
        <v>0</v>
      </c>
      <c r="C31" s="14">
        <f>'[2]MITCHELL_KP_OP'!$C$17</f>
        <v>0</v>
      </c>
      <c r="D31" s="15">
        <f>IF(AND(B31&lt;&gt;0,C31&lt;&gt;0),C31/B31,"")</f>
      </c>
      <c r="F31" s="8">
        <f>+F20</f>
        <v>0</v>
      </c>
      <c r="G31" s="61">
        <f>+C31+K31</f>
        <v>0</v>
      </c>
      <c r="H31" s="15">
        <f>IF(AND(F31&lt;&gt;0,G31&lt;&gt;0),G31/F31,"")</f>
      </c>
      <c r="I31" s="4"/>
      <c r="J31" s="20">
        <v>0</v>
      </c>
      <c r="K31" s="20">
        <v>0</v>
      </c>
      <c r="L31" s="3" t="s">
        <v>137</v>
      </c>
    </row>
    <row r="32" spans="1:12" s="3" customFormat="1" ht="12.75">
      <c r="A32" s="2" t="s">
        <v>26</v>
      </c>
      <c r="B32" s="101">
        <f>SUM(B29:B31)</f>
        <v>146775.83000000002</v>
      </c>
      <c r="C32" s="102">
        <f>SUM(C29:C31)</f>
        <v>307627.45999999996</v>
      </c>
      <c r="D32" s="103">
        <f>IF(AND(B32&lt;&gt;0,C32&lt;&gt;0),C32/B32,"")</f>
        <v>2.095899985712906</v>
      </c>
      <c r="E32" s="2"/>
      <c r="F32" s="101">
        <f>SUM(F29:F31)</f>
        <v>586844.76</v>
      </c>
      <c r="G32" s="102">
        <f>SUM(G29:G31)</f>
        <v>1450856.57</v>
      </c>
      <c r="H32" s="103">
        <f>IF(AND(F32&lt;&gt;0,G32&lt;&gt;0),G32/F32,"")</f>
        <v>2.4723004598354086</v>
      </c>
      <c r="I32" s="4"/>
      <c r="J32" s="20">
        <v>440068.93</v>
      </c>
      <c r="K32" s="20">
        <v>1143229.11</v>
      </c>
      <c r="L32" s="3">
        <v>2.154826159226103</v>
      </c>
    </row>
    <row r="33" spans="1:12" s="3" customFormat="1" ht="13.5" thickBot="1">
      <c r="A33" s="2" t="s">
        <v>17</v>
      </c>
      <c r="B33" s="104">
        <f>+B27-B32</f>
        <v>197319.49</v>
      </c>
      <c r="C33" s="105">
        <f>+C27-C32</f>
        <v>413572.8700000001</v>
      </c>
      <c r="D33" s="106">
        <f>IF(AND(B33&lt;&gt;0,C33&lt;&gt;0),C33/B33,"")</f>
        <v>2.0959554983646074</v>
      </c>
      <c r="E33" s="2"/>
      <c r="F33" s="104">
        <f>+F27-F32</f>
        <v>197319.49</v>
      </c>
      <c r="G33" s="105">
        <f>+G27-G32</f>
        <v>413572.8699999999</v>
      </c>
      <c r="H33" s="106">
        <f>IF(AND(F33&lt;&gt;0,G33&lt;&gt;0),G33/F33,"")</f>
        <v>2.095955498364606</v>
      </c>
      <c r="I33" s="4"/>
      <c r="J33" s="20">
        <v>172828.32</v>
      </c>
      <c r="K33" s="20">
        <v>474873.5899999996</v>
      </c>
      <c r="L33" s="3">
        <v>2.3689642646694007</v>
      </c>
    </row>
    <row r="34" spans="2:11" s="3" customFormat="1" ht="14.25" thickBot="1" thickTop="1">
      <c r="B34" s="10"/>
      <c r="C34" s="11"/>
      <c r="D34" s="12"/>
      <c r="F34" s="10"/>
      <c r="G34" s="11"/>
      <c r="H34" s="12"/>
      <c r="I34" s="4"/>
      <c r="J34" s="20"/>
      <c r="K34" s="20"/>
    </row>
    <row r="35" spans="1:11" s="3" customFormat="1" ht="15">
      <c r="A35" s="89" t="s">
        <v>105</v>
      </c>
      <c r="B35" s="5"/>
      <c r="C35" s="6"/>
      <c r="D35" s="7"/>
      <c r="F35" s="5"/>
      <c r="G35" s="6"/>
      <c r="H35" s="7"/>
      <c r="I35" s="4"/>
      <c r="J35" s="20"/>
      <c r="K35" s="20"/>
    </row>
    <row r="36" spans="1:12" s="3" customFormat="1" ht="12.75">
      <c r="A36" s="3" t="s">
        <v>9</v>
      </c>
      <c r="B36" s="13">
        <f>'[3]MITCHELL_KP_OP'!$B$7</f>
        <v>412185</v>
      </c>
      <c r="C36" s="14">
        <f>'[3]MITCHELL_KP_OP'!$C$7</f>
        <v>1363216.05</v>
      </c>
      <c r="D36" s="15">
        <f>IF(AND(B36&lt;&gt;0,C36&lt;&gt;0),C36/B36,"")</f>
        <v>3.307291750063685</v>
      </c>
      <c r="F36" s="302">
        <v>443787.5</v>
      </c>
      <c r="G36" s="303">
        <v>1429567.35</v>
      </c>
      <c r="H36" s="15">
        <f>IF(AND(F36&lt;&gt;0,G36&lt;&gt;0),G36/F36,"")</f>
        <v>3.2212880038306624</v>
      </c>
      <c r="I36" s="4"/>
      <c r="J36" s="20">
        <v>443787.5</v>
      </c>
      <c r="K36" s="20">
        <v>1429567.35</v>
      </c>
      <c r="L36" s="3">
        <v>3.3917200048730662</v>
      </c>
    </row>
    <row r="37" spans="1:12" s="3" customFormat="1" ht="12.75">
      <c r="A37" s="3" t="s">
        <v>8</v>
      </c>
      <c r="B37" s="96">
        <f>'[3]MITCHELL_KP_OP'!$B$9</f>
        <v>74232.59606999997</v>
      </c>
      <c r="C37" s="94">
        <f>'[3]MITCHELL_KP_OP'!$C$9</f>
        <v>247999.2837425</v>
      </c>
      <c r="D37" s="95">
        <f>IF(AND(B37&lt;&gt;0,C37&lt;&gt;0),C37/B37,"")</f>
        <v>3.3408407744306996</v>
      </c>
      <c r="F37" s="97">
        <f>+B37+J37</f>
        <v>326688.4583499999</v>
      </c>
      <c r="G37" s="61">
        <f>+C37+K37</f>
        <v>1112494.8713713996</v>
      </c>
      <c r="H37" s="95">
        <f>IF(AND(F37&lt;&gt;0,G37&lt;&gt;0),G37/F37,"")</f>
        <v>3.4053693754296046</v>
      </c>
      <c r="I37" s="4"/>
      <c r="J37" s="20">
        <v>252455.86227999994</v>
      </c>
      <c r="K37" s="20">
        <v>864495.5876288996</v>
      </c>
      <c r="L37" s="3">
        <v>3.231198694895875</v>
      </c>
    </row>
    <row r="38" spans="1:12" s="3" customFormat="1" ht="12.75">
      <c r="A38" s="2" t="s">
        <v>18</v>
      </c>
      <c r="B38" s="98">
        <f>SUM(B36:B37)</f>
        <v>486417.59606999997</v>
      </c>
      <c r="C38" s="99">
        <f>SUM(C36:C37)</f>
        <v>1611215.3337425</v>
      </c>
      <c r="D38" s="100">
        <f>IF(AND(B38&lt;&gt;0,C38&lt;&gt;0),C38/B38,"")</f>
        <v>3.3124116947254336</v>
      </c>
      <c r="E38" s="2"/>
      <c r="F38" s="98">
        <f>SUM(F36:F37)</f>
        <v>770475.95835</v>
      </c>
      <c r="G38" s="99">
        <f>SUM(G36:G37)</f>
        <v>2542062.2213713997</v>
      </c>
      <c r="H38" s="100">
        <f>IF(AND(F38&lt;&gt;0,G38&lt;&gt;0),G38/F38,"")</f>
        <v>3.299340094680321</v>
      </c>
      <c r="I38" s="4"/>
      <c r="J38" s="20">
        <v>696243.36228</v>
      </c>
      <c r="K38" s="20">
        <v>2294062.9376288997</v>
      </c>
      <c r="L38" s="3">
        <v>3.281488989932586</v>
      </c>
    </row>
    <row r="39" spans="1:11" s="3" customFormat="1" ht="12.75">
      <c r="A39" s="3" t="s">
        <v>13</v>
      </c>
      <c r="B39" s="8"/>
      <c r="C39" s="9"/>
      <c r="D39" s="15"/>
      <c r="F39" s="8"/>
      <c r="G39" s="9"/>
      <c r="H39" s="15"/>
      <c r="I39" s="4"/>
      <c r="J39" s="20"/>
      <c r="K39" s="20"/>
    </row>
    <row r="40" spans="1:12" s="3" customFormat="1" ht="12.75">
      <c r="A40" s="3" t="s">
        <v>19</v>
      </c>
      <c r="B40" s="13">
        <f>'[3]MITCHELL_KP_OP'!$B$13+'[3]MITCHELL_KP_OP'!$B$14</f>
        <v>72619.34438</v>
      </c>
      <c r="C40" s="14">
        <f>'[3]MITCHELL_KP_OP'!$C$13+'[3]MITCHELL_KP_OP'!$C$14</f>
        <v>240545.17363819998</v>
      </c>
      <c r="D40" s="15">
        <f>IF(AND(B40&lt;&gt;0,C40&lt;&gt;0),C40/B40,"")</f>
        <v>3.3124118055856235</v>
      </c>
      <c r="F40" s="8">
        <f>+B40+J40</f>
        <v>356483.30556999997</v>
      </c>
      <c r="G40" s="9">
        <f>+C40+K40</f>
        <v>1170752.4973946</v>
      </c>
      <c r="H40" s="15">
        <f>IF(AND(F40&lt;&gt;0,G40&lt;&gt;0),G40/F40,"")</f>
        <v>3.284172019002747</v>
      </c>
      <c r="I40" s="4"/>
      <c r="J40" s="20">
        <v>283863.96119</v>
      </c>
      <c r="K40" s="20">
        <v>930207.3237563999</v>
      </c>
      <c r="L40" s="3">
        <v>3.2888528733173192</v>
      </c>
    </row>
    <row r="41" spans="1:12" s="3" customFormat="1" ht="12.75">
      <c r="A41" s="3" t="s">
        <v>20</v>
      </c>
      <c r="B41" s="13">
        <f>'[3]MITCHELL_KP_OP'!$B$15+'[3]MITCHELL_KP_OP'!$B$16</f>
        <v>117.75169</v>
      </c>
      <c r="C41" s="263">
        <f>'[3]MITCHELL_KP_OP'!$C$15+'[3]MITCHELL_KP_OP'!$C$16</f>
        <v>390.04010430000005</v>
      </c>
      <c r="D41" s="15">
        <f>IF(AND(B41&lt;&gt;0,C41&lt;&gt;0),C41/B41,"")</f>
        <v>3.312394958407816</v>
      </c>
      <c r="F41" s="8">
        <f>+B41+J41</f>
        <v>312.15278</v>
      </c>
      <c r="G41" s="9">
        <f>+C41+K41</f>
        <v>1029.6039768</v>
      </c>
      <c r="H41" s="15">
        <f>IF(AND(F41&lt;&gt;0,G41&lt;&gt;0),G41/F41,"")</f>
        <v>3.2983975885141885</v>
      </c>
      <c r="I41" s="4"/>
      <c r="J41" s="20">
        <v>194.40108999999998</v>
      </c>
      <c r="K41" s="20">
        <v>639.5638724999999</v>
      </c>
      <c r="L41" s="3">
        <v>3.339617007788444</v>
      </c>
    </row>
    <row r="42" spans="1:12" s="3" customFormat="1" ht="12.75">
      <c r="A42" s="2" t="s">
        <v>16</v>
      </c>
      <c r="B42" s="101">
        <f>SUM(B40:B41)</f>
        <v>72737.09607</v>
      </c>
      <c r="C42" s="102">
        <f>SUM(C40:C41)</f>
        <v>240935.21374249997</v>
      </c>
      <c r="D42" s="103">
        <f>IF(AND(B42&lt;&gt;0,C42&lt;&gt;0),C42/B42,"")</f>
        <v>3.3124117783122817</v>
      </c>
      <c r="E42" s="2"/>
      <c r="F42" s="101">
        <f>SUM(F40:F41)</f>
        <v>356795.45835</v>
      </c>
      <c r="G42" s="102">
        <f>SUM(G40:G41)</f>
        <v>1171782.1013714</v>
      </c>
      <c r="H42" s="103">
        <f>IF(AND(F42&lt;&gt;0,G42&lt;&gt;0),G42/F42,"")</f>
        <v>3.2841844646518332</v>
      </c>
      <c r="I42" s="4"/>
      <c r="J42" s="20">
        <v>284058.36228</v>
      </c>
      <c r="K42" s="20">
        <v>930846.8876288999</v>
      </c>
      <c r="L42" s="3">
        <v>3.295455402638949</v>
      </c>
    </row>
    <row r="43" spans="1:12" s="3" customFormat="1" ht="13.5" thickBot="1">
      <c r="A43" s="2" t="s">
        <v>17</v>
      </c>
      <c r="B43" s="104">
        <f>+B38-B42</f>
        <v>413680.5</v>
      </c>
      <c r="C43" s="105">
        <f>+C38-C42</f>
        <v>1370280.12</v>
      </c>
      <c r="D43" s="106">
        <f>IF(AND(B43&lt;&gt;0,C43&lt;&gt;0),C43/B43,"")</f>
        <v>3.312411680028428</v>
      </c>
      <c r="E43" s="2"/>
      <c r="F43" s="104">
        <f>+F38-F42</f>
        <v>413680.5</v>
      </c>
      <c r="G43" s="105">
        <f>+G38-G42</f>
        <v>1370280.1199999996</v>
      </c>
      <c r="H43" s="106">
        <f>IF(AND(F43&lt;&gt;0,G43&lt;&gt;0),G43/F43,"")</f>
        <v>3.312411680028427</v>
      </c>
      <c r="I43" s="4"/>
      <c r="J43" s="20">
        <v>412185</v>
      </c>
      <c r="K43" s="20">
        <v>1363216.0499999998</v>
      </c>
      <c r="L43" s="3">
        <v>3.246934176916388</v>
      </c>
    </row>
    <row r="44" spans="2:11" s="3" customFormat="1" ht="14.25" thickBot="1" thickTop="1">
      <c r="B44" s="10"/>
      <c r="C44" s="11"/>
      <c r="D44" s="12"/>
      <c r="F44" s="10"/>
      <c r="G44" s="11"/>
      <c r="H44" s="12"/>
      <c r="I44" s="4"/>
      <c r="J44" s="20"/>
      <c r="K44" s="20"/>
    </row>
    <row r="45" spans="1:11" s="3" customFormat="1" ht="15">
      <c r="A45" s="89" t="s">
        <v>106</v>
      </c>
      <c r="B45" s="5"/>
      <c r="C45" s="6"/>
      <c r="D45" s="7"/>
      <c r="F45" s="5"/>
      <c r="G45" s="6"/>
      <c r="H45" s="7"/>
      <c r="I45" s="4"/>
      <c r="J45" s="20"/>
      <c r="K45" s="20"/>
    </row>
    <row r="46" spans="1:12" s="3" customFormat="1" ht="12.75">
      <c r="A46" s="3" t="s">
        <v>21</v>
      </c>
      <c r="B46" s="8"/>
      <c r="C46" s="9"/>
      <c r="D46" s="15">
        <f aca="true" t="shared" si="3" ref="D46:D51">IF(AND(B46&lt;&gt;0,C46&lt;&gt;0),C46/B46,"")</f>
      </c>
      <c r="F46" s="8"/>
      <c r="G46" s="9"/>
      <c r="H46" s="15">
        <f aca="true" t="shared" si="4" ref="H46:H51">IF(AND(F46&lt;&gt;0,G46&lt;&gt;0),G46/F46,"")</f>
      </c>
      <c r="I46" s="4"/>
      <c r="J46" s="20"/>
      <c r="K46" s="20"/>
      <c r="L46" s="3" t="s">
        <v>137</v>
      </c>
    </row>
    <row r="47" spans="1:12" s="3" customFormat="1" ht="12.75">
      <c r="A47" s="3" t="s">
        <v>19</v>
      </c>
      <c r="B47" s="8">
        <f>+B18</f>
        <v>146775.83000000002</v>
      </c>
      <c r="C47" s="9">
        <f>+C18</f>
        <v>9310009.660000002</v>
      </c>
      <c r="D47" s="15">
        <f t="shared" si="3"/>
        <v>63.430127835080214</v>
      </c>
      <c r="F47" s="8">
        <f aca="true" t="shared" si="5" ref="F47:G49">+B47+J47</f>
        <v>581171.45</v>
      </c>
      <c r="G47" s="9">
        <f t="shared" si="5"/>
        <v>39951418.2</v>
      </c>
      <c r="H47" s="15">
        <f t="shared" si="4"/>
        <v>68.7429126121044</v>
      </c>
      <c r="I47" s="4"/>
      <c r="J47" s="20">
        <v>434395.62</v>
      </c>
      <c r="K47" s="20">
        <v>30641408.54</v>
      </c>
      <c r="L47" s="3">
        <v>72.98936657851795</v>
      </c>
    </row>
    <row r="48" spans="1:12" s="3" customFormat="1" ht="12.75">
      <c r="A48" s="3" t="s">
        <v>14</v>
      </c>
      <c r="B48" s="8">
        <f>+B19</f>
        <v>0</v>
      </c>
      <c r="C48" s="9">
        <f>+C19</f>
        <v>0</v>
      </c>
      <c r="D48" s="15">
        <f t="shared" si="3"/>
      </c>
      <c r="F48" s="8">
        <f t="shared" si="5"/>
        <v>5673.310000000001</v>
      </c>
      <c r="G48" s="9">
        <f t="shared" si="5"/>
        <v>457588.5299999999</v>
      </c>
      <c r="H48" s="15">
        <f t="shared" si="4"/>
        <v>80.65635933872815</v>
      </c>
      <c r="I48" s="4"/>
      <c r="J48" s="20">
        <v>5673.310000000001</v>
      </c>
      <c r="K48" s="20">
        <v>457588.5299999999</v>
      </c>
      <c r="L48" s="3">
        <v>71.74072935651198</v>
      </c>
    </row>
    <row r="49" spans="1:12" s="3" customFormat="1" ht="12.75">
      <c r="A49" s="3" t="s">
        <v>146</v>
      </c>
      <c r="B49" s="8">
        <f>ROUND(IF(B40&lt;&gt;0,(((B61/1000000)*B40)/((B60/1000)*2)),""),2)</f>
        <v>409.81</v>
      </c>
      <c r="C49" s="195">
        <f>+C40</f>
        <v>240545.17363819998</v>
      </c>
      <c r="D49" s="15">
        <f t="shared" si="3"/>
        <v>586.967554813694</v>
      </c>
      <c r="F49" s="8">
        <f t="shared" si="5"/>
        <v>2028.98</v>
      </c>
      <c r="G49" s="9">
        <f t="shared" si="5"/>
        <v>1170752.4973946</v>
      </c>
      <c r="H49" s="15">
        <f t="shared" si="4"/>
        <v>577.0152970431448</v>
      </c>
      <c r="I49" s="4"/>
      <c r="J49" s="20">
        <v>1619.17</v>
      </c>
      <c r="K49" s="20">
        <v>930207.3237563999</v>
      </c>
      <c r="L49" s="3">
        <v>598.0721910682956</v>
      </c>
    </row>
    <row r="50" spans="1:12" s="3" customFormat="1" ht="12.75">
      <c r="A50" s="3" t="s">
        <v>154</v>
      </c>
      <c r="B50" s="8"/>
      <c r="C50" s="145">
        <v>0</v>
      </c>
      <c r="D50" s="15">
        <f t="shared" si="3"/>
      </c>
      <c r="F50" s="8"/>
      <c r="G50" s="9">
        <f>+C50+K50</f>
        <v>0</v>
      </c>
      <c r="H50" s="15">
        <f t="shared" si="4"/>
      </c>
      <c r="I50" s="4"/>
      <c r="J50" s="20"/>
      <c r="K50" s="20">
        <v>0</v>
      </c>
      <c r="L50" s="3" t="s">
        <v>137</v>
      </c>
    </row>
    <row r="51" spans="1:12" s="3" customFormat="1" ht="12.75">
      <c r="A51" s="3" t="s">
        <v>107</v>
      </c>
      <c r="B51" s="54"/>
      <c r="C51" s="9">
        <f>+C29+C30</f>
        <v>307627.45999999996</v>
      </c>
      <c r="D51" s="88">
        <f t="shared" si="3"/>
      </c>
      <c r="F51" s="53"/>
      <c r="G51" s="9">
        <f>+C51+K51</f>
        <v>1450856.5699999998</v>
      </c>
      <c r="H51" s="88">
        <f t="shared" si="4"/>
      </c>
      <c r="I51" s="4"/>
      <c r="J51" s="20"/>
      <c r="K51" s="20">
        <v>1143229.1099999999</v>
      </c>
      <c r="L51" s="3" t="s">
        <v>137</v>
      </c>
    </row>
    <row r="52" spans="1:11" s="3" customFormat="1" ht="12.75">
      <c r="A52" s="3" t="s">
        <v>155</v>
      </c>
      <c r="B52" s="54"/>
      <c r="C52" s="17">
        <f>+INPUT!D54</f>
        <v>34659.740000000005</v>
      </c>
      <c r="D52" s="88"/>
      <c r="F52" s="53"/>
      <c r="G52" s="9">
        <f>+C52+K52</f>
        <v>174886.40000000002</v>
      </c>
      <c r="H52" s="88"/>
      <c r="I52" s="4"/>
      <c r="J52" s="20"/>
      <c r="K52" s="20">
        <v>140226.66</v>
      </c>
    </row>
    <row r="53" spans="1:11" s="3" customFormat="1" ht="12.75">
      <c r="A53" s="3" t="s">
        <v>156</v>
      </c>
      <c r="B53" s="54"/>
      <c r="C53" s="9">
        <f>+INPUT!D92</f>
        <v>-72868.79000000001</v>
      </c>
      <c r="D53" s="88"/>
      <c r="F53" s="53"/>
      <c r="G53" s="9">
        <f>+C53+K53</f>
        <v>-294453.42000000004</v>
      </c>
      <c r="H53" s="88"/>
      <c r="I53" s="4"/>
      <c r="J53" s="20"/>
      <c r="K53" s="20">
        <v>-221584.63</v>
      </c>
    </row>
    <row r="54" spans="1:11" s="3" customFormat="1" ht="12.75">
      <c r="A54" s="3" t="s">
        <v>149</v>
      </c>
      <c r="B54" s="54"/>
      <c r="C54" s="303">
        <v>0</v>
      </c>
      <c r="D54" s="88"/>
      <c r="F54" s="53"/>
      <c r="G54" s="9">
        <f>+C54+K54</f>
        <v>0</v>
      </c>
      <c r="H54" s="88"/>
      <c r="I54" s="4"/>
      <c r="J54" s="20"/>
      <c r="K54" s="20">
        <v>0</v>
      </c>
    </row>
    <row r="55" spans="2:11" s="3" customFormat="1" ht="12.75">
      <c r="B55" s="54"/>
      <c r="C55" s="9"/>
      <c r="D55" s="88"/>
      <c r="F55" s="53"/>
      <c r="G55" s="9"/>
      <c r="H55" s="88"/>
      <c r="I55" s="4"/>
      <c r="J55" s="20"/>
      <c r="K55" s="20"/>
    </row>
    <row r="56" spans="1:12" s="3" customFormat="1" ht="13.5" thickBot="1">
      <c r="A56" s="2" t="s">
        <v>22</v>
      </c>
      <c r="B56" s="104">
        <f>SUM(B46:B55)</f>
        <v>147185.64</v>
      </c>
      <c r="C56" s="105">
        <f>SUM(C46:C55)</f>
        <v>9819973.243638204</v>
      </c>
      <c r="D56" s="106">
        <f>IF(AND(B56&lt;&gt;0,C56&lt;&gt;0),C56/B56,"")</f>
        <v>66.71828341160322</v>
      </c>
      <c r="E56" s="2"/>
      <c r="F56" s="104">
        <f>SUM(F46:F55)</f>
        <v>588873.74</v>
      </c>
      <c r="G56" s="105">
        <f>SUM(G46:G55)</f>
        <v>42911048.7773946</v>
      </c>
      <c r="H56" s="106">
        <f>IF(AND(F56&lt;&gt;0,G56&lt;&gt;0),G56/F56,"")</f>
        <v>72.86969321708011</v>
      </c>
      <c r="I56" s="4"/>
      <c r="J56" s="20">
        <v>441688.1</v>
      </c>
      <c r="K56" s="20">
        <v>33091075.5337564</v>
      </c>
      <c r="L56" s="3">
        <v>78.15764107647016</v>
      </c>
    </row>
    <row r="57" spans="2:11" s="3" customFormat="1" ht="14.25" thickBot="1" thickTop="1">
      <c r="B57" s="10"/>
      <c r="C57" s="11"/>
      <c r="D57" s="12"/>
      <c r="F57" s="10"/>
      <c r="G57" s="11"/>
      <c r="H57" s="12"/>
      <c r="I57" s="4"/>
      <c r="J57" s="20"/>
      <c r="K57" s="20"/>
    </row>
    <row r="58" s="3" customFormat="1" ht="12.75">
      <c r="I58" s="4"/>
    </row>
    <row r="59" spans="1:9" s="3" customFormat="1" ht="15">
      <c r="A59" s="89" t="s">
        <v>23</v>
      </c>
      <c r="C59" s="18"/>
      <c r="I59" s="4"/>
    </row>
    <row r="60" spans="1:9" s="3" customFormat="1" ht="12.75">
      <c r="A60" s="3" t="s">
        <v>24</v>
      </c>
      <c r="B60" s="22">
        <f>'[1]MITCHELL'!$E$21</f>
        <v>12184</v>
      </c>
      <c r="I60" s="4"/>
    </row>
    <row r="61" spans="1:9" s="3" customFormat="1" ht="12.75">
      <c r="A61" s="3" t="s">
        <v>25</v>
      </c>
      <c r="B61" s="22">
        <f>'[3]MITCHELL'!$E$17</f>
        <v>137515</v>
      </c>
      <c r="I61" s="4"/>
    </row>
    <row r="62" spans="1:9" s="3" customFormat="1" ht="12.75">
      <c r="A62" s="3" t="s">
        <v>193</v>
      </c>
      <c r="B62" s="22">
        <f>INPUT!B180</f>
        <v>12142</v>
      </c>
      <c r="I62" s="4"/>
    </row>
  </sheetData>
  <sheetProtection/>
  <mergeCells count="7">
    <mergeCell ref="J7:K7"/>
    <mergeCell ref="A2:H2"/>
    <mergeCell ref="A3:H3"/>
    <mergeCell ref="A4:H4"/>
    <mergeCell ref="A5:H5"/>
    <mergeCell ref="B7:D7"/>
    <mergeCell ref="F7:H7"/>
  </mergeCells>
  <printOptions/>
  <pageMargins left="0.5" right="0.5" top="0.5" bottom="0.5" header="0.3" footer="0.3"/>
  <pageSetup fitToHeight="1" fitToWidth="1" horizontalDpi="600" verticalDpi="600" orientation="portrait" scale="74" r:id="rId1"/>
  <headerFooter alignWithMargins="0">
    <oddFooter>&amp;C&amp;Z&amp;F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L64"/>
  <sheetViews>
    <sheetView zoomScalePageLayoutView="0" workbookViewId="0" topLeftCell="A1">
      <selection activeCell="J11" sqref="J11:K56"/>
    </sheetView>
  </sheetViews>
  <sheetFormatPr defaultColWidth="17.7109375" defaultRowHeight="12.75" outlineLevelRow="1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s="200" customFormat="1" ht="15">
      <c r="H1" s="89" t="s">
        <v>110</v>
      </c>
    </row>
    <row r="2" spans="1:9" s="92" customFormat="1" ht="15">
      <c r="A2" s="340" t="s">
        <v>204</v>
      </c>
      <c r="B2" s="340"/>
      <c r="C2" s="340"/>
      <c r="D2" s="340"/>
      <c r="E2" s="340"/>
      <c r="F2" s="340"/>
      <c r="G2" s="340"/>
      <c r="H2" s="340"/>
      <c r="I2" s="91"/>
    </row>
    <row r="3" spans="1:9" s="92" customFormat="1" ht="15">
      <c r="A3" s="340" t="s">
        <v>0</v>
      </c>
      <c r="B3" s="340"/>
      <c r="C3" s="340"/>
      <c r="D3" s="340"/>
      <c r="E3" s="340"/>
      <c r="F3" s="340"/>
      <c r="G3" s="340"/>
      <c r="H3" s="340"/>
      <c r="I3" s="91"/>
    </row>
    <row r="4" spans="1:9" s="92" customFormat="1" ht="15">
      <c r="A4" s="340" t="s">
        <v>218</v>
      </c>
      <c r="B4" s="340"/>
      <c r="C4" s="340"/>
      <c r="D4" s="340"/>
      <c r="E4" s="340"/>
      <c r="F4" s="340"/>
      <c r="G4" s="340"/>
      <c r="H4" s="340"/>
      <c r="I4" s="91"/>
    </row>
    <row r="5" spans="1:9" s="92" customFormat="1" ht="15">
      <c r="A5" s="342" t="str">
        <f>+INPUT!A3</f>
        <v>APRIL 2014</v>
      </c>
      <c r="B5" s="342"/>
      <c r="C5" s="342"/>
      <c r="D5" s="342"/>
      <c r="E5" s="342"/>
      <c r="F5" s="342"/>
      <c r="G5" s="342"/>
      <c r="H5" s="342"/>
      <c r="I5" s="91"/>
    </row>
    <row r="6" s="92" customFormat="1" ht="14.25">
      <c r="I6" s="91"/>
    </row>
    <row r="7" spans="2:11" s="92" customFormat="1" ht="15">
      <c r="B7" s="340" t="s">
        <v>2</v>
      </c>
      <c r="C7" s="340"/>
      <c r="D7" s="340"/>
      <c r="E7" s="90"/>
      <c r="F7" s="340" t="s">
        <v>3</v>
      </c>
      <c r="G7" s="340"/>
      <c r="H7" s="340"/>
      <c r="I7" s="91"/>
      <c r="J7" s="340" t="s">
        <v>4</v>
      </c>
      <c r="K7" s="340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152</v>
      </c>
      <c r="B10" s="5"/>
      <c r="C10" s="6"/>
      <c r="D10" s="7"/>
      <c r="F10" s="270"/>
      <c r="G10" s="271"/>
      <c r="H10" s="272"/>
      <c r="I10" s="4"/>
      <c r="J10" s="19"/>
      <c r="K10" s="19"/>
    </row>
    <row r="11" spans="1:12" s="3" customFormat="1" ht="12.75">
      <c r="A11" s="3" t="s">
        <v>9</v>
      </c>
      <c r="B11" s="267">
        <f>'[1]MITCHELL_KP_OP_HIGH SULFUR'!$B$7</f>
        <v>118769.48</v>
      </c>
      <c r="C11" s="188">
        <f>'[1]MITCHELL_KP_OP_HIGH SULFUR'!$C$7</f>
        <v>7066402.23</v>
      </c>
      <c r="D11" s="15">
        <f>IF(AND(B11&lt;&gt;0,C11&lt;&gt;0),C11/B11,"")</f>
        <v>59.49678511684989</v>
      </c>
      <c r="E11" s="18"/>
      <c r="F11" s="304">
        <v>192151.63</v>
      </c>
      <c r="G11" s="305">
        <v>11763689.48</v>
      </c>
      <c r="H11" s="273">
        <f>IF(AND(F11&lt;&gt;0,G11&lt;&gt;0),G11/F11,"")</f>
        <v>61.22086749927649</v>
      </c>
      <c r="I11" s="4"/>
      <c r="J11" s="19">
        <v>192151.63</v>
      </c>
      <c r="K11" s="19">
        <v>11763689.48</v>
      </c>
      <c r="L11" s="3">
        <v>46.65343942430702</v>
      </c>
    </row>
    <row r="12" spans="1:12" s="3" customFormat="1" ht="12.75">
      <c r="A12" s="3" t="s">
        <v>8</v>
      </c>
      <c r="B12" s="8"/>
      <c r="C12" s="9"/>
      <c r="D12" s="15">
        <f>IF(AND(B12&lt;&gt;0,C12&lt;&gt;0),C12/B12,"")</f>
      </c>
      <c r="F12" s="274"/>
      <c r="G12" s="275"/>
      <c r="H12" s="273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10</v>
      </c>
      <c r="B13" s="13">
        <f>'[1]MITCHELL_KP_OP_HIGH SULFUR'!$B$9</f>
        <v>33454.32999999999</v>
      </c>
      <c r="C13" s="14">
        <f>'[1]MITCHELL_KP_OP_HIGH SULFUR'!$C$9</f>
        <v>1896020.8399999994</v>
      </c>
      <c r="D13" s="15">
        <f>IF(AND(B13&lt;&gt;0,C13&lt;&gt;0),C13/B13,"")</f>
        <v>56.674900976943796</v>
      </c>
      <c r="F13" s="274">
        <f>+B13+J13</f>
        <v>155553.30000000002</v>
      </c>
      <c r="G13" s="275">
        <f>+C13+K13</f>
        <v>8931125.420000002</v>
      </c>
      <c r="H13" s="273">
        <f>IF(AND(F13&lt;&gt;0,G13&lt;&gt;0),G13/F13,"")</f>
        <v>57.415210220548204</v>
      </c>
      <c r="I13" s="4"/>
      <c r="J13" s="19">
        <v>122098.97000000003</v>
      </c>
      <c r="K13" s="19">
        <v>7035104.580000002</v>
      </c>
      <c r="L13" s="3">
        <v>43.70496619112474</v>
      </c>
    </row>
    <row r="14" spans="1:12" s="3" customFormat="1" ht="12.75">
      <c r="A14" s="3" t="s">
        <v>11</v>
      </c>
      <c r="B14" s="53"/>
      <c r="C14" s="14">
        <f>'[1]MITCHELL_KP_OP_HIGH SULFUR'!$C$10</f>
        <v>0</v>
      </c>
      <c r="D14" s="15">
        <f>IF(AND(B13&lt;&gt;0,C14&lt;&gt;0),C14/B13,"")</f>
      </c>
      <c r="F14" s="274"/>
      <c r="G14" s="195">
        <f>+C14+K14</f>
        <v>4211.600000000419</v>
      </c>
      <c r="H14" s="273">
        <f>IF(AND(F13&lt;&gt;0,G14&lt;&gt;0),G14/F13,"")</f>
        <v>0.027074964015552344</v>
      </c>
      <c r="I14" s="4"/>
      <c r="J14" s="19"/>
      <c r="K14" s="19">
        <v>4211.600000000419</v>
      </c>
      <c r="L14" s="3">
        <v>3.7820777685323437</v>
      </c>
    </row>
    <row r="15" spans="1:12" s="2" customFormat="1" ht="12.75">
      <c r="A15" s="2" t="s">
        <v>12</v>
      </c>
      <c r="B15" s="101">
        <f>SUM(B13:B14)</f>
        <v>33454.32999999999</v>
      </c>
      <c r="C15" s="102">
        <f>SUM(C13:C14)</f>
        <v>1896020.8399999994</v>
      </c>
      <c r="D15" s="103">
        <f aca="true" t="shared" si="0" ref="D15:D22">IF(AND(B15&lt;&gt;0,C15&lt;&gt;0),C15/B15,"")</f>
        <v>56.674900976943796</v>
      </c>
      <c r="F15" s="244">
        <f>SUM(F13:F14)</f>
        <v>155553.30000000002</v>
      </c>
      <c r="G15" s="245">
        <f>SUM(G13:G14)</f>
        <v>8935337.020000001</v>
      </c>
      <c r="H15" s="278">
        <f aca="true" t="shared" si="1" ref="H15:H22">IF(AND(F15&lt;&gt;0,G15&lt;&gt;0),G15/F15,"")</f>
        <v>57.44228518456375</v>
      </c>
      <c r="I15" s="4"/>
      <c r="J15" s="202">
        <v>122098.97000000003</v>
      </c>
      <c r="K15" s="202">
        <v>7039316.1800000025</v>
      </c>
      <c r="L15" s="2">
        <v>47.487043959657086</v>
      </c>
    </row>
    <row r="16" spans="1:12" s="2" customFormat="1" ht="12.75">
      <c r="A16" s="2" t="s">
        <v>18</v>
      </c>
      <c r="B16" s="98">
        <f>+B11+B13</f>
        <v>152223.81</v>
      </c>
      <c r="C16" s="99">
        <f>+C11+C15</f>
        <v>8962423.07</v>
      </c>
      <c r="D16" s="100">
        <f t="shared" si="0"/>
        <v>58.87661772491439</v>
      </c>
      <c r="F16" s="246">
        <f>+F11+F15</f>
        <v>347704.93000000005</v>
      </c>
      <c r="G16" s="247">
        <f>+G11+G15</f>
        <v>20699026.5</v>
      </c>
      <c r="H16" s="279">
        <f t="shared" si="1"/>
        <v>59.530437201451235</v>
      </c>
      <c r="I16" s="4"/>
      <c r="J16" s="202">
        <v>314250.60000000003</v>
      </c>
      <c r="K16" s="202">
        <v>18803005.660000004</v>
      </c>
      <c r="L16" s="2">
        <v>47.28719144288433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186"/>
      <c r="G17" s="195"/>
      <c r="H17" s="88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13">
        <f>'[1]MITCHELL_KP_OP_HIGH SULFUR'!$B$15+'[1]MITCHELL_KP_OP_HIGH SULFUR'!$B$16</f>
        <v>76137.23</v>
      </c>
      <c r="C18" s="14">
        <f>'[1]MITCHELL_KP_OP_HIGH SULFUR'!$C$15+'[1]MITCHELL_KP_OP_HIGH SULFUR'!$C$16</f>
        <v>4482602.32</v>
      </c>
      <c r="D18" s="15">
        <f t="shared" si="0"/>
        <v>58.875300821950056</v>
      </c>
      <c r="F18" s="186">
        <f aca="true" t="shared" si="2" ref="F18:G20">+B18+J18</f>
        <v>271705.2</v>
      </c>
      <c r="G18" s="195">
        <f t="shared" si="2"/>
        <v>16224390.969999999</v>
      </c>
      <c r="H18" s="88">
        <f t="shared" si="1"/>
        <v>59.71321480045284</v>
      </c>
      <c r="I18" s="4"/>
      <c r="J18" s="19">
        <v>195567.97</v>
      </c>
      <c r="K18" s="19">
        <v>11741788.649999999</v>
      </c>
      <c r="L18" s="3">
        <v>47.2999488365436</v>
      </c>
    </row>
    <row r="19" spans="1:12" s="3" customFormat="1" ht="12.75">
      <c r="A19" s="3" t="s">
        <v>14</v>
      </c>
      <c r="B19" s="13">
        <f>'[1]MITCHELL_KP_OP_HIGH SULFUR'!$B$18+'[1]MITCHELL_KP_OP_HIGH SULFUR'!$B$19</f>
        <v>0</v>
      </c>
      <c r="C19" s="14">
        <f>'[1]MITCHELL_KP_OP_HIGH SULFUR'!$C$18+'[1]MITCHELL_KP_OP_HIGH SULFUR'!$C$19</f>
        <v>0</v>
      </c>
      <c r="D19" s="15">
        <f t="shared" si="0"/>
      </c>
      <c r="F19" s="186">
        <f t="shared" si="2"/>
        <v>-86.85000000000002</v>
      </c>
      <c r="G19" s="195">
        <f t="shared" si="2"/>
        <v>-5185.219999999999</v>
      </c>
      <c r="H19" s="88">
        <f t="shared" si="1"/>
        <v>59.703166378814025</v>
      </c>
      <c r="I19" s="4"/>
      <c r="J19" s="19">
        <v>-86.85000000000002</v>
      </c>
      <c r="K19" s="19">
        <v>-5185.219999999999</v>
      </c>
      <c r="L19" s="3">
        <v>47.36120052636906</v>
      </c>
    </row>
    <row r="20" spans="1:12" s="3" customFormat="1" ht="12.75">
      <c r="A20" s="3" t="s">
        <v>15</v>
      </c>
      <c r="B20" s="13">
        <f>'[1]MITCHELL_KP_OP_HIGH SULFUR'!$B$20+'[1]MITCHELL_KP_OP_HIGH SULFUR'!$B$17</f>
        <v>0</v>
      </c>
      <c r="C20" s="14">
        <f>'[1]MITCHELL_KP_OP_HIGH SULFUR'!$C$20+'[1]MITCHELL_KP_OP_HIGH SULFUR'!$C$17</f>
        <v>0</v>
      </c>
      <c r="D20" s="15">
        <f t="shared" si="0"/>
      </c>
      <c r="F20" s="186">
        <f t="shared" si="2"/>
        <v>0</v>
      </c>
      <c r="G20" s="195">
        <f t="shared" si="2"/>
        <v>0</v>
      </c>
      <c r="H20" s="88">
        <f t="shared" si="1"/>
      </c>
      <c r="I20" s="4"/>
      <c r="J20" s="19">
        <v>0</v>
      </c>
      <c r="K20" s="19">
        <v>0</v>
      </c>
      <c r="L20" s="3" t="s">
        <v>137</v>
      </c>
    </row>
    <row r="21" spans="1:12" s="2" customFormat="1" ht="12.75">
      <c r="A21" s="2" t="s">
        <v>16</v>
      </c>
      <c r="B21" s="101">
        <f>SUM(B18:B20)</f>
        <v>76137.23</v>
      </c>
      <c r="C21" s="102">
        <f>SUM(C18:C20)</f>
        <v>4482602.32</v>
      </c>
      <c r="D21" s="103">
        <f t="shared" si="0"/>
        <v>58.875300821950056</v>
      </c>
      <c r="F21" s="244">
        <f>SUM(F18:F20)</f>
        <v>271618.35000000003</v>
      </c>
      <c r="G21" s="245">
        <f>SUM(G18:G20)</f>
        <v>16219205.749999998</v>
      </c>
      <c r="H21" s="278">
        <f t="shared" si="1"/>
        <v>59.71321801343685</v>
      </c>
      <c r="I21" s="4"/>
      <c r="J21" s="202">
        <v>195481.12</v>
      </c>
      <c r="K21" s="202">
        <v>11736603.429999998</v>
      </c>
      <c r="L21" s="2">
        <v>47.30106304328886</v>
      </c>
    </row>
    <row r="22" spans="1:12" s="2" customFormat="1" ht="13.5" thickBot="1">
      <c r="A22" s="2" t="s">
        <v>17</v>
      </c>
      <c r="B22" s="104">
        <f>+B16-B21</f>
        <v>76086.58</v>
      </c>
      <c r="C22" s="105">
        <f>+C16-C21</f>
        <v>4479820.75</v>
      </c>
      <c r="D22" s="106">
        <f t="shared" si="0"/>
        <v>58.877935504526555</v>
      </c>
      <c r="F22" s="171">
        <f>+F16-F21</f>
        <v>76086.58000000002</v>
      </c>
      <c r="G22" s="170">
        <f>+G16-G21</f>
        <v>4479820.750000002</v>
      </c>
      <c r="H22" s="276">
        <f t="shared" si="1"/>
        <v>58.87793550452657</v>
      </c>
      <c r="I22" s="4"/>
      <c r="J22" s="202">
        <v>118769.48000000004</v>
      </c>
      <c r="K22" s="202">
        <v>7066402.230000006</v>
      </c>
      <c r="L22" s="2">
        <v>47.239333023420905</v>
      </c>
    </row>
    <row r="23" spans="2:11" s="3" customFormat="1" ht="14.25" thickBot="1" thickTop="1">
      <c r="B23" s="240"/>
      <c r="C23" s="241"/>
      <c r="D23" s="242"/>
      <c r="F23" s="248"/>
      <c r="G23" s="249"/>
      <c r="H23" s="250"/>
      <c r="I23" s="4"/>
      <c r="J23" s="19"/>
      <c r="K23" s="19"/>
    </row>
    <row r="24" spans="1:11" s="3" customFormat="1" ht="15">
      <c r="A24" s="89"/>
      <c r="B24" s="9"/>
      <c r="C24" s="9"/>
      <c r="D24" s="9"/>
      <c r="E24" s="9"/>
      <c r="F24" s="9"/>
      <c r="G24" s="9"/>
      <c r="H24" s="9"/>
      <c r="I24" s="4"/>
      <c r="J24" s="20"/>
      <c r="K24" s="20"/>
    </row>
    <row r="25" spans="2:11" s="3" customFormat="1" ht="12.75" hidden="1" outlineLevel="1">
      <c r="B25" s="188"/>
      <c r="C25" s="14"/>
      <c r="D25" s="17"/>
      <c r="E25" s="9"/>
      <c r="F25" s="203"/>
      <c r="G25" s="203"/>
      <c r="H25" s="17"/>
      <c r="I25" s="4"/>
      <c r="J25" s="20"/>
      <c r="K25" s="20"/>
    </row>
    <row r="26" spans="2:11" s="3" customFormat="1" ht="12.75" hidden="1" outlineLevel="1">
      <c r="B26" s="14"/>
      <c r="C26" s="14"/>
      <c r="D26" s="17"/>
      <c r="E26" s="9"/>
      <c r="F26" s="17"/>
      <c r="G26" s="17"/>
      <c r="H26" s="17"/>
      <c r="I26" s="4"/>
      <c r="J26" s="20"/>
      <c r="K26" s="20"/>
    </row>
    <row r="27" spans="2:11" s="2" customFormat="1" ht="12.75" hidden="1" outlineLevel="1">
      <c r="B27" s="99"/>
      <c r="C27" s="99"/>
      <c r="D27" s="99"/>
      <c r="E27" s="99"/>
      <c r="F27" s="99"/>
      <c r="G27" s="99"/>
      <c r="H27" s="99"/>
      <c r="I27" s="201"/>
      <c r="J27" s="204"/>
      <c r="K27" s="204"/>
    </row>
    <row r="28" spans="1:11" s="2" customFormat="1" ht="12.75" hidden="1" outlineLevel="1">
      <c r="A28" s="18"/>
      <c r="B28" s="99"/>
      <c r="C28" s="99"/>
      <c r="D28" s="99"/>
      <c r="E28" s="99"/>
      <c r="F28" s="99"/>
      <c r="G28" s="99"/>
      <c r="H28" s="99"/>
      <c r="I28" s="201"/>
      <c r="J28" s="204"/>
      <c r="K28" s="204"/>
    </row>
    <row r="29" spans="2:11" s="3" customFormat="1" ht="12.75" hidden="1" outlineLevel="1">
      <c r="B29" s="14"/>
      <c r="C29" s="14"/>
      <c r="D29" s="17"/>
      <c r="E29" s="9"/>
      <c r="F29" s="9"/>
      <c r="G29" s="9"/>
      <c r="H29" s="17"/>
      <c r="I29" s="4"/>
      <c r="J29" s="20"/>
      <c r="K29" s="20"/>
    </row>
    <row r="30" spans="2:11" s="3" customFormat="1" ht="12.75" hidden="1" outlineLevel="1">
      <c r="B30" s="14"/>
      <c r="C30" s="14"/>
      <c r="D30" s="17"/>
      <c r="E30" s="9"/>
      <c r="F30" s="9"/>
      <c r="G30" s="9"/>
      <c r="H30" s="17"/>
      <c r="I30" s="4"/>
      <c r="J30" s="20"/>
      <c r="K30" s="20"/>
    </row>
    <row r="31" spans="2:11" s="3" customFormat="1" ht="12.75" hidden="1" outlineLevel="1">
      <c r="B31" s="14"/>
      <c r="C31" s="14"/>
      <c r="D31" s="17"/>
      <c r="E31" s="9"/>
      <c r="F31" s="9"/>
      <c r="G31" s="9"/>
      <c r="H31" s="17"/>
      <c r="I31" s="4"/>
      <c r="J31" s="20"/>
      <c r="K31" s="20"/>
    </row>
    <row r="32" spans="1:11" s="3" customFormat="1" ht="12.75" hidden="1" outlineLevel="1">
      <c r="A32" s="2"/>
      <c r="B32" s="9"/>
      <c r="C32" s="9"/>
      <c r="D32" s="17"/>
      <c r="E32" s="9"/>
      <c r="F32" s="9"/>
      <c r="G32" s="9"/>
      <c r="H32" s="17"/>
      <c r="I32" s="4"/>
      <c r="J32" s="204"/>
      <c r="K32" s="204"/>
    </row>
    <row r="33" spans="2:11" s="2" customFormat="1" ht="12.75" hidden="1" outlineLevel="1">
      <c r="B33" s="99"/>
      <c r="C33" s="99"/>
      <c r="D33" s="99"/>
      <c r="E33" s="99"/>
      <c r="F33" s="99"/>
      <c r="G33" s="99"/>
      <c r="H33" s="99"/>
      <c r="I33" s="201"/>
      <c r="J33" s="204"/>
      <c r="K33" s="204"/>
    </row>
    <row r="34" spans="2:11" s="3" customFormat="1" ht="12.75" hidden="1" outlineLevel="1">
      <c r="B34" s="9"/>
      <c r="C34" s="9"/>
      <c r="D34" s="9"/>
      <c r="E34" s="9"/>
      <c r="F34" s="9"/>
      <c r="G34" s="9"/>
      <c r="H34" s="9"/>
      <c r="I34" s="4"/>
      <c r="J34" s="20"/>
      <c r="K34" s="20"/>
    </row>
    <row r="35" spans="1:11" s="3" customFormat="1" ht="15" hidden="1" outlineLevel="1">
      <c r="A35" s="89"/>
      <c r="B35" s="9"/>
      <c r="C35" s="9"/>
      <c r="D35" s="9"/>
      <c r="E35" s="9"/>
      <c r="F35" s="9"/>
      <c r="G35" s="9"/>
      <c r="H35" s="9"/>
      <c r="I35" s="4"/>
      <c r="J35" s="20"/>
      <c r="K35" s="20"/>
    </row>
    <row r="36" spans="2:11" s="3" customFormat="1" ht="12.75" hidden="1" outlineLevel="1">
      <c r="B36" s="14"/>
      <c r="C36" s="188"/>
      <c r="D36" s="17"/>
      <c r="E36" s="9"/>
      <c r="F36" s="203"/>
      <c r="G36" s="203"/>
      <c r="H36" s="17"/>
      <c r="I36" s="4"/>
      <c r="J36" s="20"/>
      <c r="K36" s="20"/>
    </row>
    <row r="37" spans="2:11" s="3" customFormat="1" ht="12.75" hidden="1" outlineLevel="1">
      <c r="B37" s="14"/>
      <c r="C37" s="14"/>
      <c r="D37" s="17"/>
      <c r="E37" s="9"/>
      <c r="F37" s="9"/>
      <c r="G37" s="17"/>
      <c r="H37" s="17"/>
      <c r="I37" s="4"/>
      <c r="J37" s="20"/>
      <c r="K37" s="20"/>
    </row>
    <row r="38" spans="2:11" s="2" customFormat="1" ht="12.75" hidden="1" outlineLevel="1">
      <c r="B38" s="99"/>
      <c r="C38" s="99"/>
      <c r="D38" s="99"/>
      <c r="E38" s="99"/>
      <c r="F38" s="99"/>
      <c r="G38" s="99"/>
      <c r="H38" s="99"/>
      <c r="I38" s="201"/>
      <c r="J38" s="204"/>
      <c r="K38" s="204"/>
    </row>
    <row r="39" spans="2:11" s="18" customFormat="1" ht="12.75" hidden="1" outlineLevel="1">
      <c r="B39" s="17"/>
      <c r="C39" s="17"/>
      <c r="D39" s="17"/>
      <c r="E39" s="17"/>
      <c r="F39" s="17"/>
      <c r="G39" s="17"/>
      <c r="H39" s="17"/>
      <c r="I39" s="199"/>
      <c r="J39" s="20"/>
      <c r="K39" s="20"/>
    </row>
    <row r="40" spans="2:11" s="3" customFormat="1" ht="12.75" hidden="1" outlineLevel="1">
      <c r="B40" s="14"/>
      <c r="C40" s="14"/>
      <c r="D40" s="17"/>
      <c r="E40" s="9"/>
      <c r="F40" s="277"/>
      <c r="G40" s="277"/>
      <c r="H40" s="17"/>
      <c r="I40" s="4"/>
      <c r="J40" s="20"/>
      <c r="K40" s="20"/>
    </row>
    <row r="41" spans="2:11" s="3" customFormat="1" ht="12.75" hidden="1" outlineLevel="1">
      <c r="B41" s="14"/>
      <c r="C41" s="14"/>
      <c r="D41" s="17"/>
      <c r="E41" s="9"/>
      <c r="F41" s="277"/>
      <c r="G41" s="277"/>
      <c r="H41" s="17"/>
      <c r="I41" s="4"/>
      <c r="J41" s="20"/>
      <c r="K41" s="20"/>
    </row>
    <row r="42" spans="2:11" s="2" customFormat="1" ht="12.75" hidden="1" outlineLevel="1">
      <c r="B42" s="99"/>
      <c r="C42" s="99"/>
      <c r="D42" s="99"/>
      <c r="E42" s="99"/>
      <c r="F42" s="99"/>
      <c r="G42" s="99"/>
      <c r="H42" s="99"/>
      <c r="I42" s="201"/>
      <c r="J42" s="204"/>
      <c r="K42" s="204"/>
    </row>
    <row r="43" spans="2:11" s="2" customFormat="1" ht="12.75" hidden="1" outlineLevel="1">
      <c r="B43" s="99"/>
      <c r="C43" s="99"/>
      <c r="D43" s="99"/>
      <c r="E43" s="99"/>
      <c r="F43" s="99"/>
      <c r="G43" s="99"/>
      <c r="H43" s="99"/>
      <c r="I43" s="201"/>
      <c r="J43" s="204"/>
      <c r="K43" s="204"/>
    </row>
    <row r="44" spans="2:11" s="3" customFormat="1" ht="13.5" collapsed="1" thickBot="1">
      <c r="B44" s="11"/>
      <c r="C44" s="11"/>
      <c r="D44" s="11"/>
      <c r="E44" s="9"/>
      <c r="F44" s="11"/>
      <c r="G44" s="11"/>
      <c r="H44" s="11"/>
      <c r="I44" s="4"/>
      <c r="J44" s="20"/>
      <c r="K44" s="20"/>
    </row>
    <row r="45" spans="1:11" s="3" customFormat="1" ht="15">
      <c r="A45" s="89" t="s">
        <v>153</v>
      </c>
      <c r="B45" s="8"/>
      <c r="C45" s="9"/>
      <c r="D45" s="139"/>
      <c r="F45" s="274"/>
      <c r="G45" s="275"/>
      <c r="H45" s="273"/>
      <c r="I45" s="4"/>
      <c r="J45" s="20"/>
      <c r="K45" s="20"/>
    </row>
    <row r="46" spans="1:11" s="3" customFormat="1" ht="12.75">
      <c r="A46" s="3" t="s">
        <v>21</v>
      </c>
      <c r="B46" s="8"/>
      <c r="C46" s="9"/>
      <c r="D46" s="15">
        <f>IF(AND(B46&lt;&gt;0,C46&lt;&gt;0),C46/B46,"")</f>
      </c>
      <c r="F46" s="274"/>
      <c r="G46" s="275"/>
      <c r="H46" s="273">
        <f>IF(AND(F46&lt;&gt;0,G46&lt;&gt;0),G46/F46,"")</f>
      </c>
      <c r="I46" s="4"/>
      <c r="J46" s="20"/>
      <c r="K46" s="20"/>
    </row>
    <row r="47" spans="1:12" s="3" customFormat="1" ht="12.75">
      <c r="A47" s="112" t="s">
        <v>185</v>
      </c>
      <c r="B47" s="53">
        <f>+B18</f>
        <v>76137.23</v>
      </c>
      <c r="C47" s="195">
        <f>+C18</f>
        <v>4482602.32</v>
      </c>
      <c r="D47" s="15">
        <f>IF(AND(B47&lt;&gt;0,C47&lt;&gt;0),C47/B47,"")</f>
        <v>58.875300821950056</v>
      </c>
      <c r="F47" s="274">
        <f>+B47+J47</f>
        <v>271705.2</v>
      </c>
      <c r="G47" s="275">
        <f>+C47+K47</f>
        <v>16224390.969999999</v>
      </c>
      <c r="H47" s="273">
        <f>IF(AND(F47&lt;&gt;0,G47&lt;&gt;0),G47/F47,"")</f>
        <v>59.71321480045284</v>
      </c>
      <c r="I47" s="4"/>
      <c r="J47" s="20">
        <v>195567.97</v>
      </c>
      <c r="K47" s="20">
        <v>11741788.649999999</v>
      </c>
      <c r="L47" s="3">
        <v>47.2999488365436</v>
      </c>
    </row>
    <row r="48" spans="1:12" s="3" customFormat="1" ht="12.75">
      <c r="A48" s="112" t="s">
        <v>14</v>
      </c>
      <c r="B48" s="53">
        <f>+B19</f>
        <v>0</v>
      </c>
      <c r="C48" s="205">
        <f>+C19</f>
        <v>0</v>
      </c>
      <c r="D48" s="15">
        <f>IF(AND(B48&lt;&gt;0,C48&lt;&gt;0),C48/B48,"")</f>
      </c>
      <c r="F48" s="274">
        <f>+B48+J48</f>
        <v>-86.85000000000002</v>
      </c>
      <c r="G48" s="275">
        <f>+C48+K48</f>
        <v>-5185.219999999999</v>
      </c>
      <c r="H48" s="273">
        <f>IF(AND(F48&lt;&gt;0,G48&lt;&gt;0),G48/F48,"")</f>
        <v>59.703166378814025</v>
      </c>
      <c r="I48" s="4"/>
      <c r="J48" s="20">
        <v>-86.85000000000002</v>
      </c>
      <c r="K48" s="20">
        <v>-5185.219999999999</v>
      </c>
      <c r="L48" s="3">
        <v>47.36120052636906</v>
      </c>
    </row>
    <row r="49" spans="1:11" s="3" customFormat="1" ht="12.75">
      <c r="A49" s="112" t="s">
        <v>200</v>
      </c>
      <c r="B49" s="53"/>
      <c r="C49" s="275"/>
      <c r="D49" s="15"/>
      <c r="F49" s="274"/>
      <c r="G49" s="275"/>
      <c r="H49" s="273"/>
      <c r="I49" s="4"/>
      <c r="J49" s="20"/>
      <c r="K49" s="20"/>
    </row>
    <row r="50" spans="1:11" s="3" customFormat="1" ht="12.75">
      <c r="A50" s="112" t="s">
        <v>186</v>
      </c>
      <c r="B50" s="53"/>
      <c r="C50" s="195"/>
      <c r="D50" s="15"/>
      <c r="F50" s="274"/>
      <c r="G50" s="275"/>
      <c r="H50" s="273"/>
      <c r="I50" s="4"/>
      <c r="J50" s="20"/>
      <c r="K50" s="20"/>
    </row>
    <row r="51" spans="1:11" s="3" customFormat="1" ht="12.75">
      <c r="A51" s="112" t="s">
        <v>107</v>
      </c>
      <c r="B51" s="53"/>
      <c r="C51" s="195"/>
      <c r="D51" s="15"/>
      <c r="F51" s="274"/>
      <c r="G51" s="275"/>
      <c r="H51" s="273"/>
      <c r="I51" s="4"/>
      <c r="J51" s="20"/>
      <c r="K51" s="20"/>
    </row>
    <row r="52" spans="1:11" s="3" customFormat="1" ht="12.75">
      <c r="A52" s="112" t="s">
        <v>187</v>
      </c>
      <c r="B52" s="53"/>
      <c r="C52" s="195"/>
      <c r="D52" s="15"/>
      <c r="F52" s="274"/>
      <c r="G52" s="275"/>
      <c r="H52" s="273"/>
      <c r="I52" s="4"/>
      <c r="J52" s="20"/>
      <c r="K52" s="20"/>
    </row>
    <row r="53" spans="1:11" s="3" customFormat="1" ht="12.75">
      <c r="A53" s="112" t="s">
        <v>108</v>
      </c>
      <c r="B53" s="53"/>
      <c r="C53" s="195"/>
      <c r="D53" s="15"/>
      <c r="F53" s="274"/>
      <c r="G53" s="275"/>
      <c r="H53" s="273"/>
      <c r="I53" s="4"/>
      <c r="J53" s="20"/>
      <c r="K53" s="20"/>
    </row>
    <row r="54" spans="1:11" s="3" customFormat="1" ht="12.75">
      <c r="A54" s="3" t="s">
        <v>188</v>
      </c>
      <c r="B54" s="53"/>
      <c r="C54" s="195"/>
      <c r="D54" s="15"/>
      <c r="F54" s="274"/>
      <c r="G54" s="275"/>
      <c r="H54" s="273"/>
      <c r="I54" s="4"/>
      <c r="J54" s="20"/>
      <c r="K54" s="20"/>
    </row>
    <row r="55" spans="1:11" s="3" customFormat="1" ht="12.75">
      <c r="A55" s="112"/>
      <c r="B55" s="53"/>
      <c r="C55" s="195"/>
      <c r="D55" s="15"/>
      <c r="F55" s="274"/>
      <c r="G55" s="275"/>
      <c r="H55" s="273"/>
      <c r="I55" s="4"/>
      <c r="J55" s="20"/>
      <c r="K55" s="20"/>
    </row>
    <row r="56" spans="1:12" s="2" customFormat="1" ht="13.5" thickBot="1">
      <c r="A56" s="243" t="s">
        <v>22</v>
      </c>
      <c r="B56" s="171">
        <f>SUM(B47:B55)</f>
        <v>76137.23</v>
      </c>
      <c r="C56" s="170">
        <f>SUM(C47:C55)</f>
        <v>4482602.32</v>
      </c>
      <c r="D56" s="106">
        <f>IF(AND(B56&lt;&gt;0,C56&lt;&gt;0),C56/B56,"")</f>
        <v>58.875300821950056</v>
      </c>
      <c r="F56" s="171">
        <f>SUM(F47:F55)</f>
        <v>271618.35000000003</v>
      </c>
      <c r="G56" s="170">
        <f>SUM(G47:G55)</f>
        <v>16219205.749999998</v>
      </c>
      <c r="H56" s="276">
        <f>IF(AND(F56&lt;&gt;0,G56&lt;&gt;0),G56/F56,"")</f>
        <v>59.71321801343685</v>
      </c>
      <c r="I56" s="201"/>
      <c r="J56" s="204">
        <v>195481.12</v>
      </c>
      <c r="K56" s="204">
        <v>11736603.429999998</v>
      </c>
      <c r="L56" s="2">
        <v>84.02955394044874</v>
      </c>
    </row>
    <row r="57" spans="2:11" s="3" customFormat="1" ht="14.25" thickBot="1" thickTop="1">
      <c r="B57" s="10"/>
      <c r="C57" s="11"/>
      <c r="D57" s="12"/>
      <c r="F57" s="251"/>
      <c r="G57" s="252"/>
      <c r="H57" s="253"/>
      <c r="I57" s="4"/>
      <c r="J57" s="20"/>
      <c r="K57" s="20"/>
    </row>
    <row r="58" spans="6:9" s="3" customFormat="1" ht="12.75">
      <c r="F58" s="18"/>
      <c r="G58" s="18"/>
      <c r="H58" s="18"/>
      <c r="I58" s="4"/>
    </row>
    <row r="59" spans="1:9" s="3" customFormat="1" ht="15">
      <c r="A59" s="89"/>
      <c r="F59" s="18"/>
      <c r="G59" s="18"/>
      <c r="H59" s="18"/>
      <c r="I59" s="4"/>
    </row>
    <row r="60" spans="2:9" s="3" customFormat="1" ht="12.75">
      <c r="B60" s="22"/>
      <c r="I60" s="4"/>
    </row>
    <row r="61" spans="2:9" s="3" customFormat="1" ht="12.75">
      <c r="B61" s="22"/>
      <c r="I61" s="4"/>
    </row>
    <row r="62" spans="2:9" s="3" customFormat="1" ht="12.75">
      <c r="B62" s="23"/>
      <c r="I62" s="4"/>
    </row>
    <row r="64" ht="12.75">
      <c r="A64" s="3"/>
    </row>
  </sheetData>
  <sheetProtection/>
  <mergeCells count="7">
    <mergeCell ref="J7:K7"/>
    <mergeCell ref="A2:H2"/>
    <mergeCell ref="A3:H3"/>
    <mergeCell ref="A4:H4"/>
    <mergeCell ref="A5:H5"/>
    <mergeCell ref="B7:D7"/>
    <mergeCell ref="F7:H7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74" r:id="rId3"/>
  <headerFooter alignWithMargins="0">
    <oddFooter>&amp;C&amp;Z&amp;F &amp;A&amp;R
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L64"/>
  <sheetViews>
    <sheetView zoomScalePageLayoutView="0" workbookViewId="0" topLeftCell="A1">
      <selection activeCell="J11" sqref="J11:K56"/>
    </sheetView>
  </sheetViews>
  <sheetFormatPr defaultColWidth="17.7109375" defaultRowHeight="12.75" outlineLevelRow="1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s="200" customFormat="1" ht="15">
      <c r="H1" s="89" t="s">
        <v>111</v>
      </c>
    </row>
    <row r="2" spans="1:9" s="92" customFormat="1" ht="15">
      <c r="A2" s="340" t="s">
        <v>204</v>
      </c>
      <c r="B2" s="340"/>
      <c r="C2" s="340"/>
      <c r="D2" s="340"/>
      <c r="E2" s="340"/>
      <c r="F2" s="340"/>
      <c r="G2" s="340"/>
      <c r="H2" s="340"/>
      <c r="I2" s="91"/>
    </row>
    <row r="3" spans="1:9" s="92" customFormat="1" ht="15">
      <c r="A3" s="340" t="s">
        <v>0</v>
      </c>
      <c r="B3" s="340"/>
      <c r="C3" s="340"/>
      <c r="D3" s="340"/>
      <c r="E3" s="340"/>
      <c r="F3" s="340"/>
      <c r="G3" s="340"/>
      <c r="H3" s="340"/>
      <c r="I3" s="91"/>
    </row>
    <row r="4" spans="1:9" s="92" customFormat="1" ht="15">
      <c r="A4" s="340" t="s">
        <v>219</v>
      </c>
      <c r="B4" s="340"/>
      <c r="C4" s="340"/>
      <c r="D4" s="340"/>
      <c r="E4" s="340"/>
      <c r="F4" s="340"/>
      <c r="G4" s="340"/>
      <c r="H4" s="340"/>
      <c r="I4" s="91"/>
    </row>
    <row r="5" spans="1:9" s="92" customFormat="1" ht="15">
      <c r="A5" s="342" t="str">
        <f>+INPUT!A3</f>
        <v>APRIL 2014</v>
      </c>
      <c r="B5" s="342"/>
      <c r="C5" s="342"/>
      <c r="D5" s="342"/>
      <c r="E5" s="342"/>
      <c r="F5" s="342"/>
      <c r="G5" s="342"/>
      <c r="H5" s="342"/>
      <c r="I5" s="91"/>
    </row>
    <row r="6" s="92" customFormat="1" ht="14.25">
      <c r="I6" s="91"/>
    </row>
    <row r="7" spans="2:11" s="92" customFormat="1" ht="15">
      <c r="B7" s="340" t="s">
        <v>2</v>
      </c>
      <c r="C7" s="340"/>
      <c r="D7" s="340"/>
      <c r="E7" s="90"/>
      <c r="F7" s="340" t="s">
        <v>3</v>
      </c>
      <c r="G7" s="340"/>
      <c r="H7" s="340"/>
      <c r="I7" s="91"/>
      <c r="J7" s="340" t="s">
        <v>4</v>
      </c>
      <c r="K7" s="340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152</v>
      </c>
      <c r="B10" s="5"/>
      <c r="C10" s="6"/>
      <c r="D10" s="7"/>
      <c r="F10" s="270"/>
      <c r="G10" s="271"/>
      <c r="H10" s="272"/>
      <c r="I10" s="4"/>
      <c r="J10" s="19"/>
      <c r="K10" s="19"/>
    </row>
    <row r="11" spans="1:12" s="3" customFormat="1" ht="12.75">
      <c r="A11" s="3" t="s">
        <v>9</v>
      </c>
      <c r="B11" s="286">
        <f>'[1]MITCHELL_KP_OP_LOW SULFUR'!$B$7</f>
        <v>54058.84</v>
      </c>
      <c r="C11" s="188">
        <f>'[1]MITCHELL_KP_OP_LOW SULFUR'!$C$7</f>
        <v>4233396.43</v>
      </c>
      <c r="D11" s="15">
        <f>IF(AND(B11&lt;&gt;0,C11&lt;&gt;0),C11/B11,"")</f>
        <v>78.31090030788674</v>
      </c>
      <c r="E11" s="18"/>
      <c r="F11" s="304">
        <v>229672.45</v>
      </c>
      <c r="G11" s="305">
        <v>18173790.59</v>
      </c>
      <c r="H11" s="273">
        <f>IF(AND(F11&lt;&gt;0,G11&lt;&gt;0),G11/F11,"")</f>
        <v>79.12917108691094</v>
      </c>
      <c r="I11" s="4"/>
      <c r="J11" s="19">
        <v>229672.45</v>
      </c>
      <c r="K11" s="19">
        <v>18173790.59</v>
      </c>
      <c r="L11" s="3">
        <v>82.21530175195363</v>
      </c>
    </row>
    <row r="12" spans="1:12" s="3" customFormat="1" ht="12.75">
      <c r="A12" s="3" t="s">
        <v>8</v>
      </c>
      <c r="B12" s="8"/>
      <c r="C12" s="9"/>
      <c r="D12" s="15">
        <f>IF(AND(B12&lt;&gt;0,C12&lt;&gt;0),C12/B12,"")</f>
      </c>
      <c r="F12" s="274"/>
      <c r="G12" s="275"/>
      <c r="H12" s="273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10</v>
      </c>
      <c r="B13" s="285">
        <f>'[1]MITCHELL_KP_OP_LOW SULFUR'!$B$9</f>
        <v>137812.67</v>
      </c>
      <c r="C13" s="14">
        <f>'[1]MITCHELL_KP_OP_LOW SULFUR'!$C$9</f>
        <v>8015366.130000002</v>
      </c>
      <c r="D13" s="15">
        <f>IF(AND(B13&lt;&gt;0,C13&lt;&gt;0),C13/B13,"")</f>
        <v>58.16131513887657</v>
      </c>
      <c r="F13" s="186">
        <f>+B13+J13</f>
        <v>206786.87000000002</v>
      </c>
      <c r="G13" s="275">
        <f>+C13+K13</f>
        <v>13250801.060000002</v>
      </c>
      <c r="H13" s="273">
        <f>IF(AND(F13&lt;&gt;0,G13&lt;&gt;0),G13/F13,"")</f>
        <v>64.07950881987817</v>
      </c>
      <c r="I13" s="4"/>
      <c r="J13" s="19">
        <v>68974.20000000001</v>
      </c>
      <c r="K13" s="19">
        <v>5235434.930000001</v>
      </c>
      <c r="L13" s="3">
        <v>76.33352086324872</v>
      </c>
    </row>
    <row r="14" spans="1:12" s="3" customFormat="1" ht="12.75">
      <c r="A14" s="3" t="s">
        <v>11</v>
      </c>
      <c r="B14" s="53"/>
      <c r="C14" s="14">
        <f>'[1]MITCHELL_KP_OP_LOW SULFUR'!$C$10</f>
        <v>866707.7399999998</v>
      </c>
      <c r="D14" s="15">
        <f>IF(AND(B13&lt;&gt;0,C14&lt;&gt;0),C14/B13,"")</f>
        <v>6.289027997208092</v>
      </c>
      <c r="F14" s="274"/>
      <c r="G14" s="275">
        <f>+C14+K14</f>
        <v>1053272.2899999996</v>
      </c>
      <c r="H14" s="273">
        <f>IF(AND(F13&lt;&gt;0,G14&lt;&gt;0),G14/F13,"")</f>
        <v>5.0935162856326395</v>
      </c>
      <c r="I14" s="4"/>
      <c r="J14" s="19"/>
      <c r="K14" s="19">
        <v>186564.54999999993</v>
      </c>
      <c r="L14" s="3">
        <v>9.946764140594498</v>
      </c>
    </row>
    <row r="15" spans="1:12" s="2" customFormat="1" ht="12.75">
      <c r="A15" s="2" t="s">
        <v>12</v>
      </c>
      <c r="B15" s="101">
        <f>SUM(B13:B14)</f>
        <v>137812.67</v>
      </c>
      <c r="C15" s="102">
        <f>SUM(C13:C14)</f>
        <v>8882073.870000001</v>
      </c>
      <c r="D15" s="103">
        <f aca="true" t="shared" si="0" ref="D15:D22">IF(AND(B15&lt;&gt;0,C15&lt;&gt;0),C15/B15,"")</f>
        <v>64.45034313608465</v>
      </c>
      <c r="F15" s="244">
        <f>SUM(F13:F14)</f>
        <v>206786.87000000002</v>
      </c>
      <c r="G15" s="245">
        <f>SUM(G13:G14)</f>
        <v>14304073.350000001</v>
      </c>
      <c r="H15" s="278">
        <f aca="true" t="shared" si="1" ref="H15:H22">IF(AND(F15&lt;&gt;0,G15&lt;&gt;0),G15/F15,"")</f>
        <v>69.1730251055108</v>
      </c>
      <c r="I15" s="4"/>
      <c r="J15" s="202">
        <v>68974.20000000001</v>
      </c>
      <c r="K15" s="202">
        <v>5421999.48</v>
      </c>
      <c r="L15" s="2">
        <v>86.28028500384322</v>
      </c>
    </row>
    <row r="16" spans="1:12" s="2" customFormat="1" ht="12.75">
      <c r="A16" s="2" t="s">
        <v>18</v>
      </c>
      <c r="B16" s="98">
        <f>+B11+B15</f>
        <v>191871.51</v>
      </c>
      <c r="C16" s="99">
        <f>+C11+C15</f>
        <v>13115470.3</v>
      </c>
      <c r="D16" s="100">
        <f t="shared" si="0"/>
        <v>68.35548591867547</v>
      </c>
      <c r="F16" s="246">
        <f>+F11+F15</f>
        <v>436459.32000000007</v>
      </c>
      <c r="G16" s="247">
        <f>+G11+G15</f>
        <v>32477863.94</v>
      </c>
      <c r="H16" s="279">
        <f t="shared" si="1"/>
        <v>74.41212147789626</v>
      </c>
      <c r="I16" s="4"/>
      <c r="J16" s="202">
        <v>298646.65</v>
      </c>
      <c r="K16" s="202">
        <v>23595790.07</v>
      </c>
      <c r="L16" s="2">
        <v>84.72210503048149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186"/>
      <c r="G17" s="195"/>
      <c r="H17" s="88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13">
        <f>'[1]MITCHELL_KP_OP_LOW SULFUR'!$B$15+'[1]MITCHELL_KP_OP_LOW SULFUR'!$B$16</f>
        <v>70638.6</v>
      </c>
      <c r="C18" s="14">
        <f>'[1]MITCHELL_KP_OP_LOW SULFUR'!$C$15+'[1]MITCHELL_KP_OP_LOW SULFUR'!$C$16</f>
        <v>4827407.340000002</v>
      </c>
      <c r="D18" s="15">
        <f t="shared" si="0"/>
        <v>68.33951040932297</v>
      </c>
      <c r="F18" s="186">
        <f aca="true" t="shared" si="2" ref="F18:G20">+B18+J18</f>
        <v>309466.25</v>
      </c>
      <c r="G18" s="195">
        <f t="shared" si="2"/>
        <v>23727027.230000004</v>
      </c>
      <c r="H18" s="88">
        <f t="shared" si="1"/>
        <v>76.67080733359455</v>
      </c>
      <c r="I18" s="4"/>
      <c r="J18" s="19">
        <v>238827.65000000002</v>
      </c>
      <c r="K18" s="19">
        <v>18899619.89</v>
      </c>
      <c r="L18" s="3">
        <v>84.04583669517946</v>
      </c>
    </row>
    <row r="19" spans="1:12" s="3" customFormat="1" ht="12.75">
      <c r="A19" s="3" t="s">
        <v>14</v>
      </c>
      <c r="B19" s="13">
        <f>'[1]MITCHELL_KP_OP_LOW SULFUR'!$B$18+'[1]MITCHELL_KP_OP_LOW SULFUR'!$B$19</f>
        <v>0</v>
      </c>
      <c r="C19" s="14">
        <f>'[1]MITCHELL_KP_OP_LOW SULFUR'!$C$18+'[1]MITCHELL_KP_OP_LOW SULFUR'!$C$19</f>
        <v>0</v>
      </c>
      <c r="D19" s="15">
        <f t="shared" si="0"/>
      </c>
      <c r="F19" s="186">
        <f t="shared" si="2"/>
        <v>5760.160000000002</v>
      </c>
      <c r="G19" s="195">
        <f t="shared" si="2"/>
        <v>462773.7499999999</v>
      </c>
      <c r="H19" s="88">
        <f t="shared" si="1"/>
        <v>80.34043325185407</v>
      </c>
      <c r="I19" s="4"/>
      <c r="J19" s="19">
        <v>5760.160000000002</v>
      </c>
      <c r="K19" s="19">
        <v>462773.7499999999</v>
      </c>
      <c r="L19" s="3">
        <v>83.14841038791673</v>
      </c>
    </row>
    <row r="20" spans="1:12" s="3" customFormat="1" ht="12.75">
      <c r="A20" s="3" t="s">
        <v>15</v>
      </c>
      <c r="B20" s="13">
        <f>'[1]MITCHELL_KP_OP_LOW SULFUR'!$B$20+'[1]MITCHELL_KP_OP_LOW SULFUR'!$B$17</f>
        <v>0</v>
      </c>
      <c r="C20" s="14">
        <f>'[1]MITCHELL_KP_OP_LOW SULFUR'!$C$20+'[1]MITCHELL_KP_OP_LOW SULFUR'!$C$17</f>
        <v>0</v>
      </c>
      <c r="D20" s="15">
        <f t="shared" si="0"/>
      </c>
      <c r="F20" s="186">
        <f t="shared" si="2"/>
        <v>0</v>
      </c>
      <c r="G20" s="195">
        <f t="shared" si="2"/>
        <v>0</v>
      </c>
      <c r="H20" s="88">
        <f t="shared" si="1"/>
      </c>
      <c r="I20" s="4"/>
      <c r="J20" s="19">
        <v>0</v>
      </c>
      <c r="K20" s="19">
        <v>0</v>
      </c>
      <c r="L20" s="3" t="s">
        <v>137</v>
      </c>
    </row>
    <row r="21" spans="1:12" s="2" customFormat="1" ht="12.75">
      <c r="A21" s="2" t="s">
        <v>16</v>
      </c>
      <c r="B21" s="101">
        <f>SUM(B18:B20)</f>
        <v>70638.6</v>
      </c>
      <c r="C21" s="102">
        <f>SUM(C18:C20)</f>
        <v>4827407.340000002</v>
      </c>
      <c r="D21" s="103">
        <f t="shared" si="0"/>
        <v>68.33951040932297</v>
      </c>
      <c r="F21" s="244">
        <f>SUM(F18:F20)</f>
        <v>315226.41</v>
      </c>
      <c r="G21" s="245">
        <f>SUM(G18:G20)</f>
        <v>24189800.980000004</v>
      </c>
      <c r="H21" s="278">
        <f t="shared" si="1"/>
        <v>76.73786273174258</v>
      </c>
      <c r="I21" s="4"/>
      <c r="J21" s="202">
        <v>244587.81000000003</v>
      </c>
      <c r="K21" s="202">
        <v>19362393.64</v>
      </c>
      <c r="L21" s="2">
        <v>84.02955394044872</v>
      </c>
    </row>
    <row r="22" spans="1:12" s="2" customFormat="1" ht="13.5" thickBot="1">
      <c r="A22" s="2" t="s">
        <v>17</v>
      </c>
      <c r="B22" s="104">
        <f>+B16-B21</f>
        <v>121232.91</v>
      </c>
      <c r="C22" s="105">
        <f>+C16-C21</f>
        <v>8288062.959999999</v>
      </c>
      <c r="D22" s="106">
        <f t="shared" si="0"/>
        <v>68.36479434503386</v>
      </c>
      <c r="F22" s="171">
        <f>+F16-F21</f>
        <v>121232.91000000009</v>
      </c>
      <c r="G22" s="170">
        <f>+G16-G21</f>
        <v>8288062.959999997</v>
      </c>
      <c r="H22" s="276">
        <f t="shared" si="1"/>
        <v>68.3647943450338</v>
      </c>
      <c r="I22" s="4"/>
      <c r="J22" s="202">
        <v>54058.84</v>
      </c>
      <c r="K22" s="202">
        <v>4233396.43</v>
      </c>
      <c r="L22" s="2">
        <v>85.73411173247966</v>
      </c>
    </row>
    <row r="23" spans="2:11" s="3" customFormat="1" ht="14.25" thickBot="1" thickTop="1">
      <c r="B23" s="240"/>
      <c r="C23" s="241"/>
      <c r="D23" s="242"/>
      <c r="F23" s="248"/>
      <c r="G23" s="249"/>
      <c r="H23" s="250"/>
      <c r="I23" s="4"/>
      <c r="J23" s="19"/>
      <c r="K23" s="19"/>
    </row>
    <row r="24" spans="1:11" s="3" customFormat="1" ht="15">
      <c r="A24" s="89"/>
      <c r="B24" s="9"/>
      <c r="C24" s="9"/>
      <c r="D24" s="9"/>
      <c r="E24" s="9"/>
      <c r="F24" s="9"/>
      <c r="G24" s="9"/>
      <c r="H24" s="9"/>
      <c r="I24" s="4"/>
      <c r="J24" s="20"/>
      <c r="K24" s="20"/>
    </row>
    <row r="25" spans="2:11" s="3" customFormat="1" ht="12.75" hidden="1" outlineLevel="1">
      <c r="B25" s="188"/>
      <c r="C25" s="14"/>
      <c r="D25" s="17"/>
      <c r="E25" s="9"/>
      <c r="F25" s="203"/>
      <c r="G25" s="203"/>
      <c r="H25" s="17"/>
      <c r="I25" s="4"/>
      <c r="J25" s="20"/>
      <c r="K25" s="20"/>
    </row>
    <row r="26" spans="2:11" s="3" customFormat="1" ht="12.75" hidden="1" outlineLevel="1">
      <c r="B26" s="14"/>
      <c r="C26" s="14"/>
      <c r="D26" s="17"/>
      <c r="E26" s="9"/>
      <c r="F26" s="17"/>
      <c r="G26" s="17"/>
      <c r="H26" s="17"/>
      <c r="I26" s="4"/>
      <c r="J26" s="20"/>
      <c r="K26" s="20"/>
    </row>
    <row r="27" spans="2:11" s="2" customFormat="1" ht="12.75" hidden="1" outlineLevel="1">
      <c r="B27" s="99"/>
      <c r="C27" s="99"/>
      <c r="D27" s="99"/>
      <c r="E27" s="99"/>
      <c r="F27" s="99"/>
      <c r="G27" s="99"/>
      <c r="H27" s="99"/>
      <c r="I27" s="4"/>
      <c r="J27" s="204"/>
      <c r="K27" s="204"/>
    </row>
    <row r="28" spans="1:11" s="2" customFormat="1" ht="12.75" hidden="1" outlineLevel="1">
      <c r="A28" s="18"/>
      <c r="B28" s="99"/>
      <c r="C28" s="99"/>
      <c r="D28" s="99"/>
      <c r="E28" s="99"/>
      <c r="F28" s="99"/>
      <c r="G28" s="99"/>
      <c r="H28" s="99"/>
      <c r="I28" s="201"/>
      <c r="J28" s="204"/>
      <c r="K28" s="204"/>
    </row>
    <row r="29" spans="2:11" s="3" customFormat="1" ht="12.75" hidden="1" outlineLevel="1">
      <c r="B29" s="14"/>
      <c r="C29" s="14"/>
      <c r="D29" s="17"/>
      <c r="E29" s="9"/>
      <c r="F29" s="9"/>
      <c r="G29" s="9"/>
      <c r="H29" s="17"/>
      <c r="I29" s="4"/>
      <c r="J29" s="20"/>
      <c r="K29" s="20"/>
    </row>
    <row r="30" spans="2:11" s="3" customFormat="1" ht="12.75" hidden="1" outlineLevel="1">
      <c r="B30" s="14"/>
      <c r="C30" s="14"/>
      <c r="D30" s="17"/>
      <c r="E30" s="9"/>
      <c r="F30" s="9"/>
      <c r="G30" s="9"/>
      <c r="H30" s="17"/>
      <c r="I30" s="4"/>
      <c r="J30" s="20"/>
      <c r="K30" s="20"/>
    </row>
    <row r="31" spans="2:11" s="3" customFormat="1" ht="12.75" hidden="1" outlineLevel="1">
      <c r="B31" s="14"/>
      <c r="C31" s="14"/>
      <c r="D31" s="17"/>
      <c r="E31" s="9"/>
      <c r="F31" s="9"/>
      <c r="G31" s="9"/>
      <c r="H31" s="17"/>
      <c r="I31" s="4"/>
      <c r="J31" s="20"/>
      <c r="K31" s="20"/>
    </row>
    <row r="32" spans="1:11" s="3" customFormat="1" ht="12.75" hidden="1" outlineLevel="1">
      <c r="A32" s="2"/>
      <c r="B32" s="9"/>
      <c r="C32" s="9"/>
      <c r="D32" s="17"/>
      <c r="E32" s="9"/>
      <c r="F32" s="9"/>
      <c r="G32" s="9"/>
      <c r="H32" s="17"/>
      <c r="I32" s="4"/>
      <c r="J32" s="204"/>
      <c r="K32" s="204"/>
    </row>
    <row r="33" spans="2:11" s="2" customFormat="1" ht="12.75" hidden="1" outlineLevel="1">
      <c r="B33" s="99"/>
      <c r="C33" s="99"/>
      <c r="D33" s="99"/>
      <c r="E33" s="99"/>
      <c r="F33" s="99"/>
      <c r="G33" s="99"/>
      <c r="H33" s="99"/>
      <c r="I33" s="201"/>
      <c r="J33" s="204"/>
      <c r="K33" s="204"/>
    </row>
    <row r="34" spans="2:11" s="3" customFormat="1" ht="12.75" hidden="1" outlineLevel="1">
      <c r="B34" s="9"/>
      <c r="C34" s="9"/>
      <c r="D34" s="9"/>
      <c r="E34" s="9"/>
      <c r="F34" s="9"/>
      <c r="G34" s="9"/>
      <c r="H34" s="9"/>
      <c r="I34" s="4"/>
      <c r="J34" s="20"/>
      <c r="K34" s="20"/>
    </row>
    <row r="35" spans="1:11" s="3" customFormat="1" ht="15" hidden="1" outlineLevel="1">
      <c r="A35" s="89"/>
      <c r="B35" s="9"/>
      <c r="C35" s="9"/>
      <c r="D35" s="9"/>
      <c r="E35" s="9"/>
      <c r="F35" s="9"/>
      <c r="G35" s="9"/>
      <c r="H35" s="9"/>
      <c r="I35" s="4"/>
      <c r="J35" s="20"/>
      <c r="K35" s="20"/>
    </row>
    <row r="36" spans="2:11" s="3" customFormat="1" ht="12.75" hidden="1" outlineLevel="1">
      <c r="B36" s="14"/>
      <c r="C36" s="188"/>
      <c r="D36" s="17"/>
      <c r="E36" s="9"/>
      <c r="F36" s="203"/>
      <c r="G36" s="203"/>
      <c r="H36" s="17"/>
      <c r="I36" s="4"/>
      <c r="J36" s="20"/>
      <c r="K36" s="20"/>
    </row>
    <row r="37" spans="2:11" s="3" customFormat="1" ht="12.75" hidden="1" outlineLevel="1">
      <c r="B37" s="14"/>
      <c r="C37" s="14"/>
      <c r="D37" s="17"/>
      <c r="E37" s="9"/>
      <c r="F37" s="9"/>
      <c r="G37" s="17"/>
      <c r="H37" s="17"/>
      <c r="I37" s="4"/>
      <c r="J37" s="20"/>
      <c r="K37" s="20"/>
    </row>
    <row r="38" spans="2:11" s="2" customFormat="1" ht="12.75" hidden="1" outlineLevel="1">
      <c r="B38" s="99"/>
      <c r="C38" s="99"/>
      <c r="D38" s="99"/>
      <c r="E38" s="99"/>
      <c r="F38" s="99"/>
      <c r="G38" s="99"/>
      <c r="H38" s="99"/>
      <c r="I38" s="201"/>
      <c r="J38" s="204"/>
      <c r="K38" s="204"/>
    </row>
    <row r="39" spans="2:11" s="18" customFormat="1" ht="12.75" hidden="1" outlineLevel="1">
      <c r="B39" s="17"/>
      <c r="C39" s="17"/>
      <c r="D39" s="17"/>
      <c r="E39" s="17"/>
      <c r="F39" s="17"/>
      <c r="G39" s="17"/>
      <c r="H39" s="17"/>
      <c r="I39" s="199"/>
      <c r="J39" s="20"/>
      <c r="K39" s="20"/>
    </row>
    <row r="40" spans="2:11" s="3" customFormat="1" ht="12.75" hidden="1" outlineLevel="1">
      <c r="B40" s="14"/>
      <c r="C40" s="14"/>
      <c r="D40" s="17"/>
      <c r="E40" s="9"/>
      <c r="F40" s="277"/>
      <c r="G40" s="277"/>
      <c r="H40" s="17"/>
      <c r="I40" s="4"/>
      <c r="J40" s="20"/>
      <c r="K40" s="20"/>
    </row>
    <row r="41" spans="2:11" s="3" customFormat="1" ht="12.75" hidden="1" outlineLevel="1">
      <c r="B41" s="14"/>
      <c r="C41" s="14"/>
      <c r="D41" s="17"/>
      <c r="E41" s="9"/>
      <c r="F41" s="277"/>
      <c r="G41" s="277"/>
      <c r="H41" s="17"/>
      <c r="I41" s="4"/>
      <c r="J41" s="20"/>
      <c r="K41" s="20"/>
    </row>
    <row r="42" spans="2:11" s="2" customFormat="1" ht="12.75" hidden="1" outlineLevel="1">
      <c r="B42" s="99"/>
      <c r="C42" s="99"/>
      <c r="D42" s="99"/>
      <c r="E42" s="99"/>
      <c r="F42" s="99"/>
      <c r="G42" s="99"/>
      <c r="H42" s="99"/>
      <c r="I42" s="201"/>
      <c r="J42" s="204"/>
      <c r="K42" s="204"/>
    </row>
    <row r="43" spans="2:11" s="2" customFormat="1" ht="12.75" hidden="1" outlineLevel="1">
      <c r="B43" s="99"/>
      <c r="C43" s="99"/>
      <c r="D43" s="99"/>
      <c r="E43" s="99"/>
      <c r="F43" s="99"/>
      <c r="G43" s="99"/>
      <c r="H43" s="99"/>
      <c r="I43" s="201"/>
      <c r="J43" s="204"/>
      <c r="K43" s="204"/>
    </row>
    <row r="44" spans="2:11" s="3" customFormat="1" ht="13.5" collapsed="1" thickBot="1">
      <c r="B44" s="11"/>
      <c r="C44" s="11"/>
      <c r="D44" s="11"/>
      <c r="E44" s="9"/>
      <c r="F44" s="11"/>
      <c r="G44" s="11"/>
      <c r="H44" s="11"/>
      <c r="I44" s="4"/>
      <c r="J44" s="20"/>
      <c r="K44" s="20"/>
    </row>
    <row r="45" spans="1:11" s="3" customFormat="1" ht="15">
      <c r="A45" s="89" t="s">
        <v>153</v>
      </c>
      <c r="B45" s="8"/>
      <c r="C45" s="9"/>
      <c r="D45" s="139"/>
      <c r="F45" s="274"/>
      <c r="G45" s="275"/>
      <c r="H45" s="273"/>
      <c r="I45" s="4"/>
      <c r="J45" s="20"/>
      <c r="K45" s="20"/>
    </row>
    <row r="46" spans="1:11" s="3" customFormat="1" ht="12.75">
      <c r="A46" s="3" t="s">
        <v>21</v>
      </c>
      <c r="B46" s="8"/>
      <c r="C46" s="9"/>
      <c r="D46" s="15">
        <f>IF(AND(B46&lt;&gt;0,C46&lt;&gt;0),C46/B46,"")</f>
      </c>
      <c r="F46" s="274"/>
      <c r="G46" s="275"/>
      <c r="H46" s="273">
        <f>IF(AND(F46&lt;&gt;0,G46&lt;&gt;0),G46/F46,"")</f>
      </c>
      <c r="I46" s="4"/>
      <c r="J46" s="20"/>
      <c r="K46" s="20"/>
    </row>
    <row r="47" spans="1:12" s="3" customFormat="1" ht="12.75">
      <c r="A47" s="112" t="s">
        <v>185</v>
      </c>
      <c r="B47" s="53">
        <f>+B18</f>
        <v>70638.6</v>
      </c>
      <c r="C47" s="195">
        <f>+C18</f>
        <v>4827407.340000002</v>
      </c>
      <c r="D47" s="15">
        <f>IF(AND(B47&lt;&gt;0,C47&lt;&gt;0),C47/B47,"")</f>
        <v>68.33951040932297</v>
      </c>
      <c r="F47" s="274">
        <f>+B47+J47</f>
        <v>309466.25</v>
      </c>
      <c r="G47" s="275">
        <f>+C47+K47</f>
        <v>23727027.230000004</v>
      </c>
      <c r="H47" s="273">
        <f>IF(AND(F47&lt;&gt;0,G47&lt;&gt;0),G47/F47,"")</f>
        <v>76.67080733359455</v>
      </c>
      <c r="I47" s="4"/>
      <c r="J47" s="20">
        <v>238827.65000000002</v>
      </c>
      <c r="K47" s="20">
        <v>18899619.89</v>
      </c>
      <c r="L47" s="3">
        <v>84.04583669517947</v>
      </c>
    </row>
    <row r="48" spans="1:12" s="3" customFormat="1" ht="12.75">
      <c r="A48" s="112" t="s">
        <v>14</v>
      </c>
      <c r="B48" s="53">
        <f>+B19</f>
        <v>0</v>
      </c>
      <c r="C48" s="205">
        <f>+C19</f>
        <v>0</v>
      </c>
      <c r="D48" s="15">
        <f>IF(AND(B48&lt;&gt;0,C48&lt;&gt;0),C48/B48,"")</f>
      </c>
      <c r="F48" s="274">
        <f>+B48+J48</f>
        <v>5760.160000000002</v>
      </c>
      <c r="G48" s="275">
        <f>+C48+K48</f>
        <v>462773.7499999999</v>
      </c>
      <c r="H48" s="273">
        <f>IF(AND(F48&lt;&gt;0,G48&lt;&gt;0),G48/F48,"")</f>
        <v>80.34043325185407</v>
      </c>
      <c r="I48" s="4"/>
      <c r="J48" s="20">
        <v>5760.160000000002</v>
      </c>
      <c r="K48" s="20">
        <v>462773.7499999999</v>
      </c>
      <c r="L48" s="3">
        <v>83.14841038791673</v>
      </c>
    </row>
    <row r="49" spans="1:11" s="3" customFormat="1" ht="12.75">
      <c r="A49" s="112" t="s">
        <v>200</v>
      </c>
      <c r="B49" s="53"/>
      <c r="C49" s="275"/>
      <c r="D49" s="15"/>
      <c r="F49" s="274"/>
      <c r="G49" s="275"/>
      <c r="H49" s="273"/>
      <c r="I49" s="4"/>
      <c r="J49" s="20"/>
      <c r="K49" s="20"/>
    </row>
    <row r="50" spans="1:11" s="3" customFormat="1" ht="12.75">
      <c r="A50" s="112" t="s">
        <v>186</v>
      </c>
      <c r="B50" s="53"/>
      <c r="C50" s="195"/>
      <c r="D50" s="15"/>
      <c r="F50" s="274"/>
      <c r="G50" s="275"/>
      <c r="H50" s="273"/>
      <c r="I50" s="4"/>
      <c r="J50" s="20"/>
      <c r="K50" s="20"/>
    </row>
    <row r="51" spans="1:11" s="3" customFormat="1" ht="12.75">
      <c r="A51" s="112" t="s">
        <v>107</v>
      </c>
      <c r="B51" s="53"/>
      <c r="C51" s="195"/>
      <c r="D51" s="15"/>
      <c r="F51" s="274"/>
      <c r="G51" s="275"/>
      <c r="H51" s="273"/>
      <c r="I51" s="4"/>
      <c r="J51" s="20"/>
      <c r="K51" s="20"/>
    </row>
    <row r="52" spans="1:11" s="3" customFormat="1" ht="12.75">
      <c r="A52" s="112" t="s">
        <v>187</v>
      </c>
      <c r="B52" s="53"/>
      <c r="C52" s="195"/>
      <c r="D52" s="15"/>
      <c r="F52" s="274"/>
      <c r="G52" s="275"/>
      <c r="H52" s="273"/>
      <c r="I52" s="4"/>
      <c r="J52" s="20"/>
      <c r="K52" s="20"/>
    </row>
    <row r="53" spans="1:11" s="3" customFormat="1" ht="13.5" customHeight="1">
      <c r="A53" s="112" t="s">
        <v>108</v>
      </c>
      <c r="B53" s="53"/>
      <c r="C53" s="195"/>
      <c r="D53" s="15"/>
      <c r="F53" s="274"/>
      <c r="G53" s="275"/>
      <c r="H53" s="273"/>
      <c r="I53" s="4"/>
      <c r="J53" s="20"/>
      <c r="K53" s="20"/>
    </row>
    <row r="54" spans="1:11" s="3" customFormat="1" ht="13.5" customHeight="1">
      <c r="A54" s="3" t="s">
        <v>188</v>
      </c>
      <c r="B54" s="53"/>
      <c r="C54" s="195"/>
      <c r="D54" s="15"/>
      <c r="F54" s="274"/>
      <c r="G54" s="275"/>
      <c r="H54" s="273"/>
      <c r="I54" s="4"/>
      <c r="J54" s="20"/>
      <c r="K54" s="20"/>
    </row>
    <row r="55" spans="1:11" s="3" customFormat="1" ht="13.5" customHeight="1">
      <c r="A55" s="112"/>
      <c r="B55" s="53"/>
      <c r="C55" s="195"/>
      <c r="D55" s="15"/>
      <c r="F55" s="274"/>
      <c r="G55" s="275"/>
      <c r="H55" s="273"/>
      <c r="I55" s="4"/>
      <c r="J55" s="20"/>
      <c r="K55" s="20"/>
    </row>
    <row r="56" spans="1:12" s="2" customFormat="1" ht="13.5" thickBot="1">
      <c r="A56" s="243" t="s">
        <v>22</v>
      </c>
      <c r="B56" s="171">
        <f>SUM(B47:B55)</f>
        <v>70638.6</v>
      </c>
      <c r="C56" s="170">
        <f>SUM(C47:C55)</f>
        <v>4827407.340000002</v>
      </c>
      <c r="D56" s="106">
        <f>IF(AND(B56&lt;&gt;0,C56&lt;&gt;0),C56/B56,"")</f>
        <v>68.33951040932297</v>
      </c>
      <c r="F56" s="171">
        <f>SUM(F47:F55)</f>
        <v>315226.41</v>
      </c>
      <c r="G56" s="170">
        <f>SUM(G47:G55)</f>
        <v>24189800.980000004</v>
      </c>
      <c r="H56" s="276">
        <f>IF(AND(F56&lt;&gt;0,G56&lt;&gt;0),G56/F56,"")</f>
        <v>76.73786273174258</v>
      </c>
      <c r="I56" s="201"/>
      <c r="J56" s="204">
        <v>244587.81000000003</v>
      </c>
      <c r="K56" s="204">
        <v>19362393.64</v>
      </c>
      <c r="L56" s="2">
        <v>84.02955394044874</v>
      </c>
    </row>
    <row r="57" spans="2:11" s="3" customFormat="1" ht="14.25" thickBot="1" thickTop="1">
      <c r="B57" s="10"/>
      <c r="C57" s="11"/>
      <c r="D57" s="12"/>
      <c r="F57" s="251"/>
      <c r="G57" s="252"/>
      <c r="H57" s="253"/>
      <c r="I57" s="4"/>
      <c r="J57" s="20"/>
      <c r="K57" s="20"/>
    </row>
    <row r="58" s="3" customFormat="1" ht="12.75">
      <c r="I58" s="4"/>
    </row>
    <row r="59" spans="1:9" s="3" customFormat="1" ht="15">
      <c r="A59" s="89"/>
      <c r="I59" s="4"/>
    </row>
    <row r="60" spans="2:9" s="3" customFormat="1" ht="12.75">
      <c r="B60" s="22"/>
      <c r="I60" s="4"/>
    </row>
    <row r="61" spans="2:9" s="3" customFormat="1" ht="12.75">
      <c r="B61" s="22"/>
      <c r="I61" s="4"/>
    </row>
    <row r="62" spans="2:9" s="3" customFormat="1" ht="12.75">
      <c r="B62" s="23"/>
      <c r="I62" s="4"/>
    </row>
    <row r="64" ht="12.75">
      <c r="A64" s="3"/>
    </row>
  </sheetData>
  <sheetProtection/>
  <mergeCells count="7">
    <mergeCell ref="J7:K7"/>
    <mergeCell ref="A2:H2"/>
    <mergeCell ref="A3:H3"/>
    <mergeCell ref="A4:H4"/>
    <mergeCell ref="A5:H5"/>
    <mergeCell ref="B7:D7"/>
    <mergeCell ref="F7:H7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74" r:id="rId3"/>
  <headerFooter alignWithMargins="0">
    <oddFooter>&amp;C&amp;Z&amp;F &amp;A&amp;R
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62"/>
  <sheetViews>
    <sheetView zoomScalePageLayoutView="0" workbookViewId="0" topLeftCell="A1">
      <selection activeCell="J11" sqref="J11:K56"/>
    </sheetView>
  </sheetViews>
  <sheetFormatPr defaultColWidth="17.7109375" defaultRowHeight="12.75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ht="15">
      <c r="H1" s="89" t="s">
        <v>223</v>
      </c>
    </row>
    <row r="2" spans="1:9" s="92" customFormat="1" ht="15">
      <c r="A2" s="340" t="s">
        <v>204</v>
      </c>
      <c r="B2" s="340"/>
      <c r="C2" s="340"/>
      <c r="D2" s="340"/>
      <c r="E2" s="340"/>
      <c r="F2" s="340"/>
      <c r="G2" s="340"/>
      <c r="H2" s="340"/>
      <c r="I2" s="91"/>
    </row>
    <row r="3" spans="1:9" s="92" customFormat="1" ht="15">
      <c r="A3" s="340" t="s">
        <v>0</v>
      </c>
      <c r="B3" s="340"/>
      <c r="C3" s="340"/>
      <c r="D3" s="340"/>
      <c r="E3" s="340"/>
      <c r="F3" s="340"/>
      <c r="G3" s="340"/>
      <c r="H3" s="340"/>
      <c r="I3" s="91"/>
    </row>
    <row r="4" spans="1:9" s="92" customFormat="1" ht="15">
      <c r="A4" s="340" t="s">
        <v>220</v>
      </c>
      <c r="B4" s="340"/>
      <c r="C4" s="340"/>
      <c r="D4" s="340"/>
      <c r="E4" s="340"/>
      <c r="F4" s="340"/>
      <c r="G4" s="340"/>
      <c r="H4" s="340"/>
      <c r="I4" s="91"/>
    </row>
    <row r="5" spans="1:9" s="92" customFormat="1" ht="15">
      <c r="A5" s="341" t="str">
        <f>+INPUT!A3</f>
        <v>APRIL 2014</v>
      </c>
      <c r="B5" s="341"/>
      <c r="C5" s="341"/>
      <c r="D5" s="341"/>
      <c r="E5" s="341"/>
      <c r="F5" s="341"/>
      <c r="G5" s="341"/>
      <c r="H5" s="341"/>
      <c r="I5" s="91"/>
    </row>
    <row r="6" s="92" customFormat="1" ht="14.25">
      <c r="I6" s="91"/>
    </row>
    <row r="7" spans="2:11" s="92" customFormat="1" ht="15">
      <c r="B7" s="340" t="s">
        <v>2</v>
      </c>
      <c r="C7" s="340"/>
      <c r="D7" s="340"/>
      <c r="E7" s="90"/>
      <c r="F7" s="340" t="s">
        <v>3</v>
      </c>
      <c r="G7" s="340"/>
      <c r="H7" s="340"/>
      <c r="I7" s="91"/>
      <c r="J7" s="340" t="s">
        <v>4</v>
      </c>
      <c r="K7" s="340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103</v>
      </c>
      <c r="B10" s="5"/>
      <c r="C10" s="6"/>
      <c r="D10" s="7"/>
      <c r="F10" s="5"/>
      <c r="G10" s="6"/>
      <c r="H10" s="7"/>
      <c r="I10" s="4"/>
      <c r="J10" s="19"/>
      <c r="K10" s="19"/>
    </row>
    <row r="11" spans="1:12" s="3" customFormat="1" ht="12.75">
      <c r="A11" s="3" t="s">
        <v>9</v>
      </c>
      <c r="B11" s="280">
        <f>+'MITCHELL OPCO HIGH SULFUR'!B11+'MITCHELL OPCO LOW SULFUR'!B11</f>
        <v>172828.33</v>
      </c>
      <c r="C11" s="281">
        <f>+'MITCHELL OPCO HIGH SULFUR'!C11+'MITCHELL OPCO LOW SULFUR'!C11</f>
        <v>11299798.66</v>
      </c>
      <c r="D11" s="15">
        <f>IF(AND(B11&lt;&gt;0,C11&lt;&gt;0),C11/B11,"")</f>
        <v>65.38163424943122</v>
      </c>
      <c r="E11" s="18"/>
      <c r="F11" s="302">
        <f>+'MITCHELL OPCO HIGH SULFUR'!F11+'MITCHELL OPCO LOW SULFUR'!F11</f>
        <v>421824.08</v>
      </c>
      <c r="G11" s="303">
        <f>+'MITCHELL OPCO HIGH SULFUR'!G11+'MITCHELL OPCO LOW SULFUR'!G11</f>
        <v>29937480.06</v>
      </c>
      <c r="H11" s="15">
        <f>IF(AND(F11&lt;&gt;0,G11&lt;&gt;0),G11/F11,"")</f>
        <v>70.971481903072</v>
      </c>
      <c r="I11" s="4"/>
      <c r="J11" s="19">
        <v>421824.08</v>
      </c>
      <c r="K11" s="19">
        <v>29937480.06</v>
      </c>
      <c r="L11" s="3">
        <v>71.97037087559487</v>
      </c>
    </row>
    <row r="12" spans="1:12" s="3" customFormat="1" ht="12.75">
      <c r="A12" s="18" t="s">
        <v>8</v>
      </c>
      <c r="B12" s="8"/>
      <c r="C12" s="9"/>
      <c r="D12" s="15">
        <f>IF(AND(B12&lt;&gt;0,C12&lt;&gt;0),C12/B12,"")</f>
      </c>
      <c r="F12" s="8"/>
      <c r="G12" s="9"/>
      <c r="H12" s="15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139</v>
      </c>
      <c r="B13" s="280">
        <f>+'MITCHELL OPCO HIGH SULFUR'!B13+'MITCHELL OPCO LOW SULFUR'!B13</f>
        <v>174379.33000000002</v>
      </c>
      <c r="C13" s="281">
        <f>+'MITCHELL OPCO HIGH SULFUR'!C13+'MITCHELL OPCO LOW SULFUR'!C13</f>
        <v>10098814.47</v>
      </c>
      <c r="D13" s="15">
        <f>IF(AND(B13&lt;&gt;0,C13&lt;&gt;0),C13/B13,"")</f>
        <v>57.912910148238325</v>
      </c>
      <c r="F13" s="8">
        <f>+B13+J13</f>
        <v>381286.65</v>
      </c>
      <c r="G13" s="9">
        <f>+C13+K13</f>
        <v>22915867.620000005</v>
      </c>
      <c r="H13" s="15">
        <f>IF(AND(F13&lt;&gt;0,G13&lt;&gt;0),G13/F13,"")</f>
        <v>60.101416139274754</v>
      </c>
      <c r="I13" s="4"/>
      <c r="J13" s="19">
        <v>206907.31999999998</v>
      </c>
      <c r="K13" s="19">
        <v>12817053.150000002</v>
      </c>
      <c r="L13" s="3">
        <v>69.49748483078884</v>
      </c>
    </row>
    <row r="14" spans="1:12" s="3" customFormat="1" ht="12.75">
      <c r="A14" s="3" t="s">
        <v>11</v>
      </c>
      <c r="B14" s="93"/>
      <c r="C14" s="282">
        <f>+'MITCHELL OPCO HIGH SULFUR'!C14+'MITCHELL OPCO LOW SULFUR'!C14</f>
        <v>876695.8700000001</v>
      </c>
      <c r="D14" s="95">
        <f>IF(AND(B13&lt;&gt;0,C14&lt;&gt;0),C14/B13,"")</f>
        <v>5.027521725195297</v>
      </c>
      <c r="F14" s="93"/>
      <c r="G14" s="61">
        <f>+C14+K14</f>
        <v>1872233.3599999999</v>
      </c>
      <c r="H14" s="95">
        <f>IF(AND(F13&lt;&gt;0,G14&lt;&gt;0),G14/F13,"")</f>
        <v>4.910303993071879</v>
      </c>
      <c r="I14" s="4"/>
      <c r="J14" s="19"/>
      <c r="K14" s="19">
        <v>995537.4899999998</v>
      </c>
      <c r="L14" s="3">
        <v>3.5665582391519774</v>
      </c>
    </row>
    <row r="15" spans="1:12" s="3" customFormat="1" ht="12.75">
      <c r="A15" s="2" t="s">
        <v>12</v>
      </c>
      <c r="B15" s="101">
        <f>SUM(B13:B14)</f>
        <v>174379.33000000002</v>
      </c>
      <c r="C15" s="102">
        <f>SUM(C13:C14)</f>
        <v>10975510.34</v>
      </c>
      <c r="D15" s="103">
        <f aca="true" t="shared" si="0" ref="D15:D22">IF(AND(B15&lt;&gt;0,C15&lt;&gt;0),C15/B15,"")</f>
        <v>62.94043187343362</v>
      </c>
      <c r="E15" s="2"/>
      <c r="F15" s="101">
        <f>SUM(F13:F14)</f>
        <v>381286.65</v>
      </c>
      <c r="G15" s="102">
        <f>SUM(G13:G14)</f>
        <v>24788100.980000004</v>
      </c>
      <c r="H15" s="103">
        <f aca="true" t="shared" si="1" ref="H15:H22">IF(AND(F15&lt;&gt;0,G15&lt;&gt;0),G15/F15,"")</f>
        <v>65.01172013234662</v>
      </c>
      <c r="I15" s="4"/>
      <c r="J15" s="19">
        <v>206907.31999999998</v>
      </c>
      <c r="K15" s="19">
        <v>13812590.640000002</v>
      </c>
      <c r="L15" s="3">
        <v>73.06404306994081</v>
      </c>
    </row>
    <row r="16" spans="1:12" s="3" customFormat="1" ht="12.75">
      <c r="A16" s="2" t="s">
        <v>18</v>
      </c>
      <c r="B16" s="98">
        <f>+B11+B15</f>
        <v>347207.66000000003</v>
      </c>
      <c r="C16" s="99">
        <f>+C11+C15</f>
        <v>22275309</v>
      </c>
      <c r="D16" s="100">
        <f t="shared" si="0"/>
        <v>64.15558055372395</v>
      </c>
      <c r="E16" s="2"/>
      <c r="F16" s="98">
        <f>+F11+F15</f>
        <v>803110.73</v>
      </c>
      <c r="G16" s="99">
        <f>+G11+G15</f>
        <v>54725581.04000001</v>
      </c>
      <c r="H16" s="100">
        <f t="shared" si="1"/>
        <v>68.14201204857518</v>
      </c>
      <c r="I16" s="4"/>
      <c r="J16" s="19">
        <v>628731.4</v>
      </c>
      <c r="K16" s="19">
        <v>43750070.7</v>
      </c>
      <c r="L16" s="3">
        <v>72.73733583412616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8"/>
      <c r="G17" s="9"/>
      <c r="H17" s="15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280">
        <f>+'MITCHELL OPCO HIGH SULFUR'!B18+'MITCHELL OPCO LOW SULFUR'!B18</f>
        <v>149888.16999999998</v>
      </c>
      <c r="C18" s="281">
        <f>+'MITCHELL OPCO HIGH SULFUR'!C18+'MITCHELL OPCO LOW SULFUR'!C18</f>
        <v>9507425.28</v>
      </c>
      <c r="D18" s="15">
        <f t="shared" si="0"/>
        <v>63.43012447213146</v>
      </c>
      <c r="F18" s="8">
        <f aca="true" t="shared" si="2" ref="F18:G20">+B18+J18</f>
        <v>576887.55</v>
      </c>
      <c r="G18" s="9">
        <f t="shared" si="2"/>
        <v>39626313.03</v>
      </c>
      <c r="H18" s="15">
        <f t="shared" si="1"/>
        <v>68.68983917229623</v>
      </c>
      <c r="I18" s="4"/>
      <c r="J18" s="19">
        <v>426999.38</v>
      </c>
      <c r="K18" s="19">
        <v>30118887.75</v>
      </c>
      <c r="L18" s="3">
        <v>72.98936657851795</v>
      </c>
    </row>
    <row r="19" spans="1:12" s="3" customFormat="1" ht="12.75">
      <c r="A19" s="3" t="s">
        <v>14</v>
      </c>
      <c r="B19" s="280">
        <f>+'MITCHELL OPCO HIGH SULFUR'!B19+'MITCHELL OPCO LOW SULFUR'!B19</f>
        <v>0</v>
      </c>
      <c r="C19" s="281">
        <f>+'MITCHELL OPCO HIGH SULFUR'!C19+'MITCHELL OPCO LOW SULFUR'!C19</f>
        <v>0</v>
      </c>
      <c r="D19" s="15">
        <f t="shared" si="0"/>
      </c>
      <c r="F19" s="8">
        <f t="shared" si="2"/>
        <v>28903.689999999995</v>
      </c>
      <c r="G19" s="9">
        <f t="shared" si="2"/>
        <v>2331384.2900000005</v>
      </c>
      <c r="H19" s="15">
        <f t="shared" si="1"/>
        <v>80.66043781953103</v>
      </c>
      <c r="I19" s="4"/>
      <c r="J19" s="19">
        <v>28903.689999999995</v>
      </c>
      <c r="K19" s="19">
        <v>2331384.2900000005</v>
      </c>
      <c r="L19" s="3">
        <v>71.74072935651198</v>
      </c>
    </row>
    <row r="20" spans="1:12" s="3" customFormat="1" ht="12.75">
      <c r="A20" s="3" t="s">
        <v>109</v>
      </c>
      <c r="B20" s="283">
        <f>+'MITCHELL OPCO HIGH SULFUR'!B20+'MITCHELL OPCO LOW SULFUR'!B20</f>
        <v>0</v>
      </c>
      <c r="C20" s="282">
        <f>+'MITCHELL OPCO HIGH SULFUR'!C20+'MITCHELL OPCO LOW SULFUR'!C20</f>
        <v>0</v>
      </c>
      <c r="D20" s="95">
        <f t="shared" si="0"/>
      </c>
      <c r="F20" s="97">
        <f t="shared" si="2"/>
        <v>0</v>
      </c>
      <c r="G20" s="61">
        <f t="shared" si="2"/>
        <v>0</v>
      </c>
      <c r="H20" s="95">
        <f t="shared" si="1"/>
      </c>
      <c r="I20" s="4"/>
      <c r="J20" s="19">
        <v>0</v>
      </c>
      <c r="K20" s="19">
        <v>0</v>
      </c>
      <c r="L20" s="3" t="s">
        <v>137</v>
      </c>
    </row>
    <row r="21" spans="1:12" s="3" customFormat="1" ht="12.75">
      <c r="A21" s="2" t="s">
        <v>16</v>
      </c>
      <c r="B21" s="101">
        <f>SUM(B18:B20)</f>
        <v>149888.16999999998</v>
      </c>
      <c r="C21" s="102">
        <f>SUM(C18:C20)</f>
        <v>9507425.28</v>
      </c>
      <c r="D21" s="103">
        <f t="shared" si="0"/>
        <v>63.43012447213146</v>
      </c>
      <c r="E21" s="2"/>
      <c r="F21" s="101">
        <f>SUM(F18:F20)</f>
        <v>605791.24</v>
      </c>
      <c r="G21" s="102">
        <f>SUM(G18:G20)</f>
        <v>41957697.32</v>
      </c>
      <c r="H21" s="103">
        <f t="shared" si="1"/>
        <v>69.260983899338</v>
      </c>
      <c r="I21" s="4"/>
      <c r="J21" s="19">
        <v>455903.07</v>
      </c>
      <c r="K21" s="19">
        <v>32450272.04</v>
      </c>
      <c r="L21" s="3">
        <v>73.0091983752075</v>
      </c>
    </row>
    <row r="22" spans="1:12" s="3" customFormat="1" ht="13.5" thickBot="1">
      <c r="A22" s="2" t="s">
        <v>17</v>
      </c>
      <c r="B22" s="104">
        <f>+B16-B21</f>
        <v>197319.49000000005</v>
      </c>
      <c r="C22" s="105">
        <f>+C16-C21</f>
        <v>12767883.72</v>
      </c>
      <c r="D22" s="106">
        <f t="shared" si="0"/>
        <v>64.70665274879839</v>
      </c>
      <c r="E22" s="2"/>
      <c r="F22" s="104">
        <f>+F16-F21</f>
        <v>197319.49</v>
      </c>
      <c r="G22" s="105">
        <f>+G16-G21</f>
        <v>12767883.720000006</v>
      </c>
      <c r="H22" s="106">
        <f t="shared" si="1"/>
        <v>64.70665274879845</v>
      </c>
      <c r="I22" s="4"/>
      <c r="J22" s="19">
        <v>172828.33000000002</v>
      </c>
      <c r="K22" s="19">
        <v>11299798.660000004</v>
      </c>
      <c r="L22" s="3">
        <v>72.05055957597251</v>
      </c>
    </row>
    <row r="23" spans="2:11" s="3" customFormat="1" ht="14.25" thickBot="1" thickTop="1">
      <c r="B23" s="10"/>
      <c r="C23" s="11"/>
      <c r="D23" s="15"/>
      <c r="F23" s="10"/>
      <c r="G23" s="11"/>
      <c r="H23" s="15"/>
      <c r="I23" s="4"/>
      <c r="J23" s="19"/>
      <c r="K23" s="19"/>
    </row>
    <row r="24" spans="1:11" s="3" customFormat="1" ht="15">
      <c r="A24" s="89" t="s">
        <v>104</v>
      </c>
      <c r="B24" s="5"/>
      <c r="C24" s="6"/>
      <c r="D24" s="7"/>
      <c r="F24" s="5"/>
      <c r="G24" s="6"/>
      <c r="H24" s="7"/>
      <c r="I24" s="4"/>
      <c r="J24" s="20"/>
      <c r="K24" s="20"/>
    </row>
    <row r="25" spans="1:12" s="3" customFormat="1" ht="12.75">
      <c r="A25" s="3" t="s">
        <v>9</v>
      </c>
      <c r="B25" s="16">
        <f>+B11</f>
        <v>172828.33</v>
      </c>
      <c r="C25" s="14">
        <f>'[2]MITCHELL_KP_OP'!$C$29</f>
        <v>474873.59</v>
      </c>
      <c r="D25" s="15">
        <f>IF(AND(B25&lt;&gt;0,C25&lt;&gt;0),C25/B25,"")</f>
        <v>2.7476605831925824</v>
      </c>
      <c r="F25" s="16">
        <f>+F11</f>
        <v>421824.08</v>
      </c>
      <c r="G25" s="303">
        <v>1040932.76</v>
      </c>
      <c r="H25" s="15">
        <f>IF(AND(F25&lt;&gt;0,G25&lt;&gt;0),G25/F25,"")</f>
        <v>2.4676940206922278</v>
      </c>
      <c r="I25" s="4"/>
      <c r="J25" s="20">
        <v>421824.08</v>
      </c>
      <c r="K25" s="20">
        <v>1040932.76</v>
      </c>
      <c r="L25" s="3">
        <v>1.9791502961917864</v>
      </c>
    </row>
    <row r="26" spans="1:12" s="3" customFormat="1" ht="12.75">
      <c r="A26" s="18" t="s">
        <v>8</v>
      </c>
      <c r="B26" s="109">
        <f>+B13</f>
        <v>174379.33000000002</v>
      </c>
      <c r="C26" s="94">
        <f>'[2]MITCHELL_KP_OP'!$C$31</f>
        <v>252849.89999999997</v>
      </c>
      <c r="D26" s="95">
        <f>IF(AND(B26&lt;&gt;0,C26&lt;&gt;0),C26/B26,"")</f>
        <v>1.4499992631007352</v>
      </c>
      <c r="F26" s="97">
        <f>+F13</f>
        <v>381286.65</v>
      </c>
      <c r="G26" s="61">
        <f>+C26+K26</f>
        <v>872438.9300000002</v>
      </c>
      <c r="H26" s="95">
        <f>IF(AND(F26&lt;&gt;0,G26&lt;&gt;0),G26/F26,"")</f>
        <v>2.288144444606178</v>
      </c>
      <c r="I26" s="4"/>
      <c r="J26" s="20">
        <v>206907.31999999998</v>
      </c>
      <c r="K26" s="20">
        <v>619589.0300000001</v>
      </c>
      <c r="L26" s="3">
        <v>2.3162559604362927</v>
      </c>
    </row>
    <row r="27" spans="1:12" s="3" customFormat="1" ht="12.75">
      <c r="A27" s="2" t="s">
        <v>18</v>
      </c>
      <c r="B27" s="98">
        <f>SUM(B25:B26)</f>
        <v>347207.66000000003</v>
      </c>
      <c r="C27" s="99">
        <f>SUM(C25:C26)</f>
        <v>727723.49</v>
      </c>
      <c r="D27" s="100">
        <f>IF(AND(B27&lt;&gt;0,C27&lt;&gt;0),C27/B27,"")</f>
        <v>2.095931552892583</v>
      </c>
      <c r="E27" s="2"/>
      <c r="F27" s="98">
        <f>SUM(F25:F26)</f>
        <v>803110.73</v>
      </c>
      <c r="G27" s="99">
        <f>SUM(G25:G26)</f>
        <v>1913371.6900000002</v>
      </c>
      <c r="H27" s="100">
        <f>IF(AND(F27&lt;&gt;0,G27&lt;&gt;0),G27/F27,"")</f>
        <v>2.38245066156693</v>
      </c>
      <c r="I27" s="4"/>
      <c r="J27" s="20">
        <v>628731.4</v>
      </c>
      <c r="K27" s="20">
        <v>1660521.79</v>
      </c>
      <c r="L27" s="3">
        <v>2.2155540679385575</v>
      </c>
    </row>
    <row r="28" spans="1:11" s="3" customFormat="1" ht="12.75">
      <c r="A28" s="3" t="s">
        <v>13</v>
      </c>
      <c r="B28" s="8"/>
      <c r="C28" s="9"/>
      <c r="D28" s="15"/>
      <c r="F28" s="8"/>
      <c r="G28" s="9"/>
      <c r="H28" s="15"/>
      <c r="I28" s="4"/>
      <c r="J28" s="20"/>
      <c r="K28" s="20"/>
    </row>
    <row r="29" spans="1:12" s="3" customFormat="1" ht="12.75">
      <c r="A29" s="3" t="s">
        <v>19</v>
      </c>
      <c r="B29" s="16">
        <f>+B18</f>
        <v>149888.16999999998</v>
      </c>
      <c r="C29" s="14">
        <f>'[2]MITCHELL_KP_OP'!$C$35+'[2]MITCHELL_KP_OP'!$C$36</f>
        <v>314150.62</v>
      </c>
      <c r="D29" s="15">
        <f>IF(AND(B29&lt;&gt;0,C29&lt;&gt;0),C29/B29,"")</f>
        <v>2.095900030002368</v>
      </c>
      <c r="F29" s="8">
        <f>+F18</f>
        <v>576887.55</v>
      </c>
      <c r="G29" s="9">
        <f>+C29+K29</f>
        <v>1424273.46</v>
      </c>
      <c r="H29" s="15">
        <f>IF(AND(F29&lt;&gt;0,G29&lt;&gt;0),G29/F29,"")</f>
        <v>2.468892698412368</v>
      </c>
      <c r="I29" s="4"/>
      <c r="J29" s="20">
        <v>426999.38</v>
      </c>
      <c r="K29" s="20">
        <v>1110122.84</v>
      </c>
      <c r="L29" s="3">
        <v>2.161623922022898</v>
      </c>
    </row>
    <row r="30" spans="1:12" s="3" customFormat="1" ht="12.75">
      <c r="A30" s="3" t="s">
        <v>14</v>
      </c>
      <c r="B30" s="16">
        <f>+B19</f>
        <v>0</v>
      </c>
      <c r="C30" s="14">
        <f>'[2]MITCHELL_KP_OP'!$C$37+'[2]MITCHELL_KP_OP'!$C$38</f>
        <v>0</v>
      </c>
      <c r="D30" s="15">
        <f>IF(AND(B30&lt;&gt;0,C30&lt;&gt;0),C30/B30,"")</f>
      </c>
      <c r="F30" s="8">
        <f>+F19</f>
        <v>28903.689999999995</v>
      </c>
      <c r="G30" s="9">
        <f>+C30+K30</f>
        <v>75525.36</v>
      </c>
      <c r="H30" s="15">
        <f>IF(AND(F30&lt;&gt;0,G30&lt;&gt;0),G30/F30,"")</f>
        <v>2.6130006237957857</v>
      </c>
      <c r="I30" s="4"/>
      <c r="J30" s="20">
        <v>28903.689999999995</v>
      </c>
      <c r="K30" s="20">
        <v>75525.36</v>
      </c>
      <c r="L30" s="3">
        <v>2.589620426188139</v>
      </c>
    </row>
    <row r="31" spans="1:12" s="3" customFormat="1" ht="12.75">
      <c r="A31" s="3" t="s">
        <v>15</v>
      </c>
      <c r="B31" s="16">
        <f>+B20</f>
        <v>0</v>
      </c>
      <c r="C31" s="14">
        <f>'[2]MITCHELL_KP_OP'!$C$39</f>
        <v>0</v>
      </c>
      <c r="D31" s="15">
        <f>IF(AND(B31&lt;&gt;0,C31&lt;&gt;0),C31/B31,"")</f>
      </c>
      <c r="F31" s="8">
        <f>+F20</f>
        <v>0</v>
      </c>
      <c r="G31" s="61">
        <f>+C31+K31</f>
        <v>0</v>
      </c>
      <c r="H31" s="15">
        <f>IF(AND(F31&lt;&gt;0,G31&lt;&gt;0),G31/F31,"")</f>
      </c>
      <c r="I31" s="4"/>
      <c r="J31" s="20">
        <v>0</v>
      </c>
      <c r="K31" s="20">
        <v>0</v>
      </c>
      <c r="L31" s="3" t="s">
        <v>137</v>
      </c>
    </row>
    <row r="32" spans="1:12" s="3" customFormat="1" ht="12.75">
      <c r="A32" s="2" t="s">
        <v>26</v>
      </c>
      <c r="B32" s="101">
        <f>SUM(B29:B31)</f>
        <v>149888.16999999998</v>
      </c>
      <c r="C32" s="102">
        <f>SUM(C29:C31)</f>
        <v>314150.62</v>
      </c>
      <c r="D32" s="103">
        <f>IF(AND(B32&lt;&gt;0,C32&lt;&gt;0),C32/B32,"")</f>
        <v>2.095900030002368</v>
      </c>
      <c r="E32" s="2"/>
      <c r="F32" s="101">
        <f>SUM(F29:F31)</f>
        <v>605791.24</v>
      </c>
      <c r="G32" s="102">
        <f>SUM(G29:G31)</f>
        <v>1499798.82</v>
      </c>
      <c r="H32" s="103">
        <f>IF(AND(F32&lt;&gt;0,G32&lt;&gt;0),G32/F32,"")</f>
        <v>2.4757684181765325</v>
      </c>
      <c r="I32" s="4"/>
      <c r="J32" s="20">
        <v>455903.07</v>
      </c>
      <c r="K32" s="20">
        <v>1185648.2000000002</v>
      </c>
      <c r="L32" s="3">
        <v>2.154826159226103</v>
      </c>
    </row>
    <row r="33" spans="1:12" s="3" customFormat="1" ht="13.5" thickBot="1">
      <c r="A33" s="2" t="s">
        <v>17</v>
      </c>
      <c r="B33" s="104">
        <f>+B27-B32</f>
        <v>197319.49000000005</v>
      </c>
      <c r="C33" s="105">
        <f>+C27-C32</f>
        <v>413572.87</v>
      </c>
      <c r="D33" s="106">
        <f>IF(AND(B33&lt;&gt;0,C33&lt;&gt;0),C33/B33,"")</f>
        <v>2.095955498364606</v>
      </c>
      <c r="E33" s="2"/>
      <c r="F33" s="104">
        <f>+F27-F32</f>
        <v>197319.49</v>
      </c>
      <c r="G33" s="105">
        <f>+G27-G32</f>
        <v>413572.8700000001</v>
      </c>
      <c r="H33" s="106">
        <f>IF(AND(F33&lt;&gt;0,G33&lt;&gt;0),G33/F33,"")</f>
        <v>2.0959554983646074</v>
      </c>
      <c r="I33" s="4"/>
      <c r="J33" s="20">
        <v>172828.33000000002</v>
      </c>
      <c r="K33" s="20">
        <v>474873.58999999985</v>
      </c>
      <c r="L33" s="3">
        <v>2.3689642646694007</v>
      </c>
    </row>
    <row r="34" spans="2:11" s="3" customFormat="1" ht="14.25" thickBot="1" thickTop="1">
      <c r="B34" s="10"/>
      <c r="C34" s="11"/>
      <c r="D34" s="12"/>
      <c r="F34" s="10"/>
      <c r="G34" s="11"/>
      <c r="H34" s="12"/>
      <c r="I34" s="4"/>
      <c r="J34" s="20"/>
      <c r="K34" s="20"/>
    </row>
    <row r="35" spans="1:11" s="3" customFormat="1" ht="15">
      <c r="A35" s="89" t="s">
        <v>105</v>
      </c>
      <c r="B35" s="5"/>
      <c r="C35" s="6"/>
      <c r="D35" s="7"/>
      <c r="F35" s="5"/>
      <c r="G35" s="6"/>
      <c r="H35" s="7"/>
      <c r="I35" s="4"/>
      <c r="J35" s="20"/>
      <c r="K35" s="20"/>
    </row>
    <row r="36" spans="1:12" s="3" customFormat="1" ht="12.75">
      <c r="A36" s="3" t="s">
        <v>9</v>
      </c>
      <c r="B36" s="13">
        <f>'[3]MITCHELL_KP_OP'!$B$28</f>
        <v>412185</v>
      </c>
      <c r="C36" s="14">
        <f>'[3]MITCHELL_KP_OP'!$C$28</f>
        <v>1363216.05</v>
      </c>
      <c r="D36" s="15">
        <f>IF(AND(B36&lt;&gt;0,C36&lt;&gt;0),C36/B36,"")</f>
        <v>3.307291750063685</v>
      </c>
      <c r="F36" s="302">
        <v>443787.5</v>
      </c>
      <c r="G36" s="303">
        <v>1429567.34</v>
      </c>
      <c r="H36" s="15">
        <f>IF(AND(F36&lt;&gt;0,G36&lt;&gt;0),G36/F36,"")</f>
        <v>3.221287981297355</v>
      </c>
      <c r="I36" s="4"/>
      <c r="J36" s="20">
        <v>443787.5</v>
      </c>
      <c r="K36" s="20">
        <v>1429567.34</v>
      </c>
      <c r="L36" s="3">
        <v>3.3917200048730662</v>
      </c>
    </row>
    <row r="37" spans="1:12" s="3" customFormat="1" ht="12.75">
      <c r="A37" s="3" t="s">
        <v>8</v>
      </c>
      <c r="B37" s="96">
        <f>'[3]MITCHELL_KP_OP'!$B$30</f>
        <v>75774.40393000003</v>
      </c>
      <c r="C37" s="94">
        <f>'[3]MITCHELL_KP_OP'!$C$30</f>
        <v>253106.39625749993</v>
      </c>
      <c r="D37" s="95">
        <f>IF(AND(B37&lt;&gt;0,C37&lt;&gt;0),C37/B37,"")</f>
        <v>3.3402624518342394</v>
      </c>
      <c r="F37" s="97">
        <f>+B37+J37</f>
        <v>321956.5416500001</v>
      </c>
      <c r="G37" s="61">
        <f>+C37+K37</f>
        <v>1097071.0686285996</v>
      </c>
      <c r="H37" s="95">
        <f>IF(AND(F37&lt;&gt;0,G37&lt;&gt;0),G37/F37,"")</f>
        <v>3.4075128991204933</v>
      </c>
      <c r="I37" s="4"/>
      <c r="J37" s="20">
        <v>246182.13772000006</v>
      </c>
      <c r="K37" s="20">
        <v>843964.6723710997</v>
      </c>
      <c r="L37" s="3">
        <v>3.231198694895875</v>
      </c>
    </row>
    <row r="38" spans="1:12" s="3" customFormat="1" ht="12.75">
      <c r="A38" s="2" t="s">
        <v>18</v>
      </c>
      <c r="B38" s="98">
        <f>SUM(B36:B37)</f>
        <v>487959.40393000003</v>
      </c>
      <c r="C38" s="99">
        <f>SUM(C36:C37)</f>
        <v>1616322.4462575</v>
      </c>
      <c r="D38" s="100">
        <f>IF(AND(B38&lt;&gt;0,C38&lt;&gt;0),C38/B38,"")</f>
        <v>3.3124117154823165</v>
      </c>
      <c r="E38" s="2"/>
      <c r="F38" s="98">
        <f>SUM(F36:F37)</f>
        <v>765744.04165</v>
      </c>
      <c r="G38" s="99">
        <f>SUM(G36:G37)</f>
        <v>2526638.4086285997</v>
      </c>
      <c r="H38" s="100">
        <f>IF(AND(F38&lt;&gt;0,G38&lt;&gt;0),G38/F38,"")</f>
        <v>3.2995861165100058</v>
      </c>
      <c r="I38" s="4"/>
      <c r="J38" s="20">
        <v>689969.63772</v>
      </c>
      <c r="K38" s="20">
        <v>2273532.0123710996</v>
      </c>
      <c r="L38" s="3">
        <v>3.281488989932586</v>
      </c>
    </row>
    <row r="39" spans="1:11" s="3" customFormat="1" ht="12.75">
      <c r="A39" s="3" t="s">
        <v>13</v>
      </c>
      <c r="B39" s="8"/>
      <c r="C39" s="9"/>
      <c r="D39" s="15"/>
      <c r="F39" s="8"/>
      <c r="G39" s="9"/>
      <c r="H39" s="15"/>
      <c r="I39" s="4"/>
      <c r="J39" s="20"/>
      <c r="K39" s="20"/>
    </row>
    <row r="40" spans="1:12" s="3" customFormat="1" ht="12.75">
      <c r="A40" s="3" t="s">
        <v>19</v>
      </c>
      <c r="B40" s="13">
        <f>'[3]MITCHELL_KP_OP'!$B$34+'[3]MITCHELL_KP_OP'!$B$35</f>
        <v>74158.65562</v>
      </c>
      <c r="C40" s="14">
        <f>'[3]MITCHELL_KP_OP'!$C$34+'[3]MITCHELL_KP_OP'!$C$35</f>
        <v>245644.0063618</v>
      </c>
      <c r="D40" s="15">
        <f>IF(AND(B40&lt;&gt;0,C40&lt;&gt;0),C40/B40,"")</f>
        <v>3.3124118055822978</v>
      </c>
      <c r="F40" s="8">
        <f>+B40+J40</f>
        <v>351749.69443000003</v>
      </c>
      <c r="G40" s="9">
        <f>+C40+K40</f>
        <v>1155323.0326053998</v>
      </c>
      <c r="H40" s="15">
        <f>IF(AND(F40&lt;&gt;0,G40&lt;&gt;0),G40/F40,"")</f>
        <v>3.284503301353443</v>
      </c>
      <c r="I40" s="4"/>
      <c r="J40" s="20">
        <v>277591.03881</v>
      </c>
      <c r="K40" s="20">
        <v>909679.0262436</v>
      </c>
      <c r="L40" s="3">
        <v>3.2888528733173192</v>
      </c>
    </row>
    <row r="41" spans="1:12" s="3" customFormat="1" ht="12.75">
      <c r="A41" s="3" t="s">
        <v>20</v>
      </c>
      <c r="B41" s="13">
        <f>'[3]MITCHELL_KP_OP'!$B$36+'[3]MITCHELL_KP_OP'!$B$37</f>
        <v>120.24831</v>
      </c>
      <c r="C41" s="263">
        <f>'[3]MITCHELL_KP_OP'!$C$36+'[3]MITCHELL_KP_OP'!$C$37</f>
        <v>398.30989569999997</v>
      </c>
      <c r="D41" s="15">
        <f>IF(AND(B41&lt;&gt;0,C41&lt;&gt;0),C41/B41,"")</f>
        <v>3.3123949575673866</v>
      </c>
      <c r="F41" s="8">
        <f>+B41+J41</f>
        <v>313.84722</v>
      </c>
      <c r="G41" s="9">
        <f>+C41+K41</f>
        <v>1035.2460232</v>
      </c>
      <c r="H41" s="15">
        <f>IF(AND(F41&lt;&gt;0,G41&lt;&gt;0),G41/F41,"")</f>
        <v>3.2985668096725536</v>
      </c>
      <c r="I41" s="4"/>
      <c r="J41" s="20">
        <v>193.59891000000002</v>
      </c>
      <c r="K41" s="20">
        <v>636.9361275000001</v>
      </c>
      <c r="L41" s="3">
        <v>3.339617007788444</v>
      </c>
    </row>
    <row r="42" spans="1:12" s="3" customFormat="1" ht="12.75">
      <c r="A42" s="2" t="s">
        <v>16</v>
      </c>
      <c r="B42" s="101">
        <f>SUM(B40:B41)</f>
        <v>74278.90393</v>
      </c>
      <c r="C42" s="102">
        <f>SUM(C40:C41)</f>
        <v>246042.3162575</v>
      </c>
      <c r="D42" s="103">
        <f>IF(AND(B42&lt;&gt;0,C42&lt;&gt;0),C42/B42,"")</f>
        <v>3.3124117783074563</v>
      </c>
      <c r="E42" s="2"/>
      <c r="F42" s="101">
        <f>SUM(F40:F41)</f>
        <v>352063.54165</v>
      </c>
      <c r="G42" s="102">
        <f>SUM(G40:G41)</f>
        <v>1156358.2786285998</v>
      </c>
      <c r="H42" s="103">
        <f>IF(AND(F42&lt;&gt;0,G42&lt;&gt;0),G42/F42,"")</f>
        <v>3.2845158382749564</v>
      </c>
      <c r="I42" s="4"/>
      <c r="J42" s="20">
        <v>277784.63772</v>
      </c>
      <c r="K42" s="20">
        <v>910315.9623711</v>
      </c>
      <c r="L42" s="3">
        <v>3.295455402638949</v>
      </c>
    </row>
    <row r="43" spans="1:12" s="3" customFormat="1" ht="13.5" thickBot="1">
      <c r="A43" s="2" t="s">
        <v>17</v>
      </c>
      <c r="B43" s="104">
        <f>+B38-B42</f>
        <v>413680.5</v>
      </c>
      <c r="C43" s="105">
        <f>+C38-C42</f>
        <v>1370280.13</v>
      </c>
      <c r="D43" s="106">
        <f>IF(AND(B43&lt;&gt;0,C43&lt;&gt;0),C43/B43,"")</f>
        <v>3.312411704201672</v>
      </c>
      <c r="E43" s="2"/>
      <c r="F43" s="104">
        <f>+F38-F42</f>
        <v>413680.5</v>
      </c>
      <c r="G43" s="105">
        <f>+G38-G42</f>
        <v>1370280.13</v>
      </c>
      <c r="H43" s="106">
        <f>IF(AND(F43&lt;&gt;0,G43&lt;&gt;0),G43/F43,"")</f>
        <v>3.312411704201672</v>
      </c>
      <c r="I43" s="4"/>
      <c r="J43" s="20">
        <v>412185</v>
      </c>
      <c r="K43" s="20">
        <v>1363216.0499999996</v>
      </c>
      <c r="L43" s="3">
        <v>3.246934176916388</v>
      </c>
    </row>
    <row r="44" spans="2:11" s="3" customFormat="1" ht="14.25" thickBot="1" thickTop="1">
      <c r="B44" s="10"/>
      <c r="C44" s="11"/>
      <c r="D44" s="12"/>
      <c r="F44" s="10"/>
      <c r="G44" s="11"/>
      <c r="H44" s="12"/>
      <c r="I44" s="4"/>
      <c r="J44" s="20"/>
      <c r="K44" s="20"/>
    </row>
    <row r="45" spans="1:11" s="3" customFormat="1" ht="15">
      <c r="A45" s="89" t="s">
        <v>106</v>
      </c>
      <c r="B45" s="5"/>
      <c r="C45" s="6"/>
      <c r="D45" s="7"/>
      <c r="F45" s="5"/>
      <c r="G45" s="6"/>
      <c r="H45" s="7"/>
      <c r="I45" s="4"/>
      <c r="J45" s="20"/>
      <c r="K45" s="20"/>
    </row>
    <row r="46" spans="1:12" s="3" customFormat="1" ht="12.75">
      <c r="A46" s="3" t="s">
        <v>21</v>
      </c>
      <c r="B46" s="8"/>
      <c r="C46" s="9"/>
      <c r="D46" s="15">
        <f aca="true" t="shared" si="3" ref="D46:D51">IF(AND(B46&lt;&gt;0,C46&lt;&gt;0),C46/B46,"")</f>
      </c>
      <c r="F46" s="8"/>
      <c r="G46" s="9"/>
      <c r="H46" s="15">
        <f aca="true" t="shared" si="4" ref="H46:H51">IF(AND(F46&lt;&gt;0,G46&lt;&gt;0),G46/F46,"")</f>
      </c>
      <c r="I46" s="4"/>
      <c r="J46" s="20"/>
      <c r="K46" s="20"/>
      <c r="L46" s="3" t="s">
        <v>137</v>
      </c>
    </row>
    <row r="47" spans="1:12" s="3" customFormat="1" ht="12.75">
      <c r="A47" s="3" t="s">
        <v>19</v>
      </c>
      <c r="B47" s="8">
        <f>+B18</f>
        <v>149888.16999999998</v>
      </c>
      <c r="C47" s="9">
        <f>+C18</f>
        <v>9507425.28</v>
      </c>
      <c r="D47" s="15">
        <f t="shared" si="3"/>
        <v>63.43012447213146</v>
      </c>
      <c r="F47" s="8">
        <f aca="true" t="shared" si="5" ref="F47:G49">+B47+J47</f>
        <v>576887.55</v>
      </c>
      <c r="G47" s="9">
        <f t="shared" si="5"/>
        <v>39626313.03</v>
      </c>
      <c r="H47" s="15">
        <f t="shared" si="4"/>
        <v>68.68983917229623</v>
      </c>
      <c r="I47" s="4"/>
      <c r="J47" s="20">
        <v>426999.38</v>
      </c>
      <c r="K47" s="20">
        <v>30118887.75</v>
      </c>
      <c r="L47" s="3">
        <v>72.98936657851795</v>
      </c>
    </row>
    <row r="48" spans="1:12" s="3" customFormat="1" ht="12.75">
      <c r="A48" s="3" t="s">
        <v>14</v>
      </c>
      <c r="B48" s="8">
        <f>+B19</f>
        <v>0</v>
      </c>
      <c r="C48" s="9">
        <f>+C19</f>
        <v>0</v>
      </c>
      <c r="D48" s="15">
        <f t="shared" si="3"/>
      </c>
      <c r="F48" s="8">
        <f t="shared" si="5"/>
        <v>28903.689999999995</v>
      </c>
      <c r="G48" s="9">
        <f t="shared" si="5"/>
        <v>2331384.2900000005</v>
      </c>
      <c r="H48" s="15">
        <f t="shared" si="4"/>
        <v>80.66043781953103</v>
      </c>
      <c r="I48" s="4"/>
      <c r="J48" s="20">
        <v>28903.689999999995</v>
      </c>
      <c r="K48" s="20">
        <v>2331384.2900000005</v>
      </c>
      <c r="L48" s="3">
        <v>71.74072935651198</v>
      </c>
    </row>
    <row r="49" spans="1:12" s="3" customFormat="1" ht="12.75">
      <c r="A49" s="3" t="s">
        <v>146</v>
      </c>
      <c r="B49" s="8">
        <f>ROUND(IF(B40&lt;&gt;0,(((B61/1000000)*B40)/((B60/1000)*2)),""),2)</f>
        <v>418.5</v>
      </c>
      <c r="C49" s="195">
        <f>+C40</f>
        <v>245644.0063618</v>
      </c>
      <c r="D49" s="15">
        <f t="shared" si="3"/>
        <v>586.9629781643966</v>
      </c>
      <c r="F49" s="8">
        <f t="shared" si="5"/>
        <v>2001.7199999999998</v>
      </c>
      <c r="G49" s="9">
        <f t="shared" si="5"/>
        <v>1155323.0326053998</v>
      </c>
      <c r="H49" s="15">
        <f t="shared" si="4"/>
        <v>577.1651542700278</v>
      </c>
      <c r="I49" s="4"/>
      <c r="J49" s="20">
        <v>1583.2199999999998</v>
      </c>
      <c r="K49" s="20">
        <v>909679.0262436</v>
      </c>
      <c r="L49" s="3">
        <v>598.0721910682956</v>
      </c>
    </row>
    <row r="50" spans="1:12" s="3" customFormat="1" ht="12.75">
      <c r="A50" s="3" t="s">
        <v>154</v>
      </c>
      <c r="B50" s="8"/>
      <c r="C50" s="145">
        <v>0</v>
      </c>
      <c r="D50" s="15">
        <f t="shared" si="3"/>
      </c>
      <c r="F50" s="8"/>
      <c r="G50" s="9">
        <f>+C50+K50</f>
        <v>0</v>
      </c>
      <c r="H50" s="15">
        <f t="shared" si="4"/>
      </c>
      <c r="I50" s="4"/>
      <c r="J50" s="20"/>
      <c r="K50" s="20">
        <v>0</v>
      </c>
      <c r="L50" s="3" t="s">
        <v>137</v>
      </c>
    </row>
    <row r="51" spans="1:12" s="3" customFormat="1" ht="12.75">
      <c r="A51" s="3" t="s">
        <v>107</v>
      </c>
      <c r="B51" s="54"/>
      <c r="C51" s="9">
        <f>+C29+C30</f>
        <v>314150.62</v>
      </c>
      <c r="D51" s="88">
        <f t="shared" si="3"/>
      </c>
      <c r="F51" s="53"/>
      <c r="G51" s="9">
        <f>+C51+K51</f>
        <v>1499798.8199999998</v>
      </c>
      <c r="H51" s="88">
        <f t="shared" si="4"/>
      </c>
      <c r="I51" s="4"/>
      <c r="J51" s="20"/>
      <c r="K51" s="20">
        <v>1185648.2</v>
      </c>
      <c r="L51" s="3" t="s">
        <v>137</v>
      </c>
    </row>
    <row r="52" spans="1:11" s="3" customFormat="1" ht="12.75">
      <c r="A52" s="3" t="s">
        <v>155</v>
      </c>
      <c r="B52" s="54"/>
      <c r="C52" s="17">
        <f>+INPUT!E54</f>
        <v>77185.07</v>
      </c>
      <c r="D52" s="88"/>
      <c r="F52" s="53"/>
      <c r="G52" s="9">
        <f>+C52+K52</f>
        <v>167807.30000000002</v>
      </c>
      <c r="H52" s="88"/>
      <c r="I52" s="4"/>
      <c r="J52" s="20"/>
      <c r="K52" s="20">
        <v>90622.23000000001</v>
      </c>
    </row>
    <row r="53" spans="1:11" s="3" customFormat="1" ht="12.75">
      <c r="A53" s="3" t="s">
        <v>156</v>
      </c>
      <c r="B53" s="54"/>
      <c r="C53" s="9">
        <f>+INPUT!E92</f>
        <v>-74430.19</v>
      </c>
      <c r="D53" s="88"/>
      <c r="F53" s="53"/>
      <c r="G53" s="9">
        <f>+C53+K53</f>
        <v>-295285.65</v>
      </c>
      <c r="H53" s="88"/>
      <c r="I53" s="4"/>
      <c r="J53" s="20"/>
      <c r="K53" s="20">
        <v>-220855.46000000002</v>
      </c>
    </row>
    <row r="54" spans="1:11" s="3" customFormat="1" ht="12.75">
      <c r="A54" s="3" t="s">
        <v>149</v>
      </c>
      <c r="B54" s="54"/>
      <c r="C54" s="303">
        <v>0</v>
      </c>
      <c r="D54" s="88"/>
      <c r="F54" s="53"/>
      <c r="G54" s="9">
        <f>+C54+K54</f>
        <v>0</v>
      </c>
      <c r="H54" s="88"/>
      <c r="I54" s="4"/>
      <c r="J54" s="20"/>
      <c r="K54" s="20">
        <v>0</v>
      </c>
    </row>
    <row r="55" spans="2:11" s="3" customFormat="1" ht="12.75">
      <c r="B55" s="54"/>
      <c r="C55" s="9"/>
      <c r="D55" s="88"/>
      <c r="F55" s="53"/>
      <c r="G55" s="9"/>
      <c r="H55" s="88"/>
      <c r="I55" s="4"/>
      <c r="J55" s="20"/>
      <c r="K55" s="20"/>
    </row>
    <row r="56" spans="1:12" s="3" customFormat="1" ht="13.5" thickBot="1">
      <c r="A56" s="2" t="s">
        <v>22</v>
      </c>
      <c r="B56" s="104">
        <f>SUM(B46:B55)</f>
        <v>150306.66999999998</v>
      </c>
      <c r="C56" s="105">
        <f>SUM(C46:C55)</f>
        <v>10069974.786361799</v>
      </c>
      <c r="D56" s="106">
        <f>IF(AND(B56&lt;&gt;0,C56&lt;&gt;0),C56/B56,"")</f>
        <v>66.99619375748128</v>
      </c>
      <c r="E56" s="2"/>
      <c r="F56" s="104">
        <f>SUM(F46:F55)</f>
        <v>607792.96</v>
      </c>
      <c r="G56" s="105">
        <f>SUM(G46:G55)</f>
        <v>44485340.8226054</v>
      </c>
      <c r="H56" s="106">
        <f>IF(AND(F56&lt;&gt;0,G56&lt;&gt;0),G56/F56,"")</f>
        <v>73.19160265134595</v>
      </c>
      <c r="I56" s="4"/>
      <c r="J56" s="20">
        <v>457486.29</v>
      </c>
      <c r="K56" s="20">
        <v>34415366.036243595</v>
      </c>
      <c r="L56" s="3">
        <v>78.15764107647016</v>
      </c>
    </row>
    <row r="57" spans="2:11" s="3" customFormat="1" ht="14.25" thickBot="1" thickTop="1">
      <c r="B57" s="10"/>
      <c r="C57" s="11"/>
      <c r="D57" s="12"/>
      <c r="F57" s="10"/>
      <c r="G57" s="11"/>
      <c r="H57" s="12"/>
      <c r="I57" s="4"/>
      <c r="J57" s="20"/>
      <c r="K57" s="20"/>
    </row>
    <row r="58" s="3" customFormat="1" ht="12.75">
      <c r="I58" s="4"/>
    </row>
    <row r="59" spans="1:9" s="3" customFormat="1" ht="15">
      <c r="A59" s="89" t="s">
        <v>23</v>
      </c>
      <c r="C59" s="18"/>
      <c r="I59" s="4"/>
    </row>
    <row r="60" spans="1:9" s="3" customFormat="1" ht="12.75">
      <c r="A60" s="3" t="s">
        <v>24</v>
      </c>
      <c r="B60" s="22">
        <f>'[1]MITCHELL'!$E$21</f>
        <v>12184</v>
      </c>
      <c r="I60" s="4"/>
    </row>
    <row r="61" spans="1:9" s="3" customFormat="1" ht="12.75">
      <c r="A61" s="3" t="s">
        <v>25</v>
      </c>
      <c r="B61" s="22">
        <f>'[3]MITCHELL'!$E$17</f>
        <v>137515</v>
      </c>
      <c r="I61" s="4"/>
    </row>
    <row r="62" spans="1:9" s="3" customFormat="1" ht="12.75">
      <c r="A62" s="3" t="s">
        <v>193</v>
      </c>
      <c r="B62" s="22">
        <f>INPUT!B180</f>
        <v>12142</v>
      </c>
      <c r="I62" s="4"/>
    </row>
  </sheetData>
  <sheetProtection/>
  <mergeCells count="7">
    <mergeCell ref="J7:K7"/>
    <mergeCell ref="A2:H2"/>
    <mergeCell ref="A3:H3"/>
    <mergeCell ref="A4:H4"/>
    <mergeCell ref="A5:H5"/>
    <mergeCell ref="B7:D7"/>
    <mergeCell ref="F7:H7"/>
  </mergeCells>
  <printOptions/>
  <pageMargins left="0.5" right="0.5" top="0.5" bottom="0.5" header="0.3" footer="0.3"/>
  <pageSetup fitToHeight="1" fitToWidth="1" horizontalDpi="600" verticalDpi="600" orientation="portrait" scale="74" r:id="rId1"/>
  <headerFooter alignWithMargins="0">
    <oddFooter>&amp;C&amp;Z&amp;F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i395047</dc:creator>
  <cp:keywords/>
  <dc:description/>
  <cp:lastModifiedBy>Brian W Elswick</cp:lastModifiedBy>
  <cp:lastPrinted>2013-12-13T14:11:34Z</cp:lastPrinted>
  <dcterms:created xsi:type="dcterms:W3CDTF">2001-12-06T16:44:28Z</dcterms:created>
  <dcterms:modified xsi:type="dcterms:W3CDTF">2014-05-12T12:23:53Z</dcterms:modified>
  <cp:category/>
  <cp:version/>
  <cp:contentType/>
  <cp:contentStatus/>
</cp:coreProperties>
</file>