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9230" windowHeight="6090" tabRatio="929" firstSheet="7" activeTab="11"/>
  </bookViews>
  <sheets>
    <sheet name="INPUTS" sheetId="1" r:id="rId1"/>
    <sheet name="CONSUMPTION RATIOS" sheetId="2" r:id="rId2"/>
    <sheet name="MITCHELL" sheetId="3" r:id="rId3"/>
    <sheet name="MITCHELL_KP_OP" sheetId="4" r:id="rId4"/>
    <sheet name="MITCHELL HIGH SULFUR" sheetId="5" r:id="rId5"/>
    <sheet name="MITCHELL_KP_OP_HIGH SULFUR" sheetId="6" r:id="rId6"/>
    <sheet name="MITCHELL LOW SULFUR" sheetId="7" r:id="rId7"/>
    <sheet name="MITCHELL_KP_OP_LOW SULFUR" sheetId="8" r:id="rId8"/>
    <sheet name="NO LOAD" sheetId="9" r:id="rId9"/>
    <sheet name="NO LOAD COAL" sheetId="10" r:id="rId10"/>
    <sheet name="JE0305" sheetId="11" r:id="rId11"/>
    <sheet name="MI0305-Upload" sheetId="12" r:id="rId12"/>
    <sheet name="CONTROL" sheetId="13" r:id="rId13"/>
    <sheet name="REVISION" sheetId="14" r:id="rId14"/>
    <sheet name="Risk Assessment" sheetId="15" r:id="rId15"/>
    <sheet name="Complex SS Info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NvsEndTime">36418.5573099537</definedName>
    <definedName name="_xlnm.Print_Area" localSheetId="5">'MITCHELL_KP_OP_HIGH SULFUR'!$A$1:$E$48</definedName>
    <definedName name="_xlnm.Print_Area" localSheetId="7">'MITCHELL_KP_OP_LOW SULFUR'!$A$1:$E$48</definedName>
    <definedName name="_xlnm.Print_Area" localSheetId="8">'NO LOAD'!$A$1:$K$72</definedName>
    <definedName name="_xlnm.Print_Area" localSheetId="9">'NO LOAD COAL'!$A$1:$N$22</definedName>
  </definedNames>
  <calcPr fullCalcOnLoad="1"/>
</workbook>
</file>

<file path=xl/comments1.xml><?xml version="1.0" encoding="utf-8"?>
<comments xmlns="http://schemas.openxmlformats.org/spreadsheetml/2006/main">
  <authors>
    <author>AEP</author>
    <author>Lindsey M. McCoy-Charney</author>
  </authors>
  <commentList>
    <comment ref="F11" authorId="0">
      <text>
        <r>
          <rPr>
            <b/>
            <sz val="9"/>
            <rFont val="Tahoma"/>
            <family val="2"/>
          </rPr>
          <t>AEP:</t>
        </r>
        <r>
          <rPr>
            <sz val="9"/>
            <rFont val="Tahoma"/>
            <family val="2"/>
          </rPr>
          <t xml:space="preserve">
from Fred colburn spreadsheet</t>
        </r>
      </text>
    </comment>
    <comment ref="D13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CV4CCDMEMO filel from Fred Colburn.</t>
        </r>
      </text>
    </comment>
    <comment ref="F16" authorId="0">
      <text>
        <r>
          <rPr>
            <b/>
            <sz val="9"/>
            <rFont val="Tahoma"/>
            <family val="2"/>
          </rPr>
          <t>AEP:</t>
        </r>
        <r>
          <rPr>
            <sz val="9"/>
            <rFont val="Tahoma"/>
            <family val="2"/>
          </rPr>
          <t xml:space="preserve">
from Fred colburn spreadsheet</t>
        </r>
      </text>
    </comment>
    <comment ref="B53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From RPt10generation which is CCD Memo from frank dinsmore</t>
        </r>
      </text>
    </comment>
    <comment ref="E55" authorId="0">
      <text>
        <r>
          <rPr>
            <b/>
            <sz val="8"/>
            <rFont val="Tahoma"/>
            <family val="2"/>
          </rPr>
          <t>AEP:</t>
        </r>
        <r>
          <rPr>
            <sz val="8"/>
            <rFont val="Tahoma"/>
            <family val="2"/>
          </rPr>
          <t xml:space="preserve">
comes from CV 4 CCD tab of prev month inv10coal.  It’s the total number at the bottom cell B70
</t>
        </r>
      </text>
    </comment>
    <comment ref="D57" authorId="1">
      <text>
        <r>
          <rPr>
            <b/>
            <sz val="9"/>
            <rFont val="Tahoma"/>
            <family val="2"/>
          </rPr>
          <t>Lindsey M. McCoy-Charney:</t>
        </r>
        <r>
          <rPr>
            <sz val="9"/>
            <rFont val="Tahoma"/>
            <family val="2"/>
          </rPr>
          <t xml:space="preserve">
.165</t>
        </r>
      </text>
    </comment>
    <comment ref="D56" authorId="1">
      <text>
        <r>
          <rPr>
            <b/>
            <sz val="9"/>
            <rFont val="Tahoma"/>
            <family val="2"/>
          </rPr>
          <t>Lindsey M. McCoy-Charney:</t>
        </r>
        <r>
          <rPr>
            <sz val="9"/>
            <rFont val="Tahoma"/>
            <family val="2"/>
          </rPr>
          <t xml:space="preserve">
.4
</t>
        </r>
      </text>
    </comment>
  </commentList>
</comments>
</file>

<file path=xl/comments9.xml><?xml version="1.0" encoding="utf-8"?>
<comments xmlns="http://schemas.openxmlformats.org/spreadsheetml/2006/main">
  <authors>
    <author>The Great One</author>
  </authors>
  <commentList>
    <comment ref="G27" authorId="0">
      <text>
        <r>
          <rPr>
            <b/>
            <sz val="9"/>
            <rFont val="Tahoma"/>
            <family val="2"/>
          </rPr>
          <t>Brian Frantz:</t>
        </r>
        <r>
          <rPr>
            <sz val="9"/>
            <rFont val="Tahoma"/>
            <family val="2"/>
          </rPr>
          <t xml:space="preserve">
Input from prior month GLR3600V</t>
        </r>
      </text>
    </comment>
  </commentList>
</comments>
</file>

<file path=xl/sharedStrings.xml><?xml version="1.0" encoding="utf-8"?>
<sst xmlns="http://schemas.openxmlformats.org/spreadsheetml/2006/main" count="810" uniqueCount="379">
  <si>
    <t>TONS</t>
  </si>
  <si>
    <t>DESCRIPTION</t>
  </si>
  <si>
    <t>COST</t>
  </si>
  <si>
    <t>TOTAL</t>
  </si>
  <si>
    <t>COST PER</t>
  </si>
  <si>
    <t>TON</t>
  </si>
  <si>
    <t>BEGINNING BALANCE</t>
  </si>
  <si>
    <t>TOTAL AVAILABLE</t>
  </si>
  <si>
    <t>CONSUMED</t>
  </si>
  <si>
    <t xml:space="preserve">SURVEY ADJUSTMENT </t>
  </si>
  <si>
    <t xml:space="preserve">     TOTAL CONSUMED</t>
  </si>
  <si>
    <t>ENDING BALANCE</t>
  </si>
  <si>
    <t>OTHER</t>
  </si>
  <si>
    <t>COAL TRANSFERS TO OTHER PILES</t>
  </si>
  <si>
    <t xml:space="preserve">BTU </t>
  </si>
  <si>
    <t>PER LB</t>
  </si>
  <si>
    <t>TOTAL RECEIPTS</t>
  </si>
  <si>
    <t>INPUT COAL INVENTORY DATA</t>
  </si>
  <si>
    <t>FOB MINE</t>
  </si>
  <si>
    <t xml:space="preserve">FREIGHT </t>
  </si>
  <si>
    <t xml:space="preserve">     UNIT 1</t>
  </si>
  <si>
    <t xml:space="preserve">     UNIT 2</t>
  </si>
  <si>
    <t>SURVEY ADJUSTMENT</t>
  </si>
  <si>
    <t>OHIO POWER</t>
  </si>
  <si>
    <t>MITCHELL COAL INVENTORY LEDGER</t>
  </si>
  <si>
    <t>COAL</t>
  </si>
  <si>
    <t>DIFFERENCE</t>
  </si>
  <si>
    <t>PLANT</t>
  </si>
  <si>
    <t>MITCHELL</t>
  </si>
  <si>
    <t>PRIOR MONTH</t>
  </si>
  <si>
    <t>ENDING INV</t>
  </si>
  <si>
    <t>RECONCILIATION OF ENDING INVENTORY TONS VS SUB-OFFICE ENDING INVENTORY TONS</t>
  </si>
  <si>
    <t>SUB-OFFICE</t>
  </si>
  <si>
    <t>RECEIPTS</t>
  </si>
  <si>
    <t>RECONCILIATION OF ENDING INVENTORY VS PAGE 24 ENDING INVENTORY</t>
  </si>
  <si>
    <t>ENDING</t>
  </si>
  <si>
    <t>INV TONS</t>
  </si>
  <si>
    <t>PAGE 24</t>
  </si>
  <si>
    <t>ENDING TONS</t>
  </si>
  <si>
    <t>INV $</t>
  </si>
  <si>
    <t>ENDING INV $</t>
  </si>
  <si>
    <t>BTU</t>
  </si>
  <si>
    <t>RECONCILIATION OF BEGINNING INVENTORY $ VS PRIOR MONTH ENDING INVENTORY $</t>
  </si>
  <si>
    <t>BEGINNING INV $</t>
  </si>
  <si>
    <t>ENDING INV TONS</t>
  </si>
  <si>
    <t>RECONCILIATION OF RECEIPTS $ VS RECEIPTS LEDGER $</t>
  </si>
  <si>
    <t>RECEIPTS $</t>
  </si>
  <si>
    <t>LEDGER $</t>
  </si>
  <si>
    <t>TOTAL PLT</t>
  </si>
  <si>
    <t>TOTAL PLT BTU</t>
  </si>
  <si>
    <t xml:space="preserve">NOTE: ROLLCLEAR MACRO WILL ROLL THE ENDING BALANCE TO THE BEGINNING BALANCE </t>
  </si>
  <si>
    <t xml:space="preserve">           AND CLEAR OFF INPUTS</t>
  </si>
  <si>
    <t>MITCHELL COAL CONSUMED BY UNIT</t>
  </si>
  <si>
    <t>INPUT COAL PILE ALLOCATORS</t>
  </si>
  <si>
    <t>REVISION (CHANGE CONTROL)</t>
  </si>
  <si>
    <t>DATE OF REVISION</t>
  </si>
  <si>
    <t>PERSON MAKING REVISON</t>
  </si>
  <si>
    <t>DESCRIPTON OF REVISION</t>
  </si>
  <si>
    <t>WHAT TESTING OF THE RESULTS TOOK PLACE</t>
  </si>
  <si>
    <t>PATH TO OLD VERSION OF SPREADSHEET</t>
  </si>
  <si>
    <t>PATH TO NEW VERSION OF SPREADSHEET</t>
  </si>
  <si>
    <t>OHIO POWER COMPANY</t>
  </si>
  <si>
    <t>Amy Leichtamer</t>
  </si>
  <si>
    <t>Added Intransit piles for Kammer Plant</t>
  </si>
  <si>
    <t xml:space="preserve">Ron Herink and Amy Leichtamer worked together to change the schedules.  </t>
  </si>
  <si>
    <t>H:\internal\FuelContractAccounting\Fuel New\OP\CURRENT\INV07COAL</t>
  </si>
  <si>
    <t>CCT MITCHELL</t>
  </si>
  <si>
    <t xml:space="preserve">MITCHELL IN TRANSIT </t>
  </si>
  <si>
    <t>Added Intransit piles for Gavin, Mitchell &amp; Muskingum Palnts</t>
  </si>
  <si>
    <t>Added Muskingum PRB pile for Muskingum Palnts</t>
  </si>
  <si>
    <t xml:space="preserve"> </t>
  </si>
  <si>
    <t>Figure 2 - Financial Spreadsheet Risk Assessment Template</t>
  </si>
  <si>
    <t xml:space="preserve"> Risk Values </t>
  </si>
  <si>
    <t xml:space="preserve"> Risk Factors </t>
  </si>
  <si>
    <t xml:space="preserve"> Comments </t>
  </si>
  <si>
    <t xml:space="preserve"> Response </t>
  </si>
  <si>
    <t xml:space="preserve"> Score </t>
  </si>
  <si>
    <t>Maximum Score</t>
  </si>
  <si>
    <t xml:space="preserve">Is the spreadsheet used as a model or for modeling? (model variables are input in order to attempt to predict a future result)  </t>
  </si>
  <si>
    <t>Yes = 1 point
No = 0 points</t>
  </si>
  <si>
    <t xml:space="preserve">Does the spreadsheet contain data-transforming macros? (Excluding Print Macros) </t>
  </si>
  <si>
    <t>Yes = 2 points
No = 0 points</t>
  </si>
  <si>
    <t xml:space="preserve">Does the spreadsheet contain V-lookups or H-look-ups? </t>
  </si>
  <si>
    <t xml:space="preserve">Does the spreadsheet contain IF statements? </t>
  </si>
  <si>
    <t>Yes, Nested = 2 pts
Yes = 1 point
No = 0 points</t>
  </si>
  <si>
    <t xml:space="preserve">Does the spreadsheet have links between its own worksheets? </t>
  </si>
  <si>
    <t xml:space="preserve">Is the spreadsheet linked to another data source? </t>
  </si>
  <si>
    <t xml:space="preserve">Does the spreadsheet contain information considered material? </t>
  </si>
  <si>
    <t xml:space="preserve">Has adequate training been provided for the person who owns/supports the spreadsheet? </t>
  </si>
  <si>
    <t>Yes = 0 points
No = 1 point</t>
  </si>
  <si>
    <t xml:space="preserve">How often are modifications made to the formulas or macros within the spreadsheet? </t>
  </si>
  <si>
    <t>Annually = 0 points
Quarterly = 1 point
Monthly = 2 points
Weekly = 3 points</t>
  </si>
  <si>
    <t xml:space="preserve"> Total Score </t>
  </si>
  <si>
    <t xml:space="preserve"> Spreadsheet Classification </t>
  </si>
  <si>
    <t>Enter Minimum or Complex</t>
  </si>
  <si>
    <t>Risk Grading Scale:</t>
  </si>
  <si>
    <t>Minimum = 0-5 pts</t>
  </si>
  <si>
    <t xml:space="preserve">Complex = </t>
  </si>
  <si>
    <t>6+ points</t>
  </si>
  <si>
    <t xml:space="preserve"> Path &amp; Name of File Assessed: </t>
  </si>
  <si>
    <t xml:space="preserve"> Assessment Date: </t>
  </si>
  <si>
    <t xml:space="preserve"> Assessor's Name: </t>
  </si>
  <si>
    <t>If the spreadsheet evaluates to Complex, but you choose a Minimum Classification, explain your reasoning here:</t>
  </si>
  <si>
    <t>Spreadsheet Information</t>
  </si>
  <si>
    <t>Name of File:</t>
  </si>
  <si>
    <t>Spreadsheet Owner:</t>
  </si>
  <si>
    <t>Business Unit/Department:</t>
  </si>
  <si>
    <t>Description/Purpose of File:</t>
  </si>
  <si>
    <t>Instructions on Using Spreadsheet (optional):</t>
  </si>
  <si>
    <t>Location of other files linked to this spreadsheet:</t>
  </si>
  <si>
    <t>Retention Period (optional):</t>
  </si>
  <si>
    <t>Change History (Required for Complex Spreadsheets Only)</t>
  </si>
  <si>
    <t>Name of Employee Requesting Change</t>
  </si>
  <si>
    <t>Reason for Change</t>
  </si>
  <si>
    <t>Name of Employee Authorizing Change</t>
  </si>
  <si>
    <t>Authorization Date</t>
  </si>
  <si>
    <t>Name of Employee Making Change</t>
  </si>
  <si>
    <t>Name of Employee Approving Change</t>
  </si>
  <si>
    <t>Approval Date</t>
  </si>
  <si>
    <t>Use of Prodiance IQ or Spreadsheet Compare During Review?</t>
  </si>
  <si>
    <t>New Active Filename/Version and Location of File</t>
  </si>
  <si>
    <t>Location of Testing Details</t>
  </si>
  <si>
    <t>No</t>
  </si>
  <si>
    <t>Yes</t>
  </si>
  <si>
    <t>Annually</t>
  </si>
  <si>
    <t>Fuel Contract Accounting</t>
  </si>
  <si>
    <t>Monthly Computation of Coal Inventory</t>
  </si>
  <si>
    <t>H:\internal\FuelContractAccounting\Fuel New\OP\CURRENT\REC07COAL.xls &amp; H:\internal\FuelContractAccounting\Fuel New\OP\CURRENT\SUBOFFICE07COAL.xls</t>
  </si>
  <si>
    <t>Rounding</t>
  </si>
  <si>
    <t>Adj</t>
  </si>
  <si>
    <t>11/09</t>
  </si>
  <si>
    <t>Add Rounding Adjustment for true-up to Comtrac</t>
  </si>
  <si>
    <t>Glenn Gaffney</t>
  </si>
  <si>
    <t>no</t>
  </si>
  <si>
    <t>I opened the spreadsheet and looked at the cells that were changed on each tab. The change was very simple - the rounding adjustment is put in a separate cell, then that cell is added to the calculated amount in the total consumption cell.</t>
  </si>
  <si>
    <t>CALCULATION OF START-UP AND NO LOAD FUEL COSTS - CONESVILLE UNIT 4</t>
  </si>
  <si>
    <t>DATA</t>
  </si>
  <si>
    <t>COAL TONS - BURNED (UNIT 4)</t>
  </si>
  <si>
    <t>AVERAGE COST / TON - COAL INVENTORY</t>
  </si>
  <si>
    <t>AVERAGE BTU'S PER POUND OF COAL FIRED</t>
  </si>
  <si>
    <t>FUEL OIL GALLONS - START UP OIL (UNIT 4)</t>
  </si>
  <si>
    <t>FUEL OIL GALLONS - ENERGY (UNIT 4)</t>
  </si>
  <si>
    <t>TOTAL FUEL OIL GALLONS (UNIT 4)</t>
  </si>
  <si>
    <t>FUEL OIL PRICE PER GALLON-(CURRENT MONTH PRICE)</t>
  </si>
  <si>
    <t>AVERAGE BTU'S PER GALLON OF OIL FIRED</t>
  </si>
  <si>
    <t>HOURS OF OPERATION / NET CV 100% GENERATION</t>
  </si>
  <si>
    <t>PREVIOUS MONTH CHARGES IN ACCOUNTS:</t>
  </si>
  <si>
    <t>ACCOUNT</t>
  </si>
  <si>
    <t>AMOUNT</t>
  </si>
  <si>
    <t>LABOR</t>
  </si>
  <si>
    <t>FUEL - OTHER</t>
  </si>
  <si>
    <t>FUEL - HANDLING</t>
  </si>
  <si>
    <t xml:space="preserve">LABOR </t>
  </si>
  <si>
    <t>ASH SALES</t>
  </si>
  <si>
    <t xml:space="preserve">M &amp; E </t>
  </si>
  <si>
    <t>M &amp; E</t>
  </si>
  <si>
    <t>FUEL OIL COSTS</t>
  </si>
  <si>
    <t xml:space="preserve"> (ALLOCATE ON OWNERSHIP SHARE)</t>
  </si>
  <si>
    <t>TOTAL FUEL OIL</t>
  </si>
  <si>
    <t>X</t>
  </si>
  <si>
    <t>PRICE PER GAL</t>
  </si>
  <si>
    <t>EQUALS</t>
  </si>
  <si>
    <t>FA0162 ENTRY:</t>
  </si>
  <si>
    <t>DB  7600 - 5010023</t>
  </si>
  <si>
    <t>CR  7600 - 1510023</t>
  </si>
  <si>
    <t>NO-LOAD FUEL COSTS</t>
  </si>
  <si>
    <t>A)  CALCULATED BTU NO LOAD LOSSES REQUIRED TO MAINTAIN UNIT (MILLIONS) OR MINIMUM LOAD</t>
  </si>
  <si>
    <t>B)  AVERAGE BTU PER POUND OF COAL FIRED - CONESVILLE UNIT 4 (CURRENT MO)</t>
  </si>
  <si>
    <t>C)  AVERAGE COST OF COAL PER TON (CONSVILLE UNIT 4) CONSISTING OF:</t>
  </si>
  <si>
    <t xml:space="preserve">      I)   AVG. COST/TON - COAL INVENTORY - ACT 151(END OF MONTH)</t>
  </si>
  <si>
    <t xml:space="preserve">      II)  COAL BURNED - CONESVILLE UNIT 4 (CURRENT MONTH) - INTO PREVIOUS MONTH CHARGES </t>
  </si>
  <si>
    <t xml:space="preserve">              PREV MOS CHARGES </t>
  </si>
  <si>
    <t>DIVIDED BY TONS BURNED</t>
  </si>
  <si>
    <t xml:space="preserve">      III) TOTAL AVERAGE COST PER TON</t>
  </si>
  <si>
    <t>D)  HOURS OF OPERATION</t>
  </si>
  <si>
    <t xml:space="preserve">                ((A X 1,000,000) / (B X 2,000)) x C =</t>
  </si>
  <si>
    <t xml:space="preserve">                                            DOLLARS x D =</t>
  </si>
  <si>
    <t>NO LOAD FUEL COST (SHARED OWNERSHIP)</t>
  </si>
  <si>
    <t xml:space="preserve">                CALCULATION OF NO LOAD FUEL TONS: </t>
  </si>
  <si>
    <t>NO LOAD FUEL COST DIVIDED BY AVERAGE COST PER TON</t>
  </si>
  <si>
    <t>ALLOCATION OF NO-LOAD FUEL COST</t>
  </si>
  <si>
    <t>AVG COST/TON</t>
  </si>
  <si>
    <t>NO LOAD TONS</t>
  </si>
  <si>
    <t>=</t>
  </si>
  <si>
    <t>No-Load Fuel Cost</t>
  </si>
  <si>
    <t xml:space="preserve">                COAL</t>
  </si>
  <si>
    <t xml:space="preserve">                FUEL HDLG - LABOR</t>
  </si>
  <si>
    <t xml:space="preserve">                FUEL HDLG - M&amp;E</t>
  </si>
  <si>
    <t xml:space="preserve">                    TOTAL</t>
  </si>
  <si>
    <t>FA0197 ENTRY:</t>
  </si>
  <si>
    <t>DB  5010011  LABOR</t>
  </si>
  <si>
    <t>DB  5010011  M &amp; E</t>
  </si>
  <si>
    <t>DB  5010009  COAL</t>
  </si>
  <si>
    <t>CR  5010003  LABOR</t>
  </si>
  <si>
    <t>CR  5010003  M &amp; E</t>
  </si>
  <si>
    <t>CR  5010001  COAL</t>
  </si>
  <si>
    <t>COMPUTATION OF CONSUMED COAL FOR CONESVILLE UNIT 4</t>
  </si>
  <si>
    <t>OWNERSHIP %</t>
  </si>
  <si>
    <t>DPL    -</t>
  </si>
  <si>
    <t>GENERATION %</t>
  </si>
  <si>
    <t>A/C 5010001</t>
  </si>
  <si>
    <t>A/C 5010009 NO LOAD</t>
  </si>
  <si>
    <t>NET ENERGY</t>
  </si>
  <si>
    <t>NO LOAD COAL &amp; OIL</t>
  </si>
  <si>
    <t xml:space="preserve">CCPC TRANSFER </t>
  </si>
  <si>
    <t>CCD NET</t>
  </si>
  <si>
    <t>COAL PILE</t>
  </si>
  <si>
    <t>SPLIT BETWEEN</t>
  </si>
  <si>
    <t xml:space="preserve">CV4 </t>
  </si>
  <si>
    <t xml:space="preserve">CV 4 </t>
  </si>
  <si>
    <t xml:space="preserve">GENERATION </t>
  </si>
  <si>
    <t>OWNERSHIP</t>
  </si>
  <si>
    <t>CV 3 AND 4</t>
  </si>
  <si>
    <t xml:space="preserve">OWNERSHIP </t>
  </si>
  <si>
    <t xml:space="preserve">NET GENERATION </t>
  </si>
  <si>
    <t>CV 1-4 AND CV 5&amp;6</t>
  </si>
  <si>
    <t>BY STATION</t>
  </si>
  <si>
    <t>CV 3-4</t>
  </si>
  <si>
    <t>PICWAY</t>
  </si>
  <si>
    <t>CONESVILLE UNITS 3</t>
  </si>
  <si>
    <t>CONESVILLE UNIT 4</t>
  </si>
  <si>
    <t>CONESVILLE UNITS 3 - 4</t>
  </si>
  <si>
    <t>CONESVILLE UNIT 4 - CSP</t>
  </si>
  <si>
    <t>CONESVILLE UNIT 4 - CG&amp;E</t>
  </si>
  <si>
    <t>CONESVILLE UNIT 4 - DP&amp;L</t>
  </si>
  <si>
    <t>CONESVILLE UNITS  5&amp;6</t>
  </si>
  <si>
    <t>CCPC (RAW)</t>
  </si>
  <si>
    <t>CCPC (WASHED)</t>
  </si>
  <si>
    <t>check should be zero</t>
  </si>
  <si>
    <t>INPUT JOINT OWNED PLANT'S DATA</t>
  </si>
  <si>
    <t>STUART</t>
  </si>
  <si>
    <t>BECKJORD</t>
  </si>
  <si>
    <t>ZIMMER</t>
  </si>
  <si>
    <t>AMOUNT $</t>
  </si>
  <si>
    <t>MMBTU'S</t>
  </si>
  <si>
    <t>RECEIPTS:</t>
  </si>
  <si>
    <t xml:space="preserve">    FOB MINE</t>
  </si>
  <si>
    <t xml:space="preserve">    FREIGHT</t>
  </si>
  <si>
    <t xml:space="preserve">CONSUMED BY UNIT </t>
  </si>
  <si>
    <t xml:space="preserve">    UNIT 1</t>
  </si>
  <si>
    <t xml:space="preserve">    UNIT 2</t>
  </si>
  <si>
    <t xml:space="preserve">    UNIT 3</t>
  </si>
  <si>
    <t xml:space="preserve">    UNIT 4</t>
  </si>
  <si>
    <t xml:space="preserve">    UNIT 5</t>
  </si>
  <si>
    <t xml:space="preserve">    UNIT 6</t>
  </si>
  <si>
    <t>SURVEY ADJUSTMENT BY UNIT</t>
  </si>
  <si>
    <t>INPUT START UP AND NO LOAD DATA</t>
  </si>
  <si>
    <t>SURVEY: YES/NO</t>
  </si>
  <si>
    <t>NO</t>
  </si>
  <si>
    <t>BEGINNING BALANCES</t>
  </si>
  <si>
    <t xml:space="preserve">HOURS OF OPERATION CV 4 </t>
  </si>
  <si>
    <t xml:space="preserve">PLANT </t>
  </si>
  <si>
    <t>COST EXCL LEASE</t>
  </si>
  <si>
    <t>LEASE COST</t>
  </si>
  <si>
    <t>REQUIRED TO MAINTAIN UNIT (MILLIONS)</t>
  </si>
  <si>
    <t>CV 4</t>
  </si>
  <si>
    <t>PRELIMINARY COAL BTU FOR CV UNIT 4</t>
  </si>
  <si>
    <t>CV 4 CINERGY</t>
  </si>
  <si>
    <t>OIL BTU FOR CV UNIT 4</t>
  </si>
  <si>
    <t>CV 4 DP&amp;L</t>
  </si>
  <si>
    <t>INPUT COAL RATE USED IN NO  LOAD</t>
  </si>
  <si>
    <t>OPCO  -</t>
  </si>
  <si>
    <t xml:space="preserve">    DUKE -</t>
  </si>
  <si>
    <t>MITCHELL HIGH SULFUR COAL INVENTORY LEDGER</t>
  </si>
  <si>
    <t>MITCHELL HIGH SULFUR COAL CONSUMED BY UNIT</t>
  </si>
  <si>
    <t>MITCHELL LOW SULFUR COAL INVENTORY LEDGER</t>
  </si>
  <si>
    <t>MITCHELL HIGH SULFUR</t>
  </si>
  <si>
    <t>MITCHELL LOW SULFUR</t>
  </si>
  <si>
    <t>KENTUCKY POWER</t>
  </si>
  <si>
    <t>MITCHELL - KPCO COAL INVENTORY LEDGER</t>
  </si>
  <si>
    <t>MITCHELL - OPCO COAL INVENTORY LEDGER</t>
  </si>
  <si>
    <t>MITCHELL HIGH SULFUR - KPCO COAL INVENTORY LEDGER</t>
  </si>
  <si>
    <t>MITCHELL HIGH SULFUR - OPCO COAL INVENTORY LEDGER</t>
  </si>
  <si>
    <t>OPCO</t>
  </si>
  <si>
    <t xml:space="preserve">KPCO/OPCO </t>
  </si>
  <si>
    <t>KPCO</t>
  </si>
  <si>
    <t>MITCHELL LOW SULFUR - KPCO COAL INVENTORY LEDGER</t>
  </si>
  <si>
    <t>MITCHELL LOW SULFUR - OPCO COAL INVENTORY LEDGER</t>
  </si>
  <si>
    <t xml:space="preserve">KENTUCKY POWER </t>
  </si>
  <si>
    <t>OWNERSHIP GENERATION RATIOS</t>
  </si>
  <si>
    <t>HANDLING</t>
  </si>
  <si>
    <t>RECEIVED</t>
  </si>
  <si>
    <t>BU</t>
  </si>
  <si>
    <t>DEPT ID</t>
  </si>
  <si>
    <t>PC BU</t>
  </si>
  <si>
    <t>WORKORDER</t>
  </si>
  <si>
    <t>PROJECT ID</t>
  </si>
  <si>
    <t>DEBIT</t>
  </si>
  <si>
    <t>CREDIT</t>
  </si>
  <si>
    <t>ALLOCATION OF JOINT ACCOUNT BALANCES BETWEEN KPCO AND OPCO</t>
  </si>
  <si>
    <t>JE MI0305</t>
  </si>
  <si>
    <t>MITCHELL PLANT - OPCO SHARE:</t>
  </si>
  <si>
    <t>RATIO-UNIT 1</t>
  </si>
  <si>
    <t>RATIO-UNIT 2</t>
  </si>
  <si>
    <t>MIGHT NEED TO CHANGE IF HAS ACTIVIY</t>
  </si>
  <si>
    <t>UNIT 1 NET GEN</t>
  </si>
  <si>
    <t>UNIT 2 NET GEN</t>
  </si>
  <si>
    <t>TOTAL PLANT CURRENT MONTH</t>
  </si>
  <si>
    <t>WSNRG</t>
  </si>
  <si>
    <t>000001075</t>
  </si>
  <si>
    <t>G0001267</t>
  </si>
  <si>
    <t>RATIO-TOTAL PLANT</t>
  </si>
  <si>
    <t>MTD Change</t>
  </si>
  <si>
    <t>Price</t>
  </si>
  <si>
    <t>Volume</t>
  </si>
  <si>
    <t>Total</t>
  </si>
  <si>
    <t>High Sulfur</t>
  </si>
  <si>
    <t>Low Sulfur</t>
  </si>
  <si>
    <t>Variance</t>
  </si>
  <si>
    <t>s/b close to zero</t>
  </si>
  <si>
    <t xml:space="preserve"> -- USED FOR FEBRUARY 2013 SURVEY ONLY -- (a)</t>
  </si>
  <si>
    <t>01/01/2014 thru 02/05/2014</t>
  </si>
  <si>
    <t>09/18/2013  thru 12/31/2013</t>
  </si>
  <si>
    <t>&gt;  AEPGR assigned 100%</t>
  </si>
  <si>
    <t>&gt;  AEPGR &amp; KYP assigned respective Feb 2014 Net Take %'s</t>
  </si>
  <si>
    <t>Allocation basis</t>
  </si>
  <si>
    <t>(a) Survey period 09/18/2013 - 02/05/2014  -- Prorated based on tons consumed over survey period</t>
  </si>
  <si>
    <t>&lt; Don't Insert or delete any columns &gt;</t>
  </si>
  <si>
    <t>Only Rows permitted</t>
  </si>
  <si>
    <t>Descr:</t>
  </si>
  <si>
    <t>Unit</t>
  </si>
  <si>
    <t>Ledger</t>
  </si>
  <si>
    <t>Account</t>
  </si>
  <si>
    <t>Alt Account</t>
  </si>
  <si>
    <t>State/Juris</t>
  </si>
  <si>
    <t>Dept ID</t>
  </si>
  <si>
    <t>Currency</t>
  </si>
  <si>
    <t>Amount</t>
  </si>
  <si>
    <t>N/R</t>
  </si>
  <si>
    <t>Rate Type</t>
  </si>
  <si>
    <t>Rate</t>
  </si>
  <si>
    <t>Base Amount</t>
  </si>
  <si>
    <t>Stat</t>
  </si>
  <si>
    <t>Stat Amount</t>
  </si>
  <si>
    <t>Product</t>
  </si>
  <si>
    <t>Project</t>
  </si>
  <si>
    <t>Affiliate</t>
  </si>
  <si>
    <t>Scenario</t>
  </si>
  <si>
    <t>Reference</t>
  </si>
  <si>
    <t>Description</t>
  </si>
  <si>
    <t>Proj Unit</t>
  </si>
  <si>
    <t>Work Order</t>
  </si>
  <si>
    <t>Cost Comp</t>
  </si>
  <si>
    <t>ABM Activity</t>
  </si>
  <si>
    <t>Sub Cat</t>
  </si>
  <si>
    <t>Analysis</t>
  </si>
  <si>
    <t>Open Item Key</t>
  </si>
  <si>
    <t>Entry Event</t>
  </si>
  <si>
    <t>Speed Type</t>
  </si>
  <si>
    <t>Fund</t>
  </si>
  <si>
    <t>Program</t>
  </si>
  <si>
    <t>Class</t>
  </si>
  <si>
    <t>Budget Ref</t>
  </si>
  <si>
    <t>Book Code</t>
  </si>
  <si>
    <t>Chartfield 1</t>
  </si>
  <si>
    <t>Chartfield 2</t>
  </si>
  <si>
    <t>Chartfield 3</t>
  </si>
  <si>
    <t>Fund Aff</t>
  </si>
  <si>
    <t>OperUnit Aff</t>
  </si>
  <si>
    <t>IU Group</t>
  </si>
  <si>
    <t>IU Anchor</t>
  </si>
  <si>
    <t>ACTUALS</t>
  </si>
  <si>
    <t>USD</t>
  </si>
  <si>
    <t>WSN100526</t>
  </si>
  <si>
    <t>ACT</t>
  </si>
  <si>
    <t>To reclass AEPGR Share of Mitchell current month net changes to BU 181, including offset for AR/AP gross-up netting.</t>
  </si>
  <si>
    <t>AEPGR Share of Mitchell Coal</t>
  </si>
  <si>
    <t>AEPGR Share of Mitchell Oil</t>
  </si>
  <si>
    <t>AEPGR Share of Mitchell Handling</t>
  </si>
  <si>
    <t>OIL</t>
  </si>
  <si>
    <t>LIMESTONE</t>
  </si>
  <si>
    <t>UREA</t>
  </si>
  <si>
    <t>Coal</t>
  </si>
  <si>
    <t>Oil</t>
  </si>
  <si>
    <t>Handling</t>
  </si>
  <si>
    <t>Limestone</t>
  </si>
  <si>
    <t>Urea</t>
  </si>
  <si>
    <t>AEPGR Share of Mitchell Limestone</t>
  </si>
  <si>
    <t>AEPGR Share of Mitchell Urea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</si>
</sst>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_);\(0.00\)"/>
    <numFmt numFmtId="166" formatCode="#,##0.0000_);\(#,##0.0000\)"/>
    <numFmt numFmtId="167" formatCode="0_);\(0\)"/>
    <numFmt numFmtId="168" formatCode="0.0000"/>
    <numFmt numFmtId="169" formatCode="0.0000%"/>
    <numFmt numFmtId="170" formatCode="0.000000%"/>
    <numFmt numFmtId="171" formatCode="#,##0.000_);\(#,##0.000\)"/>
    <numFmt numFmtId="172" formatCode="#,##0.000000_);\(#,##0.000000\)"/>
    <numFmt numFmtId="173" formatCode="_(* #,##0_);_(* \(#,##0\);_(* &quot;-&quot;??_);_(@_)"/>
    <numFmt numFmtId="174" formatCode="&quot;$&quot;#,##0.0000_);\(&quot;$&quot;#,##0.0000\)"/>
    <numFmt numFmtId="175" formatCode="&quot;$&quot;#,##0.00"/>
    <numFmt numFmtId="176" formatCode="0.0000000000%"/>
    <numFmt numFmtId="177" formatCode="0.000%"/>
    <numFmt numFmtId="178" formatCode="#,##0.00000_);\(#,##0.00000\)"/>
    <numFmt numFmtId="179" formatCode="_(* #,##0.0_);_(* \(#,##0.0\);_(* &quot;-&quot;??_);_(@_)"/>
    <numFmt numFmtId="180" formatCode="#,##0.0000000000000_);\(#,##0.0000000000000\)"/>
  </numFmts>
  <fonts count="64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2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u val="single"/>
      <sz val="10"/>
      <name val="Arial MT"/>
      <family val="0"/>
    </font>
    <font>
      <sz val="10"/>
      <color indexed="56"/>
      <name val="Arial"/>
      <family val="2"/>
    </font>
    <font>
      <u val="single"/>
      <sz val="10"/>
      <color indexed="14"/>
      <name val="Arial MT"/>
      <family val="0"/>
    </font>
    <font>
      <u val="single"/>
      <sz val="10"/>
      <name val="Arial"/>
      <family val="2"/>
    </font>
    <font>
      <sz val="10"/>
      <name val="Arial MT"/>
      <family val="0"/>
    </font>
    <font>
      <sz val="10"/>
      <color indexed="8"/>
      <name val="Arial"/>
      <family val="2"/>
    </font>
    <font>
      <sz val="10"/>
      <color indexed="47"/>
      <name val="Arial"/>
      <family val="2"/>
    </font>
    <font>
      <sz val="10"/>
      <color indexed="20"/>
      <name val="Arial"/>
      <family val="2"/>
    </font>
    <font>
      <b/>
      <sz val="10"/>
      <color indexed="47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4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C0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0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39" fontId="2" fillId="0" borderId="11" xfId="0" applyNumberFormat="1" applyFont="1" applyBorder="1" applyAlignment="1">
      <alignment/>
    </xf>
    <xf numFmtId="39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39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39" fontId="3" fillId="33" borderId="11" xfId="0" applyNumberFormat="1" applyFont="1" applyFill="1" applyBorder="1" applyAlignment="1">
      <alignment/>
    </xf>
    <xf numFmtId="39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39" fontId="5" fillId="0" borderId="0" xfId="0" applyNumberFormat="1" applyFont="1" applyAlignment="1">
      <alignment/>
    </xf>
    <xf numFmtId="39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67" fontId="0" fillId="33" borderId="0" xfId="0" applyNumberFormat="1" applyFill="1" applyAlignment="1">
      <alignment/>
    </xf>
    <xf numFmtId="37" fontId="0" fillId="0" borderId="12" xfId="0" applyNumberForma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9" fontId="2" fillId="0" borderId="11" xfId="0" applyNumberFormat="1" applyFont="1" applyFill="1" applyBorder="1" applyAlignment="1">
      <alignment/>
    </xf>
    <xf numFmtId="37" fontId="2" fillId="0" borderId="12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39" fontId="0" fillId="33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39" fontId="2" fillId="33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9" fontId="5" fillId="0" borderId="0" xfId="0" applyNumberFormat="1" applyFont="1" applyAlignment="1">
      <alignment/>
    </xf>
    <xf numFmtId="169" fontId="0" fillId="0" borderId="12" xfId="0" applyNumberFormat="1" applyBorder="1" applyAlignment="1">
      <alignment/>
    </xf>
    <xf numFmtId="39" fontId="0" fillId="0" borderId="12" xfId="0" applyNumberFormat="1" applyFill="1" applyBorder="1" applyAlignment="1">
      <alignment/>
    </xf>
    <xf numFmtId="39" fontId="2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9" fontId="0" fillId="0" borderId="11" xfId="0" applyNumberFormat="1" applyFont="1" applyBorder="1" applyAlignment="1">
      <alignment/>
    </xf>
    <xf numFmtId="37" fontId="0" fillId="0" borderId="0" xfId="0" applyNumberFormat="1" applyFill="1" applyBorder="1" applyAlignment="1">
      <alignment/>
    </xf>
    <xf numFmtId="37" fontId="2" fillId="0" borderId="0" xfId="0" applyNumberFormat="1" applyFont="1" applyFill="1" applyAlignment="1">
      <alignment/>
    </xf>
    <xf numFmtId="39" fontId="12" fillId="0" borderId="0" xfId="0" applyNumberFormat="1" applyFont="1" applyFill="1" applyAlignment="1">
      <alignment/>
    </xf>
    <xf numFmtId="39" fontId="12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7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29" xfId="0" applyBorder="1" applyAlignment="1">
      <alignment wrapText="1"/>
    </xf>
    <xf numFmtId="14" fontId="0" fillId="0" borderId="29" xfId="0" applyNumberFormat="1" applyBorder="1" applyAlignment="1">
      <alignment/>
    </xf>
    <xf numFmtId="0" fontId="0" fillId="0" borderId="19" xfId="0" applyBorder="1" applyAlignment="1">
      <alignment/>
    </xf>
    <xf numFmtId="3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4" fontId="0" fillId="0" borderId="29" xfId="0" applyNumberFormat="1" applyBorder="1" applyAlignment="1" quotePrefix="1">
      <alignment/>
    </xf>
    <xf numFmtId="0" fontId="8" fillId="0" borderId="29" xfId="56" applyFont="1" applyBorder="1" applyAlignment="1" applyProtection="1">
      <alignment wrapText="1"/>
      <protection/>
    </xf>
    <xf numFmtId="0" fontId="0" fillId="0" borderId="19" xfId="0" applyFill="1" applyBorder="1" applyAlignment="1">
      <alignment/>
    </xf>
    <xf numFmtId="43" fontId="0" fillId="0" borderId="19" xfId="42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2" fillId="0" borderId="0" xfId="0" applyFont="1" applyAlignment="1">
      <alignment/>
    </xf>
    <xf numFmtId="39" fontId="0" fillId="0" borderId="11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164" fontId="1" fillId="0" borderId="30" xfId="0" applyNumberFormat="1" applyFont="1" applyBorder="1" applyAlignment="1">
      <alignment/>
    </xf>
    <xf numFmtId="37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37" fontId="0" fillId="0" borderId="0" xfId="0" applyNumberFormat="1" applyFont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37" fontId="0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7" fontId="0" fillId="0" borderId="12" xfId="0" applyNumberFormat="1" applyFont="1" applyBorder="1" applyAlignment="1" applyProtection="1">
      <alignment/>
      <protection/>
    </xf>
    <xf numFmtId="7" fontId="12" fillId="0" borderId="0" xfId="0" applyNumberFormat="1" applyFont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174" fontId="0" fillId="0" borderId="0" xfId="0" applyNumberFormat="1" applyFont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39" fontId="0" fillId="0" borderId="14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39" fontId="0" fillId="0" borderId="28" xfId="0" applyNumberFormat="1" applyFont="1" applyFill="1" applyBorder="1" applyAlignment="1" applyProtection="1">
      <alignment/>
      <protection/>
    </xf>
    <xf numFmtId="37" fontId="16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74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39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 locked="0"/>
    </xf>
    <xf numFmtId="7" fontId="0" fillId="0" borderId="0" xfId="0" applyNumberFormat="1" applyFont="1" applyAlignment="1" applyProtection="1">
      <alignment/>
      <protection locked="0"/>
    </xf>
    <xf numFmtId="7" fontId="0" fillId="0" borderId="0" xfId="0" applyNumberFormat="1" applyFont="1" applyAlignment="1" applyProtection="1">
      <alignment/>
      <protection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174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3" fontId="0" fillId="0" borderId="0" xfId="44" applyFont="1" applyAlignment="1" applyProtection="1">
      <alignment horizontal="right"/>
      <protection/>
    </xf>
    <xf numFmtId="7" fontId="0" fillId="0" borderId="0" xfId="0" applyNumberFormat="1" applyFont="1" applyAlignment="1" applyProtection="1">
      <alignment horizontal="center"/>
      <protection locked="0"/>
    </xf>
    <xf numFmtId="43" fontId="0" fillId="0" borderId="11" xfId="44" applyFont="1" applyBorder="1" applyAlignment="1" applyProtection="1">
      <alignment horizontal="right"/>
      <protection/>
    </xf>
    <xf numFmtId="174" fontId="0" fillId="0" borderId="12" xfId="0" applyNumberFormat="1" applyFont="1" applyBorder="1" applyAlignment="1" applyProtection="1">
      <alignment horizontal="right"/>
      <protection/>
    </xf>
    <xf numFmtId="43" fontId="0" fillId="0" borderId="12" xfId="44" applyFont="1" applyBorder="1" applyAlignment="1" applyProtection="1">
      <alignment horizontal="right"/>
      <protection/>
    </xf>
    <xf numFmtId="175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43" fontId="0" fillId="0" borderId="14" xfId="44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3" fontId="0" fillId="0" borderId="0" xfId="44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3" fontId="0" fillId="0" borderId="17" xfId="44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43" fontId="0" fillId="0" borderId="28" xfId="44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1" fillId="0" borderId="34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/>
    </xf>
    <xf numFmtId="169" fontId="0" fillId="0" borderId="29" xfId="0" applyNumberFormat="1" applyFont="1" applyFill="1" applyBorder="1" applyAlignment="1" applyProtection="1">
      <alignment horizontal="center"/>
      <protection/>
    </xf>
    <xf numFmtId="176" fontId="0" fillId="0" borderId="29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39" fontId="0" fillId="0" borderId="0" xfId="0" applyNumberFormat="1" applyFont="1" applyAlignment="1" applyProtection="1">
      <alignment/>
      <protection/>
    </xf>
    <xf numFmtId="39" fontId="0" fillId="0" borderId="11" xfId="0" applyNumberFormat="1" applyFont="1" applyBorder="1" applyAlignment="1" applyProtection="1">
      <alignment/>
      <protection/>
    </xf>
    <xf numFmtId="39" fontId="0" fillId="0" borderId="12" xfId="0" applyNumberFormat="1" applyFont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7" fontId="0" fillId="0" borderId="14" xfId="0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7" fontId="0" fillId="0" borderId="15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7" fontId="6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7" fontId="6" fillId="0" borderId="28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9" fontId="0" fillId="0" borderId="0" xfId="0" applyNumberFormat="1" applyFont="1" applyAlignment="1">
      <alignment/>
    </xf>
    <xf numFmtId="173" fontId="3" fillId="33" borderId="0" xfId="44" applyNumberFormat="1" applyFont="1" applyFill="1" applyAlignment="1">
      <alignment/>
    </xf>
    <xf numFmtId="169" fontId="2" fillId="0" borderId="0" xfId="0" applyNumberFormat="1" applyFont="1" applyAlignment="1">
      <alignment/>
    </xf>
    <xf numFmtId="3" fontId="3" fillId="33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73" fontId="5" fillId="0" borderId="0" xfId="44" applyNumberFormat="1" applyFont="1" applyFill="1" applyAlignment="1">
      <alignment/>
    </xf>
    <xf numFmtId="39" fontId="0" fillId="0" borderId="0" xfId="0" applyNumberFormat="1" applyFont="1" applyBorder="1" applyAlignment="1" applyProtection="1">
      <alignment/>
      <protection/>
    </xf>
    <xf numFmtId="173" fontId="0" fillId="0" borderId="0" xfId="0" applyNumberFormat="1" applyAlignment="1">
      <alignment/>
    </xf>
    <xf numFmtId="39" fontId="22" fillId="0" borderId="0" xfId="0" applyNumberFormat="1" applyFont="1" applyBorder="1" applyAlignment="1" applyProtection="1">
      <alignment/>
      <protection/>
    </xf>
    <xf numFmtId="39" fontId="2" fillId="0" borderId="36" xfId="0" applyNumberFormat="1" applyFont="1" applyFill="1" applyBorder="1" applyAlignment="1" applyProtection="1">
      <alignment/>
      <protection/>
    </xf>
    <xf numFmtId="39" fontId="23" fillId="33" borderId="0" xfId="0" applyNumberFormat="1" applyFont="1" applyFill="1" applyAlignment="1">
      <alignment/>
    </xf>
    <xf numFmtId="43" fontId="2" fillId="34" borderId="0" xfId="44" applyFont="1" applyFill="1" applyAlignment="1">
      <alignment horizontal="right"/>
    </xf>
    <xf numFmtId="39" fontId="2" fillId="34" borderId="0" xfId="0" applyNumberFormat="1" applyFont="1" applyFill="1" applyAlignment="1">
      <alignment/>
    </xf>
    <xf numFmtId="39" fontId="24" fillId="0" borderId="36" xfId="0" applyNumberFormat="1" applyFont="1" applyFill="1" applyBorder="1" applyAlignment="1" applyProtection="1">
      <alignment/>
      <protection/>
    </xf>
    <xf numFmtId="39" fontId="23" fillId="33" borderId="11" xfId="0" applyNumberFormat="1" applyFont="1" applyFill="1" applyBorder="1" applyAlignment="1">
      <alignment/>
    </xf>
    <xf numFmtId="43" fontId="0" fillId="34" borderId="0" xfId="44" applyFont="1" applyFill="1" applyAlignment="1">
      <alignment horizontal="right"/>
    </xf>
    <xf numFmtId="43" fontId="2" fillId="33" borderId="0" xfId="44" applyFont="1" applyFill="1" applyAlignment="1">
      <alignment horizontal="right"/>
    </xf>
    <xf numFmtId="39" fontId="3" fillId="33" borderId="0" xfId="0" applyNumberFormat="1" applyFont="1" applyFill="1" applyAlignment="1">
      <alignment/>
    </xf>
    <xf numFmtId="39" fontId="0" fillId="0" borderId="37" xfId="0" applyNumberFormat="1" applyBorder="1" applyAlignment="1">
      <alignment/>
    </xf>
    <xf numFmtId="39" fontId="2" fillId="0" borderId="12" xfId="0" applyNumberFormat="1" applyFont="1" applyBorder="1" applyAlignment="1">
      <alignment/>
    </xf>
    <xf numFmtId="39" fontId="5" fillId="0" borderId="0" xfId="0" applyNumberFormat="1" applyFont="1" applyFill="1" applyBorder="1" applyAlignment="1">
      <alignment/>
    </xf>
    <xf numFmtId="165" fontId="0" fillId="33" borderId="0" xfId="0" applyNumberFormat="1" applyFill="1" applyAlignment="1">
      <alignment/>
    </xf>
    <xf numFmtId="43" fontId="0" fillId="0" borderId="12" xfId="44" applyFont="1" applyBorder="1" applyAlignment="1">
      <alignment/>
    </xf>
    <xf numFmtId="165" fontId="0" fillId="0" borderId="12" xfId="0" applyNumberForma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5" fillId="0" borderId="39" xfId="0" applyNumberFormat="1" applyFont="1" applyBorder="1" applyAlignment="1">
      <alignment horizontal="center"/>
    </xf>
    <xf numFmtId="0" fontId="0" fillId="0" borderId="13" xfId="0" applyFont="1" applyBorder="1" applyAlignment="1" applyProtection="1">
      <alignment/>
      <protection locked="0"/>
    </xf>
    <xf numFmtId="39" fontId="5" fillId="0" borderId="15" xfId="0" applyNumberFormat="1" applyFont="1" applyBorder="1" applyAlignment="1" applyProtection="1">
      <alignment/>
      <protection locked="0"/>
    </xf>
    <xf numFmtId="173" fontId="5" fillId="0" borderId="17" xfId="44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9" fontId="0" fillId="33" borderId="14" xfId="0" applyNumberFormat="1" applyFill="1" applyBorder="1" applyAlignment="1">
      <alignment/>
    </xf>
    <xf numFmtId="39" fontId="3" fillId="33" borderId="15" xfId="0" applyNumberFormat="1" applyFont="1" applyFill="1" applyBorder="1" applyAlignment="1">
      <alignment/>
    </xf>
    <xf numFmtId="39" fontId="3" fillId="33" borderId="17" xfId="0" applyNumberFormat="1" applyFont="1" applyFill="1" applyBorder="1" applyAlignment="1">
      <alignment/>
    </xf>
    <xf numFmtId="39" fontId="5" fillId="0" borderId="0" xfId="0" applyNumberFormat="1" applyFont="1" applyBorder="1" applyAlignment="1">
      <alignment/>
    </xf>
    <xf numFmtId="39" fontId="5" fillId="0" borderId="10" xfId="0" applyNumberFormat="1" applyFont="1" applyBorder="1" applyAlignment="1">
      <alignment/>
    </xf>
    <xf numFmtId="39" fontId="3" fillId="33" borderId="28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43" fontId="2" fillId="0" borderId="28" xfId="44" applyNumberFormat="1" applyFont="1" applyBorder="1" applyAlignment="1">
      <alignment/>
    </xf>
    <xf numFmtId="0" fontId="12" fillId="0" borderId="16" xfId="0" applyFont="1" applyFill="1" applyBorder="1" applyAlignment="1">
      <alignment/>
    </xf>
    <xf numFmtId="37" fontId="2" fillId="34" borderId="17" xfId="0" applyNumberFormat="1" applyFont="1" applyFill="1" applyBorder="1" applyAlignment="1">
      <alignment/>
    </xf>
    <xf numFmtId="37" fontId="6" fillId="34" borderId="0" xfId="0" applyNumberFormat="1" applyFont="1" applyFill="1" applyBorder="1" applyAlignment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7" fontId="59" fillId="34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9" fontId="0" fillId="34" borderId="0" xfId="0" applyNumberFormat="1" applyFont="1" applyFill="1" applyAlignment="1" applyProtection="1">
      <alignment/>
      <protection/>
    </xf>
    <xf numFmtId="43" fontId="0" fillId="0" borderId="0" xfId="42" applyFont="1" applyAlignment="1">
      <alignment/>
    </xf>
    <xf numFmtId="39" fontId="60" fillId="0" borderId="0" xfId="0" applyNumberFormat="1" applyFont="1" applyAlignment="1">
      <alignment/>
    </xf>
    <xf numFmtId="39" fontId="60" fillId="0" borderId="11" xfId="0" applyNumberFormat="1" applyFont="1" applyBorder="1" applyAlignment="1">
      <alignment/>
    </xf>
    <xf numFmtId="39" fontId="60" fillId="0" borderId="11" xfId="0" applyNumberFormat="1" applyFont="1" applyFill="1" applyBorder="1" applyAlignment="1">
      <alignment/>
    </xf>
    <xf numFmtId="39" fontId="0" fillId="33" borderId="11" xfId="0" applyNumberFormat="1" applyFont="1" applyFill="1" applyBorder="1" applyAlignment="1">
      <alignment/>
    </xf>
    <xf numFmtId="37" fontId="2" fillId="33" borderId="12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9" fontId="61" fillId="0" borderId="0" xfId="0" applyNumberFormat="1" applyFont="1" applyAlignment="1">
      <alignment/>
    </xf>
    <xf numFmtId="39" fontId="6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3" fontId="2" fillId="0" borderId="0" xfId="42" applyFont="1" applyAlignment="1">
      <alignment/>
    </xf>
    <xf numFmtId="43" fontId="2" fillId="0" borderId="11" xfId="42" applyFont="1" applyBorder="1" applyAlignment="1">
      <alignment/>
    </xf>
    <xf numFmtId="43" fontId="1" fillId="0" borderId="0" xfId="42" applyFont="1" applyAlignment="1">
      <alignment/>
    </xf>
    <xf numFmtId="49" fontId="0" fillId="0" borderId="0" xfId="0" applyNumberFormat="1" applyAlignment="1">
      <alignment horizontal="center"/>
    </xf>
    <xf numFmtId="43" fontId="1" fillId="0" borderId="0" xfId="0" applyNumberFormat="1" applyFont="1" applyAlignment="1">
      <alignment/>
    </xf>
    <xf numFmtId="0" fontId="0" fillId="34" borderId="0" xfId="0" applyFill="1" applyAlignment="1">
      <alignment horizontal="center"/>
    </xf>
    <xf numFmtId="39" fontId="61" fillId="0" borderId="11" xfId="0" applyNumberFormat="1" applyFont="1" applyBorder="1" applyAlignment="1">
      <alignment/>
    </xf>
    <xf numFmtId="0" fontId="58" fillId="34" borderId="19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178" fontId="0" fillId="0" borderId="0" xfId="0" applyNumberFormat="1" applyAlignment="1">
      <alignment/>
    </xf>
    <xf numFmtId="0" fontId="0" fillId="35" borderId="0" xfId="0" applyFill="1" applyAlignment="1">
      <alignment/>
    </xf>
    <xf numFmtId="0" fontId="1" fillId="35" borderId="11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73" fontId="0" fillId="35" borderId="0" xfId="42" applyNumberFormat="1" applyFont="1" applyFill="1" applyAlignment="1">
      <alignment/>
    </xf>
    <xf numFmtId="173" fontId="0" fillId="35" borderId="11" xfId="42" applyNumberFormat="1" applyFont="1" applyFill="1" applyBorder="1" applyAlignment="1">
      <alignment/>
    </xf>
    <xf numFmtId="0" fontId="1" fillId="35" borderId="0" xfId="0" applyFont="1" applyFill="1" applyAlignment="1">
      <alignment horizontal="left"/>
    </xf>
    <xf numFmtId="0" fontId="1" fillId="35" borderId="0" xfId="0" applyFont="1" applyFill="1" applyBorder="1" applyAlignment="1">
      <alignment horizontal="center"/>
    </xf>
    <xf numFmtId="39" fontId="61" fillId="35" borderId="0" xfId="0" applyNumberFormat="1" applyFont="1" applyFill="1" applyAlignment="1">
      <alignment/>
    </xf>
    <xf numFmtId="39" fontId="0" fillId="35" borderId="0" xfId="0" applyNumberFormat="1" applyFill="1" applyAlignment="1">
      <alignment/>
    </xf>
    <xf numFmtId="39" fontId="61" fillId="35" borderId="11" xfId="0" applyNumberFormat="1" applyFont="1" applyFill="1" applyBorder="1" applyAlignment="1">
      <alignment/>
    </xf>
    <xf numFmtId="39" fontId="0" fillId="35" borderId="11" xfId="0" applyNumberFormat="1" applyFill="1" applyBorder="1" applyAlignment="1">
      <alignment/>
    </xf>
    <xf numFmtId="39" fontId="0" fillId="35" borderId="0" xfId="0" applyNumberFormat="1" applyFont="1" applyFill="1" applyAlignment="1">
      <alignment/>
    </xf>
    <xf numFmtId="177" fontId="0" fillId="35" borderId="0" xfId="0" applyNumberFormat="1" applyFill="1" applyAlignment="1">
      <alignment/>
    </xf>
    <xf numFmtId="0" fontId="0" fillId="36" borderId="0" xfId="0" applyFont="1" applyFill="1" applyAlignment="1" quotePrefix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/>
    </xf>
    <xf numFmtId="0" fontId="8" fillId="0" borderId="0" xfId="56" applyAlignment="1" applyProtection="1">
      <alignment horizontal="center"/>
      <protection/>
    </xf>
    <xf numFmtId="0" fontId="58" fillId="0" borderId="0" xfId="0" applyNumberFormat="1" applyFont="1" applyAlignment="1" applyProtection="1">
      <alignment/>
      <protection locked="0"/>
    </xf>
    <xf numFmtId="0" fontId="25" fillId="0" borderId="0" xfId="0" applyNumberFormat="1" applyFont="1" applyAlignment="1" applyProtection="1">
      <alignment/>
      <protection locked="0"/>
    </xf>
    <xf numFmtId="43" fontId="25" fillId="0" borderId="0" xfId="45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43" fontId="0" fillId="0" borderId="0" xfId="45" applyFont="1" applyAlignment="1">
      <alignment/>
    </xf>
    <xf numFmtId="0" fontId="0" fillId="37" borderId="14" xfId="0" applyNumberFormat="1" applyFont="1" applyFill="1" applyBorder="1" applyAlignment="1">
      <alignment horizontal="center"/>
    </xf>
    <xf numFmtId="43" fontId="0" fillId="37" borderId="14" xfId="45" applyFont="1" applyFill="1" applyBorder="1" applyAlignment="1">
      <alignment horizontal="center"/>
    </xf>
    <xf numFmtId="0" fontId="0" fillId="37" borderId="4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3" fontId="0" fillId="0" borderId="0" xfId="45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43" fontId="1" fillId="0" borderId="0" xfId="45" applyFont="1" applyFill="1" applyAlignment="1">
      <alignment horizontal="left"/>
    </xf>
    <xf numFmtId="43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45" applyFont="1" applyAlignment="1">
      <alignment horizontal="left"/>
    </xf>
    <xf numFmtId="0" fontId="0" fillId="0" borderId="0" xfId="0" applyFill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62" fillId="0" borderId="0" xfId="0" applyNumberFormat="1" applyFont="1" applyAlignment="1" quotePrefix="1">
      <alignment horizontal="center"/>
    </xf>
    <xf numFmtId="164" fontId="62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63" fillId="0" borderId="0" xfId="0" applyFont="1" applyAlignment="1" quotePrefix="1">
      <alignment horizontal="center"/>
    </xf>
    <xf numFmtId="0" fontId="4" fillId="35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right"/>
      <protection/>
    </xf>
    <xf numFmtId="0" fontId="1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4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7CO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INV03OI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INV03HANDLING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INV03LIMESTON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INV03UR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CD10S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CD10ZIMBJCOALOI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V07O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7BIODIES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7OI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EC03CO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87">
          <cell r="E87">
            <v>11684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ITCHELL"/>
      <sheetName val="MITCHELL_KP_OP"/>
      <sheetName val="CONTROLS"/>
      <sheetName val="Risk Assessment"/>
      <sheetName val="Complex SS Info"/>
    </sheetNames>
    <sheetDataSet>
      <sheetData sheetId="1">
        <row r="30">
          <cell r="C30">
            <v>-113.54300290020183</v>
          </cell>
        </row>
        <row r="38">
          <cell r="C38">
            <v>187264.1269971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MITCHELL"/>
      <sheetName val="MITCHELL_KP_OP"/>
      <sheetName val="CONTROLS"/>
    </sheetNames>
    <sheetDataSet>
      <sheetData sheetId="2">
        <row r="31">
          <cell r="C31">
            <v>285287.28000000014</v>
          </cell>
        </row>
        <row r="40">
          <cell r="C40">
            <v>390143.6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"/>
      <sheetName val="MITCHELL PM"/>
      <sheetName val="AP DIST CONTROL"/>
      <sheetName val="BIG SANDY CM"/>
      <sheetName val="BIG SANDY PM"/>
    </sheetNames>
    <sheetDataSet>
      <sheetData sheetId="2">
        <row r="3">
          <cell r="A3" t="str">
            <v>FEBRUARY 2014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PUTS "/>
      <sheetName val="MITCHELL"/>
      <sheetName val="MITCHELL_KP_OP"/>
      <sheetName val="CONTROLS"/>
      <sheetName val="Risk Assesment"/>
      <sheetName val="Complex SS Info"/>
    </sheetNames>
    <sheetDataSet>
      <sheetData sheetId="2">
        <row r="26">
          <cell r="C26">
            <v>6818.5099999997765</v>
          </cell>
        </row>
        <row r="30">
          <cell r="C30">
            <v>52686.15</v>
          </cell>
        </row>
        <row r="31">
          <cell r="C31">
            <v>179729.41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ITCHELL"/>
      <sheetName val="MITCHELL_KP_OP"/>
      <sheetName val="CONTROLS"/>
      <sheetName val="Risk Assessment"/>
      <sheetName val="Complex SS Info"/>
    </sheetNames>
    <sheetDataSet>
      <sheetData sheetId="1">
        <row r="26">
          <cell r="C26">
            <v>-377.22000000000116</v>
          </cell>
        </row>
        <row r="30">
          <cell r="C30">
            <v>23340.35</v>
          </cell>
        </row>
        <row r="31">
          <cell r="C31">
            <v>99577.85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 INVOICE"/>
      <sheetName val="ALLOCATION %"/>
      <sheetName val="COAL INVENTORY"/>
      <sheetName val="OIL INVENTORY"/>
      <sheetName val="GAIN LOSS SUMM"/>
      <sheetName val="SUMMARY"/>
      <sheetName val="BTU STATs"/>
      <sheetName val="STORES INVENTORY"/>
      <sheetName val="FUEL STATS"/>
    </sheetNames>
    <sheetDataSet>
      <sheetData sheetId="2">
        <row r="15">
          <cell r="N15">
            <v>4622767.28</v>
          </cell>
        </row>
        <row r="16">
          <cell r="N16">
            <v>768452.81</v>
          </cell>
        </row>
        <row r="31">
          <cell r="M31">
            <v>0</v>
          </cell>
          <cell r="N31">
            <v>0</v>
          </cell>
        </row>
        <row r="32">
          <cell r="M32">
            <v>0</v>
          </cell>
          <cell r="N32">
            <v>0</v>
          </cell>
        </row>
        <row r="33">
          <cell r="M33">
            <v>0</v>
          </cell>
          <cell r="N33">
            <v>0</v>
          </cell>
        </row>
        <row r="34">
          <cell r="M34">
            <v>0</v>
          </cell>
          <cell r="N34">
            <v>0</v>
          </cell>
        </row>
        <row r="39">
          <cell r="M39">
            <v>131161</v>
          </cell>
          <cell r="N39">
            <v>301867.35</v>
          </cell>
        </row>
        <row r="40">
          <cell r="M40">
            <v>296669</v>
          </cell>
          <cell r="N40">
            <v>684327.06</v>
          </cell>
        </row>
        <row r="41">
          <cell r="M41">
            <v>742835</v>
          </cell>
          <cell r="N41">
            <v>1835824.38</v>
          </cell>
        </row>
        <row r="42">
          <cell r="M42">
            <v>892188</v>
          </cell>
          <cell r="N42">
            <v>2057490.73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P&amp;L Fuel Bill"/>
      <sheetName val="CSP Fuel Bill"/>
      <sheetName val="summary by station"/>
      <sheetName val="Coal - 100%"/>
      <sheetName val="Coal - Owner"/>
      <sheetName val="Beckjord - 100%"/>
      <sheetName val="Beckjord - Owner"/>
      <sheetName val="Oil - 100%"/>
      <sheetName val="Oil - Owner"/>
      <sheetName val="Lime - 100%"/>
      <sheetName val="M&amp;S BJ"/>
      <sheetName val="M&amp;S MF"/>
      <sheetName val="M&amp;S ZIM"/>
      <sheetName val="DPL Leases"/>
      <sheetName val="OPC Leases"/>
      <sheetName val="Zimmer Gas Consumption"/>
    </sheetNames>
    <sheetDataSet>
      <sheetData sheetId="4">
        <row r="37">
          <cell r="H37">
            <v>3558373.090000006</v>
          </cell>
          <cell r="I37">
            <v>1718852.1704371704</v>
          </cell>
        </row>
        <row r="39">
          <cell r="H39">
            <v>-2986470.4500000007</v>
          </cell>
          <cell r="I39">
            <v>-1449620.0100907704</v>
          </cell>
        </row>
        <row r="40">
          <cell r="H40">
            <v>-16085.269999999999</v>
          </cell>
          <cell r="I40">
            <v>-8620.92970058</v>
          </cell>
        </row>
      </sheetData>
      <sheetData sheetId="6">
        <row r="8">
          <cell r="H8">
            <v>100546.87</v>
          </cell>
          <cell r="I8">
            <v>25792.855766779998</v>
          </cell>
        </row>
        <row r="9">
          <cell r="H9">
            <v>-34047.21</v>
          </cell>
          <cell r="I9">
            <v>-12153.53977327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GAVIN"/>
      <sheetName val="KAMMER"/>
      <sheetName val="MITCHELL"/>
      <sheetName val="MUSK 1_4"/>
      <sheetName val="MUSK 5"/>
      <sheetName val="PICWAY"/>
      <sheetName val="CV 1-3"/>
      <sheetName val="CV 4"/>
      <sheetName val="CV 4 CCD"/>
      <sheetName val="CV 5&amp;6"/>
      <sheetName val="TOTAL CONESVILLE"/>
      <sheetName val="STUART"/>
      <sheetName val="BECKJORD"/>
      <sheetName val="ZIMMER"/>
      <sheetName val="CONTROLS"/>
      <sheetName val="Risk Assessment"/>
      <sheetName val="Complex SS Info"/>
    </sheetNames>
    <sheetDataSet>
      <sheetData sheetId="8">
        <row r="11">
          <cell r="D11">
            <v>3.0673</v>
          </cell>
        </row>
        <row r="17">
          <cell r="E17">
            <v>136900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29">
          <cell r="E2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36">
          <cell r="E36">
            <v>614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0">
        <row r="21">
          <cell r="B21">
            <v>20730</v>
          </cell>
          <cell r="C21">
            <v>82937</v>
          </cell>
        </row>
        <row r="22">
          <cell r="B22">
            <v>24999</v>
          </cell>
          <cell r="C22">
            <v>112883</v>
          </cell>
        </row>
        <row r="30">
          <cell r="B30">
            <v>-180</v>
          </cell>
          <cell r="C30">
            <v>-350</v>
          </cell>
        </row>
        <row r="31">
          <cell r="B31">
            <v>12070</v>
          </cell>
          <cell r="C31">
            <v>23037</v>
          </cell>
        </row>
      </sheetData>
      <sheetData sheetId="1">
        <row r="7">
          <cell r="C7">
            <v>311359.86</v>
          </cell>
          <cell r="D7">
            <v>358586.1</v>
          </cell>
        </row>
        <row r="12">
          <cell r="C12">
            <v>137385.1</v>
          </cell>
          <cell r="D12">
            <v>6749.1</v>
          </cell>
        </row>
        <row r="16">
          <cell r="C16">
            <v>103667</v>
          </cell>
          <cell r="D16">
            <v>137882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-530</v>
          </cell>
          <cell r="D19">
            <v>35107</v>
          </cell>
        </row>
        <row r="22">
          <cell r="B22">
            <v>537954.1599999999</v>
          </cell>
          <cell r="C22">
            <v>345607.95999999996</v>
          </cell>
          <cell r="D22">
            <v>192346.19999999995</v>
          </cell>
        </row>
        <row r="25">
          <cell r="B25">
            <v>11986</v>
          </cell>
          <cell r="C25">
            <v>11986</v>
          </cell>
          <cell r="D25">
            <v>11986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MITCHELL"/>
      <sheetName val="MITCHELL HIGH SULFUR"/>
      <sheetName val="MITCHELL LOW SULFUR"/>
      <sheetName val="CONTROL"/>
      <sheetName val="Sheet1"/>
    </sheetNames>
    <sheetDataSet>
      <sheetData sheetId="1">
        <row r="22">
          <cell r="E22">
            <v>8834385.220000003</v>
          </cell>
        </row>
      </sheetData>
      <sheetData sheetId="2">
        <row r="22">
          <cell r="C22">
            <v>7836892</v>
          </cell>
          <cell r="D22">
            <v>-13215.949999999999</v>
          </cell>
          <cell r="E22">
            <v>7823676.050000001</v>
          </cell>
        </row>
      </sheetData>
      <sheetData sheetId="3">
        <row r="22">
          <cell r="C22">
            <v>566638.8100000002</v>
          </cell>
          <cell r="D22">
            <v>444070.3600000001</v>
          </cell>
          <cell r="E22">
            <v>1010709.1699999999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OPCO"/>
      <sheetName val="MITCHELL OPCO HIGH SULFUR"/>
      <sheetName val="MITCHELL OPCO LOW SULFUR"/>
      <sheetName val="PRIN GEN"/>
      <sheetName val="CONTROLS"/>
      <sheetName val="CARD CONSUM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s130186\AppData\Roaming\FUEL\Coal%20Pile%20Surveys\2014\Mitchell\Mitchell14Survey_Check.xl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rgb="FFFF0000"/>
    <pageSetUpPr fitToPage="1"/>
  </sheetPr>
  <dimension ref="A1:H59"/>
  <sheetViews>
    <sheetView zoomScale="85" zoomScaleNormal="85" zoomScalePageLayoutView="0" workbookViewId="0" topLeftCell="A1">
      <selection activeCell="C39" sqref="C39"/>
    </sheetView>
  </sheetViews>
  <sheetFormatPr defaultColWidth="9.140625" defaultRowHeight="12.75"/>
  <cols>
    <col min="1" max="1" width="38.57421875" style="0" customWidth="1"/>
    <col min="2" max="2" width="18.57421875" style="0" bestFit="1" customWidth="1"/>
    <col min="3" max="3" width="16.140625" style="0" bestFit="1" customWidth="1"/>
    <col min="4" max="4" width="22.28125" style="0" bestFit="1" customWidth="1"/>
    <col min="5" max="5" width="21.140625" style="0" bestFit="1" customWidth="1"/>
    <col min="6" max="6" width="19.57421875" style="0" bestFit="1" customWidth="1"/>
    <col min="7" max="7" width="14.8515625" style="0" bestFit="1" customWidth="1"/>
    <col min="8" max="8" width="16.140625" style="0" bestFit="1" customWidth="1"/>
  </cols>
  <sheetData>
    <row r="1" spans="1:8" ht="12.75">
      <c r="A1" s="306" t="s">
        <v>268</v>
      </c>
      <c r="B1" s="306"/>
      <c r="C1" s="306"/>
      <c r="D1" s="306"/>
      <c r="E1" s="306"/>
      <c r="F1" s="306"/>
      <c r="G1" s="306"/>
      <c r="H1" s="306"/>
    </row>
    <row r="2" spans="1:8" ht="12.75">
      <c r="A2" s="306" t="s">
        <v>17</v>
      </c>
      <c r="B2" s="306"/>
      <c r="C2" s="306"/>
      <c r="D2" s="306"/>
      <c r="E2" s="306"/>
      <c r="F2" s="306"/>
      <c r="G2" s="306"/>
      <c r="H2" s="306"/>
    </row>
    <row r="3" spans="1:8" ht="12.75">
      <c r="A3" s="307" t="str">
        <f>'[12]AP DIST CONTROL'!$A$3:$B$3</f>
        <v>FEBRUARY 2014</v>
      </c>
      <c r="B3" s="308"/>
      <c r="C3" s="308"/>
      <c r="D3" s="308"/>
      <c r="E3" s="308"/>
      <c r="F3" s="308"/>
      <c r="G3" s="308"/>
      <c r="H3" s="308"/>
    </row>
    <row r="4" ht="12.75">
      <c r="A4" s="41"/>
    </row>
    <row r="5" spans="1:7" ht="12.75">
      <c r="A5" s="40" t="s">
        <v>53</v>
      </c>
      <c r="G5" s="194"/>
    </row>
    <row r="6" spans="1:7" ht="12.75">
      <c r="A6" s="41"/>
      <c r="E6" s="35" t="s">
        <v>204</v>
      </c>
      <c r="F6" s="3" t="s">
        <v>205</v>
      </c>
      <c r="G6" s="3" t="s">
        <v>206</v>
      </c>
    </row>
    <row r="7" spans="1:8" ht="12.75">
      <c r="A7" s="35"/>
      <c r="B7" s="35" t="s">
        <v>207</v>
      </c>
      <c r="C7" s="35" t="s">
        <v>208</v>
      </c>
      <c r="D7" s="35" t="s">
        <v>209</v>
      </c>
      <c r="E7" s="35" t="s">
        <v>207</v>
      </c>
      <c r="F7" s="35" t="s">
        <v>210</v>
      </c>
      <c r="G7" s="35" t="s">
        <v>211</v>
      </c>
      <c r="H7" s="35"/>
    </row>
    <row r="8" spans="1:8" ht="12.75">
      <c r="A8" s="24" t="s">
        <v>27</v>
      </c>
      <c r="B8" s="24" t="s">
        <v>212</v>
      </c>
      <c r="C8" s="24" t="s">
        <v>213</v>
      </c>
      <c r="D8" s="24" t="s">
        <v>214</v>
      </c>
      <c r="E8" s="24" t="s">
        <v>215</v>
      </c>
      <c r="F8" s="24" t="s">
        <v>216</v>
      </c>
      <c r="G8" s="24" t="s">
        <v>217</v>
      </c>
      <c r="H8" s="24"/>
    </row>
    <row r="9" spans="1:8" ht="12.75">
      <c r="A9" t="s">
        <v>218</v>
      </c>
      <c r="B9" s="195">
        <v>0</v>
      </c>
      <c r="C9" s="195">
        <v>0</v>
      </c>
      <c r="D9" s="196">
        <v>0</v>
      </c>
      <c r="E9" s="197">
        <v>0</v>
      </c>
      <c r="F9" s="198">
        <v>0</v>
      </c>
      <c r="G9" s="195">
        <v>0</v>
      </c>
      <c r="H9" s="42">
        <v>0</v>
      </c>
    </row>
    <row r="10" spans="1:8" ht="12.75">
      <c r="A10" t="s">
        <v>219</v>
      </c>
      <c r="B10" s="195">
        <v>0</v>
      </c>
      <c r="C10" s="195">
        <v>0</v>
      </c>
      <c r="D10" s="196">
        <v>0</v>
      </c>
      <c r="E10" s="197">
        <v>0</v>
      </c>
      <c r="F10" s="198">
        <v>0</v>
      </c>
      <c r="G10" s="195">
        <v>0</v>
      </c>
      <c r="H10" s="42">
        <v>0</v>
      </c>
    </row>
    <row r="11" spans="1:8" ht="12.75">
      <c r="A11" t="s">
        <v>220</v>
      </c>
      <c r="B11" s="195">
        <v>1</v>
      </c>
      <c r="C11" s="195">
        <v>0</v>
      </c>
      <c r="D11" s="196">
        <v>0</v>
      </c>
      <c r="E11" s="197">
        <v>0</v>
      </c>
      <c r="F11" s="199">
        <v>486717</v>
      </c>
      <c r="G11" s="195">
        <v>0</v>
      </c>
      <c r="H11" s="42">
        <v>0</v>
      </c>
    </row>
    <row r="12" spans="1:8" ht="12.75">
      <c r="A12" t="s">
        <v>221</v>
      </c>
      <c r="B12" s="195">
        <v>0</v>
      </c>
      <c r="C12" s="195">
        <v>0</v>
      </c>
      <c r="D12" s="196">
        <v>0</v>
      </c>
      <c r="E12" s="197">
        <v>1</v>
      </c>
      <c r="F12" s="198">
        <v>0</v>
      </c>
      <c r="G12" s="195">
        <v>0</v>
      </c>
      <c r="H12" s="42">
        <v>0</v>
      </c>
    </row>
    <row r="13" spans="1:8" ht="12.75">
      <c r="A13" t="s">
        <v>222</v>
      </c>
      <c r="B13" s="195">
        <v>0</v>
      </c>
      <c r="C13" s="195">
        <v>0.435</v>
      </c>
      <c r="D13" s="200">
        <v>218425</v>
      </c>
      <c r="E13" s="197">
        <v>0</v>
      </c>
      <c r="F13" s="198">
        <v>0</v>
      </c>
      <c r="G13" s="195">
        <v>0.435</v>
      </c>
      <c r="H13" s="42">
        <v>0</v>
      </c>
    </row>
    <row r="14" spans="1:8" ht="12.75">
      <c r="A14" t="s">
        <v>223</v>
      </c>
      <c r="B14" s="195">
        <v>0</v>
      </c>
      <c r="C14" s="195">
        <v>0.4</v>
      </c>
      <c r="D14" s="200">
        <v>178669</v>
      </c>
      <c r="E14" s="197">
        <v>0</v>
      </c>
      <c r="F14" s="198">
        <v>0</v>
      </c>
      <c r="G14" s="195">
        <v>0.4</v>
      </c>
      <c r="H14" s="42">
        <v>0</v>
      </c>
    </row>
    <row r="15" spans="1:8" ht="12.75">
      <c r="A15" t="s">
        <v>224</v>
      </c>
      <c r="B15" s="195">
        <v>0</v>
      </c>
      <c r="C15" s="195">
        <v>0.165</v>
      </c>
      <c r="D15" s="200">
        <v>89623</v>
      </c>
      <c r="E15" s="197">
        <v>0</v>
      </c>
      <c r="F15" s="198">
        <v>0</v>
      </c>
      <c r="G15" s="195">
        <v>0.165</v>
      </c>
      <c r="H15" s="42">
        <v>0</v>
      </c>
    </row>
    <row r="16" spans="1:8" ht="12.75">
      <c r="A16" t="s">
        <v>225</v>
      </c>
      <c r="B16" s="195">
        <v>0</v>
      </c>
      <c r="C16" s="195">
        <v>0</v>
      </c>
      <c r="D16" s="196">
        <v>0</v>
      </c>
      <c r="E16" s="197">
        <v>0</v>
      </c>
      <c r="F16" s="199">
        <v>116441</v>
      </c>
      <c r="G16" s="195">
        <v>0</v>
      </c>
      <c r="H16" s="42">
        <v>0</v>
      </c>
    </row>
    <row r="17" spans="1:8" ht="15.75" customHeight="1">
      <c r="A17" t="s">
        <v>226</v>
      </c>
      <c r="B17" s="195">
        <v>0</v>
      </c>
      <c r="C17" s="195">
        <v>0</v>
      </c>
      <c r="D17" s="196">
        <v>0</v>
      </c>
      <c r="E17" s="197">
        <v>0</v>
      </c>
      <c r="F17" s="198">
        <v>0</v>
      </c>
      <c r="G17" s="195">
        <v>0</v>
      </c>
      <c r="H17" s="42">
        <v>0</v>
      </c>
    </row>
    <row r="18" spans="1:8" ht="12.75">
      <c r="A18" t="s">
        <v>227</v>
      </c>
      <c r="B18" s="195">
        <v>0</v>
      </c>
      <c r="C18" s="195">
        <v>0</v>
      </c>
      <c r="D18" s="196">
        <v>0</v>
      </c>
      <c r="E18" s="197">
        <v>0</v>
      </c>
      <c r="F18" s="198">
        <v>0</v>
      </c>
      <c r="G18" s="195">
        <v>0</v>
      </c>
      <c r="H18" s="42">
        <v>0</v>
      </c>
    </row>
    <row r="19" spans="1:8" ht="13.5" thickBot="1">
      <c r="A19" t="s">
        <v>3</v>
      </c>
      <c r="B19" s="43">
        <f>SUM(B9:B18)</f>
        <v>1</v>
      </c>
      <c r="C19" s="43">
        <f aca="true" t="shared" si="0" ref="C19:H19">SUM(C9:C18)</f>
        <v>1</v>
      </c>
      <c r="D19" s="37">
        <f>SUM(D9:D18)</f>
        <v>486717</v>
      </c>
      <c r="E19" s="43">
        <f t="shared" si="0"/>
        <v>1</v>
      </c>
      <c r="F19" s="37">
        <f t="shared" si="0"/>
        <v>603158</v>
      </c>
      <c r="G19" s="43">
        <f t="shared" si="0"/>
        <v>1</v>
      </c>
      <c r="H19" s="43">
        <f t="shared" si="0"/>
        <v>0</v>
      </c>
    </row>
    <row r="20" ht="13.5" thickTop="1"/>
    <row r="21" spans="2:5" ht="12.75">
      <c r="B21" s="201"/>
      <c r="C21" s="201"/>
      <c r="D21" s="202">
        <f>F11-D13-D14-D15</f>
        <v>0</v>
      </c>
      <c r="E21" t="s">
        <v>228</v>
      </c>
    </row>
    <row r="22" spans="1:3" ht="12.75">
      <c r="A22" s="40" t="s">
        <v>229</v>
      </c>
      <c r="B22" s="203"/>
      <c r="C22" s="203"/>
    </row>
    <row r="23" ht="12.75">
      <c r="A23" s="40"/>
    </row>
    <row r="24" spans="2:7" ht="12.75">
      <c r="B24" s="309" t="s">
        <v>230</v>
      </c>
      <c r="C24" s="309"/>
      <c r="D24" s="309" t="s">
        <v>231</v>
      </c>
      <c r="E24" s="309"/>
      <c r="F24" s="309" t="s">
        <v>232</v>
      </c>
      <c r="G24" s="309"/>
    </row>
    <row r="25" spans="1:7" ht="12.75">
      <c r="A25" s="24" t="s">
        <v>1</v>
      </c>
      <c r="B25" s="24" t="s">
        <v>233</v>
      </c>
      <c r="C25" s="24" t="s">
        <v>234</v>
      </c>
      <c r="D25" s="24" t="s">
        <v>233</v>
      </c>
      <c r="E25" s="24" t="s">
        <v>234</v>
      </c>
      <c r="F25" s="24" t="s">
        <v>233</v>
      </c>
      <c r="G25" s="24" t="s">
        <v>234</v>
      </c>
    </row>
    <row r="26" spans="1:7" ht="12.75">
      <c r="A26" t="s">
        <v>235</v>
      </c>
      <c r="B26" s="8"/>
      <c r="C26" s="8"/>
      <c r="D26" s="8"/>
      <c r="E26" s="8"/>
      <c r="F26" s="8"/>
      <c r="G26" s="8"/>
    </row>
    <row r="27" spans="1:7" ht="12.75">
      <c r="A27" t="s">
        <v>236</v>
      </c>
      <c r="B27" s="204">
        <f>'[2]COAL INVENTORY'!$N$15</f>
        <v>4622767.28</v>
      </c>
      <c r="C27" s="205"/>
      <c r="D27" s="206">
        <f>'[3]Beckjord - Owner'!$H$8</f>
        <v>100546.87</v>
      </c>
      <c r="E27" s="206">
        <f>'[3]Beckjord - Owner'!$I$8</f>
        <v>25792.855766779998</v>
      </c>
      <c r="F27" s="207">
        <f>'[3]Coal - Owner'!$H$37</f>
        <v>3558373.090000006</v>
      </c>
      <c r="G27" s="207">
        <f>'[3]Coal - Owner'!$I$37</f>
        <v>1718852.1704371704</v>
      </c>
    </row>
    <row r="28" spans="1:7" ht="12.75">
      <c r="A28" t="s">
        <v>237</v>
      </c>
      <c r="B28" s="208">
        <f>'[2]COAL INVENTORY'!$N$16</f>
        <v>768452.81</v>
      </c>
      <c r="C28" s="209"/>
      <c r="D28" s="210">
        <v>0</v>
      </c>
      <c r="E28" s="211"/>
      <c r="F28" s="210">
        <v>0</v>
      </c>
      <c r="G28" s="212"/>
    </row>
    <row r="29" spans="1:7" ht="13.5" thickBot="1">
      <c r="A29" t="s">
        <v>16</v>
      </c>
      <c r="B29" s="213">
        <f>+B27+B28</f>
        <v>5391220.09</v>
      </c>
      <c r="C29" s="213">
        <f>+C27+C28</f>
        <v>0</v>
      </c>
      <c r="D29" s="26">
        <f>SUM(D27:D28)</f>
        <v>100546.87</v>
      </c>
      <c r="E29" s="26">
        <f>SUM(E27:E28)</f>
        <v>25792.855766779998</v>
      </c>
      <c r="F29" s="26">
        <f>SUM(F27:F28)</f>
        <v>3558373.090000006</v>
      </c>
      <c r="G29" s="26">
        <f>SUM(G27:G28)</f>
        <v>1718852.1704371704</v>
      </c>
    </row>
    <row r="30" spans="2:7" ht="13.5" thickTop="1">
      <c r="B30" s="8"/>
      <c r="C30" s="8"/>
      <c r="D30" s="8"/>
      <c r="E30" s="8"/>
      <c r="F30" s="8"/>
      <c r="G30" s="8"/>
    </row>
    <row r="31" spans="1:7" ht="12.75">
      <c r="A31" t="s">
        <v>238</v>
      </c>
      <c r="B31" s="8"/>
      <c r="C31" s="8"/>
      <c r="D31" s="8"/>
      <c r="E31" s="8"/>
      <c r="F31" s="8"/>
      <c r="G31" s="8"/>
    </row>
    <row r="32" spans="1:7" ht="12.75">
      <c r="A32" t="s">
        <v>239</v>
      </c>
      <c r="B32" s="11">
        <f>+'[2]COAL INVENTORY'!$N$39</f>
        <v>301867.35</v>
      </c>
      <c r="C32" s="11">
        <f>+'[2]COAL INVENTORY'!$M$39</f>
        <v>131161</v>
      </c>
      <c r="D32" s="34"/>
      <c r="E32" s="34"/>
      <c r="F32" s="207">
        <f>-'[3]Coal - Owner'!$H$39-'[3]Coal - Owner'!$H$40</f>
        <v>3002555.7200000007</v>
      </c>
      <c r="G32" s="207">
        <f>-'[3]Coal - Owner'!$I$39-'[3]Coal - Owner'!$I$40</f>
        <v>1458240.9397913504</v>
      </c>
    </row>
    <row r="33" spans="1:7" ht="12.75">
      <c r="A33" t="s">
        <v>240</v>
      </c>
      <c r="B33" s="11">
        <f>+'[2]COAL INVENTORY'!$N$40</f>
        <v>684327.06</v>
      </c>
      <c r="C33" s="11">
        <f>+'[2]COAL INVENTORY'!$M$40</f>
        <v>296669</v>
      </c>
      <c r="D33" s="34"/>
      <c r="E33" s="34"/>
      <c r="F33" s="34"/>
      <c r="G33" s="34"/>
    </row>
    <row r="34" spans="1:7" ht="12.75">
      <c r="A34" t="s">
        <v>241</v>
      </c>
      <c r="B34" s="11">
        <f>+'[2]COAL INVENTORY'!$N$41</f>
        <v>1835824.38</v>
      </c>
      <c r="C34" s="11">
        <f>+'[2]COAL INVENTORY'!$M$41</f>
        <v>742835</v>
      </c>
      <c r="D34" s="34"/>
      <c r="E34" s="34"/>
      <c r="F34" s="34"/>
      <c r="G34" s="34"/>
    </row>
    <row r="35" spans="1:7" ht="12.75">
      <c r="A35" t="s">
        <v>242</v>
      </c>
      <c r="B35" s="11">
        <f>+'[2]COAL INVENTORY'!$N$42</f>
        <v>2057490.73</v>
      </c>
      <c r="C35" s="11">
        <f>+'[2]COAL INVENTORY'!$M$42</f>
        <v>892188</v>
      </c>
      <c r="D35" s="34"/>
      <c r="E35" s="34"/>
      <c r="F35" s="34"/>
      <c r="G35" s="34"/>
    </row>
    <row r="36" spans="1:7" ht="12.75">
      <c r="A36" t="s">
        <v>243</v>
      </c>
      <c r="B36" s="39"/>
      <c r="C36" s="39"/>
      <c r="D36" s="34"/>
      <c r="E36" s="34"/>
      <c r="F36" s="34"/>
      <c r="G36" s="34"/>
    </row>
    <row r="37" spans="1:7" ht="12.75">
      <c r="A37" t="s">
        <v>244</v>
      </c>
      <c r="B37" s="39"/>
      <c r="C37" s="39"/>
      <c r="D37" s="207">
        <f>-'[3]Beckjord - Owner'!$H$9</f>
        <v>34047.21</v>
      </c>
      <c r="E37" s="207">
        <f>-'[3]Beckjord - Owner'!$I$9</f>
        <v>12153.53977327</v>
      </c>
      <c r="F37" s="34"/>
      <c r="G37" s="34"/>
    </row>
    <row r="38" spans="1:7" ht="13.5" thickBot="1">
      <c r="A38" t="s">
        <v>3</v>
      </c>
      <c r="B38" s="214">
        <f aca="true" t="shared" si="1" ref="B38:G38">SUM(B32:B37)</f>
        <v>4879509.52</v>
      </c>
      <c r="C38" s="214">
        <f t="shared" si="1"/>
        <v>2062853</v>
      </c>
      <c r="D38" s="26">
        <f t="shared" si="1"/>
        <v>34047.21</v>
      </c>
      <c r="E38" s="26">
        <f t="shared" si="1"/>
        <v>12153.53977327</v>
      </c>
      <c r="F38" s="26">
        <f t="shared" si="1"/>
        <v>3002555.7200000007</v>
      </c>
      <c r="G38" s="26">
        <f t="shared" si="1"/>
        <v>1458240.9397913504</v>
      </c>
    </row>
    <row r="39" spans="2:7" ht="13.5" thickTop="1">
      <c r="B39" s="11"/>
      <c r="C39" s="11"/>
      <c r="D39" s="8"/>
      <c r="E39" s="8"/>
      <c r="F39" s="8"/>
      <c r="G39" s="8"/>
    </row>
    <row r="40" spans="1:7" ht="12.75">
      <c r="A40" t="s">
        <v>245</v>
      </c>
      <c r="B40" s="11"/>
      <c r="C40" s="11"/>
      <c r="D40" s="8"/>
      <c r="E40" s="8"/>
      <c r="F40" s="8"/>
      <c r="G40" s="8"/>
    </row>
    <row r="41" spans="1:7" ht="12.75">
      <c r="A41" t="s">
        <v>239</v>
      </c>
      <c r="B41" s="11">
        <f>+'[2]COAL INVENTORY'!$N$31</f>
        <v>0</v>
      </c>
      <c r="C41" s="11">
        <f>+'[2]COAL INVENTORY'!$M$31</f>
        <v>0</v>
      </c>
      <c r="D41" s="34"/>
      <c r="E41" s="34"/>
      <c r="F41" s="215">
        <v>0</v>
      </c>
      <c r="G41" s="215">
        <v>0</v>
      </c>
    </row>
    <row r="42" spans="1:7" ht="12.75">
      <c r="A42" t="s">
        <v>240</v>
      </c>
      <c r="B42" s="11">
        <f>+'[2]COAL INVENTORY'!$N$32</f>
        <v>0</v>
      </c>
      <c r="C42" s="11">
        <f>+'[2]COAL INVENTORY'!$M$32</f>
        <v>0</v>
      </c>
      <c r="D42" s="34"/>
      <c r="E42" s="34"/>
      <c r="F42" s="34"/>
      <c r="G42" s="34"/>
    </row>
    <row r="43" spans="1:7" ht="12.75">
      <c r="A43" t="s">
        <v>241</v>
      </c>
      <c r="B43" s="11">
        <f>+'[2]COAL INVENTORY'!$N$33</f>
        <v>0</v>
      </c>
      <c r="C43" s="11">
        <f>+'[2]COAL INVENTORY'!$M$33</f>
        <v>0</v>
      </c>
      <c r="D43" s="4"/>
      <c r="E43" s="4"/>
      <c r="F43" s="4"/>
      <c r="G43" s="4"/>
    </row>
    <row r="44" spans="1:7" ht="12.75">
      <c r="A44" t="s">
        <v>242</v>
      </c>
      <c r="B44" s="11">
        <f>+'[2]COAL INVENTORY'!$N$34</f>
        <v>0</v>
      </c>
      <c r="C44" s="11">
        <f>+'[2]COAL INVENTORY'!$M$34</f>
        <v>0</v>
      </c>
      <c r="D44" s="4"/>
      <c r="E44" s="4"/>
      <c r="F44" s="4"/>
      <c r="G44" s="4"/>
    </row>
    <row r="45" spans="1:7" ht="12.75">
      <c r="A45" t="s">
        <v>243</v>
      </c>
      <c r="B45" s="216"/>
      <c r="C45" s="34"/>
      <c r="D45" s="4"/>
      <c r="E45" s="4"/>
      <c r="F45" s="4"/>
      <c r="G45" s="4"/>
    </row>
    <row r="46" spans="1:7" ht="12.75">
      <c r="A46" t="s">
        <v>244</v>
      </c>
      <c r="B46" s="216"/>
      <c r="C46" s="34"/>
      <c r="D46" s="215">
        <v>0</v>
      </c>
      <c r="E46" s="215">
        <v>0</v>
      </c>
      <c r="F46" s="4"/>
      <c r="G46" s="4"/>
    </row>
    <row r="47" spans="1:7" ht="13.5" thickBot="1">
      <c r="A47" t="s">
        <v>3</v>
      </c>
      <c r="B47" s="217">
        <f aca="true" t="shared" si="2" ref="B47:G47">SUM(B41:B46)</f>
        <v>0</v>
      </c>
      <c r="C47" s="217">
        <f t="shared" si="2"/>
        <v>0</v>
      </c>
      <c r="D47" s="217">
        <f t="shared" si="2"/>
        <v>0</v>
      </c>
      <c r="E47" s="217">
        <f t="shared" si="2"/>
        <v>0</v>
      </c>
      <c r="F47" s="218">
        <f t="shared" si="2"/>
        <v>0</v>
      </c>
      <c r="G47" s="217">
        <f t="shared" si="2"/>
        <v>0</v>
      </c>
    </row>
    <row r="48" ht="13.5" thickTop="1"/>
    <row r="49" ht="13.5" thickBot="1"/>
    <row r="50" spans="1:4" ht="12.75">
      <c r="A50" s="219" t="s">
        <v>246</v>
      </c>
      <c r="B50" s="58"/>
      <c r="D50" s="220" t="s">
        <v>247</v>
      </c>
    </row>
    <row r="51" spans="1:4" ht="13.5" thickBot="1">
      <c r="A51" s="59"/>
      <c r="B51" s="104"/>
      <c r="D51" s="221" t="s">
        <v>248</v>
      </c>
    </row>
    <row r="52" spans="1:7" ht="13.5" thickBot="1">
      <c r="A52" s="102" t="s">
        <v>1</v>
      </c>
      <c r="B52" s="103" t="s">
        <v>233</v>
      </c>
      <c r="D52" s="303" t="s">
        <v>249</v>
      </c>
      <c r="E52" s="304"/>
      <c r="F52" s="304"/>
      <c r="G52" s="305"/>
    </row>
    <row r="53" spans="1:7" ht="13.5" thickBot="1">
      <c r="A53" s="222" t="s">
        <v>250</v>
      </c>
      <c r="B53" s="223">
        <v>744</v>
      </c>
      <c r="D53" s="99" t="s">
        <v>251</v>
      </c>
      <c r="E53" s="100" t="s">
        <v>0</v>
      </c>
      <c r="F53" s="100" t="s">
        <v>252</v>
      </c>
      <c r="G53" s="101" t="s">
        <v>253</v>
      </c>
    </row>
    <row r="54" spans="1:7" ht="12.75">
      <c r="A54" s="59"/>
      <c r="B54" s="224"/>
      <c r="D54" s="225" t="s">
        <v>217</v>
      </c>
      <c r="E54" s="226"/>
      <c r="F54" s="215">
        <v>26034584.32</v>
      </c>
      <c r="G54" s="227">
        <v>0</v>
      </c>
    </row>
    <row r="55" spans="1:8" ht="12.75">
      <c r="A55" s="59" t="s">
        <v>254</v>
      </c>
      <c r="B55" s="64">
        <v>820</v>
      </c>
      <c r="D55" s="59" t="s">
        <v>255</v>
      </c>
      <c r="E55" s="215">
        <v>322317.33</v>
      </c>
      <c r="F55" s="215">
        <v>26034584.32</v>
      </c>
      <c r="G55" s="228">
        <v>0</v>
      </c>
      <c r="H55" s="215"/>
    </row>
    <row r="56" spans="1:7" ht="12.75">
      <c r="A56" s="59" t="s">
        <v>256</v>
      </c>
      <c r="B56" s="235">
        <f>'[1]INPUT'!$E$87</f>
        <v>11684</v>
      </c>
      <c r="D56" s="59" t="s">
        <v>257</v>
      </c>
      <c r="E56" s="215">
        <v>128926.932</v>
      </c>
      <c r="F56" s="229">
        <v>10413833.728</v>
      </c>
      <c r="G56" s="228">
        <v>0</v>
      </c>
    </row>
    <row r="57" spans="1:7" ht="13.5" thickBot="1">
      <c r="A57" s="59" t="s">
        <v>258</v>
      </c>
      <c r="B57" s="235">
        <f>'[4]CV 4'!$E$17</f>
        <v>136900</v>
      </c>
      <c r="D57" s="82" t="s">
        <v>259</v>
      </c>
      <c r="E57" s="230">
        <v>53182.35945</v>
      </c>
      <c r="F57" s="230">
        <v>4295706.4128</v>
      </c>
      <c r="G57" s="231">
        <v>0</v>
      </c>
    </row>
    <row r="58" spans="1:2" ht="13.5" thickBot="1">
      <c r="A58" s="232" t="s">
        <v>260</v>
      </c>
      <c r="B58" s="233" t="e">
        <f>#REF!</f>
        <v>#REF!</v>
      </c>
    </row>
    <row r="59" ht="12.75">
      <c r="A59" s="234"/>
    </row>
  </sheetData>
  <sheetProtection/>
  <mergeCells count="7">
    <mergeCell ref="D52:G52"/>
    <mergeCell ref="A1:H1"/>
    <mergeCell ref="A2:H2"/>
    <mergeCell ref="A3:H3"/>
    <mergeCell ref="B24:C24"/>
    <mergeCell ref="D24:E24"/>
    <mergeCell ref="F24:G24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3" r:id="rId3"/>
  <headerFooter alignWithMargins="0">
    <oddFooter>&amp;L&amp;D  &amp;T&amp;C&amp;F  &amp;A &amp;RREH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77"/>
  <sheetViews>
    <sheetView showGridLines="0" zoomScale="90" zoomScaleNormal="90" zoomScalePageLayoutView="0" workbookViewId="0" topLeftCell="A1">
      <selection activeCell="K39" sqref="K39"/>
    </sheetView>
  </sheetViews>
  <sheetFormatPr defaultColWidth="15.7109375" defaultRowHeight="12.75"/>
  <cols>
    <col min="1" max="1" width="6.00390625" style="107" customWidth="1"/>
    <col min="2" max="2" width="21.140625" style="107" bestFit="1" customWidth="1"/>
    <col min="3" max="3" width="2.57421875" style="107" customWidth="1"/>
    <col min="4" max="4" width="15.7109375" style="107" customWidth="1"/>
    <col min="5" max="5" width="18.57421875" style="107" customWidth="1"/>
    <col min="6" max="6" width="5.7109375" style="107" customWidth="1"/>
    <col min="7" max="7" width="20.7109375" style="107" bestFit="1" customWidth="1"/>
    <col min="8" max="8" width="16.7109375" style="107" bestFit="1" customWidth="1"/>
    <col min="9" max="9" width="5.7109375" style="107" customWidth="1"/>
    <col min="10" max="10" width="15.7109375" style="107" customWidth="1"/>
    <col min="11" max="11" width="17.8515625" style="107" customWidth="1"/>
    <col min="12" max="12" width="5.57421875" style="107" customWidth="1"/>
    <col min="13" max="13" width="15.7109375" style="107" customWidth="1"/>
    <col min="14" max="14" width="18.8515625" style="107" customWidth="1"/>
    <col min="15" max="16384" width="15.7109375" style="107" customWidth="1"/>
  </cols>
  <sheetData>
    <row r="1" spans="1:14" ht="12.75">
      <c r="A1" s="306" t="e">
        <f>'NO LOAD'!A1:J1</f>
        <v>#REF!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12.75">
      <c r="A2" s="306" t="s">
        <v>196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ht="12.75">
      <c r="A3" s="310" t="e">
        <f>'NO LOAD'!A3:J3</f>
        <v>#REF!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5" spans="4:14" ht="12.75">
      <c r="D5" s="176"/>
      <c r="E5" s="177" t="s">
        <v>197</v>
      </c>
      <c r="G5" s="176"/>
      <c r="H5" s="177" t="s">
        <v>197</v>
      </c>
      <c r="J5" s="176"/>
      <c r="K5" s="177" t="s">
        <v>197</v>
      </c>
      <c r="M5" s="176"/>
      <c r="N5" s="177" t="s">
        <v>197</v>
      </c>
    </row>
    <row r="6" spans="1:14" ht="12.75">
      <c r="A6" s="120"/>
      <c r="B6" s="120"/>
      <c r="C6" s="120"/>
      <c r="D6" s="178" t="s">
        <v>3</v>
      </c>
      <c r="E6" s="179">
        <f>+H6+K6+N6</f>
        <v>1</v>
      </c>
      <c r="F6" s="120"/>
      <c r="G6" s="178" t="s">
        <v>261</v>
      </c>
      <c r="H6" s="179">
        <f>INPUTS!C13</f>
        <v>0.435</v>
      </c>
      <c r="I6" s="120"/>
      <c r="J6" s="178" t="s">
        <v>262</v>
      </c>
      <c r="K6" s="179">
        <f>INPUTS!C14</f>
        <v>0.4</v>
      </c>
      <c r="L6" s="120"/>
      <c r="M6" s="178" t="s">
        <v>198</v>
      </c>
      <c r="N6" s="179">
        <f>INPUTS!C15</f>
        <v>0.165</v>
      </c>
    </row>
    <row r="7" spans="1:14" ht="12.75">
      <c r="A7" s="120"/>
      <c r="B7" s="120"/>
      <c r="C7" s="120"/>
      <c r="D7" s="176"/>
      <c r="E7" s="177" t="s">
        <v>199</v>
      </c>
      <c r="G7" s="176"/>
      <c r="H7" s="177" t="s">
        <v>199</v>
      </c>
      <c r="J7" s="176"/>
      <c r="K7" s="177" t="s">
        <v>199</v>
      </c>
      <c r="M7" s="176"/>
      <c r="N7" s="177" t="s">
        <v>199</v>
      </c>
    </row>
    <row r="8" spans="1:14" ht="12.75">
      <c r="A8" s="120"/>
      <c r="B8" s="120"/>
      <c r="C8" s="120"/>
      <c r="D8" s="178" t="s">
        <v>3</v>
      </c>
      <c r="E8" s="180">
        <f>+H8+K8+N8</f>
        <v>0.9999999999999999</v>
      </c>
      <c r="F8" s="120"/>
      <c r="G8" s="178" t="s">
        <v>261</v>
      </c>
      <c r="H8" s="180">
        <f>ROUND(INPUTS!D13/INPUTS!D19,12)</f>
        <v>0.448772079052</v>
      </c>
      <c r="I8" s="120"/>
      <c r="J8" s="178" t="s">
        <v>262</v>
      </c>
      <c r="K8" s="180">
        <f>ROUND(INPUTS!D14/INPUTS!D19,12)</f>
        <v>0.367090116022</v>
      </c>
      <c r="L8" s="120"/>
      <c r="M8" s="178" t="s">
        <v>198</v>
      </c>
      <c r="N8" s="180">
        <f>ROUND(INPUTS!D15/INPUTS!D19,12)</f>
        <v>0.184137804926</v>
      </c>
    </row>
    <row r="9" ht="12.75"/>
    <row r="10" spans="1:14" s="119" customFormat="1" ht="12.75">
      <c r="A10" s="143"/>
      <c r="B10" s="143"/>
      <c r="C10" s="143"/>
      <c r="D10" s="181" t="s">
        <v>0</v>
      </c>
      <c r="E10" s="181" t="s">
        <v>148</v>
      </c>
      <c r="F10" s="143"/>
      <c r="G10" s="181" t="s">
        <v>0</v>
      </c>
      <c r="H10" s="181" t="s">
        <v>148</v>
      </c>
      <c r="I10" s="143"/>
      <c r="J10" s="181" t="s">
        <v>0</v>
      </c>
      <c r="K10" s="181" t="s">
        <v>148</v>
      </c>
      <c r="L10" s="143"/>
      <c r="M10" s="181" t="s">
        <v>0</v>
      </c>
      <c r="N10" s="181" t="s">
        <v>148</v>
      </c>
    </row>
    <row r="11" spans="1:14" ht="12.75">
      <c r="A11" s="120"/>
      <c r="B11" s="120" t="s">
        <v>200</v>
      </c>
      <c r="C11" s="120"/>
      <c r="D11" s="182" t="e">
        <f>+#REF!</f>
        <v>#REF!</v>
      </c>
      <c r="E11" s="182" t="e">
        <f>+#REF!</f>
        <v>#REF!</v>
      </c>
      <c r="F11" s="182"/>
      <c r="G11" s="182" t="e">
        <f>(D11-J11)-M11</f>
        <v>#REF!</v>
      </c>
      <c r="H11" s="182" t="e">
        <f>+E11-K11-N11</f>
        <v>#REF!</v>
      </c>
      <c r="I11" s="182"/>
      <c r="J11" s="182" t="e">
        <f>ROUND((D11*K8),2)</f>
        <v>#REF!</v>
      </c>
      <c r="K11" s="182" t="e">
        <f>ROUND((E11*K8),2)</f>
        <v>#REF!</v>
      </c>
      <c r="L11" s="182"/>
      <c r="M11" s="182" t="e">
        <f>ROUND((D11*N8),2)</f>
        <v>#REF!</v>
      </c>
      <c r="N11" s="182" t="e">
        <f>ROUND((E11*N8),2)</f>
        <v>#REF!</v>
      </c>
    </row>
    <row r="12" spans="1:14" ht="12.75">
      <c r="A12" s="120"/>
      <c r="B12" s="120" t="s">
        <v>201</v>
      </c>
      <c r="C12" s="120"/>
      <c r="D12" s="182" t="e">
        <f>+'NO LOAD'!J57</f>
        <v>#REF!</v>
      </c>
      <c r="E12" s="182" t="e">
        <f>+'NO LOAD'!J61</f>
        <v>#REF!</v>
      </c>
      <c r="F12" s="182"/>
      <c r="G12" s="182" t="e">
        <f>(D12-J12)-M12</f>
        <v>#REF!</v>
      </c>
      <c r="H12" s="182" t="e">
        <f>+E12-K12-N12</f>
        <v>#REF!</v>
      </c>
      <c r="I12" s="182"/>
      <c r="J12" s="182" t="e">
        <f>ROUND((D12*K8),2)</f>
        <v>#REF!</v>
      </c>
      <c r="K12" s="182" t="e">
        <f>ROUND((E12*K8),2)</f>
        <v>#REF!</v>
      </c>
      <c r="L12" s="182"/>
      <c r="M12" s="182" t="e">
        <f>ROUND((D12*N8),2)</f>
        <v>#REF!</v>
      </c>
      <c r="N12" s="182" t="e">
        <f>ROUND((E12*N8),2)</f>
        <v>#REF!</v>
      </c>
    </row>
    <row r="13" spans="1:14" ht="12.75">
      <c r="A13" s="120"/>
      <c r="B13" s="120"/>
      <c r="C13" s="120"/>
      <c r="D13" s="183"/>
      <c r="E13" s="183"/>
      <c r="F13" s="182"/>
      <c r="G13" s="183"/>
      <c r="H13" s="183"/>
      <c r="I13" s="182"/>
      <c r="J13" s="183"/>
      <c r="K13" s="183"/>
      <c r="L13" s="182"/>
      <c r="M13" s="183"/>
      <c r="N13" s="183"/>
    </row>
    <row r="14" spans="1:14" ht="12.75">
      <c r="A14" s="120"/>
      <c r="B14" s="120" t="s">
        <v>202</v>
      </c>
      <c r="C14" s="120"/>
      <c r="D14" s="182" t="e">
        <f>D11-D12</f>
        <v>#REF!</v>
      </c>
      <c r="E14" s="182" t="e">
        <f>E11-E12</f>
        <v>#REF!</v>
      </c>
      <c r="F14" s="182"/>
      <c r="G14" s="182" t="e">
        <f>G11-G12</f>
        <v>#REF!</v>
      </c>
      <c r="H14" s="240" t="e">
        <f>H11-H12</f>
        <v>#REF!</v>
      </c>
      <c r="I14" s="182"/>
      <c r="J14" s="182" t="e">
        <f>J11-J12</f>
        <v>#REF!</v>
      </c>
      <c r="K14" s="240" t="e">
        <f>K11-K12</f>
        <v>#REF!</v>
      </c>
      <c r="L14" s="182"/>
      <c r="M14" s="182" t="e">
        <f>M11-M12</f>
        <v>#REF!</v>
      </c>
      <c r="N14" s="240" t="e">
        <f>N11-N12</f>
        <v>#REF!</v>
      </c>
    </row>
    <row r="15" spans="1:14" ht="12.75">
      <c r="A15" s="120"/>
      <c r="B15" s="120" t="s">
        <v>201</v>
      </c>
      <c r="C15" s="120"/>
      <c r="D15" s="182" t="e">
        <f>+D12</f>
        <v>#REF!</v>
      </c>
      <c r="E15" s="182" t="e">
        <f>+E12</f>
        <v>#REF!</v>
      </c>
      <c r="F15" s="182"/>
      <c r="G15" s="182" t="e">
        <f>(D15-J15)-M15</f>
        <v>#REF!</v>
      </c>
      <c r="H15" s="182" t="e">
        <f>+E15-K15-N15</f>
        <v>#REF!</v>
      </c>
      <c r="I15" s="182"/>
      <c r="J15" s="182" t="e">
        <f>ROUND((D15*K$6),2)</f>
        <v>#REF!</v>
      </c>
      <c r="K15" s="182" t="e">
        <f>ROUND((E15*K$6),2)</f>
        <v>#REF!</v>
      </c>
      <c r="L15" s="182"/>
      <c r="M15" s="182" t="e">
        <f>ROUND((D15*N$6),2)</f>
        <v>#REF!</v>
      </c>
      <c r="N15" s="182" t="e">
        <f>ROUND((E15*N$6),2)</f>
        <v>#REF!</v>
      </c>
    </row>
    <row r="16" spans="1:14" ht="12.75">
      <c r="A16" s="120"/>
      <c r="B16" s="120"/>
      <c r="C16" s="120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</row>
    <row r="17" spans="1:14" ht="13.5" thickBot="1">
      <c r="A17" s="120"/>
      <c r="B17" s="120" t="s">
        <v>3</v>
      </c>
      <c r="C17" s="120"/>
      <c r="D17" s="184" t="e">
        <f>D14+D15</f>
        <v>#REF!</v>
      </c>
      <c r="E17" s="184" t="e">
        <f>E14+E15</f>
        <v>#REF!</v>
      </c>
      <c r="F17" s="182"/>
      <c r="G17" s="184" t="e">
        <f>G14+G15</f>
        <v>#REF!</v>
      </c>
      <c r="H17" s="184" t="e">
        <f>H14+H15</f>
        <v>#REF!</v>
      </c>
      <c r="I17" s="182"/>
      <c r="J17" s="184" t="e">
        <f>J14+J15</f>
        <v>#REF!</v>
      </c>
      <c r="K17" s="184" t="e">
        <f>K14+K15</f>
        <v>#REF!</v>
      </c>
      <c r="L17" s="182"/>
      <c r="M17" s="184" t="e">
        <f>M14+M15</f>
        <v>#REF!</v>
      </c>
      <c r="N17" s="184" t="e">
        <f>N14+N15</f>
        <v>#REF!</v>
      </c>
    </row>
    <row r="18" spans="1:14" ht="13.5" thickTop="1">
      <c r="A18" s="120"/>
      <c r="B18" s="120"/>
      <c r="C18" s="120"/>
      <c r="D18" s="182"/>
      <c r="E18" s="182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13.5" thickBo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 ht="12.75">
      <c r="A20" s="120"/>
      <c r="B20" s="120"/>
      <c r="C20" s="120"/>
      <c r="D20" s="120"/>
      <c r="E20" s="120"/>
      <c r="F20" s="120"/>
      <c r="G20" s="185" t="s">
        <v>203</v>
      </c>
      <c r="H20" s="186" t="e">
        <f>+'NO LOAD'!H37+'NO LOAD'!J61</f>
        <v>#REF!</v>
      </c>
      <c r="I20" s="187"/>
      <c r="J20" s="187"/>
      <c r="K20" s="186" t="e">
        <f>+H20</f>
        <v>#REF!</v>
      </c>
      <c r="L20" s="187"/>
      <c r="M20" s="187"/>
      <c r="N20" s="188" t="e">
        <f>+H20</f>
        <v>#REF!</v>
      </c>
    </row>
    <row r="21" spans="1:14" ht="13.5" thickBot="1">
      <c r="A21" s="120"/>
      <c r="B21" s="120"/>
      <c r="C21" s="120"/>
      <c r="D21" s="120"/>
      <c r="E21" s="120"/>
      <c r="F21" s="120"/>
      <c r="G21" s="189"/>
      <c r="H21" s="190"/>
      <c r="I21" s="191"/>
      <c r="J21" s="191"/>
      <c r="K21" s="190"/>
      <c r="L21" s="191"/>
      <c r="M21" s="191"/>
      <c r="N21" s="192"/>
    </row>
    <row r="22" spans="8:14" ht="12.75">
      <c r="H22" s="193"/>
      <c r="K22" s="193"/>
      <c r="N22" s="193"/>
    </row>
    <row r="23" spans="1:14" ht="12.7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4" spans="1:14" ht="12.7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1:14" ht="12.7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14" ht="12.7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1:14" ht="12.7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ht="12.7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2.7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1:14" ht="12.7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ht="12.7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12.7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2.7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 ht="12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ht="12.7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</row>
    <row r="36" spans="1:14" ht="12.7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14" ht="12.7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1:14" ht="12.7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1:14" ht="12.7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77" ht="12.75">
      <c r="C77" s="107">
        <f>ROUND($F$38*B77,2)-0.02</f>
        <v>-0.02</v>
      </c>
    </row>
  </sheetData>
  <sheetProtection/>
  <mergeCells count="3">
    <mergeCell ref="A1:N1"/>
    <mergeCell ref="A2:N2"/>
    <mergeCell ref="A3:N3"/>
  </mergeCells>
  <printOptions horizontalCentered="1" verticalCentered="1"/>
  <pageMargins left="0.5" right="0.17" top="0.44" bottom="1" header="0.17" footer="0.5"/>
  <pageSetup fitToHeight="2" fitToWidth="1" horizontalDpi="600" verticalDpi="600" orientation="landscape" pageOrder="overThenDown" scale="72" r:id="rId1"/>
  <headerFooter alignWithMargins="0">
    <oddFooter>&amp;L&amp;D &amp;T&amp;C&amp;F / &amp;A&amp;Rreh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12.8515625" style="0" bestFit="1" customWidth="1"/>
    <col min="2" max="2" width="15.57421875" style="0" customWidth="1"/>
    <col min="3" max="5" width="13.7109375" style="0" customWidth="1"/>
    <col min="6" max="6" width="11.8515625" style="0" bestFit="1" customWidth="1"/>
    <col min="7" max="8" width="17.7109375" style="0" bestFit="1" customWidth="1"/>
  </cols>
  <sheetData>
    <row r="1" spans="1:8" ht="12.75">
      <c r="A1" s="306" t="s">
        <v>268</v>
      </c>
      <c r="B1" s="306"/>
      <c r="C1" s="306"/>
      <c r="D1" s="306"/>
      <c r="E1" s="306"/>
      <c r="F1" s="306"/>
      <c r="G1" s="306"/>
      <c r="H1" s="306"/>
    </row>
    <row r="2" spans="1:8" ht="12.75">
      <c r="A2" s="306" t="s">
        <v>289</v>
      </c>
      <c r="B2" s="306"/>
      <c r="C2" s="306"/>
      <c r="D2" s="306"/>
      <c r="E2" s="306"/>
      <c r="F2" s="306"/>
      <c r="G2" s="306"/>
      <c r="H2" s="306"/>
    </row>
    <row r="3" spans="1:8" ht="12.75">
      <c r="A3" s="306" t="str">
        <f>INPUTS!A3</f>
        <v>FEBRUARY 2014</v>
      </c>
      <c r="B3" s="306"/>
      <c r="C3" s="306"/>
      <c r="D3" s="306"/>
      <c r="E3" s="306"/>
      <c r="F3" s="306"/>
      <c r="G3" s="306"/>
      <c r="H3" s="306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16" t="s">
        <v>290</v>
      </c>
      <c r="B5" s="316"/>
      <c r="C5" s="316"/>
      <c r="D5" s="316"/>
      <c r="E5" s="316"/>
      <c r="F5" s="316"/>
      <c r="G5" s="316"/>
      <c r="H5" s="316"/>
    </row>
    <row r="6" spans="1:8" ht="12.75">
      <c r="A6" s="317" t="s">
        <v>291</v>
      </c>
      <c r="B6" s="317"/>
      <c r="C6" s="317"/>
      <c r="D6" s="251"/>
      <c r="E6" s="251"/>
      <c r="F6" s="251"/>
      <c r="G6" s="251"/>
      <c r="H6" s="251"/>
    </row>
    <row r="7" spans="1:6" s="253" customFormat="1" ht="12.75">
      <c r="A7" s="252"/>
      <c r="B7" s="252" t="s">
        <v>25</v>
      </c>
      <c r="C7" s="252" t="s">
        <v>369</v>
      </c>
      <c r="D7" s="252" t="s">
        <v>280</v>
      </c>
      <c r="E7" s="252" t="s">
        <v>370</v>
      </c>
      <c r="F7" s="252" t="s">
        <v>371</v>
      </c>
    </row>
    <row r="8" spans="1:6" ht="12.75">
      <c r="A8" s="254" t="s">
        <v>281</v>
      </c>
      <c r="B8" s="255">
        <f>MITCHELL_KP_OP!C36</f>
        <v>5327634.59</v>
      </c>
      <c r="C8" s="255">
        <f>'[10]MITCHELL_KP_OP'!$C$30</f>
        <v>-113.54300290020183</v>
      </c>
      <c r="D8" s="255">
        <f>'[11]MITCHELL_KP_OP'!$C$31</f>
        <v>285287.28000000014</v>
      </c>
      <c r="E8" s="255">
        <f>+'[13]MITCHELL_KP_OP'!$C$26</f>
        <v>6818.5099999997765</v>
      </c>
      <c r="F8" s="255">
        <f>+'[14]MITCHELL_KP_OP'!$C$26</f>
        <v>-377.22000000000116</v>
      </c>
    </row>
    <row r="9" spans="1:6" ht="12.75">
      <c r="A9" s="254" t="s">
        <v>8</v>
      </c>
      <c r="B9" s="256">
        <f>MITCHELL_KP_OP!C46</f>
        <v>10938183.4</v>
      </c>
      <c r="C9" s="256">
        <f>'[10]MITCHELL_KP_OP'!$C$38</f>
        <v>187264.1269971</v>
      </c>
      <c r="D9" s="256">
        <f>'[11]MITCHELL_KP_OP'!$C$40</f>
        <v>390143.6</v>
      </c>
      <c r="E9" s="256">
        <f>SUM('[13]MITCHELL_KP_OP'!$C$30:$C$31)</f>
        <v>232415.56</v>
      </c>
      <c r="F9" s="256">
        <f>SUM('[14]MITCHELL_KP_OP'!$C$30:$C$31)</f>
        <v>122918.20000000001</v>
      </c>
    </row>
    <row r="10" spans="1:6" ht="12.75">
      <c r="A10" s="3" t="s">
        <v>26</v>
      </c>
      <c r="B10" s="257">
        <f>B8-B9</f>
        <v>-5610548.8100000005</v>
      </c>
      <c r="C10" s="257">
        <f>C8-C9</f>
        <v>-187377.6700000002</v>
      </c>
      <c r="D10" s="257">
        <f>D8-D9</f>
        <v>-104856.31999999983</v>
      </c>
      <c r="E10" s="257">
        <f>E8-E9</f>
        <v>-225597.05000000022</v>
      </c>
      <c r="F10" s="257">
        <f>F8-F9</f>
        <v>-123295.42000000001</v>
      </c>
    </row>
    <row r="11" ht="12.75">
      <c r="A11" s="93"/>
    </row>
    <row r="12" spans="1:8" s="93" customFormat="1" ht="12.75">
      <c r="A12" s="252" t="s">
        <v>282</v>
      </c>
      <c r="B12" s="252" t="s">
        <v>283</v>
      </c>
      <c r="C12" s="252" t="s">
        <v>284</v>
      </c>
      <c r="D12" s="252" t="s">
        <v>285</v>
      </c>
      <c r="E12" s="252" t="s">
        <v>286</v>
      </c>
      <c r="F12" s="252" t="s">
        <v>147</v>
      </c>
      <c r="G12" s="252" t="s">
        <v>287</v>
      </c>
      <c r="H12" s="252" t="s">
        <v>288</v>
      </c>
    </row>
    <row r="13" spans="1:9" ht="12.75">
      <c r="A13" s="49">
        <v>181</v>
      </c>
      <c r="B13" s="49">
        <v>13351</v>
      </c>
      <c r="C13" s="263" t="s">
        <v>298</v>
      </c>
      <c r="D13" s="260" t="s">
        <v>300</v>
      </c>
      <c r="E13" s="264" t="s">
        <v>299</v>
      </c>
      <c r="F13" s="49">
        <v>1510001</v>
      </c>
      <c r="G13" s="259">
        <f>ABS(IF($B$10&gt;0,$B$10,0))</f>
        <v>0</v>
      </c>
      <c r="H13" s="259">
        <f>ABS(IF($B$10&lt;0,$B$10,0))</f>
        <v>5610548.8100000005</v>
      </c>
      <c r="I13" s="98" t="s">
        <v>372</v>
      </c>
    </row>
    <row r="14" spans="1:8" ht="12.75">
      <c r="A14" s="49">
        <v>117</v>
      </c>
      <c r="B14" s="49">
        <v>13352</v>
      </c>
      <c r="C14" s="263" t="s">
        <v>298</v>
      </c>
      <c r="D14" s="260" t="s">
        <v>300</v>
      </c>
      <c r="E14" s="264" t="s">
        <v>299</v>
      </c>
      <c r="F14" s="49">
        <v>1510001</v>
      </c>
      <c r="G14" s="259">
        <f>ABS(IF($B$10&lt;0,$B$10,0))</f>
        <v>5610548.8100000005</v>
      </c>
      <c r="H14" s="259">
        <f>ABS(IF($B$10&gt;0,$B$10,0))</f>
        <v>0</v>
      </c>
    </row>
    <row r="15" spans="1:8" ht="12.75">
      <c r="A15" s="49"/>
      <c r="B15" s="49"/>
      <c r="C15" s="49"/>
      <c r="D15" s="49"/>
      <c r="E15" s="258"/>
      <c r="F15" s="49"/>
      <c r="G15" s="93"/>
      <c r="H15" s="259"/>
    </row>
    <row r="16" spans="1:9" ht="12.75">
      <c r="A16" s="49">
        <v>181</v>
      </c>
      <c r="B16" s="49">
        <f>+B13</f>
        <v>13351</v>
      </c>
      <c r="C16" s="49" t="s">
        <v>298</v>
      </c>
      <c r="D16" s="49" t="str">
        <f>+D13</f>
        <v>G0001267</v>
      </c>
      <c r="E16" s="258" t="s">
        <v>299</v>
      </c>
      <c r="F16" s="49">
        <v>1510002</v>
      </c>
      <c r="G16" s="259">
        <f>ABS(IF($C$10&gt;0,$C$10,0))</f>
        <v>0</v>
      </c>
      <c r="H16" s="259">
        <f>ABS(IF($C$10&lt;0,$C$10,0))</f>
        <v>187377.6700000002</v>
      </c>
      <c r="I16" s="98" t="s">
        <v>373</v>
      </c>
    </row>
    <row r="17" spans="1:8" ht="12.75">
      <c r="A17" s="49">
        <v>117</v>
      </c>
      <c r="B17" s="49">
        <f>+B14</f>
        <v>13352</v>
      </c>
      <c r="C17" s="49" t="s">
        <v>298</v>
      </c>
      <c r="D17" s="49" t="str">
        <f>+D14</f>
        <v>G0001267</v>
      </c>
      <c r="E17" s="258" t="s">
        <v>299</v>
      </c>
      <c r="F17" s="49">
        <v>1510002</v>
      </c>
      <c r="G17" s="259">
        <f>ABS(IF($C$10&lt;0,$C$10,0))</f>
        <v>187377.6700000002</v>
      </c>
      <c r="H17" s="259">
        <f>ABS(IF($C$10&gt;0,$C$10,0))</f>
        <v>0</v>
      </c>
    </row>
    <row r="18" spans="1:8" ht="12.75">
      <c r="A18" s="49"/>
      <c r="B18" s="49"/>
      <c r="C18" s="49"/>
      <c r="D18" s="49"/>
      <c r="E18" s="258"/>
      <c r="F18" s="49"/>
      <c r="G18" s="93"/>
      <c r="H18" s="259"/>
    </row>
    <row r="19" spans="1:9" ht="12.75">
      <c r="A19" s="49">
        <v>181</v>
      </c>
      <c r="B19" s="49">
        <f>+B13</f>
        <v>13351</v>
      </c>
      <c r="C19" s="49" t="s">
        <v>298</v>
      </c>
      <c r="D19" s="49" t="str">
        <f>+D13</f>
        <v>G0001267</v>
      </c>
      <c r="E19" s="258" t="s">
        <v>299</v>
      </c>
      <c r="F19" s="49">
        <v>1520000</v>
      </c>
      <c r="G19" s="259">
        <f>ABS(IF($D$10&gt;0,$D$10,0))</f>
        <v>0</v>
      </c>
      <c r="H19" s="259">
        <f>ABS(IF($D$10&lt;0,$D$10,0))</f>
        <v>104856.31999999983</v>
      </c>
      <c r="I19" s="98" t="s">
        <v>374</v>
      </c>
    </row>
    <row r="20" spans="1:8" ht="12.75">
      <c r="A20" s="49">
        <v>117</v>
      </c>
      <c r="B20" s="49">
        <f>+B17</f>
        <v>13352</v>
      </c>
      <c r="C20" s="49" t="s">
        <v>298</v>
      </c>
      <c r="D20" s="49" t="str">
        <f>+D14</f>
        <v>G0001267</v>
      </c>
      <c r="E20" s="258" t="s">
        <v>299</v>
      </c>
      <c r="F20" s="49">
        <v>1520000</v>
      </c>
      <c r="G20" s="259">
        <f>ABS(IF($D$10&lt;0,$D$10,0))</f>
        <v>104856.31999999983</v>
      </c>
      <c r="H20" s="259">
        <f>ABS(IF($D$10&gt;0,$D$10,0))</f>
        <v>0</v>
      </c>
    </row>
    <row r="21" spans="1:8" ht="12.75">
      <c r="A21" s="49"/>
      <c r="B21" s="49"/>
      <c r="C21" s="49"/>
      <c r="D21" s="49"/>
      <c r="E21" s="258"/>
      <c r="G21" s="93"/>
      <c r="H21" s="259"/>
    </row>
    <row r="22" spans="1:9" ht="12.75">
      <c r="A22" s="49">
        <v>181</v>
      </c>
      <c r="B22" s="49">
        <v>11597</v>
      </c>
      <c r="C22" s="263" t="s">
        <v>298</v>
      </c>
      <c r="D22" s="260" t="s">
        <v>300</v>
      </c>
      <c r="E22" s="264" t="s">
        <v>363</v>
      </c>
      <c r="F22" s="49">
        <v>1540006</v>
      </c>
      <c r="G22" s="259">
        <f>ABS(IF($E$10&gt;0,$E$10,0))</f>
        <v>0</v>
      </c>
      <c r="H22" s="259">
        <f>ABS(IF($E$10&lt;0,$E$10,0))</f>
        <v>225597.05000000022</v>
      </c>
      <c r="I22" s="98" t="s">
        <v>375</v>
      </c>
    </row>
    <row r="23" spans="1:8" ht="12.75">
      <c r="A23" s="49">
        <v>117</v>
      </c>
      <c r="B23" s="49">
        <v>11597</v>
      </c>
      <c r="C23" s="263" t="s">
        <v>298</v>
      </c>
      <c r="D23" s="260" t="s">
        <v>300</v>
      </c>
      <c r="E23" s="264" t="s">
        <v>363</v>
      </c>
      <c r="F23" s="49">
        <v>1540006</v>
      </c>
      <c r="G23" s="259">
        <f>ABS(IF($E$10&lt;0,$E$10,0))</f>
        <v>225597.05000000022</v>
      </c>
      <c r="H23" s="259">
        <f>ABS(IF($E$10&gt;0,$E$10,0))</f>
        <v>0</v>
      </c>
    </row>
    <row r="24" s="302" customFormat="1" ht="12.75"/>
    <row r="25" spans="1:9" ht="12.75">
      <c r="A25" s="49">
        <v>181</v>
      </c>
      <c r="B25" s="49">
        <v>11597</v>
      </c>
      <c r="C25" s="263" t="s">
        <v>298</v>
      </c>
      <c r="D25" s="260" t="s">
        <v>300</v>
      </c>
      <c r="E25" s="264" t="s">
        <v>363</v>
      </c>
      <c r="F25" s="49">
        <v>1540012</v>
      </c>
      <c r="G25" s="259">
        <f>ABS(IF($F$10&gt;0,$F$10,0))</f>
        <v>0</v>
      </c>
      <c r="H25" s="259">
        <f>ABS(IF($F$10&lt;0,$F$10,0))</f>
        <v>123295.42000000001</v>
      </c>
      <c r="I25" s="98" t="s">
        <v>376</v>
      </c>
    </row>
    <row r="26" spans="1:8" ht="12.75">
      <c r="A26" s="49">
        <v>117</v>
      </c>
      <c r="B26" s="49">
        <v>11597</v>
      </c>
      <c r="C26" s="263" t="s">
        <v>298</v>
      </c>
      <c r="D26" s="260" t="s">
        <v>300</v>
      </c>
      <c r="E26" s="264" t="s">
        <v>363</v>
      </c>
      <c r="F26" s="49">
        <v>1540012</v>
      </c>
      <c r="G26" s="259">
        <f>ABS(IF($F$10&lt;0,$F$10,0))</f>
        <v>123295.42000000001</v>
      </c>
      <c r="H26" s="259">
        <f>ABS(IF($F$10&gt;0,$F$10,0))</f>
        <v>0</v>
      </c>
    </row>
    <row r="27" spans="1:8" ht="12.75">
      <c r="A27" s="302"/>
      <c r="B27" s="302"/>
      <c r="C27" s="302"/>
      <c r="D27" s="302"/>
      <c r="E27" s="302"/>
      <c r="F27" s="302"/>
      <c r="G27" s="302"/>
      <c r="H27" s="302"/>
    </row>
    <row r="28" spans="1:8" ht="12.75">
      <c r="A28" s="302"/>
      <c r="B28" s="302"/>
      <c r="C28" s="302"/>
      <c r="D28" s="302"/>
      <c r="E28" s="302"/>
      <c r="F28" s="302"/>
      <c r="G28" s="302"/>
      <c r="H28" s="302"/>
    </row>
    <row r="29" spans="1:8" ht="12.75">
      <c r="A29" s="302"/>
      <c r="B29" s="302"/>
      <c r="C29" s="302"/>
      <c r="D29" s="302"/>
      <c r="E29" s="302"/>
      <c r="F29" s="302"/>
      <c r="G29" s="302"/>
      <c r="H29" s="302"/>
    </row>
  </sheetData>
  <sheetProtection/>
  <mergeCells count="5">
    <mergeCell ref="A1:H1"/>
    <mergeCell ref="A2:H2"/>
    <mergeCell ref="A3:H3"/>
    <mergeCell ref="A5:H5"/>
    <mergeCell ref="A6:C6"/>
  </mergeCells>
  <printOptions/>
  <pageMargins left="0.7" right="0.7" top="0.75" bottom="0.75" header="0.3" footer="0.3"/>
  <pageSetup fitToHeight="1" fitToWidth="1" horizontalDpi="600" verticalDpi="600" orientation="landscape" r:id="rId1"/>
  <headerFooter>
    <oddFooter>&amp;C&amp;Z&amp;F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O38"/>
  <sheetViews>
    <sheetView tabSelected="1" zoomScalePageLayoutView="0" workbookViewId="0" topLeftCell="A1">
      <selection activeCell="O26" sqref="O25:O26"/>
    </sheetView>
  </sheetViews>
  <sheetFormatPr defaultColWidth="9.140625" defaultRowHeight="12.75" outlineLevelCol="1"/>
  <cols>
    <col min="1" max="1" width="9.140625" style="286" customWidth="1"/>
    <col min="2" max="2" width="9.421875" style="286" bestFit="1" customWidth="1"/>
    <col min="3" max="3" width="8.140625" style="286" bestFit="1" customWidth="1"/>
    <col min="4" max="4" width="10.7109375" style="286" bestFit="1" customWidth="1"/>
    <col min="5" max="5" width="9.8515625" style="286" bestFit="1" customWidth="1"/>
    <col min="6" max="6" width="7.140625" style="286" bestFit="1" customWidth="1"/>
    <col min="7" max="7" width="8.7109375" style="286" bestFit="1" customWidth="1"/>
    <col min="8" max="8" width="14.00390625" style="287" bestFit="1" customWidth="1"/>
    <col min="9" max="9" width="4.140625" style="286" hidden="1" customWidth="1" outlineLevel="1"/>
    <col min="10" max="10" width="9.421875" style="286" hidden="1" customWidth="1" outlineLevel="1"/>
    <col min="11" max="11" width="4.8515625" style="286" hidden="1" customWidth="1" outlineLevel="1"/>
    <col min="12" max="12" width="12.28125" style="286" hidden="1" customWidth="1" outlineLevel="1"/>
    <col min="13" max="13" width="4.421875" style="286" hidden="1" customWidth="1" outlineLevel="1"/>
    <col min="14" max="14" width="11.421875" style="286" hidden="1" customWidth="1" outlineLevel="1"/>
    <col min="15" max="15" width="13.57421875" style="286" bestFit="1" customWidth="1" collapsed="1"/>
    <col min="16" max="16" width="11.421875" style="286" bestFit="1" customWidth="1"/>
    <col min="17" max="17" width="7.421875" style="286" bestFit="1" customWidth="1"/>
    <col min="18" max="18" width="8.421875" style="286" bestFit="1" customWidth="1"/>
    <col min="19" max="19" width="9.7109375" style="286" bestFit="1" customWidth="1"/>
    <col min="20" max="20" width="30.00390625" style="286" customWidth="1"/>
    <col min="21" max="21" width="10.8515625" style="286" bestFit="1" customWidth="1"/>
    <col min="22" max="22" width="11.28125" style="286" bestFit="1" customWidth="1"/>
    <col min="23" max="23" width="10.28125" style="286" bestFit="1" customWidth="1"/>
    <col min="24" max="24" width="11.7109375" style="286" bestFit="1" customWidth="1"/>
    <col min="25" max="25" width="7.7109375" style="286" bestFit="1" customWidth="1"/>
    <col min="26" max="26" width="8.140625" style="286" bestFit="1" customWidth="1"/>
    <col min="27" max="27" width="13.421875" style="286" hidden="1" customWidth="1" outlineLevel="1"/>
    <col min="28" max="28" width="10.57421875" style="286" hidden="1" customWidth="1" outlineLevel="1"/>
    <col min="29" max="29" width="10.8515625" style="286" hidden="1" customWidth="1" outlineLevel="1"/>
    <col min="30" max="30" width="5.140625" style="286" hidden="1" customWidth="1" outlineLevel="1"/>
    <col min="31" max="31" width="8.00390625" style="286" hidden="1" customWidth="1" outlineLevel="1"/>
    <col min="32" max="32" width="5.7109375" style="286" hidden="1" customWidth="1" outlineLevel="1"/>
    <col min="33" max="33" width="10.28125" style="286" hidden="1" customWidth="1" outlineLevel="1"/>
    <col min="34" max="34" width="10.140625" style="286" hidden="1" customWidth="1" outlineLevel="1"/>
    <col min="35" max="37" width="10.421875" style="286" hidden="1" customWidth="1" outlineLevel="1"/>
    <col min="38" max="38" width="8.421875" style="286" hidden="1" customWidth="1" outlineLevel="1"/>
    <col min="39" max="39" width="11.421875" style="286" hidden="1" customWidth="1" outlineLevel="1"/>
    <col min="40" max="40" width="8.28125" style="286" hidden="1" customWidth="1" outlineLevel="1"/>
    <col min="41" max="41" width="9.28125" style="286" hidden="1" customWidth="1" outlineLevel="1"/>
    <col min="42" max="42" width="9.140625" style="286" customWidth="1" collapsed="1"/>
    <col min="43" max="16384" width="9.140625" style="286" customWidth="1"/>
  </cols>
  <sheetData>
    <row r="1" ht="12.75">
      <c r="A1" s="285" t="s">
        <v>317</v>
      </c>
    </row>
    <row r="2" ht="12.75">
      <c r="A2" s="288" t="s">
        <v>318</v>
      </c>
    </row>
    <row r="3" spans="1:2" ht="12.75">
      <c r="A3" s="289" t="s">
        <v>319</v>
      </c>
      <c r="B3" s="290" t="s">
        <v>365</v>
      </c>
    </row>
    <row r="4" spans="8:20" s="98" customFormat="1" ht="13.5" thickBot="1">
      <c r="H4" s="291"/>
      <c r="T4" s="263"/>
    </row>
    <row r="5" spans="1:41" s="263" customFormat="1" ht="12.75">
      <c r="A5" s="292" t="s">
        <v>320</v>
      </c>
      <c r="B5" s="292" t="s">
        <v>321</v>
      </c>
      <c r="C5" s="292" t="s">
        <v>322</v>
      </c>
      <c r="D5" s="292" t="s">
        <v>323</v>
      </c>
      <c r="E5" s="292" t="s">
        <v>324</v>
      </c>
      <c r="F5" s="292" t="s">
        <v>325</v>
      </c>
      <c r="G5" s="292" t="s">
        <v>326</v>
      </c>
      <c r="H5" s="293" t="s">
        <v>327</v>
      </c>
      <c r="I5" s="292" t="s">
        <v>328</v>
      </c>
      <c r="J5" s="292" t="s">
        <v>329</v>
      </c>
      <c r="K5" s="292" t="s">
        <v>330</v>
      </c>
      <c r="L5" s="292" t="s">
        <v>331</v>
      </c>
      <c r="M5" s="292" t="s">
        <v>332</v>
      </c>
      <c r="N5" s="292" t="s">
        <v>333</v>
      </c>
      <c r="O5" s="292" t="s">
        <v>334</v>
      </c>
      <c r="P5" s="292" t="s">
        <v>335</v>
      </c>
      <c r="Q5" s="292" t="s">
        <v>336</v>
      </c>
      <c r="R5" s="292" t="s">
        <v>337</v>
      </c>
      <c r="S5" s="292" t="s">
        <v>338</v>
      </c>
      <c r="T5" s="292" t="s">
        <v>339</v>
      </c>
      <c r="U5" s="292" t="s">
        <v>340</v>
      </c>
      <c r="V5" s="292" t="s">
        <v>341</v>
      </c>
      <c r="W5" s="292" t="s">
        <v>342</v>
      </c>
      <c r="X5" s="292" t="s">
        <v>343</v>
      </c>
      <c r="Y5" s="292" t="s">
        <v>344</v>
      </c>
      <c r="Z5" s="292" t="s">
        <v>345</v>
      </c>
      <c r="AA5" s="292" t="s">
        <v>346</v>
      </c>
      <c r="AB5" s="292" t="s">
        <v>347</v>
      </c>
      <c r="AC5" s="292" t="s">
        <v>348</v>
      </c>
      <c r="AD5" s="292" t="s">
        <v>349</v>
      </c>
      <c r="AE5" s="292" t="s">
        <v>350</v>
      </c>
      <c r="AF5" s="292" t="s">
        <v>351</v>
      </c>
      <c r="AG5" s="292" t="s">
        <v>352</v>
      </c>
      <c r="AH5" s="292" t="s">
        <v>353</v>
      </c>
      <c r="AI5" s="292" t="s">
        <v>354</v>
      </c>
      <c r="AJ5" s="292" t="s">
        <v>355</v>
      </c>
      <c r="AK5" s="292" t="s">
        <v>356</v>
      </c>
      <c r="AL5" s="292" t="s">
        <v>357</v>
      </c>
      <c r="AM5" s="292" t="s">
        <v>358</v>
      </c>
      <c r="AN5" s="292" t="s">
        <v>359</v>
      </c>
      <c r="AO5" s="294" t="s">
        <v>360</v>
      </c>
    </row>
    <row r="6" spans="1:26" s="295" customFormat="1" ht="12.75">
      <c r="A6" s="295">
        <v>117</v>
      </c>
      <c r="B6" s="295" t="s">
        <v>361</v>
      </c>
      <c r="C6" s="295">
        <v>1510001</v>
      </c>
      <c r="F6" s="295">
        <v>13352</v>
      </c>
      <c r="G6" s="295" t="s">
        <v>362</v>
      </c>
      <c r="H6" s="296">
        <f>+JE0305!G14-JE0305!H14</f>
        <v>5610548.8100000005</v>
      </c>
      <c r="P6" s="297" t="s">
        <v>299</v>
      </c>
      <c r="T6" s="295" t="s">
        <v>366</v>
      </c>
      <c r="U6" s="295" t="s">
        <v>298</v>
      </c>
      <c r="V6" s="295" t="s">
        <v>300</v>
      </c>
      <c r="W6" s="295">
        <v>341</v>
      </c>
      <c r="X6" s="295">
        <v>974</v>
      </c>
      <c r="Z6" s="295" t="s">
        <v>364</v>
      </c>
    </row>
    <row r="7" spans="1:26" s="295" customFormat="1" ht="12.75">
      <c r="A7" s="295">
        <v>117</v>
      </c>
      <c r="B7" s="295" t="s">
        <v>361</v>
      </c>
      <c r="C7" s="295">
        <v>1510002</v>
      </c>
      <c r="F7" s="295">
        <v>13352</v>
      </c>
      <c r="G7" s="295" t="s">
        <v>362</v>
      </c>
      <c r="H7" s="296">
        <f>+JE0305!G17-JE0305!H17</f>
        <v>187377.6700000002</v>
      </c>
      <c r="P7" s="297" t="s">
        <v>299</v>
      </c>
      <c r="T7" s="295" t="s">
        <v>367</v>
      </c>
      <c r="U7" s="295" t="s">
        <v>298</v>
      </c>
      <c r="V7" s="295" t="s">
        <v>300</v>
      </c>
      <c r="W7" s="295">
        <v>343</v>
      </c>
      <c r="X7" s="295">
        <v>974</v>
      </c>
      <c r="Z7" s="295" t="s">
        <v>364</v>
      </c>
    </row>
    <row r="8" spans="1:26" s="295" customFormat="1" ht="12.75">
      <c r="A8" s="295">
        <v>117</v>
      </c>
      <c r="B8" s="295" t="s">
        <v>361</v>
      </c>
      <c r="C8" s="295">
        <v>1520000</v>
      </c>
      <c r="F8" s="295">
        <v>13352</v>
      </c>
      <c r="G8" s="295" t="s">
        <v>362</v>
      </c>
      <c r="H8" s="296">
        <f>+JE0305!G20-JE0305!H20</f>
        <v>104856.31999999983</v>
      </c>
      <c r="P8" s="297" t="s">
        <v>299</v>
      </c>
      <c r="T8" s="295" t="s">
        <v>368</v>
      </c>
      <c r="U8" s="295" t="s">
        <v>298</v>
      </c>
      <c r="V8" s="295" t="s">
        <v>300</v>
      </c>
      <c r="W8" s="295">
        <v>350</v>
      </c>
      <c r="X8" s="295">
        <v>974</v>
      </c>
      <c r="Z8" s="295" t="s">
        <v>364</v>
      </c>
    </row>
    <row r="9" spans="1:26" s="295" customFormat="1" ht="12.75">
      <c r="A9" s="295">
        <v>117</v>
      </c>
      <c r="B9" s="295" t="s">
        <v>361</v>
      </c>
      <c r="C9" s="295">
        <v>1540006</v>
      </c>
      <c r="F9" s="295">
        <v>11597</v>
      </c>
      <c r="G9" s="295" t="s">
        <v>362</v>
      </c>
      <c r="H9" s="296">
        <f>+JE0305!G23-JE0305!H23</f>
        <v>225597.05000000022</v>
      </c>
      <c r="P9" s="297" t="s">
        <v>363</v>
      </c>
      <c r="T9" s="295" t="s">
        <v>377</v>
      </c>
      <c r="U9" s="295" t="s">
        <v>298</v>
      </c>
      <c r="V9" s="295" t="s">
        <v>300</v>
      </c>
      <c r="W9" s="295">
        <v>342</v>
      </c>
      <c r="X9" s="295">
        <v>831</v>
      </c>
      <c r="Z9" s="295" t="s">
        <v>364</v>
      </c>
    </row>
    <row r="10" spans="1:26" s="295" customFormat="1" ht="12.75">
      <c r="A10" s="295">
        <v>117</v>
      </c>
      <c r="B10" s="295" t="s">
        <v>361</v>
      </c>
      <c r="C10" s="295">
        <v>1540012</v>
      </c>
      <c r="F10" s="295">
        <v>11597</v>
      </c>
      <c r="G10" s="295" t="s">
        <v>362</v>
      </c>
      <c r="H10" s="296">
        <f>+JE0305!G26-JE0305!H26</f>
        <v>123295.42000000001</v>
      </c>
      <c r="P10" s="297" t="s">
        <v>363</v>
      </c>
      <c r="T10" s="295" t="s">
        <v>378</v>
      </c>
      <c r="U10" s="295" t="s">
        <v>298</v>
      </c>
      <c r="V10" s="295" t="s">
        <v>300</v>
      </c>
      <c r="W10" s="295">
        <v>342</v>
      </c>
      <c r="X10" s="295">
        <v>831</v>
      </c>
      <c r="Z10" s="295" t="s">
        <v>364</v>
      </c>
    </row>
    <row r="11" spans="1:26" s="295" customFormat="1" ht="12.75">
      <c r="A11" s="295">
        <v>181</v>
      </c>
      <c r="B11" s="295" t="s">
        <v>361</v>
      </c>
      <c r="C11" s="295">
        <v>1510001</v>
      </c>
      <c r="F11" s="295">
        <v>13351</v>
      </c>
      <c r="G11" s="295" t="s">
        <v>362</v>
      </c>
      <c r="H11" s="298">
        <f>-H6</f>
        <v>-5610548.8100000005</v>
      </c>
      <c r="P11" s="297" t="s">
        <v>299</v>
      </c>
      <c r="T11" s="295" t="s">
        <v>366</v>
      </c>
      <c r="U11" s="295" t="s">
        <v>298</v>
      </c>
      <c r="V11" s="295" t="s">
        <v>300</v>
      </c>
      <c r="W11" s="295">
        <v>341</v>
      </c>
      <c r="X11" s="295">
        <v>974</v>
      </c>
      <c r="Z11" s="295" t="s">
        <v>364</v>
      </c>
    </row>
    <row r="12" spans="1:26" s="295" customFormat="1" ht="12.75">
      <c r="A12" s="295">
        <v>181</v>
      </c>
      <c r="B12" s="295" t="s">
        <v>361</v>
      </c>
      <c r="C12" s="295">
        <v>1510002</v>
      </c>
      <c r="F12" s="295">
        <v>13351</v>
      </c>
      <c r="G12" s="295" t="s">
        <v>362</v>
      </c>
      <c r="H12" s="298">
        <f>-H7</f>
        <v>-187377.6700000002</v>
      </c>
      <c r="P12" s="297" t="s">
        <v>299</v>
      </c>
      <c r="T12" s="295" t="s">
        <v>367</v>
      </c>
      <c r="U12" s="295" t="s">
        <v>298</v>
      </c>
      <c r="V12" s="295" t="s">
        <v>300</v>
      </c>
      <c r="W12" s="295">
        <v>343</v>
      </c>
      <c r="X12" s="295">
        <v>974</v>
      </c>
      <c r="Z12" s="295" t="s">
        <v>364</v>
      </c>
    </row>
    <row r="13" spans="1:26" s="295" customFormat="1" ht="12.75">
      <c r="A13" s="295">
        <v>181</v>
      </c>
      <c r="B13" s="295" t="s">
        <v>361</v>
      </c>
      <c r="C13" s="295">
        <v>1520000</v>
      </c>
      <c r="F13" s="295">
        <v>13351</v>
      </c>
      <c r="G13" s="295" t="s">
        <v>362</v>
      </c>
      <c r="H13" s="298">
        <f>-H8</f>
        <v>-104856.31999999983</v>
      </c>
      <c r="P13" s="297" t="s">
        <v>299</v>
      </c>
      <c r="T13" s="295" t="s">
        <v>368</v>
      </c>
      <c r="U13" s="295" t="s">
        <v>298</v>
      </c>
      <c r="V13" s="295" t="s">
        <v>300</v>
      </c>
      <c r="W13" s="295">
        <v>350</v>
      </c>
      <c r="X13" s="295">
        <v>974</v>
      </c>
      <c r="Z13" s="295" t="s">
        <v>364</v>
      </c>
    </row>
    <row r="14" spans="1:26" s="295" customFormat="1" ht="12.75">
      <c r="A14" s="295">
        <v>181</v>
      </c>
      <c r="B14" s="295" t="s">
        <v>361</v>
      </c>
      <c r="C14" s="295">
        <v>1540006</v>
      </c>
      <c r="F14" s="295">
        <v>11597</v>
      </c>
      <c r="G14" s="295" t="s">
        <v>362</v>
      </c>
      <c r="H14" s="298">
        <f>-H9</f>
        <v>-225597.05000000022</v>
      </c>
      <c r="P14" s="297" t="s">
        <v>363</v>
      </c>
      <c r="T14" s="295" t="s">
        <v>377</v>
      </c>
      <c r="U14" s="295" t="s">
        <v>298</v>
      </c>
      <c r="V14" s="295" t="s">
        <v>300</v>
      </c>
      <c r="W14" s="295">
        <v>342</v>
      </c>
      <c r="X14" s="295">
        <v>831</v>
      </c>
      <c r="Z14" s="295" t="s">
        <v>364</v>
      </c>
    </row>
    <row r="15" spans="1:26" s="295" customFormat="1" ht="12.75">
      <c r="A15" s="295">
        <v>181</v>
      </c>
      <c r="B15" s="295" t="s">
        <v>361</v>
      </c>
      <c r="C15" s="295">
        <v>1540012</v>
      </c>
      <c r="F15" s="295">
        <v>11597</v>
      </c>
      <c r="G15" s="295" t="s">
        <v>362</v>
      </c>
      <c r="H15" s="298">
        <f>-H10</f>
        <v>-123295.42000000001</v>
      </c>
      <c r="P15" s="297" t="s">
        <v>363</v>
      </c>
      <c r="T15" s="295" t="s">
        <v>378</v>
      </c>
      <c r="U15" s="295" t="s">
        <v>298</v>
      </c>
      <c r="V15" s="295" t="s">
        <v>300</v>
      </c>
      <c r="W15" s="295">
        <v>342</v>
      </c>
      <c r="X15" s="295">
        <v>831</v>
      </c>
      <c r="Z15" s="295" t="s">
        <v>364</v>
      </c>
    </row>
    <row r="16" spans="1:26" s="295" customFormat="1" ht="12.75">
      <c r="A16" s="295">
        <v>117</v>
      </c>
      <c r="B16" s="295" t="s">
        <v>361</v>
      </c>
      <c r="C16" s="295">
        <v>2340001</v>
      </c>
      <c r="F16" s="295">
        <v>99920</v>
      </c>
      <c r="G16" s="295" t="s">
        <v>362</v>
      </c>
      <c r="H16" s="296">
        <f>IF(-SUM(H11:H15)&gt;0,-SUM(H11:H15),0)</f>
        <v>6251675.2700000005</v>
      </c>
      <c r="O16" s="299"/>
      <c r="Q16" s="295">
        <v>181</v>
      </c>
      <c r="Z16" s="295" t="s">
        <v>364</v>
      </c>
    </row>
    <row r="17" spans="1:26" s="295" customFormat="1" ht="12.75">
      <c r="A17" s="295">
        <v>117</v>
      </c>
      <c r="B17" s="295" t="s">
        <v>361</v>
      </c>
      <c r="C17" s="295">
        <v>1460001</v>
      </c>
      <c r="F17" s="295">
        <v>99910</v>
      </c>
      <c r="G17" s="295" t="s">
        <v>362</v>
      </c>
      <c r="H17" s="296">
        <f>-H16</f>
        <v>-6251675.2700000005</v>
      </c>
      <c r="Q17" s="295">
        <v>181</v>
      </c>
      <c r="Z17" s="295" t="s">
        <v>364</v>
      </c>
    </row>
    <row r="18" spans="1:26" s="295" customFormat="1" ht="12.75">
      <c r="A18" s="295">
        <v>181</v>
      </c>
      <c r="B18" s="295" t="s">
        <v>361</v>
      </c>
      <c r="C18" s="295">
        <v>2340001</v>
      </c>
      <c r="F18" s="295">
        <v>99920</v>
      </c>
      <c r="G18" s="295" t="s">
        <v>362</v>
      </c>
      <c r="H18" s="296">
        <f>+H16</f>
        <v>6251675.2700000005</v>
      </c>
      <c r="Q18" s="295">
        <v>117</v>
      </c>
      <c r="Z18" s="295" t="s">
        <v>364</v>
      </c>
    </row>
    <row r="19" spans="1:26" s="295" customFormat="1" ht="12.75">
      <c r="A19" s="295">
        <v>181</v>
      </c>
      <c r="B19" s="295" t="s">
        <v>361</v>
      </c>
      <c r="C19" s="295">
        <v>1460001</v>
      </c>
      <c r="F19" s="295">
        <v>99910</v>
      </c>
      <c r="G19" s="295" t="s">
        <v>362</v>
      </c>
      <c r="H19" s="296">
        <f>+H17</f>
        <v>-6251675.2700000005</v>
      </c>
      <c r="Q19" s="295">
        <v>117</v>
      </c>
      <c r="Z19" s="295" t="s">
        <v>364</v>
      </c>
    </row>
    <row r="20" s="300" customFormat="1" ht="12.75">
      <c r="H20" s="301"/>
    </row>
    <row r="21" s="300" customFormat="1" ht="12.75">
      <c r="H21" s="301"/>
    </row>
    <row r="22" s="300" customFormat="1" ht="12.75">
      <c r="H22" s="301"/>
    </row>
    <row r="23" s="300" customFormat="1" ht="12.75">
      <c r="H23" s="301"/>
    </row>
    <row r="24" s="300" customFormat="1" ht="12.75">
      <c r="H24" s="301"/>
    </row>
    <row r="25" s="300" customFormat="1" ht="12.75">
      <c r="H25" s="301"/>
    </row>
    <row r="26" s="300" customFormat="1" ht="12.75">
      <c r="H26" s="301"/>
    </row>
    <row r="27" s="300" customFormat="1" ht="12.75">
      <c r="H27" s="301"/>
    </row>
    <row r="28" s="300" customFormat="1" ht="12.75">
      <c r="H28" s="301"/>
    </row>
    <row r="29" s="300" customFormat="1" ht="12.75">
      <c r="H29" s="301"/>
    </row>
    <row r="30" s="300" customFormat="1" ht="12.75">
      <c r="H30" s="301"/>
    </row>
    <row r="31" s="300" customFormat="1" ht="12.75">
      <c r="H31" s="301"/>
    </row>
    <row r="32" s="300" customFormat="1" ht="12.75">
      <c r="H32" s="301"/>
    </row>
    <row r="33" s="300" customFormat="1" ht="12.75">
      <c r="H33" s="301"/>
    </row>
    <row r="34" s="300" customFormat="1" ht="12.75">
      <c r="H34" s="301"/>
    </row>
    <row r="35" s="300" customFormat="1" ht="12.75">
      <c r="H35" s="301"/>
    </row>
    <row r="36" s="300" customFormat="1" ht="12.75">
      <c r="H36" s="301"/>
    </row>
    <row r="37" s="300" customFormat="1" ht="12.75">
      <c r="H37" s="301"/>
    </row>
    <row r="38" s="300" customFormat="1" ht="12.75">
      <c r="H38" s="30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8"/>
  <sheetViews>
    <sheetView zoomScale="85" zoomScaleNormal="85" zoomScalePageLayoutView="0" workbookViewId="0" topLeftCell="A1">
      <selection activeCell="A1" sqref="A1:D1"/>
    </sheetView>
  </sheetViews>
  <sheetFormatPr defaultColWidth="9.140625" defaultRowHeight="12.75"/>
  <cols>
    <col min="1" max="1" width="40.140625" style="0" customWidth="1"/>
    <col min="2" max="2" width="16.7109375" style="0" bestFit="1" customWidth="1"/>
    <col min="3" max="3" width="17.421875" style="0" bestFit="1" customWidth="1"/>
    <col min="4" max="4" width="15.00390625" style="0" bestFit="1" customWidth="1"/>
    <col min="5" max="5" width="15.421875" style="0" bestFit="1" customWidth="1"/>
    <col min="6" max="6" width="14.57421875" style="0" bestFit="1" customWidth="1"/>
    <col min="7" max="7" width="15.421875" style="0" bestFit="1" customWidth="1"/>
    <col min="8" max="8" width="11.28125" style="0" bestFit="1" customWidth="1"/>
    <col min="9" max="9" width="15.7109375" style="0" bestFit="1" customWidth="1"/>
    <col min="10" max="10" width="12.57421875" style="0" bestFit="1" customWidth="1"/>
  </cols>
  <sheetData>
    <row r="1" spans="1:4" ht="12.75">
      <c r="A1" s="306" t="s">
        <v>278</v>
      </c>
      <c r="B1" s="306"/>
      <c r="C1" s="306"/>
      <c r="D1" s="306"/>
    </row>
    <row r="2" spans="1:4" ht="12.75">
      <c r="A2" s="306" t="s">
        <v>42</v>
      </c>
      <c r="B2" s="306"/>
      <c r="C2" s="306"/>
      <c r="D2" s="306"/>
    </row>
    <row r="3" spans="1:4" ht="12.75">
      <c r="A3" s="310" t="str">
        <f>INPUTS!A3</f>
        <v>FEBRUARY 2014</v>
      </c>
      <c r="B3" s="310"/>
      <c r="C3" s="310"/>
      <c r="D3" s="310"/>
    </row>
    <row r="4" spans="1:5" ht="12.75">
      <c r="A4" s="33"/>
      <c r="B4" s="33"/>
      <c r="C4" s="33"/>
      <c r="D4" s="33"/>
      <c r="E4" s="38" t="s">
        <v>50</v>
      </c>
    </row>
    <row r="5" spans="2:5" ht="12.75">
      <c r="B5" s="35"/>
      <c r="C5" s="3" t="s">
        <v>29</v>
      </c>
      <c r="D5" s="3"/>
      <c r="E5" s="38" t="s">
        <v>51</v>
      </c>
    </row>
    <row r="6" spans="1:4" ht="12.75">
      <c r="A6" s="24" t="s">
        <v>27</v>
      </c>
      <c r="B6" s="24" t="s">
        <v>43</v>
      </c>
      <c r="C6" s="24" t="s">
        <v>40</v>
      </c>
      <c r="D6" s="24" t="s">
        <v>26</v>
      </c>
    </row>
    <row r="7" spans="1:4" ht="12.75">
      <c r="A7" t="s">
        <v>28</v>
      </c>
      <c r="B7" s="8">
        <f>+MITCHELL!C7</f>
        <v>47306610.25</v>
      </c>
      <c r="C7" s="249">
        <v>47306610.25</v>
      </c>
      <c r="D7" s="8">
        <f>+B7-C7</f>
        <v>0</v>
      </c>
    </row>
    <row r="8" spans="1:7" ht="12.75">
      <c r="A8" s="98" t="s">
        <v>266</v>
      </c>
      <c r="B8" s="8">
        <f>+'MITCHELL HIGH SULFUR'!C7</f>
        <v>18965073.94</v>
      </c>
      <c r="C8" s="249">
        <v>18965073.94</v>
      </c>
      <c r="D8" s="8">
        <f>+B8-C8</f>
        <v>0</v>
      </c>
      <c r="G8" s="98"/>
    </row>
    <row r="9" spans="1:7" ht="12.75">
      <c r="A9" s="98" t="s">
        <v>267</v>
      </c>
      <c r="B9" s="8">
        <f>+'MITCHELL LOW SULFUR'!C7</f>
        <v>28341536.31</v>
      </c>
      <c r="C9" s="249">
        <v>28341536.31</v>
      </c>
      <c r="D9" s="8">
        <f>+B9-C9</f>
        <v>0</v>
      </c>
      <c r="G9" s="98"/>
    </row>
    <row r="10" spans="1:4" ht="12.75">
      <c r="A10" t="s">
        <v>66</v>
      </c>
      <c r="B10" s="8">
        <v>0</v>
      </c>
      <c r="C10" s="249">
        <v>0</v>
      </c>
      <c r="D10" s="8">
        <f>+B10-C10</f>
        <v>0</v>
      </c>
    </row>
    <row r="11" spans="1:4" ht="12.75">
      <c r="A11" t="s">
        <v>67</v>
      </c>
      <c r="B11" s="8">
        <v>0</v>
      </c>
      <c r="C11" s="249">
        <v>0</v>
      </c>
      <c r="D11" s="8">
        <f>+B11-C11</f>
        <v>0</v>
      </c>
    </row>
    <row r="12" spans="1:4" ht="13.5" thickBot="1">
      <c r="A12" t="s">
        <v>3</v>
      </c>
      <c r="B12" s="26">
        <f>SUM(B7:B11)</f>
        <v>94613220.5</v>
      </c>
      <c r="C12" s="26">
        <f>SUM(C7:C11)</f>
        <v>94613220.5</v>
      </c>
      <c r="D12" s="26">
        <f>SUM(D7:D11)</f>
        <v>0</v>
      </c>
    </row>
    <row r="13" ht="13.5" thickTop="1"/>
    <row r="15" spans="1:4" ht="12.75">
      <c r="A15" s="306" t="s">
        <v>278</v>
      </c>
      <c r="B15" s="306"/>
      <c r="C15" s="306"/>
      <c r="D15" s="306"/>
    </row>
    <row r="16" spans="1:4" ht="12.75">
      <c r="A16" s="306" t="s">
        <v>31</v>
      </c>
      <c r="B16" s="306"/>
      <c r="C16" s="306"/>
      <c r="D16" s="306"/>
    </row>
    <row r="17" spans="1:4" ht="12.75">
      <c r="A17" s="310" t="str">
        <f>+A3</f>
        <v>FEBRUARY 2014</v>
      </c>
      <c r="B17" s="310"/>
      <c r="C17" s="310"/>
      <c r="D17" s="310"/>
    </row>
    <row r="18" spans="1:4" ht="12.75">
      <c r="A18" s="33"/>
      <c r="B18" s="33"/>
      <c r="C18" s="33"/>
      <c r="D18" s="33"/>
    </row>
    <row r="19" spans="2:4" ht="12.75">
      <c r="B19" s="35" t="s">
        <v>30</v>
      </c>
      <c r="C19" s="3" t="s">
        <v>32</v>
      </c>
      <c r="D19" s="3"/>
    </row>
    <row r="20" spans="1:4" ht="12.75">
      <c r="A20" s="24" t="s">
        <v>27</v>
      </c>
      <c r="B20" s="24" t="s">
        <v>0</v>
      </c>
      <c r="C20" s="24" t="s">
        <v>44</v>
      </c>
      <c r="D20" s="24" t="s">
        <v>26</v>
      </c>
    </row>
    <row r="21" spans="1:4" ht="12.75">
      <c r="A21" t="s">
        <v>28</v>
      </c>
      <c r="B21" s="8">
        <f>+MITCHELL!B21</f>
        <v>537954.1599999999</v>
      </c>
      <c r="C21" s="11">
        <f>'[7]TONS INVENTORY'!$B$22</f>
        <v>537954.1599999999</v>
      </c>
      <c r="D21" s="8">
        <f>+B21-C21</f>
        <v>0</v>
      </c>
    </row>
    <row r="22" spans="1:4" ht="12.75">
      <c r="A22" s="98" t="s">
        <v>266</v>
      </c>
      <c r="B22" s="8">
        <f>+'MITCHELL HIGH SULFUR'!B21</f>
        <v>345607.95999999996</v>
      </c>
      <c r="C22" s="11">
        <f>'[7]TONS INVENTORY'!$C$22</f>
        <v>345607.95999999996</v>
      </c>
      <c r="D22" s="8">
        <f>+B22-C22</f>
        <v>0</v>
      </c>
    </row>
    <row r="23" spans="1:4" ht="12.75">
      <c r="A23" s="98" t="s">
        <v>267</v>
      </c>
      <c r="B23" s="8">
        <f>+'MITCHELL LOW SULFUR'!B21</f>
        <v>192346.19999999995</v>
      </c>
      <c r="C23" s="11">
        <f>'[7]TONS INVENTORY'!$D$22</f>
        <v>192346.19999999995</v>
      </c>
      <c r="D23" s="8">
        <f>+B23-C23</f>
        <v>0</v>
      </c>
    </row>
    <row r="24" spans="1:4" ht="13.5" thickBot="1">
      <c r="A24" t="s">
        <v>3</v>
      </c>
      <c r="B24" s="44">
        <f>SUM(B21:B23)</f>
        <v>1075908.3199999998</v>
      </c>
      <c r="C24" s="26">
        <f>SUM(C21:C23)</f>
        <v>1075908.3199999998</v>
      </c>
      <c r="D24" s="26">
        <f>SUM(D21:D23)</f>
        <v>0</v>
      </c>
    </row>
    <row r="25" ht="13.5" thickTop="1"/>
    <row r="27" spans="1:4" ht="12.75">
      <c r="A27" s="306" t="s">
        <v>278</v>
      </c>
      <c r="B27" s="306"/>
      <c r="C27" s="306"/>
      <c r="D27" s="306"/>
    </row>
    <row r="28" spans="1:4" ht="15" customHeight="1">
      <c r="A28" s="306" t="s">
        <v>45</v>
      </c>
      <c r="B28" s="306"/>
      <c r="C28" s="306"/>
      <c r="D28" s="306"/>
    </row>
    <row r="29" spans="1:4" ht="12.75">
      <c r="A29" s="310" t="str">
        <f>+A17</f>
        <v>FEBRUARY 2014</v>
      </c>
      <c r="B29" s="310"/>
      <c r="C29" s="310"/>
      <c r="D29" s="310"/>
    </row>
    <row r="30" spans="1:4" ht="12.75">
      <c r="A30" s="33"/>
      <c r="B30" s="33"/>
      <c r="C30" s="33"/>
      <c r="D30" s="33"/>
    </row>
    <row r="31" spans="2:4" ht="12.75">
      <c r="B31" s="35"/>
      <c r="C31" s="3" t="s">
        <v>33</v>
      </c>
      <c r="D31" s="3"/>
    </row>
    <row r="32" spans="1:4" ht="30" customHeight="1">
      <c r="A32" s="24" t="s">
        <v>27</v>
      </c>
      <c r="B32" s="24" t="s">
        <v>46</v>
      </c>
      <c r="C32" s="24" t="s">
        <v>47</v>
      </c>
      <c r="D32" s="24" t="s">
        <v>26</v>
      </c>
    </row>
    <row r="33" spans="1:4" ht="12.75">
      <c r="A33" t="s">
        <v>28</v>
      </c>
      <c r="B33" s="8">
        <f>+MITCHELL!C11</f>
        <v>8834385.22</v>
      </c>
      <c r="C33" s="11">
        <f>'[8]MITCHELL'!$E$22</f>
        <v>8834385.220000003</v>
      </c>
      <c r="D33" s="8">
        <f>+B33-C33</f>
        <v>0</v>
      </c>
    </row>
    <row r="34" spans="1:4" ht="12.75">
      <c r="A34" s="98" t="s">
        <v>266</v>
      </c>
      <c r="B34" s="8">
        <f>+'MITCHELL HIGH SULFUR'!C11</f>
        <v>7823676.05</v>
      </c>
      <c r="C34" s="11">
        <f>'[8]MITCHELL HIGH SULFUR'!$E$22</f>
        <v>7823676.050000001</v>
      </c>
      <c r="D34" s="8">
        <f>+B34-C34</f>
        <v>0</v>
      </c>
    </row>
    <row r="35" spans="1:4" ht="12.75">
      <c r="A35" s="98" t="s">
        <v>267</v>
      </c>
      <c r="B35" s="8">
        <f>+'MITCHELL LOW SULFUR'!C11</f>
        <v>1010709.1700000003</v>
      </c>
      <c r="C35" s="11">
        <f>'[8]MITCHELL LOW SULFUR'!$E$22</f>
        <v>1010709.1699999999</v>
      </c>
      <c r="D35" s="8">
        <f>+B35-C35</f>
        <v>0</v>
      </c>
    </row>
    <row r="36" spans="1:4" ht="13.5" thickBot="1">
      <c r="A36" t="s">
        <v>3</v>
      </c>
      <c r="B36" s="26">
        <f>SUM(B33:B35)</f>
        <v>17668770.44</v>
      </c>
      <c r="C36" s="26">
        <f>SUM(C33:C35)</f>
        <v>17668770.440000005</v>
      </c>
      <c r="D36" s="26">
        <f>SUM(D33:D35)</f>
        <v>0</v>
      </c>
    </row>
    <row r="37" ht="13.5" thickTop="1"/>
    <row r="39" spans="1:4" ht="12.75">
      <c r="A39" s="306" t="s">
        <v>278</v>
      </c>
      <c r="B39" s="306"/>
      <c r="C39" s="306"/>
      <c r="D39" s="306"/>
    </row>
    <row r="40" spans="1:4" ht="12.75">
      <c r="A40" s="306" t="s">
        <v>34</v>
      </c>
      <c r="B40" s="306"/>
      <c r="C40" s="306"/>
      <c r="D40" s="306"/>
    </row>
    <row r="41" spans="1:4" ht="12.75">
      <c r="A41" s="310" t="str">
        <f>+A29</f>
        <v>FEBRUARY 2014</v>
      </c>
      <c r="B41" s="310"/>
      <c r="C41" s="310"/>
      <c r="D41" s="310"/>
    </row>
    <row r="42" spans="1:4" ht="12.75">
      <c r="A42" s="33"/>
      <c r="B42" s="33"/>
      <c r="C42" s="33"/>
      <c r="D42" s="33"/>
    </row>
    <row r="43" spans="2:10" ht="12.75">
      <c r="B43" s="35" t="s">
        <v>35</v>
      </c>
      <c r="C43" s="3" t="s">
        <v>37</v>
      </c>
      <c r="D43" s="3"/>
      <c r="E43" s="35" t="s">
        <v>35</v>
      </c>
      <c r="F43" s="3" t="s">
        <v>37</v>
      </c>
      <c r="G43" s="3"/>
      <c r="H43" s="35" t="s">
        <v>48</v>
      </c>
      <c r="I43" s="3" t="s">
        <v>37</v>
      </c>
      <c r="J43" s="3"/>
    </row>
    <row r="44" spans="1:10" ht="12.75">
      <c r="A44" s="24" t="s">
        <v>27</v>
      </c>
      <c r="B44" s="24" t="s">
        <v>36</v>
      </c>
      <c r="C44" s="24" t="s">
        <v>38</v>
      </c>
      <c r="D44" s="24" t="s">
        <v>26</v>
      </c>
      <c r="E44" s="24" t="s">
        <v>39</v>
      </c>
      <c r="F44" s="24" t="s">
        <v>40</v>
      </c>
      <c r="G44" s="24" t="s">
        <v>26</v>
      </c>
      <c r="H44" s="24" t="s">
        <v>41</v>
      </c>
      <c r="I44" s="24" t="s">
        <v>49</v>
      </c>
      <c r="J44" s="24" t="s">
        <v>26</v>
      </c>
    </row>
    <row r="45" spans="1:10" ht="12.75">
      <c r="A45" t="s">
        <v>28</v>
      </c>
      <c r="B45" s="8">
        <f>+B21</f>
        <v>537954.1599999999</v>
      </c>
      <c r="C45" s="45" t="e">
        <f>#REF!</f>
        <v>#REF!</v>
      </c>
      <c r="D45" s="8" t="e">
        <f>+B45-C45</f>
        <v>#REF!</v>
      </c>
      <c r="E45" s="8">
        <f>+MITCHELL!C21</f>
        <v>36085512.629999995</v>
      </c>
      <c r="F45" s="45" t="e">
        <f>#REF!</f>
        <v>#REF!</v>
      </c>
      <c r="G45" s="8" t="e">
        <f>+E45-F45</f>
        <v>#REF!</v>
      </c>
      <c r="H45" s="52">
        <f>+MITCHELL!E21</f>
        <v>11986</v>
      </c>
      <c r="I45" s="53" t="e">
        <f>#REF!</f>
        <v>#REF!</v>
      </c>
      <c r="J45" s="36" t="e">
        <f>+H45-I45</f>
        <v>#REF!</v>
      </c>
    </row>
    <row r="46" spans="1:10" ht="12.75">
      <c r="A46" s="98" t="s">
        <v>266</v>
      </c>
      <c r="B46" s="8">
        <f>+B22</f>
        <v>345607.95999999996</v>
      </c>
      <c r="C46" s="45" t="e">
        <f>#REF!</f>
        <v>#REF!</v>
      </c>
      <c r="D46" s="8" t="e">
        <f>+B46-C46</f>
        <v>#REF!</v>
      </c>
      <c r="E46" s="8">
        <f>+'MITCHELL HIGH SULFUR'!C21</f>
        <v>20631775.42</v>
      </c>
      <c r="F46" s="45" t="e">
        <f>#REF!</f>
        <v>#REF!</v>
      </c>
      <c r="G46" s="8" t="e">
        <f>+E46-F46</f>
        <v>#REF!</v>
      </c>
      <c r="H46" s="52">
        <f>+'MITCHELL HIGH SULFUR'!E21</f>
        <v>11986</v>
      </c>
      <c r="I46" s="53" t="e">
        <f>#REF!</f>
        <v>#REF!</v>
      </c>
      <c r="J46" s="36" t="e">
        <f>+H46-I46</f>
        <v>#REF!</v>
      </c>
    </row>
    <row r="47" spans="1:10" ht="12.75">
      <c r="A47" s="98" t="s">
        <v>267</v>
      </c>
      <c r="B47" s="8">
        <f>+B23</f>
        <v>192346.19999999995</v>
      </c>
      <c r="C47" s="45" t="e">
        <f>#REF!</f>
        <v>#REF!</v>
      </c>
      <c r="D47" s="8" t="e">
        <f>+B47-C47</f>
        <v>#REF!</v>
      </c>
      <c r="E47" s="8">
        <f>+'MITCHELL LOW SULFUR'!C21</f>
        <v>15453737.21</v>
      </c>
      <c r="F47" s="45" t="e">
        <f>#REF!</f>
        <v>#REF!</v>
      </c>
      <c r="G47" s="8" t="e">
        <f>+E47-F47</f>
        <v>#REF!</v>
      </c>
      <c r="H47" s="52">
        <f>+'MITCHELL LOW SULFUR'!E21</f>
        <v>11986</v>
      </c>
      <c r="I47" s="53" t="e">
        <f>#REF!</f>
        <v>#REF!</v>
      </c>
      <c r="J47" s="36" t="e">
        <f>+H47-I47</f>
        <v>#REF!</v>
      </c>
    </row>
    <row r="48" spans="1:10" ht="13.5" thickBot="1">
      <c r="A48" t="s">
        <v>3</v>
      </c>
      <c r="B48" s="26">
        <f aca="true" t="shared" si="0" ref="B48:J48">SUM(B45:B47)</f>
        <v>1075908.3199999998</v>
      </c>
      <c r="C48" s="26" t="e">
        <f t="shared" si="0"/>
        <v>#REF!</v>
      </c>
      <c r="D48" s="26" t="e">
        <f t="shared" si="0"/>
        <v>#REF!</v>
      </c>
      <c r="E48" s="26">
        <f t="shared" si="0"/>
        <v>72171025.25999999</v>
      </c>
      <c r="F48" s="26" t="e">
        <f t="shared" si="0"/>
        <v>#REF!</v>
      </c>
      <c r="G48" s="26" t="e">
        <f t="shared" si="0"/>
        <v>#REF!</v>
      </c>
      <c r="H48" s="37">
        <f t="shared" si="0"/>
        <v>35958</v>
      </c>
      <c r="I48" s="37" t="e">
        <f t="shared" si="0"/>
        <v>#REF!</v>
      </c>
      <c r="J48" s="37" t="e">
        <f t="shared" si="0"/>
        <v>#REF!</v>
      </c>
    </row>
    <row r="49" ht="13.5" thickTop="1"/>
  </sheetData>
  <sheetProtection/>
  <mergeCells count="12">
    <mergeCell ref="A27:D27"/>
    <mergeCell ref="A28:D28"/>
    <mergeCell ref="A29:D29"/>
    <mergeCell ref="A39:D39"/>
    <mergeCell ref="A40:D40"/>
    <mergeCell ref="A41:D41"/>
    <mergeCell ref="A1:D1"/>
    <mergeCell ref="A2:D2"/>
    <mergeCell ref="A3:D3"/>
    <mergeCell ref="A15:D15"/>
    <mergeCell ref="A16:D16"/>
    <mergeCell ref="A17:D17"/>
  </mergeCells>
  <printOptions horizontalCentered="1" verticalCentered="1"/>
  <pageMargins left="0.5" right="0.5" top="0.5" bottom="0.5" header="0.3" footer="0.3"/>
  <pageSetup fitToHeight="1" fitToWidth="1" horizontalDpi="600" verticalDpi="600" orientation="landscape" scale="74" r:id="rId1"/>
  <headerFooter alignWithMargins="0">
    <oddFooter>&amp;L&amp;D  &amp;T&amp;C&amp;F  &amp;A&amp;RBE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F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3.28125" style="0" bestFit="1" customWidth="1"/>
    <col min="2" max="2" width="32.57421875" style="0" bestFit="1" customWidth="1"/>
    <col min="3" max="3" width="17.7109375" style="0" customWidth="1"/>
    <col min="4" max="4" width="25.28125" style="0" customWidth="1"/>
    <col min="5" max="5" width="18.140625" style="0" customWidth="1"/>
    <col min="6" max="6" width="20.57421875" style="0" customWidth="1"/>
  </cols>
  <sheetData>
    <row r="1" spans="1:6" ht="18">
      <c r="A1" s="318" t="s">
        <v>61</v>
      </c>
      <c r="B1" s="318"/>
      <c r="C1" s="318"/>
      <c r="D1" s="318"/>
      <c r="E1" s="318"/>
      <c r="F1" s="318"/>
    </row>
    <row r="2" spans="1:6" ht="18">
      <c r="A2" s="318" t="s">
        <v>54</v>
      </c>
      <c r="B2" s="318"/>
      <c r="C2" s="318"/>
      <c r="D2" s="318"/>
      <c r="E2" s="318"/>
      <c r="F2" s="318"/>
    </row>
    <row r="4" spans="1:6" ht="63">
      <c r="A4" s="46" t="s">
        <v>55</v>
      </c>
      <c r="B4" s="46" t="s">
        <v>56</v>
      </c>
      <c r="C4" s="47" t="s">
        <v>57</v>
      </c>
      <c r="D4" s="47" t="s">
        <v>58</v>
      </c>
      <c r="E4" s="47" t="s">
        <v>59</v>
      </c>
      <c r="F4" s="47" t="s">
        <v>60</v>
      </c>
    </row>
    <row r="5" spans="1:6" ht="69.75" customHeight="1">
      <c r="A5" s="48">
        <v>39172</v>
      </c>
      <c r="B5" s="49" t="s">
        <v>62</v>
      </c>
      <c r="C5" s="50" t="s">
        <v>63</v>
      </c>
      <c r="D5" s="50" t="s">
        <v>64</v>
      </c>
      <c r="E5" s="50" t="s">
        <v>65</v>
      </c>
      <c r="F5" s="50" t="s">
        <v>65</v>
      </c>
    </row>
    <row r="6" spans="1:6" ht="69.75" customHeight="1">
      <c r="A6" s="48">
        <v>39629</v>
      </c>
      <c r="B6" s="49" t="s">
        <v>62</v>
      </c>
      <c r="C6" s="50" t="s">
        <v>68</v>
      </c>
      <c r="D6" s="50" t="s">
        <v>64</v>
      </c>
      <c r="E6" s="50" t="s">
        <v>65</v>
      </c>
      <c r="F6" s="50" t="s">
        <v>65</v>
      </c>
    </row>
    <row r="7" spans="1:6" ht="69.75" customHeight="1">
      <c r="A7" s="48">
        <v>39686</v>
      </c>
      <c r="B7" s="49" t="s">
        <v>62</v>
      </c>
      <c r="C7" s="50" t="s">
        <v>69</v>
      </c>
      <c r="D7" s="50" t="s">
        <v>64</v>
      </c>
      <c r="E7" s="50" t="s">
        <v>65</v>
      </c>
      <c r="F7" s="50" t="s">
        <v>65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9"/>
  <dimension ref="A1:J29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2" width="3.28125" style="0" customWidth="1"/>
    <col min="3" max="3" width="19.140625" style="0" customWidth="1"/>
    <col min="10" max="10" width="3.57421875" style="0" customWidth="1"/>
  </cols>
  <sheetData>
    <row r="1" ht="13.5" thickBot="1">
      <c r="A1" t="s">
        <v>70</v>
      </c>
    </row>
    <row r="2" spans="1:10" ht="13.5" thickBot="1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ht="15.75">
      <c r="A3" s="59"/>
      <c r="B3" s="321" t="s">
        <v>71</v>
      </c>
      <c r="C3" s="322"/>
      <c r="D3" s="322"/>
      <c r="E3" s="322"/>
      <c r="F3" s="322"/>
      <c r="G3" s="322"/>
      <c r="H3" s="322"/>
      <c r="I3" s="323"/>
      <c r="J3" s="60"/>
    </row>
    <row r="4" spans="1:10" ht="12.75">
      <c r="A4" s="59"/>
      <c r="B4" s="61"/>
      <c r="C4" s="324"/>
      <c r="D4" s="324"/>
      <c r="E4" s="324"/>
      <c r="F4" s="324"/>
      <c r="G4" s="63"/>
      <c r="H4" s="63"/>
      <c r="I4" s="64"/>
      <c r="J4" s="60"/>
    </row>
    <row r="5" spans="1:10" ht="12.75">
      <c r="A5" s="59"/>
      <c r="B5" s="61"/>
      <c r="C5" s="324"/>
      <c r="D5" s="324"/>
      <c r="E5" s="324"/>
      <c r="F5" s="324"/>
      <c r="G5" s="325" t="s">
        <v>72</v>
      </c>
      <c r="H5" s="326"/>
      <c r="I5" s="327"/>
      <c r="J5" s="60"/>
    </row>
    <row r="6" spans="1:10" ht="38.25">
      <c r="A6" s="59"/>
      <c r="B6" s="65"/>
      <c r="C6" s="319" t="s">
        <v>73</v>
      </c>
      <c r="D6" s="319"/>
      <c r="E6" s="319" t="s">
        <v>74</v>
      </c>
      <c r="F6" s="319"/>
      <c r="G6" s="66" t="s">
        <v>75</v>
      </c>
      <c r="H6" s="66" t="s">
        <v>76</v>
      </c>
      <c r="I6" s="67" t="s">
        <v>77</v>
      </c>
      <c r="J6" s="60"/>
    </row>
    <row r="7" spans="1:10" ht="55.5" customHeight="1">
      <c r="A7" s="59"/>
      <c r="B7" s="68">
        <v>1</v>
      </c>
      <c r="C7" s="319" t="s">
        <v>78</v>
      </c>
      <c r="D7" s="319"/>
      <c r="E7" s="320" t="s">
        <v>79</v>
      </c>
      <c r="F7" s="320"/>
      <c r="G7" s="69" t="s">
        <v>122</v>
      </c>
      <c r="H7" s="69">
        <v>0</v>
      </c>
      <c r="I7" s="70">
        <v>1</v>
      </c>
      <c r="J7" s="60"/>
    </row>
    <row r="8" spans="1:10" ht="44.25" customHeight="1">
      <c r="A8" s="59"/>
      <c r="B8" s="68">
        <v>2</v>
      </c>
      <c r="C8" s="319" t="s">
        <v>80</v>
      </c>
      <c r="D8" s="319"/>
      <c r="E8" s="320" t="s">
        <v>81</v>
      </c>
      <c r="F8" s="320"/>
      <c r="G8" s="69" t="s">
        <v>123</v>
      </c>
      <c r="H8" s="69">
        <v>2</v>
      </c>
      <c r="I8" s="70">
        <v>2</v>
      </c>
      <c r="J8" s="60"/>
    </row>
    <row r="9" spans="1:10" ht="30.75" customHeight="1">
      <c r="A9" s="59"/>
      <c r="B9" s="68">
        <v>3</v>
      </c>
      <c r="C9" s="319" t="s">
        <v>82</v>
      </c>
      <c r="D9" s="319"/>
      <c r="E9" s="320" t="s">
        <v>79</v>
      </c>
      <c r="F9" s="320"/>
      <c r="G9" s="69" t="s">
        <v>122</v>
      </c>
      <c r="H9" s="69">
        <v>0</v>
      </c>
      <c r="I9" s="70">
        <v>1</v>
      </c>
      <c r="J9" s="60"/>
    </row>
    <row r="10" spans="1:10" ht="40.5" customHeight="1">
      <c r="A10" s="59"/>
      <c r="B10" s="68">
        <v>4</v>
      </c>
      <c r="C10" s="319" t="s">
        <v>83</v>
      </c>
      <c r="D10" s="319"/>
      <c r="E10" s="320" t="s">
        <v>84</v>
      </c>
      <c r="F10" s="320"/>
      <c r="G10" s="69" t="s">
        <v>123</v>
      </c>
      <c r="H10" s="69">
        <v>0</v>
      </c>
      <c r="I10" s="70">
        <v>2</v>
      </c>
      <c r="J10" s="60"/>
    </row>
    <row r="11" spans="1:10" ht="30.75" customHeight="1">
      <c r="A11" s="59"/>
      <c r="B11" s="68">
        <v>5</v>
      </c>
      <c r="C11" s="319" t="s">
        <v>85</v>
      </c>
      <c r="D11" s="319"/>
      <c r="E11" s="320" t="s">
        <v>79</v>
      </c>
      <c r="F11" s="320"/>
      <c r="G11" s="69" t="s">
        <v>123</v>
      </c>
      <c r="H11" s="69">
        <v>1</v>
      </c>
      <c r="I11" s="70">
        <v>1</v>
      </c>
      <c r="J11" s="60"/>
    </row>
    <row r="12" spans="1:10" ht="30" customHeight="1">
      <c r="A12" s="59"/>
      <c r="B12" s="68">
        <v>6</v>
      </c>
      <c r="C12" s="319" t="s">
        <v>86</v>
      </c>
      <c r="D12" s="319"/>
      <c r="E12" s="320" t="s">
        <v>79</v>
      </c>
      <c r="F12" s="320"/>
      <c r="G12" s="69" t="s">
        <v>123</v>
      </c>
      <c r="H12" s="69">
        <v>1</v>
      </c>
      <c r="I12" s="70">
        <v>1</v>
      </c>
      <c r="J12" s="60"/>
    </row>
    <row r="13" spans="1:10" ht="31.5" customHeight="1">
      <c r="A13" s="59"/>
      <c r="B13" s="68">
        <v>7</v>
      </c>
      <c r="C13" s="319" t="s">
        <v>87</v>
      </c>
      <c r="D13" s="319"/>
      <c r="E13" s="320" t="s">
        <v>81</v>
      </c>
      <c r="F13" s="320"/>
      <c r="G13" s="69" t="s">
        <v>123</v>
      </c>
      <c r="H13" s="69">
        <v>2</v>
      </c>
      <c r="I13" s="70">
        <v>2</v>
      </c>
      <c r="J13" s="60"/>
    </row>
    <row r="14" spans="1:10" ht="42.75" customHeight="1">
      <c r="A14" s="59"/>
      <c r="B14" s="68">
        <v>8</v>
      </c>
      <c r="C14" s="319" t="s">
        <v>88</v>
      </c>
      <c r="D14" s="319"/>
      <c r="E14" s="320" t="s">
        <v>89</v>
      </c>
      <c r="F14" s="320"/>
      <c r="G14" s="69" t="s">
        <v>123</v>
      </c>
      <c r="H14" s="69">
        <v>0</v>
      </c>
      <c r="I14" s="70">
        <v>1</v>
      </c>
      <c r="J14" s="60"/>
    </row>
    <row r="15" spans="1:10" ht="52.5" customHeight="1">
      <c r="A15" s="59"/>
      <c r="B15" s="68">
        <v>9</v>
      </c>
      <c r="C15" s="319" t="s">
        <v>90</v>
      </c>
      <c r="D15" s="319"/>
      <c r="E15" s="320" t="s">
        <v>91</v>
      </c>
      <c r="F15" s="320"/>
      <c r="G15" s="69" t="s">
        <v>124</v>
      </c>
      <c r="H15" s="69">
        <v>0</v>
      </c>
      <c r="I15" s="70">
        <v>3</v>
      </c>
      <c r="J15" s="60"/>
    </row>
    <row r="16" spans="1:10" ht="12.75">
      <c r="A16" s="59"/>
      <c r="B16" s="61"/>
      <c r="C16" s="328" t="s">
        <v>92</v>
      </c>
      <c r="D16" s="329"/>
      <c r="E16" s="329"/>
      <c r="F16" s="329"/>
      <c r="G16" s="71"/>
      <c r="H16" s="71">
        <v>6</v>
      </c>
      <c r="I16" s="72">
        <v>14</v>
      </c>
      <c r="J16" s="60"/>
    </row>
    <row r="17" spans="1:10" ht="25.5" customHeight="1">
      <c r="A17" s="59"/>
      <c r="B17" s="61"/>
      <c r="C17" s="333" t="s">
        <v>93</v>
      </c>
      <c r="D17" s="334"/>
      <c r="E17" s="335" t="s">
        <v>94</v>
      </c>
      <c r="F17" s="335"/>
      <c r="G17" s="73"/>
      <c r="H17" s="73"/>
      <c r="I17" s="74"/>
      <c r="J17" s="60"/>
    </row>
    <row r="18" spans="1:10" ht="13.5" thickBot="1">
      <c r="A18" s="59"/>
      <c r="B18" s="75"/>
      <c r="C18" s="330" t="s">
        <v>95</v>
      </c>
      <c r="D18" s="331"/>
      <c r="E18" s="332" t="s">
        <v>96</v>
      </c>
      <c r="F18" s="332"/>
      <c r="G18" s="76"/>
      <c r="H18" s="77" t="s">
        <v>97</v>
      </c>
      <c r="I18" s="78" t="s">
        <v>98</v>
      </c>
      <c r="J18" s="60"/>
    </row>
    <row r="19" spans="1:10" ht="21" customHeight="1" thickBot="1">
      <c r="A19" s="59"/>
      <c r="B19" s="79"/>
      <c r="C19" s="79"/>
      <c r="D19" s="80" t="s">
        <v>99</v>
      </c>
      <c r="E19" s="81"/>
      <c r="F19" s="336"/>
      <c r="G19" s="336"/>
      <c r="H19" s="63"/>
      <c r="I19" s="63"/>
      <c r="J19" s="60"/>
    </row>
    <row r="20" spans="1:10" ht="21" customHeight="1" thickBot="1">
      <c r="A20" s="59"/>
      <c r="B20" s="79"/>
      <c r="C20" s="79"/>
      <c r="D20" s="80" t="s">
        <v>100</v>
      </c>
      <c r="E20" s="81"/>
      <c r="F20" s="337"/>
      <c r="G20" s="337"/>
      <c r="H20" s="63"/>
      <c r="I20" s="63"/>
      <c r="J20" s="60"/>
    </row>
    <row r="21" spans="1:10" ht="21" customHeight="1" thickBot="1">
      <c r="A21" s="59"/>
      <c r="B21" s="79"/>
      <c r="C21" s="79"/>
      <c r="D21" s="80" t="s">
        <v>101</v>
      </c>
      <c r="E21" s="81"/>
      <c r="F21" s="337"/>
      <c r="G21" s="337"/>
      <c r="H21" s="63"/>
      <c r="I21" s="63"/>
      <c r="J21" s="60"/>
    </row>
    <row r="22" spans="1:10" ht="13.5" thickBot="1">
      <c r="A22" s="59"/>
      <c r="B22" s="336"/>
      <c r="C22" s="336"/>
      <c r="D22" s="62"/>
      <c r="E22" s="62"/>
      <c r="F22" s="337"/>
      <c r="G22" s="337"/>
      <c r="H22" s="63"/>
      <c r="I22" s="63"/>
      <c r="J22" s="60"/>
    </row>
    <row r="23" spans="1:10" ht="27.75" customHeight="1" thickBot="1">
      <c r="A23" s="59"/>
      <c r="B23" s="346" t="s">
        <v>102</v>
      </c>
      <c r="C23" s="347"/>
      <c r="D23" s="347"/>
      <c r="E23" s="347"/>
      <c r="F23" s="347"/>
      <c r="G23" s="347"/>
      <c r="H23" s="347"/>
      <c r="I23" s="348"/>
      <c r="J23" s="60"/>
    </row>
    <row r="24" spans="1:10" ht="12.75">
      <c r="A24" s="59"/>
      <c r="B24" s="338"/>
      <c r="C24" s="339"/>
      <c r="D24" s="339"/>
      <c r="E24" s="339"/>
      <c r="F24" s="339"/>
      <c r="G24" s="339"/>
      <c r="H24" s="339"/>
      <c r="I24" s="340"/>
      <c r="J24" s="60"/>
    </row>
    <row r="25" spans="1:10" ht="12.75">
      <c r="A25" s="59"/>
      <c r="B25" s="341"/>
      <c r="C25" s="324"/>
      <c r="D25" s="324"/>
      <c r="E25" s="324"/>
      <c r="F25" s="324"/>
      <c r="G25" s="324"/>
      <c r="H25" s="324"/>
      <c r="I25" s="342"/>
      <c r="J25" s="60"/>
    </row>
    <row r="26" spans="1:10" ht="12.75">
      <c r="A26" s="59"/>
      <c r="B26" s="341"/>
      <c r="C26" s="324"/>
      <c r="D26" s="324"/>
      <c r="E26" s="324"/>
      <c r="F26" s="324"/>
      <c r="G26" s="324"/>
      <c r="H26" s="324"/>
      <c r="I26" s="342"/>
      <c r="J26" s="60"/>
    </row>
    <row r="27" spans="1:10" ht="12.75">
      <c r="A27" s="59"/>
      <c r="B27" s="341"/>
      <c r="C27" s="324"/>
      <c r="D27" s="324"/>
      <c r="E27" s="324"/>
      <c r="F27" s="324"/>
      <c r="G27" s="324"/>
      <c r="H27" s="324"/>
      <c r="I27" s="342"/>
      <c r="J27" s="60"/>
    </row>
    <row r="28" spans="1:10" ht="13.5" thickBot="1">
      <c r="A28" s="59"/>
      <c r="B28" s="343"/>
      <c r="C28" s="344"/>
      <c r="D28" s="344"/>
      <c r="E28" s="344"/>
      <c r="F28" s="344"/>
      <c r="G28" s="344"/>
      <c r="H28" s="344"/>
      <c r="I28" s="345"/>
      <c r="J28" s="60"/>
    </row>
    <row r="29" spans="1:10" ht="13.5" thickBot="1">
      <c r="A29" s="82"/>
      <c r="B29" s="83"/>
      <c r="C29" s="83"/>
      <c r="D29" s="83"/>
      <c r="E29" s="83"/>
      <c r="F29" s="83"/>
      <c r="G29" s="83"/>
      <c r="H29" s="83"/>
      <c r="I29" s="83"/>
      <c r="J29" s="84"/>
    </row>
  </sheetData>
  <sheetProtection/>
  <mergeCells count="39">
    <mergeCell ref="F19:G19"/>
    <mergeCell ref="F20:G20"/>
    <mergeCell ref="B24:I28"/>
    <mergeCell ref="F21:G21"/>
    <mergeCell ref="B22:C22"/>
    <mergeCell ref="F22:G22"/>
    <mergeCell ref="B23:I23"/>
    <mergeCell ref="C16:D16"/>
    <mergeCell ref="E16:F16"/>
    <mergeCell ref="C18:D18"/>
    <mergeCell ref="E18:F18"/>
    <mergeCell ref="C17:D17"/>
    <mergeCell ref="E17:F17"/>
    <mergeCell ref="C14:D14"/>
    <mergeCell ref="E14:F14"/>
    <mergeCell ref="C15:D15"/>
    <mergeCell ref="E15:F15"/>
    <mergeCell ref="C11:D11"/>
    <mergeCell ref="E11:F11"/>
    <mergeCell ref="C12:D12"/>
    <mergeCell ref="E12:F12"/>
    <mergeCell ref="C13:D13"/>
    <mergeCell ref="E13:F13"/>
    <mergeCell ref="C7:D7"/>
    <mergeCell ref="E7:F7"/>
    <mergeCell ref="C8:D8"/>
    <mergeCell ref="E8:F8"/>
    <mergeCell ref="C9:D9"/>
    <mergeCell ref="E9:F9"/>
    <mergeCell ref="C10:D10"/>
    <mergeCell ref="E10:F10"/>
    <mergeCell ref="C6:D6"/>
    <mergeCell ref="E6:F6"/>
    <mergeCell ref="B3:I3"/>
    <mergeCell ref="C4:D4"/>
    <mergeCell ref="E4:F4"/>
    <mergeCell ref="C5:D5"/>
    <mergeCell ref="E5:F5"/>
    <mergeCell ref="G5:I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/>
  <dimension ref="A1:J2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0.7109375" style="0" customWidth="1"/>
    <col min="2" max="2" width="83.7109375" style="0" customWidth="1"/>
    <col min="3" max="3" width="20.7109375" style="0" customWidth="1"/>
    <col min="4" max="4" width="13.7109375" style="0" customWidth="1"/>
    <col min="5" max="6" width="20.7109375" style="0" customWidth="1"/>
    <col min="7" max="7" width="10.140625" style="0" bestFit="1" customWidth="1"/>
    <col min="8" max="8" width="13.7109375" style="0" customWidth="1"/>
    <col min="9" max="9" width="80.140625" style="0" customWidth="1"/>
    <col min="10" max="10" width="30.7109375" style="0" customWidth="1"/>
  </cols>
  <sheetData>
    <row r="1" spans="1:10" ht="15.75">
      <c r="A1" s="352" t="s">
        <v>103</v>
      </c>
      <c r="B1" s="352"/>
      <c r="C1" s="352"/>
      <c r="D1" s="352"/>
      <c r="E1" s="352"/>
      <c r="F1" s="352"/>
      <c r="G1" s="352"/>
      <c r="H1" s="352"/>
      <c r="I1" s="352"/>
      <c r="J1" s="352"/>
    </row>
    <row r="3" spans="1:2" ht="12.75">
      <c r="A3" s="85" t="s">
        <v>104</v>
      </c>
      <c r="B3" t="str">
        <f ca="1">CELL("filename")</f>
        <v>G:\internal\FuelContractAccounting\Fuel New\KP\2014\MITCHELL\0214\[REC03COAL.xls]INPUT</v>
      </c>
    </row>
    <row r="4" spans="1:2" ht="12.75">
      <c r="A4" s="85" t="s">
        <v>105</v>
      </c>
      <c r="B4" t="s">
        <v>62</v>
      </c>
    </row>
    <row r="5" spans="1:2" ht="25.5">
      <c r="A5" s="85" t="s">
        <v>106</v>
      </c>
      <c r="B5" t="s">
        <v>125</v>
      </c>
    </row>
    <row r="6" ht="12.75">
      <c r="A6" s="50"/>
    </row>
    <row r="7" spans="1:2" ht="25.5">
      <c r="A7" s="85" t="s">
        <v>107</v>
      </c>
      <c r="B7" t="s">
        <v>126</v>
      </c>
    </row>
    <row r="8" ht="12.75">
      <c r="A8" s="85"/>
    </row>
    <row r="9" ht="38.25">
      <c r="A9" s="85" t="s">
        <v>108</v>
      </c>
    </row>
    <row r="10" ht="12.75">
      <c r="A10" s="85"/>
    </row>
    <row r="11" spans="1:2" ht="38.25">
      <c r="A11" s="85" t="s">
        <v>109</v>
      </c>
      <c r="B11" t="s">
        <v>127</v>
      </c>
    </row>
    <row r="12" spans="1:2" ht="12.75">
      <c r="A12" s="86"/>
      <c r="B12" s="27"/>
    </row>
    <row r="13" spans="1:10" ht="25.5">
      <c r="A13" s="85" t="s">
        <v>110</v>
      </c>
      <c r="B13" s="349"/>
      <c r="C13" s="350"/>
      <c r="D13" s="350"/>
      <c r="E13" s="350"/>
      <c r="F13" s="350"/>
      <c r="G13" s="350"/>
      <c r="H13" s="350"/>
      <c r="I13" s="350"/>
      <c r="J13" s="350"/>
    </row>
    <row r="14" spans="1:2" ht="12.75">
      <c r="A14" s="50"/>
      <c r="B14" s="27"/>
    </row>
    <row r="15" spans="1:10" ht="15.75">
      <c r="A15" s="351" t="s">
        <v>111</v>
      </c>
      <c r="B15" s="351"/>
      <c r="C15" s="351"/>
      <c r="D15" s="351"/>
      <c r="E15" s="351"/>
      <c r="F15" s="351"/>
      <c r="G15" s="351"/>
      <c r="H15" s="351"/>
      <c r="I15" s="351"/>
      <c r="J15" s="351"/>
    </row>
    <row r="16" spans="1:10" ht="89.25">
      <c r="A16" s="87" t="s">
        <v>112</v>
      </c>
      <c r="B16" s="87" t="s">
        <v>113</v>
      </c>
      <c r="C16" s="87" t="s">
        <v>114</v>
      </c>
      <c r="D16" s="87" t="s">
        <v>115</v>
      </c>
      <c r="E16" s="87" t="s">
        <v>116</v>
      </c>
      <c r="F16" s="87" t="s">
        <v>117</v>
      </c>
      <c r="G16" s="87" t="s">
        <v>118</v>
      </c>
      <c r="H16" s="87" t="s">
        <v>119</v>
      </c>
      <c r="I16" s="87" t="s">
        <v>120</v>
      </c>
      <c r="J16" s="87" t="s">
        <v>121</v>
      </c>
    </row>
    <row r="17" spans="1:10" ht="102">
      <c r="A17" s="88" t="s">
        <v>62</v>
      </c>
      <c r="B17" s="89" t="s">
        <v>131</v>
      </c>
      <c r="C17" s="88" t="s">
        <v>132</v>
      </c>
      <c r="D17" s="94" t="s">
        <v>130</v>
      </c>
      <c r="E17" s="88" t="s">
        <v>62</v>
      </c>
      <c r="F17" s="88" t="s">
        <v>132</v>
      </c>
      <c r="G17" s="90">
        <v>40163</v>
      </c>
      <c r="H17" s="90" t="s">
        <v>133</v>
      </c>
      <c r="I17" t="str">
        <f ca="1">CELL("filename")</f>
        <v>G:\internal\FuelContractAccounting\Fuel New\KP\2014\MITCHELL\0214\[REC03COAL.xls]INPUT</v>
      </c>
      <c r="J17" s="95" t="s">
        <v>134</v>
      </c>
    </row>
    <row r="18" spans="1:10" ht="12.7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2.75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2.75">
      <c r="A20" s="91"/>
      <c r="B20" s="91"/>
      <c r="C20" s="91"/>
      <c r="D20" s="91"/>
      <c r="E20" s="91"/>
      <c r="F20" s="91"/>
      <c r="G20" s="91"/>
      <c r="H20" s="91"/>
      <c r="I20" s="91"/>
      <c r="J20" s="91"/>
    </row>
  </sheetData>
  <sheetProtection/>
  <mergeCells count="3">
    <mergeCell ref="B13:J13"/>
    <mergeCell ref="A15:J15"/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39"/>
  <sheetViews>
    <sheetView zoomScalePageLayoutView="0" workbookViewId="0" topLeftCell="A19">
      <selection activeCell="G38" sqref="G38"/>
    </sheetView>
  </sheetViews>
  <sheetFormatPr defaultColWidth="9.140625" defaultRowHeight="12.75"/>
  <cols>
    <col min="1" max="1" width="32.57421875" style="0" bestFit="1" customWidth="1"/>
    <col min="2" max="2" width="12.7109375" style="0" customWidth="1"/>
    <col min="3" max="3" width="16.8515625" style="0" bestFit="1" customWidth="1"/>
    <col min="4" max="4" width="14.421875" style="0" bestFit="1" customWidth="1"/>
  </cols>
  <sheetData>
    <row r="1" spans="1:4" ht="12.75">
      <c r="A1" s="306" t="s">
        <v>274</v>
      </c>
      <c r="B1" s="306"/>
      <c r="C1" s="306"/>
      <c r="D1" s="306"/>
    </row>
    <row r="2" spans="1:4" ht="12.75">
      <c r="A2" s="306" t="s">
        <v>279</v>
      </c>
      <c r="B2" s="306"/>
      <c r="C2" s="306"/>
      <c r="D2" s="306"/>
    </row>
    <row r="3" spans="1:4" ht="12.75">
      <c r="A3" s="310" t="str">
        <f>INPUTS!A3</f>
        <v>FEBRUARY 2014</v>
      </c>
      <c r="B3" s="310"/>
      <c r="C3" s="310"/>
      <c r="D3" s="310"/>
    </row>
    <row r="4" ht="12.75">
      <c r="A4" s="247" t="s">
        <v>25</v>
      </c>
    </row>
    <row r="5" spans="2:4" ht="12.75">
      <c r="B5" s="35"/>
      <c r="C5" s="35"/>
      <c r="D5" s="35"/>
    </row>
    <row r="6" spans="1:4" ht="12.75">
      <c r="A6" s="24" t="s">
        <v>28</v>
      </c>
      <c r="B6" s="24" t="s">
        <v>275</v>
      </c>
      <c r="C6" s="24" t="s">
        <v>273</v>
      </c>
      <c r="D6" s="24" t="s">
        <v>3</v>
      </c>
    </row>
    <row r="7" spans="1:4" ht="12.75">
      <c r="A7" s="98" t="s">
        <v>295</v>
      </c>
      <c r="B7" s="249">
        <v>52281</v>
      </c>
      <c r="C7" s="249">
        <v>52274</v>
      </c>
      <c r="D7" s="8">
        <f>SUM(B7:C7)</f>
        <v>104555</v>
      </c>
    </row>
    <row r="8" spans="1:4" ht="12.75">
      <c r="A8" s="98" t="s">
        <v>296</v>
      </c>
      <c r="B8" s="261">
        <v>249044</v>
      </c>
      <c r="C8" s="261">
        <v>247181</v>
      </c>
      <c r="D8" s="13">
        <f>SUM(B8:C8)</f>
        <v>496225</v>
      </c>
    </row>
    <row r="9" spans="1:4" ht="12.75">
      <c r="A9" s="98" t="s">
        <v>297</v>
      </c>
      <c r="B9" s="22">
        <f>+B7+B8</f>
        <v>301325</v>
      </c>
      <c r="C9" s="22">
        <f>+C7+C8</f>
        <v>299455</v>
      </c>
      <c r="D9" s="8">
        <f>SUM(B9:C9)</f>
        <v>600780</v>
      </c>
    </row>
    <row r="11" spans="1:4" ht="12.75">
      <c r="A11" t="s">
        <v>292</v>
      </c>
      <c r="B11" s="248">
        <f>IF(B7&lt;&gt;0,ROUND(B7/D7,5),0)</f>
        <v>0.50003</v>
      </c>
      <c r="C11" s="248">
        <f>+D11-B11</f>
        <v>0.49997</v>
      </c>
      <c r="D11" s="248">
        <v>1</v>
      </c>
    </row>
    <row r="12" spans="1:4" ht="12.75">
      <c r="A12" t="s">
        <v>293</v>
      </c>
      <c r="B12" s="248">
        <f>IF(B8&lt;&gt;0,ROUND(B8/D8,5),0)</f>
        <v>0.50188</v>
      </c>
      <c r="C12" s="248">
        <f>+D12-B12</f>
        <v>0.49812</v>
      </c>
      <c r="D12" s="248">
        <v>1</v>
      </c>
    </row>
    <row r="13" spans="1:4" ht="12.75">
      <c r="A13" t="s">
        <v>301</v>
      </c>
      <c r="B13" s="248">
        <f>IF(B9&lt;&gt;0,ROUND(B9/D9,5),0)</f>
        <v>0.50156</v>
      </c>
      <c r="C13" s="248">
        <f>+D13-B13</f>
        <v>0.49844</v>
      </c>
      <c r="D13" s="248">
        <v>1</v>
      </c>
    </row>
    <row r="23" spans="1:4" ht="12.75">
      <c r="A23" s="311" t="s">
        <v>310</v>
      </c>
      <c r="B23" s="311"/>
      <c r="C23" s="311"/>
      <c r="D23" s="311"/>
    </row>
    <row r="24" spans="1:4" ht="12.75">
      <c r="A24" s="272" t="s">
        <v>25</v>
      </c>
      <c r="B24" s="267"/>
      <c r="C24" s="267"/>
      <c r="D24" s="267"/>
    </row>
    <row r="25" spans="1:4" ht="12.75">
      <c r="A25" s="267"/>
      <c r="B25" s="273"/>
      <c r="C25" s="273"/>
      <c r="D25" s="273"/>
    </row>
    <row r="26" spans="1:4" ht="12.75">
      <c r="A26" s="268" t="s">
        <v>28</v>
      </c>
      <c r="B26" s="268" t="s">
        <v>275</v>
      </c>
      <c r="C26" s="268" t="s">
        <v>273</v>
      </c>
      <c r="D26" s="268" t="s">
        <v>3</v>
      </c>
    </row>
    <row r="27" spans="1:4" ht="12.75">
      <c r="A27" s="269" t="s">
        <v>295</v>
      </c>
      <c r="B27" s="274">
        <v>69407.66</v>
      </c>
      <c r="C27" s="274">
        <v>288707.34</v>
      </c>
      <c r="D27" s="275">
        <f>SUM(B27:C27)</f>
        <v>358115</v>
      </c>
    </row>
    <row r="28" spans="1:4" ht="12.75">
      <c r="A28" s="269" t="s">
        <v>296</v>
      </c>
      <c r="B28" s="276">
        <v>102504.47</v>
      </c>
      <c r="C28" s="276">
        <v>587837.53</v>
      </c>
      <c r="D28" s="277">
        <f>SUM(B28:C28)</f>
        <v>690342</v>
      </c>
    </row>
    <row r="29" spans="1:4" ht="12.75">
      <c r="A29" s="269" t="s">
        <v>297</v>
      </c>
      <c r="B29" s="278">
        <f>+B27+B28</f>
        <v>171912.13</v>
      </c>
      <c r="C29" s="278">
        <f>+C27+C28</f>
        <v>876544.8700000001</v>
      </c>
      <c r="D29" s="275">
        <f>SUM(B29:C29)</f>
        <v>1048457.0000000001</v>
      </c>
    </row>
    <row r="30" spans="1:4" ht="12.75">
      <c r="A30" s="267"/>
      <c r="B30" s="267"/>
      <c r="C30" s="267"/>
      <c r="D30" s="267"/>
    </row>
    <row r="31" spans="1:4" ht="12.75">
      <c r="A31" s="267" t="s">
        <v>292</v>
      </c>
      <c r="B31" s="279">
        <f>IF(B27&lt;&gt;0,ROUND(B27/D27,4),0)</f>
        <v>0.1938</v>
      </c>
      <c r="C31" s="279">
        <f>+D31-B31</f>
        <v>0.8062</v>
      </c>
      <c r="D31" s="279">
        <v>1</v>
      </c>
    </row>
    <row r="32" spans="1:4" ht="12.75">
      <c r="A32" s="267" t="s">
        <v>293</v>
      </c>
      <c r="B32" s="279">
        <f>IF(B28&lt;&gt;0,ROUND(B28/D28,4),0)</f>
        <v>0.1485</v>
      </c>
      <c r="C32" s="279">
        <f>+D32-B32</f>
        <v>0.8515</v>
      </c>
      <c r="D32" s="279">
        <v>1</v>
      </c>
    </row>
    <row r="33" spans="1:4" ht="12.75">
      <c r="A33" s="267" t="s">
        <v>301</v>
      </c>
      <c r="B33" s="279">
        <f>IF(B29&lt;&gt;0,ROUND(B29/D29,5),0)</f>
        <v>0.16397</v>
      </c>
      <c r="C33" s="279">
        <f>+D33-B33</f>
        <v>0.83603</v>
      </c>
      <c r="D33" s="279">
        <v>1</v>
      </c>
    </row>
    <row r="35" spans="1:5" ht="12.75">
      <c r="A35" s="280" t="s">
        <v>316</v>
      </c>
      <c r="B35" s="281"/>
      <c r="C35" s="281"/>
      <c r="D35" s="281"/>
      <c r="E35" s="281"/>
    </row>
    <row r="36" spans="1:5" ht="12.75">
      <c r="A36" s="282" t="s">
        <v>312</v>
      </c>
      <c r="B36" s="283" t="s">
        <v>313</v>
      </c>
      <c r="C36" s="281"/>
      <c r="D36" s="281"/>
      <c r="E36" s="281"/>
    </row>
    <row r="37" spans="1:5" ht="12.75">
      <c r="A37" s="282" t="s">
        <v>311</v>
      </c>
      <c r="B37" s="283" t="s">
        <v>314</v>
      </c>
      <c r="C37" s="281"/>
      <c r="D37" s="281"/>
      <c r="E37" s="281"/>
    </row>
    <row r="39" ht="12.75">
      <c r="A39" s="284" t="s">
        <v>315</v>
      </c>
    </row>
  </sheetData>
  <sheetProtection/>
  <mergeCells count="4">
    <mergeCell ref="A1:D1"/>
    <mergeCell ref="A2:D2"/>
    <mergeCell ref="A3:D3"/>
    <mergeCell ref="A23:D23"/>
  </mergeCells>
  <hyperlinks>
    <hyperlink ref="A39" r:id="rId1" display="Allocation basis"/>
  </hyperlinks>
  <printOptions gridLines="1" horizontalCentered="1" verticalCentered="1"/>
  <pageMargins left="0.7" right="0.7" top="0.75" bottom="0.75" header="0.3" footer="0.3"/>
  <pageSetup fitToHeight="1" fitToWidth="1" horizontalDpi="600" verticalDpi="600" orientation="landscape" r:id="rId2"/>
  <headerFooter>
    <oddFooter>&amp;L&amp;D&amp;T&amp;C&amp;Z&amp;F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419"/>
  <sheetViews>
    <sheetView zoomScale="95" zoomScaleNormal="95" zoomScalePageLayoutView="0" workbookViewId="0" topLeftCell="A1">
      <selection activeCell="F25" sqref="F25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4.421875" style="8" bestFit="1" customWidth="1"/>
    <col min="5" max="5" width="11.7109375" style="0" customWidth="1"/>
    <col min="6" max="6" width="13.421875" style="0" bestFit="1" customWidth="1"/>
    <col min="7" max="7" width="14.7109375" style="0" bestFit="1" customWidth="1"/>
    <col min="9" max="9" width="10.57421875" style="0" bestFit="1" customWidth="1"/>
    <col min="10" max="10" width="13.7109375" style="0" bestFit="1" customWidth="1"/>
    <col min="11" max="11" width="9.7109375" style="0" bestFit="1" customWidth="1"/>
    <col min="12" max="12" width="12.421875" style="0" bestFit="1" customWidth="1"/>
    <col min="13" max="13" width="15.7109375" style="0" bestFit="1" customWidth="1"/>
  </cols>
  <sheetData>
    <row r="1" spans="1:5" ht="12.75">
      <c r="A1" s="306" t="s">
        <v>268</v>
      </c>
      <c r="B1" s="306"/>
      <c r="C1" s="306"/>
      <c r="D1" s="306"/>
      <c r="E1" s="306"/>
    </row>
    <row r="2" spans="1:5" ht="12.75">
      <c r="A2" s="306" t="s">
        <v>24</v>
      </c>
      <c r="B2" s="306"/>
      <c r="C2" s="306"/>
      <c r="D2" s="306"/>
      <c r="E2" s="306"/>
    </row>
    <row r="3" spans="1:5" ht="12.75">
      <c r="A3" s="310" t="str">
        <f>INPUTS!A3</f>
        <v>FEBRUARY 2014</v>
      </c>
      <c r="B3" s="310"/>
      <c r="C3" s="310"/>
      <c r="D3" s="310"/>
      <c r="E3" s="310"/>
    </row>
    <row r="4" spans="1:2" ht="12.75">
      <c r="A4" s="1"/>
      <c r="B4" s="7"/>
    </row>
    <row r="5" spans="3:7" ht="12.75">
      <c r="C5" s="9" t="s">
        <v>3</v>
      </c>
      <c r="D5" s="9" t="s">
        <v>4</v>
      </c>
      <c r="E5" s="3" t="s">
        <v>14</v>
      </c>
      <c r="G5" s="93" t="s">
        <v>128</v>
      </c>
    </row>
    <row r="6" spans="1:7" ht="13.5" thickBot="1">
      <c r="A6" s="2" t="s">
        <v>1</v>
      </c>
      <c r="B6" s="10" t="s">
        <v>0</v>
      </c>
      <c r="C6" s="10" t="s">
        <v>2</v>
      </c>
      <c r="D6" s="10" t="s">
        <v>5</v>
      </c>
      <c r="E6" s="23" t="s">
        <v>15</v>
      </c>
      <c r="G6" s="92" t="s">
        <v>129</v>
      </c>
    </row>
    <row r="7" spans="1:5" ht="12.75">
      <c r="A7" t="s">
        <v>6</v>
      </c>
      <c r="B7" s="242">
        <f>+'MITCHELL HIGH SULFUR'!B7+'MITCHELL LOW SULFUR'!B7</f>
        <v>669945.96</v>
      </c>
      <c r="C7" s="242">
        <f>+'MITCHELL HIGH SULFUR'!C7+'MITCHELL LOW SULFUR'!C7</f>
        <v>47306610.25</v>
      </c>
      <c r="D7" s="5">
        <f>ROUND(IF(C7&gt;0,C7/B7,0),4)</f>
        <v>70.6126</v>
      </c>
      <c r="E7" s="4"/>
    </row>
    <row r="8" spans="2:5" ht="12.75">
      <c r="B8" s="11"/>
      <c r="D8" s="6"/>
      <c r="E8" s="4"/>
    </row>
    <row r="9" spans="1:5" ht="12.75">
      <c r="A9" t="s">
        <v>18</v>
      </c>
      <c r="B9" s="242">
        <f>+'MITCHELL HIGH SULFUR'!B9+'MITCHELL LOW SULFUR'!B9</f>
        <v>144134.2</v>
      </c>
      <c r="C9" s="242">
        <f>+'MITCHELL HIGH SULFUR'!C9+'MITCHELL LOW SULFUR'!C9</f>
        <v>8403530.81</v>
      </c>
      <c r="D9" s="5">
        <f>ROUND(IF(C9&gt;0,C9/B9,0),4)</f>
        <v>58.3035</v>
      </c>
      <c r="E9" s="4"/>
    </row>
    <row r="10" spans="1:5" ht="12.75">
      <c r="A10" t="s">
        <v>19</v>
      </c>
      <c r="B10" s="21"/>
      <c r="C10" s="244">
        <f>+'MITCHELL HIGH SULFUR'!C10+'MITCHELL LOW SULFUR'!C10</f>
        <v>430854.4100000001</v>
      </c>
      <c r="D10" s="18">
        <f>ROUND(IF(C10&gt;0,C10/B9,0),4)</f>
        <v>2.9893</v>
      </c>
      <c r="E10" s="4"/>
    </row>
    <row r="11" spans="1:5" ht="12.75">
      <c r="A11" t="s">
        <v>16</v>
      </c>
      <c r="B11" s="8">
        <f>SUM(B9:B10)</f>
        <v>144134.2</v>
      </c>
      <c r="C11" s="8">
        <f>SUM(C9:C10)</f>
        <v>8834385.22</v>
      </c>
      <c r="D11" s="5">
        <f>ROUND(IF(C11&gt;0,C11/B11,0),4)</f>
        <v>61.2928</v>
      </c>
      <c r="E11" s="4"/>
    </row>
    <row r="12" spans="2:5" ht="12.75">
      <c r="B12" s="12"/>
      <c r="C12" s="13"/>
      <c r="D12" s="14"/>
      <c r="E12" s="4"/>
    </row>
    <row r="13" spans="1:5" ht="12.75">
      <c r="A13" t="s">
        <v>7</v>
      </c>
      <c r="B13" s="15">
        <f>+B7+B11</f>
        <v>814080.1599999999</v>
      </c>
      <c r="C13" s="15">
        <f>+C7+C11</f>
        <v>56140995.47</v>
      </c>
      <c r="D13" s="16">
        <f>ROUND(IF(C13&gt;0,C13/B13,0),4)</f>
        <v>68.9625</v>
      </c>
      <c r="E13" s="4"/>
    </row>
    <row r="14" spans="2:5" ht="12" customHeight="1">
      <c r="B14" s="11"/>
      <c r="D14" s="6"/>
      <c r="E14" s="4"/>
    </row>
    <row r="15" spans="1:7" ht="12.75">
      <c r="A15" t="s">
        <v>8</v>
      </c>
      <c r="B15" s="242">
        <f>+'MITCHELL HIGH SULFUR'!B15+'MITCHELL LOW SULFUR'!B15</f>
        <v>241549</v>
      </c>
      <c r="C15" s="242">
        <f>+'MITCHELL HIGH SULFUR'!C15+'MITCHELL LOW SULFUR'!C15+G15</f>
        <v>17266510.02</v>
      </c>
      <c r="D15" s="5">
        <f>ROUND(IF(C15&gt;0,C15/B15,0),4)</f>
        <v>71.4824</v>
      </c>
      <c r="E15" s="4"/>
      <c r="G15" s="97"/>
    </row>
    <row r="16" spans="1:7" ht="12.75">
      <c r="A16" t="s">
        <v>13</v>
      </c>
      <c r="B16" s="242">
        <f>+'MITCHELL HIGH SULFUR'!B16+'MITCHELL LOW SULFUR'!B16</f>
        <v>0</v>
      </c>
      <c r="C16" s="242">
        <f>+'MITCHELL HIGH SULFUR'!C16+'MITCHELL LOW SULFUR'!C16+G16</f>
        <v>0</v>
      </c>
      <c r="D16" s="5">
        <f>ROUND(IF(C16&gt;0,C16/B16,0),4)</f>
        <v>0</v>
      </c>
      <c r="E16" s="4"/>
      <c r="G16" s="91">
        <v>0</v>
      </c>
    </row>
    <row r="17" spans="1:12" ht="12.75">
      <c r="A17" t="s">
        <v>9</v>
      </c>
      <c r="B17" s="242">
        <f>+'MITCHELL HIGH SULFUR'!B17+'MITCHELL LOW SULFUR'!B17</f>
        <v>34577</v>
      </c>
      <c r="C17" s="242">
        <f>+'MITCHELL HIGH SULFUR'!C17+'MITCHELL LOW SULFUR'!C17+G17</f>
        <v>2788972.82</v>
      </c>
      <c r="D17" s="5">
        <f>ROUND(IF(C17&lt;&gt;0,C17/B17,0),4)</f>
        <v>80.6598</v>
      </c>
      <c r="E17" s="4"/>
      <c r="G17" s="91">
        <v>0</v>
      </c>
      <c r="I17" s="267"/>
      <c r="J17" s="267"/>
      <c r="K17" s="267"/>
      <c r="L17" s="267"/>
    </row>
    <row r="18" spans="1:12" ht="12.75">
      <c r="A18" t="s">
        <v>12</v>
      </c>
      <c r="B18" s="243">
        <f>+'MITCHELL HIGH SULFUR'!B18+'MITCHELL LOW SULFUR'!B18</f>
        <v>0</v>
      </c>
      <c r="C18" s="243">
        <f>+'MITCHELL HIGH SULFUR'!C18+'MITCHELL LOW SULFUR'!C18</f>
        <v>0</v>
      </c>
      <c r="D18" s="18">
        <f>ROUND(IF(C18&gt;0,C18/B18,0),4)</f>
        <v>0</v>
      </c>
      <c r="E18" s="4"/>
      <c r="I18" s="267"/>
      <c r="J18" s="312" t="s">
        <v>308</v>
      </c>
      <c r="K18" s="312"/>
      <c r="L18" s="312"/>
    </row>
    <row r="19" spans="1:12" ht="12.75">
      <c r="A19" t="s">
        <v>10</v>
      </c>
      <c r="B19" s="17">
        <f>SUM(B15:B18)</f>
        <v>276126</v>
      </c>
      <c r="C19" s="17">
        <f>SUM(C15:C18)</f>
        <v>20055482.84</v>
      </c>
      <c r="D19" s="16">
        <f>ROUND(IF(C19&gt;0,C19/B19,0),4)</f>
        <v>72.6316</v>
      </c>
      <c r="E19" s="4"/>
      <c r="I19" s="267"/>
      <c r="J19" s="268" t="s">
        <v>304</v>
      </c>
      <c r="K19" s="268" t="s">
        <v>303</v>
      </c>
      <c r="L19" s="268" t="s">
        <v>305</v>
      </c>
    </row>
    <row r="20" spans="2:12" ht="12.75">
      <c r="B20" s="11"/>
      <c r="D20" s="6"/>
      <c r="E20" s="4"/>
      <c r="G20" s="252" t="s">
        <v>302</v>
      </c>
      <c r="I20" s="269" t="s">
        <v>306</v>
      </c>
      <c r="J20" s="270">
        <f>('MITCHELL HIGH SULFUR'!B21-'MITCHELL HIGH SULFUR'!B7)*'MITCHELL HIGH SULFUR'!D7</f>
        <v>2086068.8950499985</v>
      </c>
      <c r="K20" s="270">
        <f>('MITCHELL HIGH SULFUR'!D21-'MITCHELL HIGH SULFUR'!D7)*'MITCHELL HIGH SULFUR'!B21</f>
        <v>-419395.25945999863</v>
      </c>
      <c r="L20" s="270">
        <f>+J20+K20</f>
        <v>1666673.6355899998</v>
      </c>
    </row>
    <row r="21" spans="1:12" ht="13.5" thickBot="1">
      <c r="A21" t="s">
        <v>11</v>
      </c>
      <c r="B21" s="19">
        <f>+B13-B19</f>
        <v>537954.1599999999</v>
      </c>
      <c r="C21" s="19">
        <f>+C13-C19</f>
        <v>36085512.629999995</v>
      </c>
      <c r="D21" s="20">
        <f>ROUND(IF(C21&gt;0,C21/B21,0),4)</f>
        <v>67.0792</v>
      </c>
      <c r="E21" s="32">
        <f>'[7]TONS INVENTORY'!$B$25</f>
        <v>11986</v>
      </c>
      <c r="G21" s="8">
        <f>+C21-C7</f>
        <v>-11221097.620000005</v>
      </c>
      <c r="I21" s="269" t="s">
        <v>307</v>
      </c>
      <c r="J21" s="271">
        <f>('MITCHELL LOW SULFUR'!B21-'MITCHELL LOW SULFUR'!B7)*'MITCHELL LOW SULFUR'!D7</f>
        <v>-13139086.352310002</v>
      </c>
      <c r="K21" s="271">
        <f>('MITCHELL LOW SULFUR'!D21-'MITCHELL LOW SULFUR'!D7)*'MITCHELL LOW SULFUR'!B21</f>
        <v>251281.07567999925</v>
      </c>
      <c r="L21" s="271">
        <f>+J21+K21</f>
        <v>-12887805.276630003</v>
      </c>
    </row>
    <row r="22" spans="4:12" ht="13.5" thickTop="1">
      <c r="D22" s="6"/>
      <c r="I22" s="267"/>
      <c r="J22" s="270">
        <f>+J20+J21</f>
        <v>-11053017.457260003</v>
      </c>
      <c r="K22" s="270">
        <f>+K20+K21</f>
        <v>-168114.18377999938</v>
      </c>
      <c r="L22" s="270">
        <f>+L20+L21</f>
        <v>-11221131.641040003</v>
      </c>
    </row>
    <row r="23" spans="4:13" ht="12.75">
      <c r="D23" s="6"/>
      <c r="I23" s="267"/>
      <c r="J23" s="267"/>
      <c r="K23" s="267"/>
      <c r="L23" s="270">
        <f>ROUND(+L22-G21,-2)</f>
        <v>0</v>
      </c>
      <c r="M23" s="98" t="s">
        <v>309</v>
      </c>
    </row>
    <row r="24" spans="1:5" ht="12.75">
      <c r="A24" s="306" t="s">
        <v>268</v>
      </c>
      <c r="B24" s="306"/>
      <c r="C24" s="306"/>
      <c r="D24" s="306"/>
      <c r="E24" s="306"/>
    </row>
    <row r="25" spans="1:5" ht="12.75">
      <c r="A25" s="306" t="s">
        <v>52</v>
      </c>
      <c r="B25" s="306"/>
      <c r="C25" s="306"/>
      <c r="D25" s="306"/>
      <c r="E25" s="306"/>
    </row>
    <row r="26" spans="1:5" ht="12.75">
      <c r="A26" s="310" t="str">
        <f>+A3</f>
        <v>FEBRUARY 2014</v>
      </c>
      <c r="B26" s="310"/>
      <c r="C26" s="310"/>
      <c r="D26" s="310"/>
      <c r="E26" s="310"/>
    </row>
    <row r="27" ht="12.75">
      <c r="D27" s="6"/>
    </row>
    <row r="28" spans="3:5" ht="12.75">
      <c r="C28" s="9" t="s">
        <v>3</v>
      </c>
      <c r="D28" s="9" t="s">
        <v>4</v>
      </c>
      <c r="E28" s="3" t="s">
        <v>14</v>
      </c>
    </row>
    <row r="29" spans="1:5" ht="13.5" thickBot="1">
      <c r="A29" s="2" t="s">
        <v>1</v>
      </c>
      <c r="B29" s="10" t="s">
        <v>0</v>
      </c>
      <c r="C29" s="10" t="s">
        <v>2</v>
      </c>
      <c r="D29" s="10" t="s">
        <v>5</v>
      </c>
      <c r="E29" s="10" t="s">
        <v>15</v>
      </c>
    </row>
    <row r="30" spans="1:5" ht="12.75">
      <c r="A30" t="s">
        <v>8</v>
      </c>
      <c r="E30" s="27"/>
    </row>
    <row r="31" spans="1:7" ht="12.75">
      <c r="A31" t="s">
        <v>20</v>
      </c>
      <c r="B31" s="242">
        <f>+'MITCHELL HIGH SULFUR'!B31+'MITCHELL LOW SULFUR'!B31</f>
        <v>45729</v>
      </c>
      <c r="C31" s="242">
        <f>+'MITCHELL HIGH SULFUR'!C31+'MITCHELL LOW SULFUR'!C31+G31</f>
        <v>3246020.9699999997</v>
      </c>
      <c r="D31" s="5">
        <f>ROUND(IF(C31&gt;0,C31/B31,0),4)</f>
        <v>70.9839</v>
      </c>
      <c r="E31" s="30">
        <f>+E21</f>
        <v>11986</v>
      </c>
      <c r="G31" s="96">
        <v>0</v>
      </c>
    </row>
    <row r="32" spans="1:7" ht="12.75">
      <c r="A32" t="s">
        <v>21</v>
      </c>
      <c r="B32" s="242">
        <f>+'MITCHELL HIGH SULFUR'!B32+'MITCHELL LOW SULFUR'!B32</f>
        <v>195820</v>
      </c>
      <c r="C32" s="242">
        <f>+'MITCHELL HIGH SULFUR'!C32+'MITCHELL LOW SULFUR'!C32+G32</f>
        <v>14020489.049999999</v>
      </c>
      <c r="D32" s="5">
        <f>ROUND(IF(C32&gt;0,C32/B32,0),4)</f>
        <v>71.5989</v>
      </c>
      <c r="E32" s="30">
        <f>+E21</f>
        <v>11986</v>
      </c>
      <c r="G32" s="91">
        <v>0</v>
      </c>
    </row>
    <row r="33" spans="1:6" ht="13.5" thickBot="1">
      <c r="A33" t="s">
        <v>3</v>
      </c>
      <c r="B33" s="26">
        <f>SUM(B31:B32)</f>
        <v>241549</v>
      </c>
      <c r="C33" s="19">
        <f>SUM(C31:C32)</f>
        <v>17266510.02</v>
      </c>
      <c r="D33" s="20">
        <f>ROUND(IF(C33&gt;0,C33/B33,0),4)</f>
        <v>71.4824</v>
      </c>
      <c r="E33" s="29">
        <f>+E21</f>
        <v>11986</v>
      </c>
      <c r="F33" s="8">
        <f>+C33-C15</f>
        <v>0</v>
      </c>
    </row>
    <row r="34" ht="13.5" thickTop="1"/>
    <row r="35" ht="12.75">
      <c r="A35" t="s">
        <v>22</v>
      </c>
    </row>
    <row r="36" spans="1:7" ht="12.75">
      <c r="A36" t="s">
        <v>20</v>
      </c>
      <c r="B36" s="242">
        <f>+'MITCHELL HIGH SULFUR'!B36+'MITCHELL LOW SULFUR'!B36</f>
        <v>11890</v>
      </c>
      <c r="C36" s="242">
        <f>+'MITCHELL HIGH SULFUR'!C36+'MITCHELL LOW SULFUR'!C36+G36</f>
        <v>958998.17</v>
      </c>
      <c r="D36" s="5">
        <f>ROUND(IF(C36&lt;&gt;0,C36/B36,0),4)</f>
        <v>80.6559</v>
      </c>
      <c r="E36" s="4"/>
      <c r="G36" s="91">
        <v>0</v>
      </c>
    </row>
    <row r="37" spans="1:7" ht="12.75">
      <c r="A37" t="s">
        <v>21</v>
      </c>
      <c r="B37" s="242">
        <f>+'MITCHELL HIGH SULFUR'!B37+'MITCHELL LOW SULFUR'!B37</f>
        <v>22687</v>
      </c>
      <c r="C37" s="242">
        <f>+'MITCHELL HIGH SULFUR'!C37+'MITCHELL LOW SULFUR'!C37+G37</f>
        <v>1829974.6500000001</v>
      </c>
      <c r="D37" s="5">
        <f>ROUND(IF(C37&lt;&gt;0,C37/B37,0),4)</f>
        <v>80.6618</v>
      </c>
      <c r="E37" s="4"/>
      <c r="G37" s="91">
        <v>0</v>
      </c>
    </row>
    <row r="38" spans="1:6" ht="13.5" thickBot="1">
      <c r="A38" t="s">
        <v>3</v>
      </c>
      <c r="B38" s="26">
        <f>SUM(B36:B37)</f>
        <v>34577</v>
      </c>
      <c r="C38" s="26">
        <f>SUM(C36:C37)</f>
        <v>2788972.8200000003</v>
      </c>
      <c r="D38" s="20">
        <f>ROUND(IF(C38&lt;&gt;0,C38/B38,0),4)</f>
        <v>80.6598</v>
      </c>
      <c r="E38" s="28"/>
      <c r="F38" s="8">
        <f>+C38-C17</f>
        <v>0</v>
      </c>
    </row>
    <row r="39" ht="13.5" thickTop="1"/>
    <row r="40" ht="12.75">
      <c r="A40" t="s">
        <v>12</v>
      </c>
    </row>
    <row r="41" spans="1:5" ht="12.75">
      <c r="A41" t="s">
        <v>20</v>
      </c>
      <c r="B41" s="242">
        <f>+'MITCHELL HIGH SULFUR'!B41+'MITCHELL LOW SULFUR'!B41</f>
        <v>0</v>
      </c>
      <c r="C41" s="242">
        <f>+'MITCHELL HIGH SULFUR'!C41+'MITCHELL LOW SULFUR'!C41</f>
        <v>0</v>
      </c>
      <c r="D41" s="5">
        <f>ROUND(IF(C41&gt;0,C41/B41,0),4)</f>
        <v>0</v>
      </c>
      <c r="E41" s="4"/>
    </row>
    <row r="42" spans="1:5" ht="12.75">
      <c r="A42" t="s">
        <v>21</v>
      </c>
      <c r="B42" s="242">
        <f>+'MITCHELL HIGH SULFUR'!B42+'MITCHELL LOW SULFUR'!B42</f>
        <v>0</v>
      </c>
      <c r="C42" s="242">
        <f>+'MITCHELL HIGH SULFUR'!C42+'MITCHELL LOW SULFUR'!C42</f>
        <v>0</v>
      </c>
      <c r="D42" s="5">
        <f>ROUND(IF(C42&gt;0,C42/B42,0),4)</f>
        <v>0</v>
      </c>
      <c r="E42" s="4"/>
    </row>
    <row r="43" spans="1:6" ht="13.5" thickBot="1">
      <c r="A43" t="s">
        <v>3</v>
      </c>
      <c r="B43" s="26">
        <f>SUM(B41:B42)</f>
        <v>0</v>
      </c>
      <c r="C43" s="26">
        <f>SUM(C41:C42)</f>
        <v>0</v>
      </c>
      <c r="D43" s="20">
        <f>ROUND(IF(C43&gt;0,C43/B43,0),4)</f>
        <v>0</v>
      </c>
      <c r="E43" s="28"/>
      <c r="F43" s="8">
        <f>+C43-C18</f>
        <v>0</v>
      </c>
    </row>
    <row r="44" ht="13.5" thickTop="1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</sheetData>
  <sheetProtection/>
  <mergeCells count="7">
    <mergeCell ref="J18:L18"/>
    <mergeCell ref="A25:E25"/>
    <mergeCell ref="A26:E26"/>
    <mergeCell ref="A1:E1"/>
    <mergeCell ref="A2:E2"/>
    <mergeCell ref="A3:E3"/>
    <mergeCell ref="A24:E24"/>
  </mergeCells>
  <printOptions horizontalCentered="1" verticalCentered="1"/>
  <pageMargins left="0.5" right="0.5" top="0.5" bottom="0.5" header="0.3" footer="0.3"/>
  <pageSetup fitToHeight="1" fitToWidth="1" horizontalDpi="600" verticalDpi="600" orientation="landscape" scale="67" r:id="rId1"/>
  <headerFooter alignWithMargins="0">
    <oddFooter>&amp;L&amp;D  &amp;T&amp;C&amp;F  &amp;A &amp;RBE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4.421875" style="8" bestFit="1" customWidth="1"/>
    <col min="5" max="5" width="11.7109375" style="0" customWidth="1"/>
    <col min="7" max="7" width="12.28125" style="0" bestFit="1" customWidth="1"/>
    <col min="8" max="9" width="13.421875" style="0" bestFit="1" customWidth="1"/>
  </cols>
  <sheetData>
    <row r="1" spans="1:5" ht="12.75">
      <c r="A1" s="306" t="s">
        <v>268</v>
      </c>
      <c r="B1" s="306"/>
      <c r="C1" s="306"/>
      <c r="D1" s="306"/>
      <c r="E1" s="306"/>
    </row>
    <row r="2" spans="1:5" ht="12.75">
      <c r="A2" s="306" t="s">
        <v>269</v>
      </c>
      <c r="B2" s="306"/>
      <c r="C2" s="306"/>
      <c r="D2" s="306"/>
      <c r="E2" s="306"/>
    </row>
    <row r="3" spans="1:5" ht="12.75">
      <c r="A3" s="310" t="str">
        <f>INPUTS!A3</f>
        <v>FEBRUARY 2014</v>
      </c>
      <c r="B3" s="310"/>
      <c r="C3" s="310"/>
      <c r="D3" s="310"/>
      <c r="E3" s="310"/>
    </row>
    <row r="4" spans="1:2" ht="12.75">
      <c r="A4" s="1"/>
      <c r="B4" s="7"/>
    </row>
    <row r="5" spans="3:5" ht="12.75">
      <c r="C5" s="9" t="s">
        <v>3</v>
      </c>
      <c r="D5" s="9" t="s">
        <v>4</v>
      </c>
      <c r="E5" s="3" t="s">
        <v>14</v>
      </c>
    </row>
    <row r="6" spans="1:5" ht="13.5" thickBot="1">
      <c r="A6" s="2" t="s">
        <v>1</v>
      </c>
      <c r="B6" s="10" t="s">
        <v>0</v>
      </c>
      <c r="C6" s="10" t="s">
        <v>2</v>
      </c>
      <c r="D6" s="10" t="s">
        <v>5</v>
      </c>
      <c r="E6" s="23" t="s">
        <v>15</v>
      </c>
    </row>
    <row r="7" spans="1:5" ht="12.75">
      <c r="A7" t="s">
        <v>6</v>
      </c>
      <c r="B7" s="22">
        <f>'MITCHELL_KP_OP_HIGH SULFUR'!B7+'MITCHELL_KP_OP_LOW SULFUR'!B7</f>
        <v>334972.98</v>
      </c>
      <c r="C7" s="22">
        <f>'MITCHELL_KP_OP_HIGH SULFUR'!C7+'MITCHELL_KP_OP_LOW SULFUR'!C7</f>
        <v>23653305.12</v>
      </c>
      <c r="D7" s="5">
        <f>ROUND(IF(C7&gt;0,C7/B7,0),4)</f>
        <v>70.6126</v>
      </c>
      <c r="E7" s="4"/>
    </row>
    <row r="8" spans="2:5" ht="12.75">
      <c r="B8" s="22"/>
      <c r="C8" s="22"/>
      <c r="D8" s="6"/>
      <c r="E8" s="4"/>
    </row>
    <row r="9" spans="1:5" ht="12.75">
      <c r="A9" t="s">
        <v>18</v>
      </c>
      <c r="B9" s="22">
        <f>'MITCHELL_KP_OP_HIGH SULFUR'!B9+'MITCHELL_KP_OP_LOW SULFUR'!B9</f>
        <v>60821.41999999998</v>
      </c>
      <c r="C9" s="22">
        <f>'MITCHELL_KP_OP_HIGH SULFUR'!C9+'MITCHELL_KP_OP_LOW SULFUR'!C9</f>
        <v>3700152</v>
      </c>
      <c r="D9" s="5">
        <f>ROUND(IF(C9&gt;0,C9/B9,0),4)</f>
        <v>60.8363</v>
      </c>
      <c r="E9" s="4"/>
    </row>
    <row r="10" spans="1:8" ht="12.75">
      <c r="A10" t="s">
        <v>19</v>
      </c>
      <c r="B10" s="245"/>
      <c r="C10" s="106">
        <f>'MITCHELL_KP_OP_HIGH SULFUR'!C10+'MITCHELL_KP_OP_LOW SULFUR'!C10</f>
        <v>-193401.3699999997</v>
      </c>
      <c r="D10" s="18">
        <f>ROUND(IF(C10&gt;0,C10/B9,0),4)</f>
        <v>0</v>
      </c>
      <c r="E10" s="4"/>
      <c r="G10" s="8"/>
      <c r="H10" s="8"/>
    </row>
    <row r="11" spans="1:5" ht="12.75">
      <c r="A11" t="s">
        <v>16</v>
      </c>
      <c r="B11" s="8">
        <f>'MITCHELL_KP_OP_HIGH SULFUR'!B11+'MITCHELL_KP_OP_LOW SULFUR'!B11</f>
        <v>60821.41999999998</v>
      </c>
      <c r="C11" s="8">
        <f>'MITCHELL_KP_OP_HIGH SULFUR'!C11+'MITCHELL_KP_OP_LOW SULFUR'!C11</f>
        <v>3506750.6300000004</v>
      </c>
      <c r="D11" s="5">
        <f>ROUND(IF(C11&gt;0,C11/B11,0),4)</f>
        <v>57.6565</v>
      </c>
      <c r="E11" s="4"/>
    </row>
    <row r="12" spans="2:5" ht="12.75">
      <c r="B12" s="12"/>
      <c r="C12" s="13"/>
      <c r="D12" s="14"/>
      <c r="E12" s="4"/>
    </row>
    <row r="13" spans="1:5" ht="12.75">
      <c r="A13" t="s">
        <v>7</v>
      </c>
      <c r="B13" s="15">
        <f>'MITCHELL_KP_OP_HIGH SULFUR'!B13+'MITCHELL_KP_OP_LOW SULFUR'!B13</f>
        <v>395794.3999999999</v>
      </c>
      <c r="C13" s="15">
        <f>'MITCHELL_KP_OP_HIGH SULFUR'!C13+'MITCHELL_KP_OP_LOW SULFUR'!C13</f>
        <v>27160055.75</v>
      </c>
      <c r="D13" s="16">
        <f>ROUND(IF(C13&gt;0,C13/B13,0),4)</f>
        <v>68.6216</v>
      </c>
      <c r="E13" s="4"/>
    </row>
    <row r="14" spans="2:5" ht="12" customHeight="1">
      <c r="B14" s="11"/>
      <c r="D14" s="6"/>
      <c r="E14" s="4"/>
    </row>
    <row r="15" spans="1:6" ht="12.75">
      <c r="A15" s="265" t="str">
        <f>"CONSUMED UNIT 1 -- "&amp;TEXT(ROUND('CONSUMPTION RATIOS'!$B$11,5),"0.000%")</f>
        <v>CONSUMED UNIT 1 -- 50.003%</v>
      </c>
      <c r="B15" s="22">
        <f>'MITCHELL_KP_OP_HIGH SULFUR'!B15+'MITCHELL_KP_OP_LOW SULFUR'!B15</f>
        <v>22865.870000000003</v>
      </c>
      <c r="C15" s="22">
        <f>'MITCHELL_KP_OP_HIGH SULFUR'!C15+'MITCHELL_KP_OP_LOW SULFUR'!C15</f>
        <v>1623107.87</v>
      </c>
      <c r="D15" s="5">
        <f aca="true" t="shared" si="0" ref="D15:D20">ROUND(IF(C15&lt;&gt;0,C15/B15,0),4)</f>
        <v>70.9839</v>
      </c>
      <c r="E15" s="4"/>
      <c r="F15">
        <v>0</v>
      </c>
    </row>
    <row r="16" spans="1:6" ht="12.75">
      <c r="A16" s="265" t="str">
        <f>"CONSUMED UNIT 2 -- "&amp;TEXT(ROUND('CONSUMPTION RATIOS'!$B$12,5),"0.000%")</f>
        <v>CONSUMED UNIT 2 -- 50.188%</v>
      </c>
      <c r="B16" s="22">
        <f>'MITCHELL_KP_OP_HIGH SULFUR'!B16+'MITCHELL_KP_OP_LOW SULFUR'!B16</f>
        <v>98278.14</v>
      </c>
      <c r="C16" s="22">
        <f>'MITCHELL_KP_OP_HIGH SULFUR'!C16+'MITCHELL_KP_OP_LOW SULFUR'!C16</f>
        <v>7036603.039999999</v>
      </c>
      <c r="D16" s="5">
        <f t="shared" si="0"/>
        <v>71.5989</v>
      </c>
      <c r="E16" s="4"/>
      <c r="F16">
        <v>0</v>
      </c>
    </row>
    <row r="17" spans="1:5" ht="12.75">
      <c r="A17" t="s">
        <v>13</v>
      </c>
      <c r="B17" s="22">
        <f>'MITCHELL_KP_OP_HIGH SULFUR'!B17+'MITCHELL_KP_OP_LOW SULFUR'!B17</f>
        <v>0</v>
      </c>
      <c r="C17" s="22">
        <f>'MITCHELL_KP_OP_HIGH SULFUR'!C17+'MITCHELL_KP_OP_LOW SULFUR'!C17</f>
        <v>0</v>
      </c>
      <c r="D17" s="5">
        <f t="shared" si="0"/>
        <v>0</v>
      </c>
      <c r="E17" s="4"/>
    </row>
    <row r="18" spans="1:5" ht="12.75">
      <c r="A18" s="265" t="str">
        <f>IF(YEAR(A3)&amp;MONTH(A3)="20142","SURVEY ADJUST UNIT 1 -- "&amp;TEXT(ROUND('CONSUMPTION RATIOS'!$B$31,5),"0.000%"),"SURVEY ADJUST UNIT 1 -- "&amp;TEXT(ROUND('CONSUMPTION RATIOS'!$B$11,5),"0.000%"))</f>
        <v>SURVEY ADJUST UNIT 1 -- 19.380%</v>
      </c>
      <c r="B18" s="22">
        <f>'MITCHELL_KP_OP_HIGH SULFUR'!B18+'MITCHELL_KP_OP_LOW SULFUR'!B18</f>
        <v>2304.29</v>
      </c>
      <c r="C18" s="22">
        <f>'MITCHELL_KP_OP_HIGH SULFUR'!C18+'MITCHELL_KP_OP_LOW SULFUR'!C18</f>
        <v>185866.85999999996</v>
      </c>
      <c r="D18" s="5">
        <f t="shared" si="0"/>
        <v>80.6612</v>
      </c>
      <c r="E18" s="4"/>
    </row>
    <row r="19" spans="1:5" ht="12.75">
      <c r="A19" s="265" t="str">
        <f>IF(YEAR(A3)&amp;MONTH(A3)="20142","SURVEY ADJUST UNIT 2 -- "&amp;TEXT(ROUND('CONSUMPTION RATIOS'!$B$32,5),"0.000%"),"SURVEY ADJUST UNIT 2 -- "&amp;TEXT(ROUND('CONSUMPTION RATIOS'!$B$12,5),"0.000%"))</f>
        <v>SURVEY ADJUST UNIT 2 -- 14.850%</v>
      </c>
      <c r="B19" s="22">
        <f>'MITCHELL_KP_OP_HIGH SULFUR'!B19+'MITCHELL_KP_OP_LOW SULFUR'!B19</f>
        <v>3369.0200000000013</v>
      </c>
      <c r="C19" s="22">
        <f>'MITCHELL_KP_OP_HIGH SULFUR'!C19+'MITCHELL_KP_OP_LOW SULFUR'!C19</f>
        <v>271721.6699999999</v>
      </c>
      <c r="D19" s="5">
        <f t="shared" si="0"/>
        <v>80.653</v>
      </c>
      <c r="E19" s="4"/>
    </row>
    <row r="20" spans="1:5" ht="12.75">
      <c r="A20" t="s">
        <v>12</v>
      </c>
      <c r="B20" s="51">
        <f>'MITCHELL_KP_OP_HIGH SULFUR'!B20+'MITCHELL_KP_OP_LOW SULFUR'!B20</f>
        <v>0</v>
      </c>
      <c r="C20" s="51">
        <f>'MITCHELL_KP_OP_HIGH SULFUR'!C20+'MITCHELL_KP_OP_LOW SULFUR'!C20</f>
        <v>0</v>
      </c>
      <c r="D20" s="18">
        <f t="shared" si="0"/>
        <v>0</v>
      </c>
      <c r="E20" s="4"/>
    </row>
    <row r="21" spans="1:5" ht="12.75">
      <c r="A21" t="s">
        <v>10</v>
      </c>
      <c r="B21" s="17">
        <f>'MITCHELL_KP_OP_HIGH SULFUR'!B21+'MITCHELL_KP_OP_LOW SULFUR'!B21</f>
        <v>126817.32</v>
      </c>
      <c r="C21" s="17">
        <f>'MITCHELL_KP_OP_HIGH SULFUR'!C21+'MITCHELL_KP_OP_LOW SULFUR'!C21</f>
        <v>9117299.439999998</v>
      </c>
      <c r="D21" s="16">
        <f>ROUND(IF(C21&gt;0,C21/B21,0),4)</f>
        <v>71.8932</v>
      </c>
      <c r="E21" s="4"/>
    </row>
    <row r="22" spans="2:9" ht="12.75">
      <c r="B22" s="11"/>
      <c r="D22" s="6"/>
      <c r="E22" s="4"/>
      <c r="I22" s="8"/>
    </row>
    <row r="23" spans="1:5" ht="13.5" thickBot="1">
      <c r="A23" t="s">
        <v>11</v>
      </c>
      <c r="B23" s="19">
        <f>'MITCHELL_KP_OP_HIGH SULFUR'!B23+'MITCHELL_KP_OP_LOW SULFUR'!B23</f>
        <v>268977.0799999999</v>
      </c>
      <c r="C23" s="19">
        <f>'MITCHELL_KP_OP_HIGH SULFUR'!C23+'MITCHELL_KP_OP_LOW SULFUR'!C23</f>
        <v>18042756.310000002</v>
      </c>
      <c r="D23" s="20">
        <f>ROUND(IF(C23&gt;0,C23/B23,0),4)</f>
        <v>67.0792</v>
      </c>
      <c r="E23" s="32">
        <f>MITCHELL!E21</f>
        <v>11986</v>
      </c>
    </row>
    <row r="24" ht="13.5" thickTop="1">
      <c r="D24" s="6"/>
    </row>
    <row r="25" spans="4:9" ht="12.75">
      <c r="D25" s="6"/>
      <c r="I25" s="8"/>
    </row>
    <row r="26" spans="1:5" ht="12.75">
      <c r="A26" s="306" t="s">
        <v>268</v>
      </c>
      <c r="B26" s="306"/>
      <c r="C26" s="306"/>
      <c r="D26" s="306"/>
      <c r="E26" s="306"/>
    </row>
    <row r="27" spans="1:8" ht="12.75">
      <c r="A27" s="306" t="s">
        <v>270</v>
      </c>
      <c r="B27" s="306"/>
      <c r="C27" s="306"/>
      <c r="D27" s="306"/>
      <c r="E27" s="306"/>
      <c r="H27" s="8"/>
    </row>
    <row r="28" spans="1:8" ht="12.75">
      <c r="A28" s="310" t="str">
        <f>+A3</f>
        <v>FEBRUARY 2014</v>
      </c>
      <c r="B28" s="310"/>
      <c r="C28" s="310"/>
      <c r="D28" s="310"/>
      <c r="E28" s="310"/>
      <c r="G28" s="8"/>
      <c r="H28" s="8"/>
    </row>
    <row r="29" spans="1:2" ht="12.75">
      <c r="A29" s="1"/>
      <c r="B29" s="7"/>
    </row>
    <row r="30" spans="3:5" ht="12.75">
      <c r="C30" s="9" t="s">
        <v>3</v>
      </c>
      <c r="D30" s="9" t="s">
        <v>4</v>
      </c>
      <c r="E30" s="3" t="s">
        <v>14</v>
      </c>
    </row>
    <row r="31" spans="1:8" ht="13.5" thickBot="1">
      <c r="A31" s="2" t="s">
        <v>1</v>
      </c>
      <c r="B31" s="10" t="s">
        <v>0</v>
      </c>
      <c r="C31" s="10" t="s">
        <v>2</v>
      </c>
      <c r="D31" s="10" t="s">
        <v>5</v>
      </c>
      <c r="E31" s="23" t="s">
        <v>15</v>
      </c>
      <c r="H31" s="8"/>
    </row>
    <row r="32" spans="1:5" ht="12.75">
      <c r="A32" t="s">
        <v>6</v>
      </c>
      <c r="B32" s="22">
        <f>'MITCHELL_KP_OP_HIGH SULFUR'!B32+'MITCHELL_KP_OP_LOW SULFUR'!B32</f>
        <v>334972.98</v>
      </c>
      <c r="C32" s="22">
        <f>'MITCHELL_KP_OP_HIGH SULFUR'!C32+'MITCHELL_KP_OP_LOW SULFUR'!C32</f>
        <v>23653305.130000003</v>
      </c>
      <c r="D32" s="5">
        <f>ROUND(IF(C32&gt;0,C32/B32,0),4)</f>
        <v>70.6126</v>
      </c>
      <c r="E32" s="4"/>
    </row>
    <row r="33" spans="2:8" ht="12.75">
      <c r="B33" s="11"/>
      <c r="D33" s="6"/>
      <c r="E33" s="4"/>
      <c r="H33" s="8"/>
    </row>
    <row r="34" spans="1:5" ht="12.75">
      <c r="A34" t="s">
        <v>18</v>
      </c>
      <c r="B34" s="22">
        <f>'MITCHELL_KP_OP_HIGH SULFUR'!B34+'MITCHELL_KP_OP_LOW SULFUR'!B34</f>
        <v>83312.78000000003</v>
      </c>
      <c r="C34" s="22">
        <f>'MITCHELL_KP_OP_HIGH SULFUR'!C34+'MITCHELL_KP_OP_LOW SULFUR'!C34</f>
        <v>4703378.8100000005</v>
      </c>
      <c r="D34" s="5">
        <f>ROUND(IF(C34&gt;0,C34/B34,0),4)</f>
        <v>56.4545</v>
      </c>
      <c r="E34" s="4"/>
    </row>
    <row r="35" spans="1:5" ht="12.75">
      <c r="A35" t="s">
        <v>19</v>
      </c>
      <c r="B35" s="21"/>
      <c r="C35" s="51">
        <f>'MITCHELL_KP_OP_HIGH SULFUR'!C35+'MITCHELL_KP_OP_LOW SULFUR'!C35</f>
        <v>624255.7799999998</v>
      </c>
      <c r="D35" s="18">
        <f>ROUND(IF(C35&gt;0,C35/B34,0),4)</f>
        <v>7.4929</v>
      </c>
      <c r="E35" s="4"/>
    </row>
    <row r="36" spans="1:9" ht="12.75">
      <c r="A36" t="s">
        <v>16</v>
      </c>
      <c r="B36" s="8">
        <f>'MITCHELL_KP_OP_HIGH SULFUR'!B36+'MITCHELL_KP_OP_LOW SULFUR'!B36</f>
        <v>83312.78000000003</v>
      </c>
      <c r="C36" s="8">
        <f>'MITCHELL_KP_OP_HIGH SULFUR'!C36+'MITCHELL_KP_OP_LOW SULFUR'!C36</f>
        <v>5327634.59</v>
      </c>
      <c r="D36" s="5">
        <f>ROUND(IF(C36&gt;0,C36/B36,0),4)</f>
        <v>63.9474</v>
      </c>
      <c r="E36" s="4"/>
      <c r="I36" s="98"/>
    </row>
    <row r="37" spans="2:8" ht="12.75">
      <c r="B37" s="12"/>
      <c r="C37" s="13"/>
      <c r="D37" s="14"/>
      <c r="E37" s="4"/>
      <c r="G37" s="8"/>
      <c r="H37" s="8"/>
    </row>
    <row r="38" spans="1:5" ht="12.75">
      <c r="A38" t="s">
        <v>7</v>
      </c>
      <c r="B38" s="15">
        <f>'MITCHELL_KP_OP_HIGH SULFUR'!B38+'MITCHELL_KP_OP_LOW SULFUR'!B38</f>
        <v>418285.76</v>
      </c>
      <c r="C38" s="15">
        <f>'MITCHELL_KP_OP_HIGH SULFUR'!C38+'MITCHELL_KP_OP_LOW SULFUR'!C38</f>
        <v>28980939.72</v>
      </c>
      <c r="D38" s="16">
        <f>ROUND(IF(C38&gt;0,C38/B38,0),4)</f>
        <v>69.285</v>
      </c>
      <c r="E38" s="4"/>
    </row>
    <row r="39" spans="2:5" ht="12.75">
      <c r="B39" s="11"/>
      <c r="D39" s="6"/>
      <c r="E39" s="4"/>
    </row>
    <row r="40" spans="1:8" ht="12.75">
      <c r="A40" s="265" t="str">
        <f>"CONSUMED UNIT 1 -- "&amp;TEXT(ROUND('CONSUMPTION RATIOS'!$C$11,5),"0.000%")</f>
        <v>CONSUMED UNIT 1 -- 49.997%</v>
      </c>
      <c r="B40" s="22">
        <f>'MITCHELL_KP_OP_HIGH SULFUR'!B40+'MITCHELL_KP_OP_LOW SULFUR'!B40</f>
        <v>22863.129999999997</v>
      </c>
      <c r="C40" s="22">
        <f>'MITCHELL_KP_OP_HIGH SULFUR'!C40+'MITCHELL_KP_OP_LOW SULFUR'!C40</f>
        <v>1622913.1</v>
      </c>
      <c r="D40" s="5">
        <f aca="true" t="shared" si="1" ref="D40:D45">ROUND(IF(C40&lt;&gt;0,C40/B40,0),4)</f>
        <v>70.9839</v>
      </c>
      <c r="E40" s="4"/>
      <c r="F40">
        <v>0</v>
      </c>
      <c r="H40" s="266"/>
    </row>
    <row r="41" spans="1:8" ht="12.75">
      <c r="A41" s="265" t="str">
        <f>"CONSUMED UNIT 2 -- "&amp;TEXT(ROUND('CONSUMPTION RATIOS'!$C$12,5),"0.000%")</f>
        <v>CONSUMED UNIT 2 -- 49.812%</v>
      </c>
      <c r="B41" s="22">
        <f>'MITCHELL_KP_OP_HIGH SULFUR'!B41+'MITCHELL_KP_OP_LOW SULFUR'!B41</f>
        <v>97541.86</v>
      </c>
      <c r="C41" s="22">
        <f>'MITCHELL_KP_OP_HIGH SULFUR'!C41+'MITCHELL_KP_OP_LOW SULFUR'!C41</f>
        <v>6983886.01</v>
      </c>
      <c r="D41" s="5">
        <f t="shared" si="1"/>
        <v>71.5989</v>
      </c>
      <c r="E41" s="4"/>
      <c r="F41">
        <v>0</v>
      </c>
      <c r="H41" s="8"/>
    </row>
    <row r="42" spans="1:5" ht="12.75">
      <c r="A42" t="s">
        <v>13</v>
      </c>
      <c r="B42" s="22">
        <f>'MITCHELL_KP_OP_HIGH SULFUR'!B42+'MITCHELL_KP_OP_LOW SULFUR'!B42</f>
        <v>0</v>
      </c>
      <c r="C42" s="22">
        <f>'MITCHELL_KP_OP_HIGH SULFUR'!C42+'MITCHELL_KP_OP_LOW SULFUR'!C42</f>
        <v>0</v>
      </c>
      <c r="D42" s="5">
        <f t="shared" si="1"/>
        <v>0</v>
      </c>
      <c r="E42" s="4"/>
    </row>
    <row r="43" spans="1:5" ht="12.75">
      <c r="A43" s="265" t="str">
        <f>IF(YEAR(A3)&amp;MONTH(A3)="20142","SURVEY ADJUST UNIT 1 -- "&amp;TEXT(ROUND('CONSUMPTION RATIOS'!$C$31,5),"0.000%"),"SURVEY ADJUST UNIT 1 -- "&amp;TEXT(ROUND('CONSUMPTION RATIOS'!$C$11,5),"0.000%"))</f>
        <v>SURVEY ADJUST UNIT 1 -- 80.620%</v>
      </c>
      <c r="B43" s="22">
        <f>'MITCHELL_KP_OP_HIGH SULFUR'!B43+'MITCHELL_KP_OP_LOW SULFUR'!B43</f>
        <v>9585.71</v>
      </c>
      <c r="C43" s="22">
        <f>'MITCHELL_KP_OP_HIGH SULFUR'!C43+'MITCHELL_KP_OP_LOW SULFUR'!C43</f>
        <v>773131.31</v>
      </c>
      <c r="D43" s="5">
        <f t="shared" si="1"/>
        <v>80.6546</v>
      </c>
      <c r="E43" s="4"/>
    </row>
    <row r="44" spans="1:5" ht="12.75">
      <c r="A44" s="265" t="str">
        <f>IF(YEAR(A3)&amp;MONTH(A3)="20142","SURVEY ADJUST UNIT 2 -- "&amp;TEXT(ROUND('CONSUMPTION RATIOS'!$C$32,5),"0.000%"),"SURVEY ADJUST UNIT 2 -- "&amp;TEXT(ROUND('CONSUMPTION RATIOS'!$C$12,5),"0.000%"))</f>
        <v>SURVEY ADJUST UNIT 2 -- 85.150%</v>
      </c>
      <c r="B44" s="22">
        <f>'MITCHELL_KP_OP_HIGH SULFUR'!B44+'MITCHELL_KP_OP_LOW SULFUR'!B44</f>
        <v>19317.98</v>
      </c>
      <c r="C44" s="22">
        <f>'MITCHELL_KP_OP_HIGH SULFUR'!C44+'MITCHELL_KP_OP_LOW SULFUR'!C44</f>
        <v>1558252.9800000002</v>
      </c>
      <c r="D44" s="5">
        <f t="shared" si="1"/>
        <v>80.6633</v>
      </c>
      <c r="E44" s="4"/>
    </row>
    <row r="45" spans="1:9" ht="12.75">
      <c r="A45" t="s">
        <v>12</v>
      </c>
      <c r="B45" s="51">
        <f>'MITCHELL_KP_OP_HIGH SULFUR'!B45+'MITCHELL_KP_OP_LOW SULFUR'!B45</f>
        <v>0</v>
      </c>
      <c r="C45" s="51">
        <f>'MITCHELL_KP_OP_HIGH SULFUR'!C45+'MITCHELL_KP_OP_LOW SULFUR'!C45</f>
        <v>0</v>
      </c>
      <c r="D45" s="18">
        <f t="shared" si="1"/>
        <v>0</v>
      </c>
      <c r="E45" s="4"/>
      <c r="I45" s="8"/>
    </row>
    <row r="46" spans="1:9" ht="12.75">
      <c r="A46" t="s">
        <v>10</v>
      </c>
      <c r="B46" s="17">
        <f>'MITCHELL_KP_OP_HIGH SULFUR'!B46+'MITCHELL_KP_OP_LOW SULFUR'!B46</f>
        <v>149308.68</v>
      </c>
      <c r="C46" s="17">
        <f>'MITCHELL_KP_OP_HIGH SULFUR'!C46+'MITCHELL_KP_OP_LOW SULFUR'!C46</f>
        <v>10938183.4</v>
      </c>
      <c r="D46" s="16">
        <f>ROUND(IF(C46&gt;0,C46/B46,0),4)</f>
        <v>73.2589</v>
      </c>
      <c r="E46" s="4"/>
      <c r="I46" s="8"/>
    </row>
    <row r="47" spans="2:5" ht="12.75">
      <c r="B47" s="11"/>
      <c r="D47" s="6"/>
      <c r="E47" s="4"/>
    </row>
    <row r="48" spans="1:5" ht="13.5" thickBot="1">
      <c r="A48" t="s">
        <v>11</v>
      </c>
      <c r="B48" s="19">
        <f>'MITCHELL_KP_OP_HIGH SULFUR'!B48+'MITCHELL_KP_OP_LOW SULFUR'!B48</f>
        <v>268977.08</v>
      </c>
      <c r="C48" s="19">
        <f>'MITCHELL_KP_OP_HIGH SULFUR'!C48+'MITCHELL_KP_OP_LOW SULFUR'!C48</f>
        <v>18042756.32</v>
      </c>
      <c r="D48" s="20">
        <f>ROUND(IF(C48&gt;0,C48/B48,0),4)</f>
        <v>67.0792</v>
      </c>
      <c r="E48" s="32">
        <f>MITCHELL!E21</f>
        <v>11986</v>
      </c>
    </row>
    <row r="49" spans="4:8" ht="13.5" thickTop="1">
      <c r="D49" s="6"/>
      <c r="H49" s="8"/>
    </row>
    <row r="50" ht="12.75">
      <c r="D50" s="6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9" ht="12.75">
      <c r="B55"/>
      <c r="C55"/>
      <c r="D55"/>
      <c r="I55" s="8"/>
    </row>
    <row r="56" spans="2:4" ht="12.75">
      <c r="B56"/>
      <c r="C56"/>
      <c r="D56"/>
    </row>
    <row r="57" spans="2:4" ht="12.75">
      <c r="B57"/>
      <c r="C57"/>
      <c r="D57"/>
    </row>
    <row r="58" spans="2:7" ht="12.75">
      <c r="B58"/>
      <c r="C58"/>
      <c r="D58"/>
      <c r="G58" s="8"/>
    </row>
    <row r="59" spans="2:4" ht="12.75">
      <c r="B59"/>
      <c r="C59"/>
      <c r="D59"/>
    </row>
    <row r="60" spans="2:8" ht="12.75">
      <c r="B60"/>
      <c r="C60"/>
      <c r="D60"/>
      <c r="H60" s="8"/>
    </row>
    <row r="61" spans="2:4" ht="12.75">
      <c r="B61"/>
      <c r="C61"/>
      <c r="D61"/>
    </row>
    <row r="62" spans="2:7" ht="12.75">
      <c r="B62"/>
      <c r="C62"/>
      <c r="D62"/>
      <c r="G62" s="8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ht="12.75">
      <c r="D74" s="6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 s="105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  <row r="422" ht="12.75">
      <c r="D422" s="6"/>
    </row>
    <row r="423" ht="12.75">
      <c r="D423" s="6"/>
    </row>
    <row r="424" ht="12.75">
      <c r="D424" s="6"/>
    </row>
    <row r="425" ht="12.75">
      <c r="D425" s="6"/>
    </row>
    <row r="426" ht="12.75">
      <c r="D426" s="6"/>
    </row>
    <row r="427" ht="12.75">
      <c r="D427" s="6"/>
    </row>
    <row r="428" ht="12.75">
      <c r="D428" s="6"/>
    </row>
    <row r="429" ht="12.75">
      <c r="D429" s="6"/>
    </row>
    <row r="430" ht="12.75">
      <c r="D430" s="6"/>
    </row>
    <row r="431" ht="12.75">
      <c r="D431" s="6"/>
    </row>
    <row r="432" ht="12.75">
      <c r="D432" s="6"/>
    </row>
    <row r="433" ht="12.75">
      <c r="D433" s="6"/>
    </row>
    <row r="434" ht="12.75">
      <c r="D434" s="6"/>
    </row>
    <row r="435" ht="12.75">
      <c r="D435" s="6"/>
    </row>
    <row r="436" ht="12.75">
      <c r="D436" s="6"/>
    </row>
    <row r="437" ht="12.75">
      <c r="D437" s="6"/>
    </row>
    <row r="438" ht="12.75">
      <c r="D438" s="6"/>
    </row>
    <row r="439" ht="12.75">
      <c r="D439" s="6"/>
    </row>
    <row r="440" ht="12.75">
      <c r="D440" s="6"/>
    </row>
    <row r="441" ht="12.75">
      <c r="D441" s="6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49" ht="12.75">
      <c r="D449" s="6"/>
    </row>
    <row r="450" ht="12.75">
      <c r="D450" s="6"/>
    </row>
    <row r="451" ht="12.75">
      <c r="D451" s="6"/>
    </row>
    <row r="452" ht="12.75">
      <c r="D452" s="6"/>
    </row>
    <row r="453" ht="12.75">
      <c r="D453" s="6"/>
    </row>
    <row r="454" ht="12.75">
      <c r="D454" s="6"/>
    </row>
    <row r="455" ht="12.75">
      <c r="D455" s="6"/>
    </row>
    <row r="456" ht="12.75">
      <c r="D456" s="6"/>
    </row>
    <row r="457" ht="12.75">
      <c r="D457" s="6"/>
    </row>
    <row r="458" ht="12.75">
      <c r="D458" s="6"/>
    </row>
    <row r="459" ht="12.75">
      <c r="D459" s="6"/>
    </row>
    <row r="460" ht="12.75">
      <c r="D460" s="6"/>
    </row>
    <row r="461" ht="12.75">
      <c r="D461" s="6"/>
    </row>
    <row r="462" ht="12.75">
      <c r="D462" s="6"/>
    </row>
    <row r="463" ht="12.75">
      <c r="D463" s="6"/>
    </row>
    <row r="464" ht="12.75">
      <c r="D464" s="6"/>
    </row>
    <row r="465" ht="12.75">
      <c r="D465" s="6"/>
    </row>
    <row r="466" ht="12.75">
      <c r="D466" s="6"/>
    </row>
    <row r="467" ht="12.75">
      <c r="D467" s="6"/>
    </row>
    <row r="468" ht="12.75">
      <c r="D468" s="6"/>
    </row>
    <row r="469" ht="12.75">
      <c r="D469" s="6"/>
    </row>
    <row r="470" ht="12.75">
      <c r="D470" s="6"/>
    </row>
  </sheetData>
  <sheetProtection/>
  <mergeCells count="6">
    <mergeCell ref="A1:E1"/>
    <mergeCell ref="A2:E2"/>
    <mergeCell ref="A3:E3"/>
    <mergeCell ref="A26:E26"/>
    <mergeCell ref="A27:E27"/>
    <mergeCell ref="A28:E28"/>
  </mergeCells>
  <printOptions/>
  <pageMargins left="0.5" right="0.5" top="0.5" bottom="0.5" header="0.3" footer="0.3"/>
  <pageSetup fitToHeight="1" fitToWidth="1" horizontalDpi="600" verticalDpi="600" orientation="portrait" scale="94" r:id="rId1"/>
  <headerFooter>
    <oddFooter>&amp;L&amp;D&amp;T&amp;C&amp;Z&amp;F&amp;A&amp;RBE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4">
    <tabColor theme="5"/>
    <pageSetUpPr fitToPage="1"/>
  </sheetPr>
  <dimension ref="A1:J419"/>
  <sheetViews>
    <sheetView zoomScalePageLayoutView="0" workbookViewId="0" topLeftCell="A19">
      <selection activeCell="B17" sqref="B17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4.421875" style="8" bestFit="1" customWidth="1"/>
    <col min="5" max="5" width="11.7109375" style="0" customWidth="1"/>
    <col min="6" max="6" width="13.421875" style="0" bestFit="1" customWidth="1"/>
    <col min="9" max="10" width="12.8515625" style="0" bestFit="1" customWidth="1"/>
  </cols>
  <sheetData>
    <row r="1" spans="1:5" ht="12.75">
      <c r="A1" s="306" t="s">
        <v>268</v>
      </c>
      <c r="B1" s="306"/>
      <c r="C1" s="306"/>
      <c r="D1" s="306"/>
      <c r="E1" s="306"/>
    </row>
    <row r="2" spans="1:5" ht="12.75">
      <c r="A2" s="306" t="s">
        <v>263</v>
      </c>
      <c r="B2" s="306"/>
      <c r="C2" s="306"/>
      <c r="D2" s="306"/>
      <c r="E2" s="306"/>
    </row>
    <row r="3" spans="1:5" ht="12.75">
      <c r="A3" s="310" t="str">
        <f>INPUTS!A3</f>
        <v>FEBRUARY 2014</v>
      </c>
      <c r="B3" s="310"/>
      <c r="C3" s="310"/>
      <c r="D3" s="310"/>
      <c r="E3" s="310"/>
    </row>
    <row r="4" spans="1:2" ht="12.75">
      <c r="A4" s="1"/>
      <c r="B4" s="7"/>
    </row>
    <row r="5" spans="3:7" ht="12.75">
      <c r="C5" s="9" t="s">
        <v>3</v>
      </c>
      <c r="D5" s="9" t="s">
        <v>4</v>
      </c>
      <c r="E5" s="3" t="s">
        <v>14</v>
      </c>
      <c r="G5" s="93" t="s">
        <v>128</v>
      </c>
    </row>
    <row r="6" spans="1:7" ht="13.5" thickBot="1">
      <c r="A6" s="2" t="s">
        <v>1</v>
      </c>
      <c r="B6" s="10" t="s">
        <v>0</v>
      </c>
      <c r="C6" s="10" t="s">
        <v>2</v>
      </c>
      <c r="D6" s="10" t="s">
        <v>5</v>
      </c>
      <c r="E6" s="23" t="s">
        <v>15</v>
      </c>
      <c r="G6" s="92" t="s">
        <v>129</v>
      </c>
    </row>
    <row r="7" spans="1:5" ht="12.75">
      <c r="A7" t="s">
        <v>6</v>
      </c>
      <c r="B7" s="11">
        <f>'[7]TONS INVENTORY'!$C$7</f>
        <v>311359.86</v>
      </c>
      <c r="C7" s="250">
        <v>18965073.94</v>
      </c>
      <c r="D7" s="5">
        <f>ROUND(IF(C7&gt;0,C7/B7,0),4)</f>
        <v>60.9105</v>
      </c>
      <c r="E7" s="4"/>
    </row>
    <row r="8" spans="2:5" ht="12.75">
      <c r="B8" s="11"/>
      <c r="D8" s="6"/>
      <c r="E8" s="4"/>
    </row>
    <row r="9" spans="1:5" ht="12.75">
      <c r="A9" t="s">
        <v>18</v>
      </c>
      <c r="B9" s="11">
        <f>'[7]TONS INVENTORY'!$C$12</f>
        <v>137385.1</v>
      </c>
      <c r="C9" s="11">
        <f>'[8]MITCHELL HIGH SULFUR'!$C$22</f>
        <v>7836892</v>
      </c>
      <c r="D9" s="5">
        <f>ROUND(IF(C9&gt;0,C9/B9,0),4)</f>
        <v>57.0432</v>
      </c>
      <c r="E9" s="4"/>
    </row>
    <row r="10" spans="1:5" ht="12.75">
      <c r="A10" t="s">
        <v>19</v>
      </c>
      <c r="B10" s="21"/>
      <c r="C10" s="31">
        <f>'[8]MITCHELL HIGH SULFUR'!$D$22</f>
        <v>-13215.949999999999</v>
      </c>
      <c r="D10" s="18">
        <f>ROUND(IF(C10&gt;0,C10/B9,0),4)</f>
        <v>0</v>
      </c>
      <c r="E10" s="4"/>
    </row>
    <row r="11" spans="1:6" ht="12.75">
      <c r="A11" t="s">
        <v>16</v>
      </c>
      <c r="B11" s="8">
        <f>SUM(B9:B10)</f>
        <v>137385.1</v>
      </c>
      <c r="C11" s="8">
        <f>SUM(C9:C10)</f>
        <v>7823676.05</v>
      </c>
      <c r="D11" s="5">
        <f>ROUND(IF(C11&gt;0,C11/B11,0),4)</f>
        <v>56.947</v>
      </c>
      <c r="E11" s="4"/>
      <c r="F11" s="8">
        <f>C11+'MITCHELL LOW SULFUR'!C11</f>
        <v>8834385.22</v>
      </c>
    </row>
    <row r="12" spans="2:5" ht="12.75">
      <c r="B12" s="12"/>
      <c r="C12" s="13"/>
      <c r="D12" s="14"/>
      <c r="E12" s="4"/>
    </row>
    <row r="13" spans="1:5" ht="12.75">
      <c r="A13" t="s">
        <v>7</v>
      </c>
      <c r="B13" s="15">
        <f>+B7+B11</f>
        <v>448744.95999999996</v>
      </c>
      <c r="C13" s="15">
        <f>+C7+C11</f>
        <v>26788749.990000002</v>
      </c>
      <c r="D13" s="16">
        <f>ROUND(IF(C13&gt;0,C13/B13,0),4)</f>
        <v>59.697</v>
      </c>
      <c r="E13" s="4"/>
    </row>
    <row r="14" spans="2:5" ht="12" customHeight="1">
      <c r="B14" s="11"/>
      <c r="D14" s="6"/>
      <c r="E14" s="4"/>
    </row>
    <row r="15" spans="1:10" ht="12.75">
      <c r="A15" t="s">
        <v>8</v>
      </c>
      <c r="B15" s="11">
        <f>'[7]TONS INVENTORY'!$C$16</f>
        <v>103667</v>
      </c>
      <c r="C15" s="55">
        <f>ROUND($D$13*B15,2)+G15</f>
        <v>6188613.98</v>
      </c>
      <c r="D15" s="5">
        <f>ROUND(IF(C15&gt;0,C15/B15,0),4)</f>
        <v>59.697</v>
      </c>
      <c r="E15" s="4"/>
      <c r="F15" s="8"/>
      <c r="G15" s="262">
        <f>6188613.98-6188608.9</f>
        <v>5.080000000074506</v>
      </c>
      <c r="I15" s="241"/>
      <c r="J15" s="241"/>
    </row>
    <row r="16" spans="1:7" ht="12.75">
      <c r="A16" t="s">
        <v>13</v>
      </c>
      <c r="B16" s="11">
        <f>'[7]TONS INVENTORY'!$C$17</f>
        <v>0</v>
      </c>
      <c r="C16" s="8">
        <f>ROUND($D$13*B16,2)</f>
        <v>0</v>
      </c>
      <c r="D16" s="5">
        <f>ROUND(IF(C16&gt;0,C16/B16,0),4)</f>
        <v>0</v>
      </c>
      <c r="E16" s="4"/>
      <c r="G16" s="91">
        <v>0</v>
      </c>
    </row>
    <row r="17" spans="1:7" ht="12.75">
      <c r="A17" t="s">
        <v>9</v>
      </c>
      <c r="B17" s="11">
        <f>'[7]TONS INVENTORY'!$C$19</f>
        <v>-530</v>
      </c>
      <c r="C17" s="55">
        <f>ROUND($D$13*B17,2)+G17</f>
        <v>-31639.41</v>
      </c>
      <c r="D17" s="5">
        <f>ROUND(IF(C17&lt;&gt;0,C17/B17,0),4)</f>
        <v>59.697</v>
      </c>
      <c r="E17" s="4"/>
      <c r="G17" s="91">
        <v>0</v>
      </c>
    </row>
    <row r="18" spans="1:5" ht="12.75">
      <c r="A18" t="s">
        <v>12</v>
      </c>
      <c r="B18" s="12">
        <f>'[7]TONS INVENTORY'!$C$18</f>
        <v>0</v>
      </c>
      <c r="C18" s="13">
        <f>ROUND($D$13*B18,2)</f>
        <v>0</v>
      </c>
      <c r="D18" s="18">
        <f>ROUND(IF(C18&gt;0,C18/B18,0),4)</f>
        <v>0</v>
      </c>
      <c r="E18" s="4"/>
    </row>
    <row r="19" spans="1:5" ht="12.75">
      <c r="A19" t="s">
        <v>10</v>
      </c>
      <c r="B19" s="17">
        <f>SUM(B15:B18)</f>
        <v>103137</v>
      </c>
      <c r="C19" s="17">
        <f>SUM(C15:C18)</f>
        <v>6156974.57</v>
      </c>
      <c r="D19" s="16">
        <f>ROUND(IF(C19&gt;0,C19/B19,0),4)</f>
        <v>59.697</v>
      </c>
      <c r="E19" s="4"/>
    </row>
    <row r="20" spans="2:5" ht="12.75">
      <c r="B20" s="11"/>
      <c r="D20" s="6"/>
      <c r="E20" s="4"/>
    </row>
    <row r="21" spans="1:5" ht="13.5" thickBot="1">
      <c r="A21" t="s">
        <v>11</v>
      </c>
      <c r="B21" s="19">
        <f>+B13-B19</f>
        <v>345607.95999999996</v>
      </c>
      <c r="C21" s="19">
        <f>+C13-C19</f>
        <v>20631775.42</v>
      </c>
      <c r="D21" s="20">
        <f>ROUND(IF(C21&gt;0,C21/B21,0),4)</f>
        <v>59.697</v>
      </c>
      <c r="E21" s="32">
        <f>'[7]TONS INVENTORY'!$C$25</f>
        <v>11986</v>
      </c>
    </row>
    <row r="22" ht="13.5" thickTop="1">
      <c r="D22" s="6"/>
    </row>
    <row r="23" ht="12.75">
      <c r="D23" s="6"/>
    </row>
    <row r="24" spans="1:5" ht="12.75">
      <c r="A24" s="306" t="s">
        <v>268</v>
      </c>
      <c r="B24" s="306"/>
      <c r="C24" s="306"/>
      <c r="D24" s="306"/>
      <c r="E24" s="306"/>
    </row>
    <row r="25" spans="1:5" ht="12.75">
      <c r="A25" s="306" t="s">
        <v>264</v>
      </c>
      <c r="B25" s="306"/>
      <c r="C25" s="306"/>
      <c r="D25" s="306"/>
      <c r="E25" s="306"/>
    </row>
    <row r="26" spans="1:5" ht="12.75">
      <c r="A26" s="310" t="str">
        <f>+A3</f>
        <v>FEBRUARY 2014</v>
      </c>
      <c r="B26" s="310"/>
      <c r="C26" s="310"/>
      <c r="D26" s="310"/>
      <c r="E26" s="310"/>
    </row>
    <row r="27" ht="12.75">
      <c r="D27" s="6"/>
    </row>
    <row r="28" spans="3:5" ht="12.75">
      <c r="C28" s="9" t="s">
        <v>3</v>
      </c>
      <c r="D28" s="9" t="s">
        <v>4</v>
      </c>
      <c r="E28" s="3" t="s">
        <v>14</v>
      </c>
    </row>
    <row r="29" spans="1:5" ht="13.5" thickBot="1">
      <c r="A29" s="2" t="s">
        <v>1</v>
      </c>
      <c r="B29" s="10" t="s">
        <v>0</v>
      </c>
      <c r="C29" s="10" t="s">
        <v>2</v>
      </c>
      <c r="D29" s="10" t="s">
        <v>5</v>
      </c>
      <c r="E29" s="10" t="s">
        <v>15</v>
      </c>
    </row>
    <row r="30" spans="1:5" ht="12.75">
      <c r="A30" t="s">
        <v>8</v>
      </c>
      <c r="E30" s="27"/>
    </row>
    <row r="31" spans="1:7" ht="12.75">
      <c r="A31" t="s">
        <v>20</v>
      </c>
      <c r="B31" s="11">
        <f>'[7]INPUT'!$B$21</f>
        <v>20730</v>
      </c>
      <c r="C31" s="54">
        <f>ROUND($D$13*B31,2)+G31</f>
        <v>1237518.81</v>
      </c>
      <c r="D31" s="5">
        <f>ROUND(IF(C31&gt;0,C31/B31,0),4)</f>
        <v>59.697</v>
      </c>
      <c r="E31" s="30">
        <f>+E21</f>
        <v>11986</v>
      </c>
      <c r="G31" s="96">
        <v>0</v>
      </c>
    </row>
    <row r="32" spans="1:7" ht="12.75">
      <c r="A32" t="s">
        <v>21</v>
      </c>
      <c r="B32" s="11">
        <f>'[7]INPUT'!$C$21</f>
        <v>82937</v>
      </c>
      <c r="C32" s="54">
        <f>C15-C31</f>
        <v>4951095.17</v>
      </c>
      <c r="D32" s="5">
        <f>ROUND(IF(C32&gt;0,C32/B32,0),4)</f>
        <v>59.6971</v>
      </c>
      <c r="E32" s="30">
        <f>+E21</f>
        <v>11986</v>
      </c>
      <c r="G32" s="91">
        <v>0</v>
      </c>
    </row>
    <row r="33" spans="1:6" ht="13.5" thickBot="1">
      <c r="A33" t="s">
        <v>3</v>
      </c>
      <c r="B33" s="26">
        <f>SUM(B31:B32)</f>
        <v>103667</v>
      </c>
      <c r="C33" s="19">
        <f>SUM(C31:C32)</f>
        <v>6188613.98</v>
      </c>
      <c r="D33" s="20">
        <f>ROUND(IF(C33&gt;0,C33/B33,0),4)</f>
        <v>59.697</v>
      </c>
      <c r="E33" s="29">
        <f>+E21</f>
        <v>11986</v>
      </c>
      <c r="F33" s="8">
        <f>+C33-C15</f>
        <v>0</v>
      </c>
    </row>
    <row r="34" ht="13.5" thickTop="1"/>
    <row r="35" ht="12.75">
      <c r="A35" t="s">
        <v>22</v>
      </c>
    </row>
    <row r="36" spans="1:7" ht="12.75">
      <c r="A36" t="s">
        <v>20</v>
      </c>
      <c r="B36" s="11">
        <f>'[7]INPUT'!$B$30</f>
        <v>-180</v>
      </c>
      <c r="C36" s="55">
        <f>ROUND($D$13*B36,2)+G36</f>
        <v>-10745.46</v>
      </c>
      <c r="D36" s="5">
        <f>ROUND(IF(C36&lt;&gt;0,C36/B36,0),4)</f>
        <v>59.697</v>
      </c>
      <c r="E36" s="4"/>
      <c r="G36" s="91">
        <v>0</v>
      </c>
    </row>
    <row r="37" spans="1:7" ht="12.75">
      <c r="A37" t="s">
        <v>21</v>
      </c>
      <c r="B37" s="11">
        <f>'[7]INPUT'!$C$30</f>
        <v>-350</v>
      </c>
      <c r="C37" s="55">
        <f>ROUND($D$13*B37,2)+G37</f>
        <v>-20893.95</v>
      </c>
      <c r="D37" s="5">
        <f>ROUND(IF(C37&lt;&gt;0,C37/B37,0),4)</f>
        <v>59.697</v>
      </c>
      <c r="E37" s="4"/>
      <c r="G37" s="91">
        <v>0</v>
      </c>
    </row>
    <row r="38" spans="1:6" ht="13.5" thickBot="1">
      <c r="A38" t="s">
        <v>3</v>
      </c>
      <c r="B38" s="26">
        <f>SUM(B36:B37)</f>
        <v>-530</v>
      </c>
      <c r="C38" s="26">
        <f>SUM(C36:C37)</f>
        <v>-31639.41</v>
      </c>
      <c r="D38" s="20">
        <f>ROUND(IF(C38&lt;&gt;0,C38/B38,0),4)</f>
        <v>59.697</v>
      </c>
      <c r="E38" s="28"/>
      <c r="F38" s="8">
        <f>+C38-C17</f>
        <v>0</v>
      </c>
    </row>
    <row r="39" ht="13.5" thickTop="1"/>
    <row r="40" ht="12.75">
      <c r="A40" t="s">
        <v>12</v>
      </c>
    </row>
    <row r="41" spans="1:5" ht="12.75">
      <c r="A41" t="s">
        <v>20</v>
      </c>
      <c r="B41" s="25">
        <v>0</v>
      </c>
      <c r="C41" s="8">
        <f>ROUND($D$13*B41,2)</f>
        <v>0</v>
      </c>
      <c r="D41" s="5">
        <f>ROUND(IF(C41&gt;0,C41/B41,0),4)</f>
        <v>0</v>
      </c>
      <c r="E41" s="4"/>
    </row>
    <row r="42" spans="1:5" ht="12.75">
      <c r="A42" t="s">
        <v>21</v>
      </c>
      <c r="B42" s="25">
        <v>0</v>
      </c>
      <c r="C42" s="8">
        <f>ROUND($D$13*B42,2)</f>
        <v>0</v>
      </c>
      <c r="D42" s="5">
        <f>ROUND(IF(C42&gt;0,C42/B42,0),4)</f>
        <v>0</v>
      </c>
      <c r="E42" s="4"/>
    </row>
    <row r="43" spans="1:6" ht="13.5" thickBot="1">
      <c r="A43" t="s">
        <v>3</v>
      </c>
      <c r="B43" s="26">
        <f>SUM(B41:B42)</f>
        <v>0</v>
      </c>
      <c r="C43" s="26">
        <f>SUM(C41:C42)</f>
        <v>0</v>
      </c>
      <c r="D43" s="20">
        <f>ROUND(IF(C43&gt;0,C43/B43,0),4)</f>
        <v>0</v>
      </c>
      <c r="E43" s="28"/>
      <c r="F43" s="8">
        <f>+C43-C18</f>
        <v>0</v>
      </c>
    </row>
    <row r="44" ht="13.5" thickTop="1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</sheetData>
  <sheetProtection/>
  <mergeCells count="6">
    <mergeCell ref="A1:E1"/>
    <mergeCell ref="A2:E2"/>
    <mergeCell ref="A3:E3"/>
    <mergeCell ref="A24:E24"/>
    <mergeCell ref="A25:E25"/>
    <mergeCell ref="A26:E26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83" r:id="rId1"/>
  <headerFooter alignWithMargins="0">
    <oddFooter>&amp;L&amp;D  &amp;T&amp;C&amp;F  &amp;A &amp;RBE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4.421875" style="8" bestFit="1" customWidth="1"/>
    <col min="5" max="5" width="11.7109375" style="0" customWidth="1"/>
    <col min="7" max="7" width="12.28125" style="0" bestFit="1" customWidth="1"/>
    <col min="8" max="9" width="13.421875" style="0" bestFit="1" customWidth="1"/>
  </cols>
  <sheetData>
    <row r="1" spans="1:5" ht="12.75">
      <c r="A1" s="306" t="s">
        <v>268</v>
      </c>
      <c r="B1" s="306"/>
      <c r="C1" s="306"/>
      <c r="D1" s="306"/>
      <c r="E1" s="306"/>
    </row>
    <row r="2" spans="1:8" ht="12.75">
      <c r="A2" s="306" t="s">
        <v>271</v>
      </c>
      <c r="B2" s="306"/>
      <c r="C2" s="306"/>
      <c r="D2" s="306"/>
      <c r="E2" s="306"/>
      <c r="H2" s="7"/>
    </row>
    <row r="3" spans="1:5" ht="12.75">
      <c r="A3" s="310" t="str">
        <f>INPUTS!A3</f>
        <v>FEBRUARY 2014</v>
      </c>
      <c r="B3" s="310"/>
      <c r="C3" s="310"/>
      <c r="D3" s="310"/>
      <c r="E3" s="310"/>
    </row>
    <row r="4" ht="12.75">
      <c r="A4" s="1"/>
    </row>
    <row r="5" spans="3:5" ht="12.75">
      <c r="C5" s="9" t="s">
        <v>3</v>
      </c>
      <c r="D5" s="9" t="s">
        <v>4</v>
      </c>
      <c r="E5" s="3" t="s">
        <v>14</v>
      </c>
    </row>
    <row r="6" spans="1:5" ht="13.5" thickBot="1">
      <c r="A6" s="2" t="s">
        <v>1</v>
      </c>
      <c r="B6" s="10" t="s">
        <v>0</v>
      </c>
      <c r="C6" s="10" t="s">
        <v>2</v>
      </c>
      <c r="D6" s="10" t="s">
        <v>5</v>
      </c>
      <c r="E6" s="23" t="s">
        <v>15</v>
      </c>
    </row>
    <row r="7" spans="1:5" ht="12.75">
      <c r="A7" t="s">
        <v>6</v>
      </c>
      <c r="B7" s="249">
        <v>155679.93</v>
      </c>
      <c r="C7" s="249">
        <v>9482536.97</v>
      </c>
      <c r="D7" s="5">
        <f>ROUND(IF(C7&gt;0,C7/B7,0),4)</f>
        <v>60.9105</v>
      </c>
      <c r="E7" s="4"/>
    </row>
    <row r="8" spans="2:5" ht="12.75">
      <c r="B8" s="11"/>
      <c r="D8" s="6"/>
      <c r="E8" s="4"/>
    </row>
    <row r="9" spans="1:5" ht="12.75">
      <c r="A9" t="s">
        <v>18</v>
      </c>
      <c r="B9" s="11">
        <f>'MITCHELL HIGH SULFUR'!B9-'MITCHELL_KP_OP_HIGH SULFUR'!B34</f>
        <v>69027.23999999999</v>
      </c>
      <c r="C9" s="11">
        <f>'MITCHELL HIGH SULFUR'!C9-'MITCHELL_KP_OP_HIGH SULFUR'!C34</f>
        <v>3938459.42</v>
      </c>
      <c r="D9" s="5">
        <f>ROUND(IF(C9&gt;0,C9/B9,0),4)</f>
        <v>57.0566</v>
      </c>
      <c r="E9" s="4"/>
    </row>
    <row r="10" spans="1:8" ht="12.75">
      <c r="A10" t="s">
        <v>19</v>
      </c>
      <c r="B10" s="21"/>
      <c r="C10" s="31">
        <f>'MITCHELL HIGH SULFUR'!C10-'MITCHELL_KP_OP_HIGH SULFUR'!C35</f>
        <v>-6641.729999999328</v>
      </c>
      <c r="D10" s="18">
        <f>ROUND(IF(C10&gt;0,C10/B9,0),4)</f>
        <v>0</v>
      </c>
      <c r="E10" s="4"/>
      <c r="G10" s="8"/>
      <c r="H10" s="8"/>
    </row>
    <row r="11" spans="1:5" ht="12.75">
      <c r="A11" t="s">
        <v>16</v>
      </c>
      <c r="B11" s="8">
        <f>SUM(B9:B10)</f>
        <v>69027.23999999999</v>
      </c>
      <c r="C11" s="8">
        <f>SUM(C9:C10)</f>
        <v>3931817.6900000004</v>
      </c>
      <c r="D11" s="5">
        <f>ROUND(IF(C11&gt;0,C11/B11,0),4)</f>
        <v>56.9604</v>
      </c>
      <c r="E11" s="4"/>
    </row>
    <row r="12" spans="2:5" ht="12.75">
      <c r="B12" s="12"/>
      <c r="C12" s="13"/>
      <c r="D12" s="14"/>
      <c r="E12" s="4"/>
    </row>
    <row r="13" spans="1:5" ht="12.75">
      <c r="A13" t="s">
        <v>7</v>
      </c>
      <c r="B13" s="15">
        <f>+B23+B21</f>
        <v>224707.16999999995</v>
      </c>
      <c r="C13" s="15">
        <f>+C23+C21</f>
        <v>13414354.66</v>
      </c>
      <c r="D13" s="16">
        <f>ROUND(IF(C13&gt;0,C13/B13,0),4)</f>
        <v>59.697</v>
      </c>
      <c r="E13" s="4"/>
    </row>
    <row r="14" spans="2:5" ht="12" customHeight="1">
      <c r="B14" s="11"/>
      <c r="D14" s="6"/>
      <c r="E14" s="4"/>
    </row>
    <row r="15" spans="1:6" ht="12.75">
      <c r="A15" s="265" t="str">
        <f>"CONSUMED UNIT 1 -- "&amp;TEXT(ROUND('CONSUMPTION RATIOS'!$B$11,5),"0.000%")</f>
        <v>CONSUMED UNIT 1 -- 50.003%</v>
      </c>
      <c r="B15" s="11">
        <f>+'MITCHELL HIGH SULFUR'!B31-'MITCHELL_KP_OP_HIGH SULFUR'!B40</f>
        <v>10365.62</v>
      </c>
      <c r="C15" s="11">
        <f>+'MITCHELL HIGH SULFUR'!C31-'MITCHELL_KP_OP_HIGH SULFUR'!C40</f>
        <v>618796.53</v>
      </c>
      <c r="D15" s="5">
        <f aca="true" t="shared" si="0" ref="D15:D20">ROUND(IF(C15&lt;&gt;0,C15/B15,0),4)</f>
        <v>59.697</v>
      </c>
      <c r="E15" s="4"/>
      <c r="F15">
        <v>0</v>
      </c>
    </row>
    <row r="16" spans="1:6" ht="12.75">
      <c r="A16" s="265" t="str">
        <f>"CONSUMED UNIT 2 -- "&amp;TEXT(ROUND('CONSUMPTION RATIOS'!$B$12,5),"0.000%")</f>
        <v>CONSUMED UNIT 2 -- 50.188%</v>
      </c>
      <c r="B16" s="11">
        <f>+'MITCHELL HIGH SULFUR'!B32-'MITCHELL_KP_OP_HIGH SULFUR'!B41</f>
        <v>41624.42</v>
      </c>
      <c r="C16" s="11">
        <f>+'MITCHELL HIGH SULFUR'!C32-'MITCHELL_KP_OP_HIGH SULFUR'!C41</f>
        <v>2484855.64</v>
      </c>
      <c r="D16" s="5">
        <f t="shared" si="0"/>
        <v>59.6971</v>
      </c>
      <c r="E16" s="4"/>
      <c r="F16">
        <v>0</v>
      </c>
    </row>
    <row r="17" spans="1:6" ht="12.75">
      <c r="A17" t="s">
        <v>13</v>
      </c>
      <c r="B17" s="207">
        <f>+'MITCHELL HIGH SULFUR'!B16-'MITCHELL_KP_OP_HIGH SULFUR'!B42</f>
        <v>0</v>
      </c>
      <c r="C17" s="207">
        <f>+'MITCHELL HIGH SULFUR'!C16-'MITCHELL_KP_OP_HIGH SULFUR'!C42</f>
        <v>0</v>
      </c>
      <c r="D17" s="5">
        <f t="shared" si="0"/>
        <v>0</v>
      </c>
      <c r="E17" s="4"/>
      <c r="F17" s="98" t="s">
        <v>294</v>
      </c>
    </row>
    <row r="18" spans="1:8" ht="12.75">
      <c r="A18" s="265" t="str">
        <f>IF(YEAR(A3)&amp;MONTH(A3)="20142","SURVEY ADJUST UNIT 1 -- "&amp;TEXT(ROUND('CONSUMPTION RATIOS'!$B$31,5),"0.000%"),"SURVEY ADJUST UNIT 1 -- "&amp;TEXT(ROUND('CONSUMPTION RATIOS'!$B$11,5),"0.000%"))</f>
        <v>SURVEY ADJUST UNIT 1 -- 19.380%</v>
      </c>
      <c r="B18" s="45">
        <f>+'MITCHELL HIGH SULFUR'!B36-'MITCHELL_KP_OP_HIGH SULFUR'!B43</f>
        <v>-34.879999999999995</v>
      </c>
      <c r="C18" s="45">
        <f>+'MITCHELL HIGH SULFUR'!C36-'MITCHELL_KP_OP_HIGH SULFUR'!C43+F18</f>
        <v>-2082.4699999999993</v>
      </c>
      <c r="D18" s="5">
        <f t="shared" si="0"/>
        <v>59.7038</v>
      </c>
      <c r="E18" s="4"/>
      <c r="F18">
        <v>0</v>
      </c>
      <c r="H18" s="8"/>
    </row>
    <row r="19" spans="1:6" ht="12.75">
      <c r="A19" s="265" t="str">
        <f>IF(YEAR(A3)&amp;MONTH(A3)="20142","SURVEY ADJUST UNIT 2 -- "&amp;TEXT(ROUND('CONSUMPTION RATIOS'!$B$32,5),"0.000%"),"SURVEY ADJUST UNIT 2 -- "&amp;TEXT(ROUND('CONSUMPTION RATIOS'!$B$12,5),"0.000%"))</f>
        <v>SURVEY ADJUST UNIT 2 -- 14.850%</v>
      </c>
      <c r="B19" s="45">
        <f>+'MITCHELL HIGH SULFUR'!B37-'MITCHELL_KP_OP_HIGH SULFUR'!B44</f>
        <v>-51.97000000000003</v>
      </c>
      <c r="C19" s="45">
        <f>+'MITCHELL HIGH SULFUR'!C37-'MITCHELL_KP_OP_HIGH SULFUR'!C44+F19</f>
        <v>-3102.75</v>
      </c>
      <c r="D19" s="5">
        <f t="shared" si="0"/>
        <v>59.7027</v>
      </c>
      <c r="E19" s="4"/>
      <c r="F19">
        <v>0</v>
      </c>
    </row>
    <row r="20" spans="1:5" ht="12.75">
      <c r="A20" t="s">
        <v>12</v>
      </c>
      <c r="B20" s="31">
        <f>+'MITCHELL HIGH SULFUR'!B43-'MITCHELL_KP_OP_HIGH SULFUR'!B45</f>
        <v>0</v>
      </c>
      <c r="C20" s="31">
        <f>+'MITCHELL HIGH SULFUR'!C43-'MITCHELL_KP_OP_HIGH SULFUR'!C45</f>
        <v>0</v>
      </c>
      <c r="D20" s="18">
        <f t="shared" si="0"/>
        <v>0</v>
      </c>
      <c r="E20" s="4"/>
    </row>
    <row r="21" spans="1:5" ht="12.75">
      <c r="A21" t="s">
        <v>10</v>
      </c>
      <c r="B21" s="17">
        <f>SUM(B15:B20)</f>
        <v>51903.19</v>
      </c>
      <c r="C21" s="17">
        <f>SUM(C15:C20)</f>
        <v>3098466.9499999997</v>
      </c>
      <c r="D21" s="16">
        <f>ROUND(IF(C21&gt;0,C21/B21,0),4)</f>
        <v>59.697</v>
      </c>
      <c r="E21" s="4"/>
    </row>
    <row r="22" spans="2:9" ht="12.75">
      <c r="B22" s="11"/>
      <c r="D22" s="6"/>
      <c r="E22" s="4"/>
      <c r="I22" s="8"/>
    </row>
    <row r="23" spans="1:5" ht="13.5" thickBot="1">
      <c r="A23" t="s">
        <v>11</v>
      </c>
      <c r="B23" s="19">
        <f>'MITCHELL HIGH SULFUR'!B21-B48</f>
        <v>172803.97999999995</v>
      </c>
      <c r="C23" s="19">
        <f>'MITCHELL HIGH SULFUR'!C21-C48</f>
        <v>10315887.71</v>
      </c>
      <c r="D23" s="20">
        <f>ROUND(IF(C23&gt;0,C23/B23,0),4)</f>
        <v>59.697</v>
      </c>
      <c r="E23" s="246"/>
    </row>
    <row r="24" ht="13.5" thickTop="1">
      <c r="D24" s="6"/>
    </row>
    <row r="25" spans="4:9" ht="12.75">
      <c r="D25" s="6"/>
      <c r="I25" s="8"/>
    </row>
    <row r="26" spans="1:5" ht="12.75">
      <c r="A26" s="306" t="s">
        <v>268</v>
      </c>
      <c r="B26" s="306"/>
      <c r="C26" s="306"/>
      <c r="D26" s="306"/>
      <c r="E26" s="306"/>
    </row>
    <row r="27" spans="1:8" ht="12.75">
      <c r="A27" s="306" t="s">
        <v>272</v>
      </c>
      <c r="B27" s="306"/>
      <c r="C27" s="306"/>
      <c r="D27" s="306"/>
      <c r="E27" s="306"/>
      <c r="H27" s="8"/>
    </row>
    <row r="28" spans="1:8" ht="12.75">
      <c r="A28" s="310" t="str">
        <f>+A3</f>
        <v>FEBRUARY 2014</v>
      </c>
      <c r="B28" s="310"/>
      <c r="C28" s="310"/>
      <c r="D28" s="310"/>
      <c r="E28" s="310"/>
      <c r="G28" s="8"/>
      <c r="H28" s="8"/>
    </row>
    <row r="29" spans="1:2" ht="12.75">
      <c r="A29" s="1"/>
      <c r="B29" s="7"/>
    </row>
    <row r="30" spans="3:5" ht="12.75">
      <c r="C30" s="9" t="s">
        <v>3</v>
      </c>
      <c r="D30" s="9" t="s">
        <v>4</v>
      </c>
      <c r="E30" s="3" t="s">
        <v>14</v>
      </c>
    </row>
    <row r="31" spans="1:8" ht="13.5" thickBot="1">
      <c r="A31" s="2" t="s">
        <v>1</v>
      </c>
      <c r="B31" s="10" t="s">
        <v>0</v>
      </c>
      <c r="C31" s="10" t="s">
        <v>2</v>
      </c>
      <c r="D31" s="10" t="s">
        <v>5</v>
      </c>
      <c r="E31" s="23" t="s">
        <v>15</v>
      </c>
      <c r="H31" s="8"/>
    </row>
    <row r="32" spans="1:5" ht="12.75">
      <c r="A32" t="s">
        <v>6</v>
      </c>
      <c r="B32" s="249">
        <v>155679.93</v>
      </c>
      <c r="C32" s="249">
        <v>9482536.97</v>
      </c>
      <c r="D32" s="5">
        <f>ROUND(IF(C32&gt;0,C32/B32,0),4)</f>
        <v>60.9105</v>
      </c>
      <c r="E32" s="4"/>
    </row>
    <row r="33" spans="2:8" ht="12.75">
      <c r="B33" s="11"/>
      <c r="D33" s="6"/>
      <c r="E33" s="4"/>
      <c r="H33" s="8"/>
    </row>
    <row r="34" spans="1:5" ht="12.75">
      <c r="A34" t="s">
        <v>18</v>
      </c>
      <c r="B34" s="22">
        <f>+B38-B32</f>
        <v>68357.86000000002</v>
      </c>
      <c r="C34" s="11">
        <f>ROUND(C36*'MITCHELL HIGH SULFUR'!C9/'MITCHELL HIGH SULFUR'!C11,2)</f>
        <v>3898432.58</v>
      </c>
      <c r="D34" s="5">
        <f>ROUND(IF(C34&gt;0,C34/B34,0),4)</f>
        <v>57.0298</v>
      </c>
      <c r="E34" s="4"/>
    </row>
    <row r="35" spans="1:5" ht="12.75">
      <c r="A35" t="s">
        <v>19</v>
      </c>
      <c r="B35" s="21"/>
      <c r="C35" s="51">
        <f>+C36-C34</f>
        <v>-6574.220000000671</v>
      </c>
      <c r="D35" s="18">
        <f>ROUND(IF(C35&gt;0,C35/B34,0),4)</f>
        <v>0</v>
      </c>
      <c r="E35" s="4"/>
    </row>
    <row r="36" spans="1:9" ht="12.75">
      <c r="A36" t="s">
        <v>16</v>
      </c>
      <c r="B36" s="8">
        <f>SUM(B34:B35)</f>
        <v>68357.86000000002</v>
      </c>
      <c r="C36" s="8">
        <f>+C38-C32</f>
        <v>3891858.3599999994</v>
      </c>
      <c r="D36" s="5">
        <f>ROUND(IF(C36&gt;0,C36/B36,0),4)</f>
        <v>56.9336</v>
      </c>
      <c r="E36" s="4"/>
      <c r="I36" s="98"/>
    </row>
    <row r="37" spans="2:8" ht="12.75">
      <c r="B37" s="12"/>
      <c r="C37" s="13"/>
      <c r="D37" s="14"/>
      <c r="E37" s="4"/>
      <c r="G37" s="8"/>
      <c r="H37" s="8"/>
    </row>
    <row r="38" spans="1:5" ht="12.75">
      <c r="A38" t="s">
        <v>7</v>
      </c>
      <c r="B38" s="15">
        <f>+B48+B46</f>
        <v>224037.79</v>
      </c>
      <c r="C38" s="15">
        <f>+C48+C46</f>
        <v>13374395.33</v>
      </c>
      <c r="D38" s="16">
        <f>ROUND(IF(C38&gt;0,C38/B38,0),4)</f>
        <v>59.6971</v>
      </c>
      <c r="E38" s="4"/>
    </row>
    <row r="39" spans="2:5" ht="12.75">
      <c r="B39" s="11"/>
      <c r="D39" s="6"/>
      <c r="E39" s="4"/>
    </row>
    <row r="40" spans="1:8" ht="12.75">
      <c r="A40" s="265" t="str">
        <f>"CONSUMED UNIT 1 -- "&amp;TEXT(ROUND('CONSUMPTION RATIOS'!$C$11,5),"0.000%")</f>
        <v>CONSUMED UNIT 1 -- 49.997%</v>
      </c>
      <c r="B40" s="11">
        <f>ROUND('CONSUMPTION RATIOS'!$C$11*'MITCHELL HIGH SULFUR'!B31,2)</f>
        <v>10364.38</v>
      </c>
      <c r="C40" s="11">
        <f>ROUND('CONSUMPTION RATIOS'!$C$11*'MITCHELL HIGH SULFUR'!C31,2)</f>
        <v>618722.28</v>
      </c>
      <c r="D40" s="5">
        <f aca="true" t="shared" si="1" ref="D40:D45">ROUND(IF(C40&lt;&gt;0,C40/B40,0),4)</f>
        <v>59.697</v>
      </c>
      <c r="E40" s="4"/>
      <c r="F40">
        <v>0</v>
      </c>
      <c r="H40" s="8"/>
    </row>
    <row r="41" spans="1:8" ht="12.75">
      <c r="A41" s="265" t="str">
        <f>"CONSUMED UNIT 2 -- "&amp;TEXT(ROUND('CONSUMPTION RATIOS'!$C$12,5),"0.000%")</f>
        <v>CONSUMED UNIT 2 -- 49.812%</v>
      </c>
      <c r="B41" s="11">
        <f>ROUND('CONSUMPTION RATIOS'!$C$12*'MITCHELL HIGH SULFUR'!B32,2)</f>
        <v>41312.58</v>
      </c>
      <c r="C41" s="11">
        <f>ROUND('CONSUMPTION RATIOS'!$C$12*'MITCHELL HIGH SULFUR'!C32,2)</f>
        <v>2466239.53</v>
      </c>
      <c r="D41" s="5">
        <f t="shared" si="1"/>
        <v>59.6971</v>
      </c>
      <c r="E41" s="4"/>
      <c r="F41">
        <v>0</v>
      </c>
      <c r="H41" s="8"/>
    </row>
    <row r="42" spans="1:6" ht="12.75">
      <c r="A42" t="s">
        <v>13</v>
      </c>
      <c r="B42" s="207">
        <f>ROUND('CONSUMPTION RATIOS'!$C$11*'MITCHELL HIGH SULFUR'!B16,2)+ROUND('CONSUMPTION RATIOS'!$C$12*'MITCHELL HIGH SULFUR'!B16,2)</f>
        <v>0</v>
      </c>
      <c r="C42" s="207">
        <f>ROUND('CONSUMPTION RATIOS'!$C$11*'MITCHELL HIGH SULFUR'!C16,2)+ROUND('CONSUMPTION RATIOS'!$C$12*'MITCHELL HIGH SULFUR'!C16,2)</f>
        <v>0</v>
      </c>
      <c r="D42" s="5">
        <f t="shared" si="1"/>
        <v>0</v>
      </c>
      <c r="E42" s="4"/>
      <c r="F42" s="98" t="s">
        <v>294</v>
      </c>
    </row>
    <row r="43" spans="1:6" ht="12.75">
      <c r="A43" s="265" t="str">
        <f>IF(YEAR(A3)&amp;MONTH(A3)="20142","SURVEY ADJUST UNIT 1 -- "&amp;TEXT(ROUND('CONSUMPTION RATIOS'!$C$31,5),"0.000%"),"SURVEY ADJUST UNIT 1 -- "&amp;TEXT(ROUND('CONSUMPTION RATIOS'!$C$11,5),"0.000%"))</f>
        <v>SURVEY ADJUST UNIT 1 -- 80.620%</v>
      </c>
      <c r="B43" s="45">
        <f>IF(YEAR(A3)&amp;MONTH(A3)="20142",ROUND('CONSUMPTION RATIOS'!$C$31*'MITCHELL HIGH SULFUR'!B36,2),ROUND('CONSUMPTION RATIOS'!$C$11*'MITCHELL HIGH SULFUR'!B36,2))</f>
        <v>-145.12</v>
      </c>
      <c r="C43" s="45">
        <f>IF(YEAR(A3)&amp;MONTH(A3)="20142",ROUND('CONSUMPTION RATIOS'!$C$31*'MITCHELL HIGH SULFUR'!C36,2),ROUND('CONSUMPTION RATIOS'!$C$11*'MITCHELL HIGH SULFUR'!C36,2))</f>
        <v>-8662.99</v>
      </c>
      <c r="D43" s="5">
        <f t="shared" si="1"/>
        <v>59.6954</v>
      </c>
      <c r="E43" s="4"/>
      <c r="F43">
        <v>0</v>
      </c>
    </row>
    <row r="44" spans="1:6" ht="12.75">
      <c r="A44" s="265" t="str">
        <f>IF(YEAR(A3)&amp;MONTH(A3)="20142","SURVEY ADJUST UNIT 2 -- "&amp;TEXT(ROUND('CONSUMPTION RATIOS'!$C$32,5),"0.000%"),"SURVEY ADJUST UNIT 2 -- "&amp;TEXT(ROUND('CONSUMPTION RATIOS'!$C$12,5),"0.000%"))</f>
        <v>SURVEY ADJUST UNIT 2 -- 85.150%</v>
      </c>
      <c r="B44" s="45">
        <f>IF(YEAR(A3)&amp;MONTH(A3)="20142",ROUND('CONSUMPTION RATIOS'!$C$32*'MITCHELL HIGH SULFUR'!B37,2),ROUND('CONSUMPTION RATIOS'!$C$12*'MITCHELL HIGH SULFUR'!B37,2))</f>
        <v>-298.03</v>
      </c>
      <c r="C44" s="45">
        <f>IF(YEAR(A3)&amp;MONTH(A3)="20142",ROUND('CONSUMPTION RATIOS'!$C$32*'MITCHELL HIGH SULFUR'!C37,2),ROUND('CONSUMPTION RATIOS'!$C$12*'MITCHELL HIGH SULFUR'!C37,2))</f>
        <v>-17791.2</v>
      </c>
      <c r="D44" s="5">
        <f t="shared" si="1"/>
        <v>59.696</v>
      </c>
      <c r="E44" s="4"/>
      <c r="F44">
        <v>0</v>
      </c>
    </row>
    <row r="45" spans="1:9" ht="12.75">
      <c r="A45" t="s">
        <v>12</v>
      </c>
      <c r="B45" s="31">
        <f>ROUND('CONSUMPTION RATIOS'!$C$11*'MITCHELL HIGH SULFUR'!B41,2)+ROUND('CONSUMPTION RATIOS'!$C$12*'MITCHELL HIGH SULFUR'!B42,2)</f>
        <v>0</v>
      </c>
      <c r="C45" s="31">
        <f>ROUND('CONSUMPTION RATIOS'!$C$11*'MITCHELL HIGH SULFUR'!C41,2)+ROUND('CONSUMPTION RATIOS'!$C$12*'MITCHELL HIGH SULFUR'!C42,2)</f>
        <v>0</v>
      </c>
      <c r="D45" s="18">
        <f t="shared" si="1"/>
        <v>0</v>
      </c>
      <c r="E45" s="4"/>
      <c r="I45" s="8"/>
    </row>
    <row r="46" spans="1:9" ht="12.75">
      <c r="A46" t="s">
        <v>10</v>
      </c>
      <c r="B46" s="17">
        <f>SUM(B40:B45)</f>
        <v>51233.81</v>
      </c>
      <c r="C46" s="17">
        <f>SUM(C40:C45)</f>
        <v>3058507.619999999</v>
      </c>
      <c r="D46" s="16">
        <f>ROUND(IF(C46&gt;0,C46/B46,0),4)</f>
        <v>59.6971</v>
      </c>
      <c r="E46" s="4"/>
      <c r="I46" s="8"/>
    </row>
    <row r="47" spans="2:5" ht="12.75">
      <c r="B47" s="11"/>
      <c r="D47" s="6"/>
      <c r="E47" s="4"/>
    </row>
    <row r="48" spans="1:5" ht="13.5" thickBot="1">
      <c r="A48" t="s">
        <v>11</v>
      </c>
      <c r="B48" s="19">
        <f>ROUND('MITCHELL HIGH SULFUR'!B21*0.5,2)</f>
        <v>172803.98</v>
      </c>
      <c r="C48" s="19">
        <f>ROUND('MITCHELL HIGH SULFUR'!C21*0.5,2)</f>
        <v>10315887.71</v>
      </c>
      <c r="D48" s="20">
        <f>ROUND(IF(C48&gt;0,C48/B48,0),4)</f>
        <v>59.697</v>
      </c>
      <c r="E48" s="246"/>
    </row>
    <row r="49" spans="4:8" ht="13.5" thickTop="1">
      <c r="D49" s="6"/>
      <c r="H49" s="8"/>
    </row>
    <row r="50" ht="12.75">
      <c r="D50" s="6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9" ht="12.75">
      <c r="B55"/>
      <c r="C55"/>
      <c r="D55"/>
      <c r="I55" s="8"/>
    </row>
    <row r="56" spans="2:4" ht="12.75">
      <c r="B56"/>
      <c r="C56"/>
      <c r="D56"/>
    </row>
    <row r="57" spans="2:4" ht="12.75">
      <c r="B57"/>
      <c r="C57"/>
      <c r="D57"/>
    </row>
    <row r="58" spans="2:7" ht="12.75">
      <c r="B58"/>
      <c r="C58"/>
      <c r="D58"/>
      <c r="G58" s="8"/>
    </row>
    <row r="59" spans="2:4" ht="12.75">
      <c r="B59"/>
      <c r="C59"/>
      <c r="D59"/>
    </row>
    <row r="60" spans="2:8" ht="12.75">
      <c r="B60"/>
      <c r="C60"/>
      <c r="D60"/>
      <c r="H60" s="8"/>
    </row>
    <row r="61" spans="2:4" ht="12.75">
      <c r="B61"/>
      <c r="C61"/>
      <c r="D61"/>
    </row>
    <row r="62" spans="2:7" ht="12.75">
      <c r="B62"/>
      <c r="C62"/>
      <c r="D62"/>
      <c r="G62" s="8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ht="12.75">
      <c r="D74" s="6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 s="105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  <row r="422" ht="12.75">
      <c r="D422" s="6"/>
    </row>
    <row r="423" ht="12.75">
      <c r="D423" s="6"/>
    </row>
    <row r="424" ht="12.75">
      <c r="D424" s="6"/>
    </row>
    <row r="425" ht="12.75">
      <c r="D425" s="6"/>
    </row>
    <row r="426" ht="12.75">
      <c r="D426" s="6"/>
    </row>
    <row r="427" ht="12.75">
      <c r="D427" s="6"/>
    </row>
    <row r="428" ht="12.75">
      <c r="D428" s="6"/>
    </row>
    <row r="429" ht="12.75">
      <c r="D429" s="6"/>
    </row>
    <row r="430" ht="12.75">
      <c r="D430" s="6"/>
    </row>
    <row r="431" ht="12.75">
      <c r="D431" s="6"/>
    </row>
    <row r="432" ht="12.75">
      <c r="D432" s="6"/>
    </row>
    <row r="433" ht="12.75">
      <c r="D433" s="6"/>
    </row>
    <row r="434" ht="12.75">
      <c r="D434" s="6"/>
    </row>
    <row r="435" ht="12.75">
      <c r="D435" s="6"/>
    </row>
    <row r="436" ht="12.75">
      <c r="D436" s="6"/>
    </row>
    <row r="437" ht="12.75">
      <c r="D437" s="6"/>
    </row>
    <row r="438" ht="12.75">
      <c r="D438" s="6"/>
    </row>
    <row r="439" ht="12.75">
      <c r="D439" s="6"/>
    </row>
    <row r="440" ht="12.75">
      <c r="D440" s="6"/>
    </row>
    <row r="441" ht="12.75">
      <c r="D441" s="6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49" ht="12.75">
      <c r="D449" s="6"/>
    </row>
    <row r="450" ht="12.75">
      <c r="D450" s="6"/>
    </row>
    <row r="451" ht="12.75">
      <c r="D451" s="6"/>
    </row>
    <row r="452" ht="12.75">
      <c r="D452" s="6"/>
    </row>
    <row r="453" ht="12.75">
      <c r="D453" s="6"/>
    </row>
    <row r="454" ht="12.75">
      <c r="D454" s="6"/>
    </row>
    <row r="455" ht="12.75">
      <c r="D455" s="6"/>
    </row>
    <row r="456" ht="12.75">
      <c r="D456" s="6"/>
    </row>
    <row r="457" ht="12.75">
      <c r="D457" s="6"/>
    </row>
    <row r="458" ht="12.75">
      <c r="D458" s="6"/>
    </row>
    <row r="459" ht="12.75">
      <c r="D459" s="6"/>
    </row>
    <row r="460" ht="12.75">
      <c r="D460" s="6"/>
    </row>
    <row r="461" ht="12.75">
      <c r="D461" s="6"/>
    </row>
    <row r="462" ht="12.75">
      <c r="D462" s="6"/>
    </row>
    <row r="463" ht="12.75">
      <c r="D463" s="6"/>
    </row>
    <row r="464" ht="12.75">
      <c r="D464" s="6"/>
    </row>
    <row r="465" ht="12.75">
      <c r="D465" s="6"/>
    </row>
    <row r="466" ht="12.75">
      <c r="D466" s="6"/>
    </row>
    <row r="467" ht="12.75">
      <c r="D467" s="6"/>
    </row>
    <row r="468" ht="12.75">
      <c r="D468" s="6"/>
    </row>
    <row r="469" ht="12.75">
      <c r="D469" s="6"/>
    </row>
    <row r="470" ht="12.75">
      <c r="D470" s="6"/>
    </row>
  </sheetData>
  <sheetProtection/>
  <mergeCells count="6">
    <mergeCell ref="A1:E1"/>
    <mergeCell ref="A2:E2"/>
    <mergeCell ref="A3:E3"/>
    <mergeCell ref="A26:E26"/>
    <mergeCell ref="A27:E27"/>
    <mergeCell ref="A28:E28"/>
  </mergeCells>
  <printOptions/>
  <pageMargins left="0.5" right="0.5" top="0.5" bottom="0.5" header="0.3" footer="0.3"/>
  <pageSetup fitToHeight="1" fitToWidth="1" horizontalDpi="600" verticalDpi="600" orientation="portrait" r:id="rId1"/>
  <headerFooter>
    <oddFooter>&amp;L&amp;D&amp;T&amp;C&amp;Z&amp;F&amp;A&amp;RBE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>
    <tabColor theme="5"/>
    <pageSetUpPr fitToPage="1"/>
  </sheetPr>
  <dimension ref="A1:I419"/>
  <sheetViews>
    <sheetView zoomScalePageLayoutView="0" workbookViewId="0" topLeftCell="A22">
      <selection activeCell="F48" sqref="F48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4.421875" style="8" bestFit="1" customWidth="1"/>
    <col min="5" max="5" width="11.7109375" style="0" customWidth="1"/>
    <col min="6" max="6" width="13.421875" style="0" bestFit="1" customWidth="1"/>
    <col min="9" max="9" width="12.8515625" style="0" bestFit="1" customWidth="1"/>
  </cols>
  <sheetData>
    <row r="1" spans="1:5" ht="12.75">
      <c r="A1" s="306" t="s">
        <v>268</v>
      </c>
      <c r="B1" s="306"/>
      <c r="C1" s="306"/>
      <c r="D1" s="306"/>
      <c r="E1" s="306"/>
    </row>
    <row r="2" spans="1:5" ht="12.75">
      <c r="A2" s="306" t="s">
        <v>265</v>
      </c>
      <c r="B2" s="306"/>
      <c r="C2" s="306"/>
      <c r="D2" s="306"/>
      <c r="E2" s="306"/>
    </row>
    <row r="3" spans="1:5" ht="12.75">
      <c r="A3" s="310" t="str">
        <f>INPUTS!A3</f>
        <v>FEBRUARY 2014</v>
      </c>
      <c r="B3" s="310"/>
      <c r="C3" s="310"/>
      <c r="D3" s="310"/>
      <c r="E3" s="310"/>
    </row>
    <row r="4" spans="1:2" ht="12.75">
      <c r="A4" s="1"/>
      <c r="B4" s="7"/>
    </row>
    <row r="5" spans="3:7" ht="12.75">
      <c r="C5" s="9" t="s">
        <v>3</v>
      </c>
      <c r="D5" s="9" t="s">
        <v>4</v>
      </c>
      <c r="E5" s="3" t="s">
        <v>14</v>
      </c>
      <c r="G5" s="93" t="s">
        <v>128</v>
      </c>
    </row>
    <row r="6" spans="1:7" ht="13.5" thickBot="1">
      <c r="A6" s="2" t="s">
        <v>1</v>
      </c>
      <c r="B6" s="10" t="s">
        <v>0</v>
      </c>
      <c r="C6" s="10" t="s">
        <v>2</v>
      </c>
      <c r="D6" s="10" t="s">
        <v>5</v>
      </c>
      <c r="E6" s="23" t="s">
        <v>15</v>
      </c>
      <c r="G6" s="92" t="s">
        <v>129</v>
      </c>
    </row>
    <row r="7" spans="1:5" ht="12.75">
      <c r="A7" t="s">
        <v>6</v>
      </c>
      <c r="B7" s="11">
        <f>'[7]TONS INVENTORY'!$D$7</f>
        <v>358586.1</v>
      </c>
      <c r="C7" s="250">
        <v>28341536.31</v>
      </c>
      <c r="D7" s="5">
        <f>ROUND(IF(C7&gt;0,C7/B7,0),4)</f>
        <v>79.0369</v>
      </c>
      <c r="E7" s="4"/>
    </row>
    <row r="8" spans="2:5" ht="12.75">
      <c r="B8" s="11"/>
      <c r="D8" s="6"/>
      <c r="E8" s="4"/>
    </row>
    <row r="9" spans="1:5" ht="12.75">
      <c r="A9" t="s">
        <v>18</v>
      </c>
      <c r="B9" s="11">
        <f>'[7]TONS INVENTORY'!$D$12</f>
        <v>6749.1</v>
      </c>
      <c r="C9" s="11">
        <f>'[8]MITCHELL LOW SULFUR'!$C$22</f>
        <v>566638.8100000002</v>
      </c>
      <c r="D9" s="5">
        <f>ROUND(IF(C9&gt;0,C9/B9,0),4)</f>
        <v>83.9577</v>
      </c>
      <c r="E9" s="4"/>
    </row>
    <row r="10" spans="1:5" ht="12.75">
      <c r="A10" t="s">
        <v>19</v>
      </c>
      <c r="B10" s="21"/>
      <c r="C10" s="31">
        <f>'[8]MITCHELL LOW SULFUR'!$D$22</f>
        <v>444070.3600000001</v>
      </c>
      <c r="D10" s="18">
        <f>ROUND(IF(C10&gt;0,C10/B9,0),4)</f>
        <v>65.797</v>
      </c>
      <c r="E10" s="4"/>
    </row>
    <row r="11" spans="1:5" ht="12.75">
      <c r="A11" t="s">
        <v>16</v>
      </c>
      <c r="B11" s="8">
        <f>SUM(B9:B10)</f>
        <v>6749.1</v>
      </c>
      <c r="C11" s="8">
        <f>SUM(C9:C10)</f>
        <v>1010709.1700000003</v>
      </c>
      <c r="D11" s="5">
        <f>ROUND(IF(C11&gt;0,C11/B11,0),4)</f>
        <v>149.7547</v>
      </c>
      <c r="E11" s="4"/>
    </row>
    <row r="12" spans="2:5" ht="12.75">
      <c r="B12" s="12"/>
      <c r="C12" s="13"/>
      <c r="D12" s="14"/>
      <c r="E12" s="4"/>
    </row>
    <row r="13" spans="1:5" ht="12.75">
      <c r="A13" t="s">
        <v>7</v>
      </c>
      <c r="B13" s="15">
        <f>+B7+B11</f>
        <v>365335.19999999995</v>
      </c>
      <c r="C13" s="15">
        <f>+C7+C11</f>
        <v>29352245.48</v>
      </c>
      <c r="D13" s="16">
        <f>ROUND(IF(C13&gt;0,C13/B13,0),4)</f>
        <v>80.3433</v>
      </c>
      <c r="E13" s="4"/>
    </row>
    <row r="14" spans="2:5" ht="12" customHeight="1">
      <c r="B14" s="11"/>
      <c r="D14" s="6"/>
      <c r="E14" s="4"/>
    </row>
    <row r="15" spans="1:9" ht="12.75">
      <c r="A15" t="s">
        <v>8</v>
      </c>
      <c r="B15" s="11">
        <f>'[7]TONS INVENTORY'!$D$16</f>
        <v>137882</v>
      </c>
      <c r="C15" s="55">
        <f>ROUND($D$13*B15,2)+G15</f>
        <v>11077896.04</v>
      </c>
      <c r="D15" s="5">
        <f>ROUND(IF(C15&gt;0,C15/B15,0),4)</f>
        <v>80.3433</v>
      </c>
      <c r="E15" s="4"/>
      <c r="G15" s="262">
        <f>11077896.04-11077894.89</f>
        <v>1.1499999985098839</v>
      </c>
      <c r="I15" s="241"/>
    </row>
    <row r="16" spans="1:7" ht="12.75">
      <c r="A16" t="s">
        <v>13</v>
      </c>
      <c r="B16" s="11">
        <f>'[7]TONS INVENTORY'!$D$17</f>
        <v>0</v>
      </c>
      <c r="C16" s="8">
        <f>ROUND($D$13*B16,2)</f>
        <v>0</v>
      </c>
      <c r="D16" s="5">
        <f>ROUND(IF(C16&gt;0,C16/B16,0),4)</f>
        <v>0</v>
      </c>
      <c r="E16" s="4"/>
      <c r="G16" s="91">
        <v>0</v>
      </c>
    </row>
    <row r="17" spans="1:7" ht="12.75">
      <c r="A17" t="s">
        <v>9</v>
      </c>
      <c r="B17" s="11">
        <f>'[7]TONS INVENTORY'!$D$19</f>
        <v>35107</v>
      </c>
      <c r="C17" s="55">
        <f>ROUND($D$13*B17,2)+G17</f>
        <v>2820612.23</v>
      </c>
      <c r="D17" s="5">
        <f>ROUND(IF(C17&lt;&gt;0,C17/B17,0),4)</f>
        <v>80.3433</v>
      </c>
      <c r="E17" s="4"/>
      <c r="G17" s="91">
        <v>0</v>
      </c>
    </row>
    <row r="18" spans="1:5" ht="12.75">
      <c r="A18" t="s">
        <v>12</v>
      </c>
      <c r="B18" s="12">
        <f>'[7]TONS INVENTORY'!$D$18</f>
        <v>0</v>
      </c>
      <c r="C18" s="13">
        <f>ROUND($D$13*B18,2)</f>
        <v>0</v>
      </c>
      <c r="D18" s="18">
        <f>ROUND(IF(C18&gt;0,C18/B18,0),4)</f>
        <v>0</v>
      </c>
      <c r="E18" s="4"/>
    </row>
    <row r="19" spans="1:5" ht="12.75">
      <c r="A19" t="s">
        <v>10</v>
      </c>
      <c r="B19" s="17">
        <f>SUM(B15:B18)</f>
        <v>172989</v>
      </c>
      <c r="C19" s="17">
        <f>SUM(C15:C18)</f>
        <v>13898508.27</v>
      </c>
      <c r="D19" s="16">
        <f>ROUND(IF(C19&gt;0,C19/B19,0),4)</f>
        <v>80.3433</v>
      </c>
      <c r="E19" s="4"/>
    </row>
    <row r="20" spans="2:5" ht="12.75">
      <c r="B20" s="11"/>
      <c r="D20" s="6"/>
      <c r="E20" s="4"/>
    </row>
    <row r="21" spans="1:5" ht="13.5" thickBot="1">
      <c r="A21" t="s">
        <v>11</v>
      </c>
      <c r="B21" s="19">
        <f>+B13-B19</f>
        <v>192346.19999999995</v>
      </c>
      <c r="C21" s="19">
        <f>+C13-C19</f>
        <v>15453737.21</v>
      </c>
      <c r="D21" s="20">
        <f>ROUND(IF(C21&gt;0,C21/B21,0),4)</f>
        <v>80.3433</v>
      </c>
      <c r="E21" s="32">
        <f>'[7]TONS INVENTORY'!$D$25</f>
        <v>11986</v>
      </c>
    </row>
    <row r="22" ht="13.5" thickTop="1">
      <c r="D22" s="6"/>
    </row>
    <row r="23" ht="12.75">
      <c r="D23" s="6"/>
    </row>
    <row r="24" spans="1:5" ht="12.75">
      <c r="A24" s="306" t="s">
        <v>23</v>
      </c>
      <c r="B24" s="306"/>
      <c r="C24" s="306"/>
      <c r="D24" s="306"/>
      <c r="E24" s="306"/>
    </row>
    <row r="25" spans="1:5" ht="12.75">
      <c r="A25" s="306" t="str">
        <f>+A2</f>
        <v>MITCHELL LOW SULFUR COAL INVENTORY LEDGER</v>
      </c>
      <c r="B25" s="306"/>
      <c r="C25" s="306"/>
      <c r="D25" s="306"/>
      <c r="E25" s="306"/>
    </row>
    <row r="26" spans="1:5" ht="12.75">
      <c r="A26" s="310" t="str">
        <f>+A3</f>
        <v>FEBRUARY 2014</v>
      </c>
      <c r="B26" s="310"/>
      <c r="C26" s="310"/>
      <c r="D26" s="310"/>
      <c r="E26" s="310"/>
    </row>
    <row r="27" ht="12.75">
      <c r="D27" s="6"/>
    </row>
    <row r="28" spans="3:5" ht="12.75">
      <c r="C28" s="9" t="s">
        <v>3</v>
      </c>
      <c r="D28" s="9" t="s">
        <v>4</v>
      </c>
      <c r="E28" s="3" t="s">
        <v>14</v>
      </c>
    </row>
    <row r="29" spans="1:5" ht="13.5" thickBot="1">
      <c r="A29" s="2" t="s">
        <v>1</v>
      </c>
      <c r="B29" s="10" t="s">
        <v>0</v>
      </c>
      <c r="C29" s="10" t="s">
        <v>2</v>
      </c>
      <c r="D29" s="10" t="s">
        <v>5</v>
      </c>
      <c r="E29" s="10" t="s">
        <v>15</v>
      </c>
    </row>
    <row r="30" spans="1:5" ht="12.75">
      <c r="A30" t="s">
        <v>8</v>
      </c>
      <c r="E30" s="27"/>
    </row>
    <row r="31" spans="1:7" ht="12.75">
      <c r="A31" t="s">
        <v>20</v>
      </c>
      <c r="B31" s="11">
        <f>'[7]INPUT'!$B$22</f>
        <v>24999</v>
      </c>
      <c r="C31" s="54">
        <f>ROUND($D$13*B31,2)+G31</f>
        <v>2008502.16</v>
      </c>
      <c r="D31" s="5">
        <f>ROUND(IF(C31&gt;0,C31/B31,0),4)</f>
        <v>80.3433</v>
      </c>
      <c r="E31" s="30">
        <f>+E21</f>
        <v>11986</v>
      </c>
      <c r="G31" s="96">
        <v>0</v>
      </c>
    </row>
    <row r="32" spans="1:7" ht="12.75">
      <c r="A32" t="s">
        <v>21</v>
      </c>
      <c r="B32" s="11">
        <f>'[7]INPUT'!$C$22</f>
        <v>112883</v>
      </c>
      <c r="C32" s="54">
        <f>C15-C31</f>
        <v>9069393.879999999</v>
      </c>
      <c r="D32" s="5">
        <f>ROUND(IF(C32&gt;0,C32/B32,0),4)</f>
        <v>80.3433</v>
      </c>
      <c r="E32" s="30">
        <f>+E21</f>
        <v>11986</v>
      </c>
      <c r="G32" s="91">
        <v>0</v>
      </c>
    </row>
    <row r="33" spans="1:6" ht="13.5" thickBot="1">
      <c r="A33" t="s">
        <v>3</v>
      </c>
      <c r="B33" s="26">
        <f>SUM(B31:B32)</f>
        <v>137882</v>
      </c>
      <c r="C33" s="19">
        <f>SUM(C31:C32)</f>
        <v>11077896.04</v>
      </c>
      <c r="D33" s="20">
        <f>ROUND(IF(C33&gt;0,C33/B33,0),4)</f>
        <v>80.3433</v>
      </c>
      <c r="E33" s="29">
        <f>+E21</f>
        <v>11986</v>
      </c>
      <c r="F33" s="8">
        <f>+C33-C15</f>
        <v>0</v>
      </c>
    </row>
    <row r="34" ht="13.5" thickTop="1"/>
    <row r="35" ht="12.75">
      <c r="A35" t="s">
        <v>22</v>
      </c>
    </row>
    <row r="36" spans="1:7" ht="12.75">
      <c r="A36" t="s">
        <v>20</v>
      </c>
      <c r="B36" s="11">
        <f>'[7]INPUT'!$B$31</f>
        <v>12070</v>
      </c>
      <c r="C36" s="55">
        <f>ROUND($D$13*B36,2)+G36</f>
        <v>969743.63</v>
      </c>
      <c r="D36" s="5">
        <f>ROUND(IF(C36&lt;&gt;0,C36/B36,0),4)</f>
        <v>80.3433</v>
      </c>
      <c r="E36" s="4"/>
      <c r="G36" s="91">
        <v>0</v>
      </c>
    </row>
    <row r="37" spans="1:7" ht="12.75">
      <c r="A37" t="s">
        <v>21</v>
      </c>
      <c r="B37" s="11">
        <f>'[7]INPUT'!$C$31</f>
        <v>23037</v>
      </c>
      <c r="C37" s="55">
        <f>ROUND($D$13*B37,2)+G37</f>
        <v>1850868.6</v>
      </c>
      <c r="D37" s="5">
        <f>ROUND(IF(C37&lt;&gt;0,C37/B37,0),4)</f>
        <v>80.3433</v>
      </c>
      <c r="E37" s="4"/>
      <c r="G37" s="91">
        <v>0</v>
      </c>
    </row>
    <row r="38" spans="1:6" ht="13.5" thickBot="1">
      <c r="A38" t="s">
        <v>3</v>
      </c>
      <c r="B38" s="26">
        <f>SUM(B36:B37)</f>
        <v>35107</v>
      </c>
      <c r="C38" s="26">
        <f>SUM(C36:C37)</f>
        <v>2820612.23</v>
      </c>
      <c r="D38" s="20">
        <f>ROUND(IF(C38&lt;&gt;0,C38/B38,0),4)</f>
        <v>80.3433</v>
      </c>
      <c r="E38" s="28"/>
      <c r="F38" s="8">
        <f>+C38-C17</f>
        <v>0</v>
      </c>
    </row>
    <row r="39" ht="13.5" thickTop="1"/>
    <row r="40" ht="12.75">
      <c r="A40" t="s">
        <v>12</v>
      </c>
    </row>
    <row r="41" spans="1:5" ht="12.75">
      <c r="A41" t="s">
        <v>20</v>
      </c>
      <c r="B41" s="25">
        <v>0</v>
      </c>
      <c r="C41" s="8">
        <f>ROUND($D$13*B41,2)</f>
        <v>0</v>
      </c>
      <c r="D41" s="5">
        <f>ROUND(IF(C41&gt;0,C41/B41,0),4)</f>
        <v>0</v>
      </c>
      <c r="E41" s="4"/>
    </row>
    <row r="42" spans="1:5" ht="12.75">
      <c r="A42" t="s">
        <v>21</v>
      </c>
      <c r="B42" s="25">
        <v>0</v>
      </c>
      <c r="C42" s="8">
        <f>ROUND($D$13*B42,2)</f>
        <v>0</v>
      </c>
      <c r="D42" s="5">
        <f>ROUND(IF(C42&gt;0,C42/B42,0),4)</f>
        <v>0</v>
      </c>
      <c r="E42" s="4"/>
    </row>
    <row r="43" spans="1:6" ht="13.5" thickBot="1">
      <c r="A43" t="s">
        <v>3</v>
      </c>
      <c r="B43" s="26">
        <f>SUM(B41:B42)</f>
        <v>0</v>
      </c>
      <c r="C43" s="26">
        <f>SUM(C41:C42)</f>
        <v>0</v>
      </c>
      <c r="D43" s="20">
        <f>ROUND(IF(C43&gt;0,C43/B43,0),4)</f>
        <v>0</v>
      </c>
      <c r="E43" s="28"/>
      <c r="F43" s="8">
        <f>+C43-C18</f>
        <v>0</v>
      </c>
    </row>
    <row r="44" ht="13.5" thickTop="1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</sheetData>
  <sheetProtection/>
  <mergeCells count="6">
    <mergeCell ref="A1:E1"/>
    <mergeCell ref="A2:E2"/>
    <mergeCell ref="A3:E3"/>
    <mergeCell ref="A24:E24"/>
    <mergeCell ref="A25:E25"/>
    <mergeCell ref="A26:E26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83" r:id="rId1"/>
  <headerFooter alignWithMargins="0">
    <oddFooter>&amp;L&amp;D  &amp;T&amp;C&amp;F  &amp;A &amp;RBE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0"/>
  <sheetViews>
    <sheetView zoomScalePageLayoutView="0" workbookViewId="0" topLeftCell="A7">
      <selection activeCell="A27" sqref="A27:E27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4.421875" style="8" bestFit="1" customWidth="1"/>
    <col min="5" max="5" width="11.7109375" style="0" customWidth="1"/>
    <col min="7" max="7" width="12.28125" style="0" bestFit="1" customWidth="1"/>
    <col min="8" max="9" width="13.421875" style="0" bestFit="1" customWidth="1"/>
  </cols>
  <sheetData>
    <row r="1" spans="1:5" ht="12.75">
      <c r="A1" s="306" t="s">
        <v>268</v>
      </c>
      <c r="B1" s="306"/>
      <c r="C1" s="306"/>
      <c r="D1" s="306"/>
      <c r="E1" s="306"/>
    </row>
    <row r="2" spans="1:5" ht="12.75">
      <c r="A2" s="306" t="s">
        <v>276</v>
      </c>
      <c r="B2" s="306"/>
      <c r="C2" s="306"/>
      <c r="D2" s="306"/>
      <c r="E2" s="306"/>
    </row>
    <row r="3" spans="1:5" ht="12.75">
      <c r="A3" s="310" t="str">
        <f>INPUTS!A3</f>
        <v>FEBRUARY 2014</v>
      </c>
      <c r="B3" s="310"/>
      <c r="C3" s="310"/>
      <c r="D3" s="310"/>
      <c r="E3" s="310"/>
    </row>
    <row r="4" spans="1:2" ht="12.75">
      <c r="A4" s="1"/>
      <c r="B4" s="7"/>
    </row>
    <row r="5" spans="3:5" ht="12.75">
      <c r="C5" s="9" t="s">
        <v>3</v>
      </c>
      <c r="D5" s="9" t="s">
        <v>4</v>
      </c>
      <c r="E5" s="3" t="s">
        <v>14</v>
      </c>
    </row>
    <row r="6" spans="1:5" ht="13.5" thickBot="1">
      <c r="A6" s="2" t="s">
        <v>1</v>
      </c>
      <c r="B6" s="10" t="s">
        <v>0</v>
      </c>
      <c r="C6" s="10" t="s">
        <v>2</v>
      </c>
      <c r="D6" s="10" t="s">
        <v>5</v>
      </c>
      <c r="E6" s="23" t="s">
        <v>15</v>
      </c>
    </row>
    <row r="7" spans="1:5" ht="12.75">
      <c r="A7" t="s">
        <v>6</v>
      </c>
      <c r="B7" s="249">
        <v>179293.05</v>
      </c>
      <c r="C7" s="249">
        <v>14170768.15</v>
      </c>
      <c r="D7" s="5">
        <f>ROUND(IF(C7&gt;0,C7/B7,0),4)</f>
        <v>79.0369</v>
      </c>
      <c r="E7" s="4"/>
    </row>
    <row r="8" spans="2:5" ht="12.75">
      <c r="B8" s="11"/>
      <c r="D8" s="6"/>
      <c r="E8" s="4"/>
    </row>
    <row r="9" spans="1:5" ht="12.75">
      <c r="A9" t="s">
        <v>18</v>
      </c>
      <c r="B9" s="11">
        <f>'MITCHELL LOW SULFUR'!B9-'MITCHELL_KP_OP_LOW SULFUR'!B34</f>
        <v>-8205.820000000012</v>
      </c>
      <c r="C9" s="11">
        <f>'MITCHELL LOW SULFUR'!C9-'MITCHELL_KP_OP_LOW SULFUR'!C34</f>
        <v>-238307.4199999998</v>
      </c>
      <c r="D9" s="5">
        <f>ROUND(IF(C9&gt;0,C9/B9,0),4)</f>
        <v>0</v>
      </c>
      <c r="E9" s="4"/>
    </row>
    <row r="10" spans="1:8" ht="12.75">
      <c r="A10" t="s">
        <v>19</v>
      </c>
      <c r="B10" s="21"/>
      <c r="C10" s="31">
        <f>'MITCHELL LOW SULFUR'!C10-'MITCHELL_KP_OP_LOW SULFUR'!C35</f>
        <v>-186759.64000000036</v>
      </c>
      <c r="D10" s="18">
        <f>ROUND(IF(C10&gt;0,C10/B9,0),4)</f>
        <v>0</v>
      </c>
      <c r="E10" s="4"/>
      <c r="G10" s="8"/>
      <c r="H10" s="8"/>
    </row>
    <row r="11" spans="1:5" ht="12.75">
      <c r="A11" t="s">
        <v>16</v>
      </c>
      <c r="B11" s="8">
        <f>SUM(B9:B10)</f>
        <v>-8205.820000000012</v>
      </c>
      <c r="C11" s="8">
        <f>SUM(C9:C10)</f>
        <v>-425067.0600000002</v>
      </c>
      <c r="D11" s="5">
        <f>ROUND(IF(C11&gt;0,C11/B11,0),4)</f>
        <v>0</v>
      </c>
      <c r="E11" s="4"/>
    </row>
    <row r="12" spans="2:5" ht="12.75">
      <c r="B12" s="12"/>
      <c r="C12" s="13"/>
      <c r="D12" s="14"/>
      <c r="E12" s="4"/>
    </row>
    <row r="13" spans="1:5" ht="12.75">
      <c r="A13" t="s">
        <v>7</v>
      </c>
      <c r="B13" s="15">
        <f>+B23+B21</f>
        <v>171087.22999999995</v>
      </c>
      <c r="C13" s="15">
        <f>+C23+C21</f>
        <v>13745701.09</v>
      </c>
      <c r="D13" s="16">
        <f>ROUND(IF(C13&gt;0,C13/B13,0),4)</f>
        <v>80.3432</v>
      </c>
      <c r="E13" s="4"/>
    </row>
    <row r="14" spans="2:5" ht="12" customHeight="1">
      <c r="B14" s="11"/>
      <c r="D14" s="6"/>
      <c r="E14" s="4"/>
    </row>
    <row r="15" spans="1:6" ht="12.75">
      <c r="A15" s="265" t="str">
        <f>"CONSUMED UNIT 1 -- "&amp;TEXT(ROUND('CONSUMPTION RATIOS'!$B$11,5),"0.000%")</f>
        <v>CONSUMED UNIT 1 -- 50.003%</v>
      </c>
      <c r="B15" s="11">
        <f>+'MITCHELL LOW SULFUR'!B31-'MITCHELL_KP_OP_LOW SULFUR'!B40</f>
        <v>12500.25</v>
      </c>
      <c r="C15" s="11">
        <f>+'MITCHELL LOW SULFUR'!C31-'MITCHELL_KP_OP_LOW SULFUR'!C40+F15</f>
        <v>1004311.34</v>
      </c>
      <c r="D15" s="5">
        <f aca="true" t="shared" si="0" ref="D15:D20">ROUND(IF(C15&lt;&gt;0,C15/B15,0),4)</f>
        <v>80.3433</v>
      </c>
      <c r="E15" s="4"/>
      <c r="F15">
        <v>0</v>
      </c>
    </row>
    <row r="16" spans="1:6" ht="12.75">
      <c r="A16" s="265" t="str">
        <f>"CONSUMED UNIT 2 -- "&amp;TEXT(ROUND('CONSUMPTION RATIOS'!$B$12,5),"0.000%")</f>
        <v>CONSUMED UNIT 2 -- 50.188%</v>
      </c>
      <c r="B16" s="11">
        <f>+'MITCHELL LOW SULFUR'!B32-'MITCHELL_KP_OP_LOW SULFUR'!B41</f>
        <v>56653.72</v>
      </c>
      <c r="C16" s="11">
        <f>+'MITCHELL LOW SULFUR'!C32-'MITCHELL_KP_OP_LOW SULFUR'!C41+F16</f>
        <v>4551747.3999999985</v>
      </c>
      <c r="D16" s="5">
        <f t="shared" si="0"/>
        <v>80.3433</v>
      </c>
      <c r="E16" s="4"/>
      <c r="F16">
        <v>0</v>
      </c>
    </row>
    <row r="17" spans="1:6" ht="12.75">
      <c r="A17" t="s">
        <v>13</v>
      </c>
      <c r="B17" s="207">
        <f>+'MITCHELL LOW SULFUR'!B16-'MITCHELL_KP_OP_LOW SULFUR'!B42</f>
        <v>0</v>
      </c>
      <c r="C17" s="207">
        <f>+'MITCHELL LOW SULFUR'!C16-'MITCHELL_KP_OP_LOW SULFUR'!C42</f>
        <v>0</v>
      </c>
      <c r="D17" s="5">
        <f t="shared" si="0"/>
        <v>0</v>
      </c>
      <c r="E17" s="4"/>
      <c r="F17" s="98" t="s">
        <v>294</v>
      </c>
    </row>
    <row r="18" spans="1:8" ht="12.75">
      <c r="A18" s="265" t="str">
        <f>IF(YEAR(A3)&amp;MONTH(A3)="20142","SURVEY ADJUST UNIT 1 -- "&amp;TEXT(ROUND('CONSUMPTION RATIOS'!$B$31,5),"0.000%"),"SURVEY ADJUST UNIT 1 -- "&amp;TEXT(ROUND('CONSUMPTION RATIOS'!$B$11,5),"0.000%"))</f>
        <v>SURVEY ADJUST UNIT 1 -- 19.380%</v>
      </c>
      <c r="B18" s="45">
        <f>+'MITCHELL LOW SULFUR'!B36-'MITCHELL_KP_OP_LOW SULFUR'!B43</f>
        <v>2339.17</v>
      </c>
      <c r="C18" s="45">
        <f>+'MITCHELL LOW SULFUR'!C36-'MITCHELL_KP_OP_LOW SULFUR'!C43+F18</f>
        <v>187949.32999999996</v>
      </c>
      <c r="D18" s="5">
        <f t="shared" si="0"/>
        <v>80.3487</v>
      </c>
      <c r="E18" s="4"/>
      <c r="F18">
        <v>0</v>
      </c>
      <c r="H18" s="8"/>
    </row>
    <row r="19" spans="1:8" ht="12.75">
      <c r="A19" s="265" t="str">
        <f>IF(YEAR(A3)&amp;MONTH(A3)="20142","SURVEY ADJUST UNIT 2 -- "&amp;TEXT(ROUND('CONSUMPTION RATIOS'!$B$32,5),"0.000%"),"SURVEY ADJUST UNIT 2 -- "&amp;TEXT(ROUND('CONSUMPTION RATIOS'!$B$12,5),"0.000%"))</f>
        <v>SURVEY ADJUST UNIT 2 -- 14.850%</v>
      </c>
      <c r="B19" s="45">
        <f>+'MITCHELL LOW SULFUR'!B37-'MITCHELL_KP_OP_LOW SULFUR'!B44</f>
        <v>3420.9900000000016</v>
      </c>
      <c r="C19" s="45">
        <f>+'MITCHELL LOW SULFUR'!C37-'MITCHELL_KP_OP_LOW SULFUR'!C44+F19</f>
        <v>274824.4199999999</v>
      </c>
      <c r="D19" s="5">
        <f t="shared" si="0"/>
        <v>80.3348</v>
      </c>
      <c r="E19" s="4"/>
      <c r="F19">
        <v>0</v>
      </c>
      <c r="H19" s="8"/>
    </row>
    <row r="20" spans="1:5" ht="12.75">
      <c r="A20" t="s">
        <v>12</v>
      </c>
      <c r="B20" s="31">
        <f>+'MITCHELL LOW SULFUR'!B43-'MITCHELL_KP_OP_LOW SULFUR'!B45</f>
        <v>0</v>
      </c>
      <c r="C20" s="31">
        <f>+'MITCHELL LOW SULFUR'!C43-'MITCHELL_KP_OP_LOW SULFUR'!C45+F20</f>
        <v>0</v>
      </c>
      <c r="D20" s="18">
        <f t="shared" si="0"/>
        <v>0</v>
      </c>
      <c r="E20" s="4"/>
    </row>
    <row r="21" spans="1:5" ht="12.75">
      <c r="A21" t="s">
        <v>10</v>
      </c>
      <c r="B21" s="17">
        <f>SUM(B15:B20)</f>
        <v>74914.13</v>
      </c>
      <c r="C21" s="17">
        <f>SUM(C15:C20)</f>
        <v>6018832.489999998</v>
      </c>
      <c r="D21" s="16">
        <f>ROUND(IF(C21&gt;0,C21/B21,0),4)</f>
        <v>80.3431</v>
      </c>
      <c r="E21" s="4"/>
    </row>
    <row r="22" spans="2:9" ht="12.75">
      <c r="B22" s="11"/>
      <c r="D22" s="6"/>
      <c r="E22" s="4"/>
      <c r="I22" s="8"/>
    </row>
    <row r="23" spans="1:5" ht="13.5" thickBot="1">
      <c r="A23" t="s">
        <v>11</v>
      </c>
      <c r="B23" s="19">
        <f>'MITCHELL LOW SULFUR'!B21-B48</f>
        <v>96173.09999999995</v>
      </c>
      <c r="C23" s="19">
        <f>'MITCHELL LOW SULFUR'!C21-C48</f>
        <v>7726868.600000001</v>
      </c>
      <c r="D23" s="20">
        <f>ROUND(IF(C23&gt;0,C23/B23,0),4)</f>
        <v>80.3433</v>
      </c>
      <c r="E23" s="246"/>
    </row>
    <row r="24" ht="13.5" thickTop="1">
      <c r="D24" s="6"/>
    </row>
    <row r="25" spans="4:9" ht="12.75">
      <c r="D25" s="6"/>
      <c r="I25" s="8"/>
    </row>
    <row r="26" spans="1:5" ht="12.75">
      <c r="A26" s="306" t="s">
        <v>268</v>
      </c>
      <c r="B26" s="306"/>
      <c r="C26" s="306"/>
      <c r="D26" s="306"/>
      <c r="E26" s="306"/>
    </row>
    <row r="27" spans="1:8" ht="12.75">
      <c r="A27" s="306" t="s">
        <v>277</v>
      </c>
      <c r="B27" s="306"/>
      <c r="C27" s="306"/>
      <c r="D27" s="306"/>
      <c r="E27" s="306"/>
      <c r="H27" s="8"/>
    </row>
    <row r="28" spans="1:8" ht="12.75">
      <c r="A28" s="310" t="str">
        <f>+A3</f>
        <v>FEBRUARY 2014</v>
      </c>
      <c r="B28" s="310"/>
      <c r="C28" s="310"/>
      <c r="D28" s="310"/>
      <c r="E28" s="310"/>
      <c r="G28" s="8"/>
      <c r="H28" s="8"/>
    </row>
    <row r="29" spans="1:2" ht="12.75">
      <c r="A29" s="1"/>
      <c r="B29" s="7"/>
    </row>
    <row r="30" spans="3:5" ht="12.75">
      <c r="C30" s="9" t="s">
        <v>3</v>
      </c>
      <c r="D30" s="9" t="s">
        <v>4</v>
      </c>
      <c r="E30" s="3" t="s">
        <v>14</v>
      </c>
    </row>
    <row r="31" spans="1:8" ht="13.5" thickBot="1">
      <c r="A31" s="2" t="s">
        <v>1</v>
      </c>
      <c r="B31" s="10" t="s">
        <v>0</v>
      </c>
      <c r="C31" s="10" t="s">
        <v>2</v>
      </c>
      <c r="D31" s="10" t="s">
        <v>5</v>
      </c>
      <c r="E31" s="23" t="s">
        <v>15</v>
      </c>
      <c r="H31" s="8"/>
    </row>
    <row r="32" spans="1:5" ht="12.75">
      <c r="A32" t="s">
        <v>6</v>
      </c>
      <c r="B32" s="249">
        <v>179293.05</v>
      </c>
      <c r="C32" s="249">
        <v>14170768.16</v>
      </c>
      <c r="D32" s="5">
        <f>ROUND(IF(C32&gt;0,C32/B32,0),4)</f>
        <v>79.0369</v>
      </c>
      <c r="E32" s="4"/>
    </row>
    <row r="33" spans="2:8" ht="12.75">
      <c r="B33" s="11"/>
      <c r="D33" s="6"/>
      <c r="E33" s="4"/>
      <c r="H33" s="8"/>
    </row>
    <row r="34" spans="1:5" ht="12.75">
      <c r="A34" t="s">
        <v>18</v>
      </c>
      <c r="B34" s="22">
        <f>+B38-B32</f>
        <v>14954.920000000013</v>
      </c>
      <c r="C34" s="11">
        <f>ROUND(C36*'MITCHELL LOW SULFUR'!C9/'MITCHELL LOW SULFUR'!C11,2)</f>
        <v>804946.23</v>
      </c>
      <c r="D34" s="5">
        <f>ROUND(IF(C34&gt;0,C34/B34,0),4)</f>
        <v>53.8248</v>
      </c>
      <c r="E34" s="4"/>
    </row>
    <row r="35" spans="1:5" ht="12.75">
      <c r="A35" t="s">
        <v>19</v>
      </c>
      <c r="B35" s="21"/>
      <c r="C35" s="51">
        <f>+C36-C34</f>
        <v>630830.0000000005</v>
      </c>
      <c r="D35" s="18">
        <f>ROUND(IF(C35&gt;0,C35/B34,0),4)</f>
        <v>42.1821</v>
      </c>
      <c r="E35" s="4"/>
    </row>
    <row r="36" spans="1:9" ht="12.75">
      <c r="A36" t="s">
        <v>16</v>
      </c>
      <c r="B36" s="8">
        <f>SUM(B34:B35)</f>
        <v>14954.920000000013</v>
      </c>
      <c r="C36" s="8">
        <f>+C38-C32</f>
        <v>1435776.2300000004</v>
      </c>
      <c r="D36" s="5">
        <f>ROUND(IF(C36&gt;0,C36/B36,0),4)</f>
        <v>96.0069</v>
      </c>
      <c r="E36" s="4"/>
      <c r="I36" s="98"/>
    </row>
    <row r="37" spans="2:8" ht="12.75">
      <c r="B37" s="12"/>
      <c r="C37" s="13"/>
      <c r="D37" s="14"/>
      <c r="E37" s="4"/>
      <c r="G37" s="8"/>
      <c r="H37" s="8"/>
    </row>
    <row r="38" spans="1:5" ht="12.75">
      <c r="A38" t="s">
        <v>7</v>
      </c>
      <c r="B38" s="15">
        <f>+B48+B46</f>
        <v>194247.97</v>
      </c>
      <c r="C38" s="15">
        <f>+C48+C46</f>
        <v>15606544.39</v>
      </c>
      <c r="D38" s="16">
        <f>ROUND(IF(C38&gt;0,C38/B38,0),4)</f>
        <v>80.3434</v>
      </c>
      <c r="E38" s="4"/>
    </row>
    <row r="39" spans="2:5" ht="12.75">
      <c r="B39" s="11"/>
      <c r="D39" s="6"/>
      <c r="E39" s="4"/>
    </row>
    <row r="40" spans="1:8" ht="12.75">
      <c r="A40" s="265" t="str">
        <f>"CONSUMED UNIT 1 -- "&amp;TEXT(ROUND('CONSUMPTION RATIOS'!$C$11,5),"0.000%")</f>
        <v>CONSUMED UNIT 1 -- 49.997%</v>
      </c>
      <c r="B40" s="11">
        <f>ROUND('CONSUMPTION RATIOS'!$C$11*'MITCHELL LOW SULFUR'!B31,2)</f>
        <v>12498.75</v>
      </c>
      <c r="C40" s="11">
        <f>ROUND('CONSUMPTION RATIOS'!$C$11*'MITCHELL LOW SULFUR'!C31,2)</f>
        <v>1004190.82</v>
      </c>
      <c r="D40" s="5">
        <f aca="true" t="shared" si="1" ref="D40:D45">ROUND(IF(C40&lt;&gt;0,C40/B40,0),4)</f>
        <v>80.3433</v>
      </c>
      <c r="E40" s="4"/>
      <c r="F40">
        <v>0</v>
      </c>
      <c r="H40" s="8"/>
    </row>
    <row r="41" spans="1:8" ht="12.75">
      <c r="A41" s="265" t="str">
        <f>"CONSUMED UNIT 2 -- "&amp;TEXT(ROUND('CONSUMPTION RATIOS'!$C$12,5),"0.000%")</f>
        <v>CONSUMED UNIT 2 -- 49.812%</v>
      </c>
      <c r="B41" s="11">
        <f>ROUND('CONSUMPTION RATIOS'!$C$12*'MITCHELL LOW SULFUR'!B32,2)</f>
        <v>56229.28</v>
      </c>
      <c r="C41" s="11">
        <f>ROUND('CONSUMPTION RATIOS'!$C$12*'MITCHELL LOW SULFUR'!C32,2)</f>
        <v>4517646.48</v>
      </c>
      <c r="D41" s="5">
        <f t="shared" si="1"/>
        <v>80.3433</v>
      </c>
      <c r="E41" s="4"/>
      <c r="F41">
        <v>0</v>
      </c>
      <c r="H41" s="8"/>
    </row>
    <row r="42" spans="1:6" ht="12.75">
      <c r="A42" t="s">
        <v>13</v>
      </c>
      <c r="B42" s="207">
        <f>ROUND('CONSUMPTION RATIOS'!$C$11*'MITCHELL LOW SULFUR'!B16,2)+ROUND('CONSUMPTION RATIOS'!$C$12*'MITCHELL LOW SULFUR'!B16,2)</f>
        <v>0</v>
      </c>
      <c r="C42" s="207">
        <f>ROUND('CONSUMPTION RATIOS'!$C$11*'MITCHELL LOW SULFUR'!C16,2)+ROUND('CONSUMPTION RATIOS'!$C$12*'MITCHELL LOW SULFUR'!C16,2)</f>
        <v>0</v>
      </c>
      <c r="D42" s="5">
        <f t="shared" si="1"/>
        <v>0</v>
      </c>
      <c r="E42" s="4"/>
      <c r="F42" s="98" t="s">
        <v>294</v>
      </c>
    </row>
    <row r="43" spans="1:6" ht="12.75">
      <c r="A43" s="265" t="str">
        <f>IF(YEAR(A3)&amp;MONTH(A3)="20142","SURVEY ADJUST UNIT 1 -- "&amp;TEXT(ROUND('CONSUMPTION RATIOS'!$C$31,5),"0.000%"),"SURVEY ADJUST UNIT 1 -- "&amp;TEXT(ROUND('CONSUMPTION RATIOS'!$C$11,5),"0.000%"))</f>
        <v>SURVEY ADJUST UNIT 1 -- 80.620%</v>
      </c>
      <c r="B43" s="45">
        <f>IF(YEAR(A3)&amp;MONTH(A3)="20142",ROUND('CONSUMPTION RATIOS'!$C$31*'MITCHELL LOW SULFUR'!B36,2),ROUND('CONSUMPTION RATIOS'!$C$11*'MITCHELL LOW SULFUR'!B36,2))</f>
        <v>9730.83</v>
      </c>
      <c r="C43" s="45">
        <f>IF(YEAR(A3)&amp;MONTH(A3)="20142",ROUND('CONSUMPTION RATIOS'!$C$31*'MITCHELL LOW SULFUR'!C36,2)+F43,ROUND('CONSUMPTION RATIOS'!$C$11*'MITCHELL LOW SULFUR'!C36,2)+F43)</f>
        <v>781794.3</v>
      </c>
      <c r="D43" s="5">
        <f t="shared" si="1"/>
        <v>80.342</v>
      </c>
      <c r="E43" s="4"/>
      <c r="F43">
        <v>-13.01</v>
      </c>
    </row>
    <row r="44" spans="1:6" ht="12.75">
      <c r="A44" s="265" t="str">
        <f>IF(YEAR(A3)&amp;MONTH(A3)="20142","SURVEY ADJUST UNIT 2 -- "&amp;TEXT(ROUND('CONSUMPTION RATIOS'!$C$32,5),"0.000%"),"SURVEY ADJUST UNIT 2 -- "&amp;TEXT(ROUND('CONSUMPTION RATIOS'!$C$12,5),"0.000%"))</f>
        <v>SURVEY ADJUST UNIT 2 -- 85.150%</v>
      </c>
      <c r="B44" s="45">
        <f>IF(YEAR(A3)&amp;MONTH(A3)="20142",ROUND('CONSUMPTION RATIOS'!$C$32*'MITCHELL LOW SULFUR'!B37,2),ROUND('CONSUMPTION RATIOS'!$C$12*'MITCHELL LOW SULFUR'!B37,2))</f>
        <v>19616.01</v>
      </c>
      <c r="C44" s="45">
        <f>IF(YEAR(A3)&amp;MONTH(A3)="20142",ROUND('CONSUMPTION RATIOS'!$C$32*'MITCHELL LOW SULFUR'!C37,2)+F44,ROUND('CONSUMPTION RATIOS'!$C$12*'MITCHELL LOW SULFUR'!C37,2)+F44)</f>
        <v>1576044.1800000002</v>
      </c>
      <c r="D44" s="5">
        <f t="shared" si="1"/>
        <v>80.3448</v>
      </c>
      <c r="E44" s="4"/>
      <c r="F44">
        <v>29.57</v>
      </c>
    </row>
    <row r="45" spans="1:9" ht="12.75">
      <c r="A45" t="s">
        <v>12</v>
      </c>
      <c r="B45" s="31">
        <f>ROUND('CONSUMPTION RATIOS'!$C$11*'MITCHELL LOW SULFUR'!B41,2)+ROUND('CONSUMPTION RATIOS'!$C$12*'MITCHELL LOW SULFUR'!B42,2)</f>
        <v>0</v>
      </c>
      <c r="C45" s="31">
        <f>ROUND('CONSUMPTION RATIOS'!$C$11*'MITCHELL LOW SULFUR'!C41,2)+ROUND('CONSUMPTION RATIOS'!$C$12*'MITCHELL LOW SULFUR'!C42,2)</f>
        <v>0</v>
      </c>
      <c r="D45" s="18">
        <f t="shared" si="1"/>
        <v>0</v>
      </c>
      <c r="E45" s="4"/>
      <c r="I45" s="8"/>
    </row>
    <row r="46" spans="1:9" ht="12.75">
      <c r="A46" t="s">
        <v>10</v>
      </c>
      <c r="B46" s="17">
        <f>SUM(B40:B45)</f>
        <v>98074.87</v>
      </c>
      <c r="C46" s="17">
        <f>SUM(C40:C45)</f>
        <v>7879675.780000001</v>
      </c>
      <c r="D46" s="16">
        <f>ROUND(IF(C46&gt;0,C46/B46,0),4)</f>
        <v>80.3435</v>
      </c>
      <c r="E46" s="4"/>
      <c r="I46" s="8"/>
    </row>
    <row r="47" spans="2:5" ht="12.75">
      <c r="B47" s="11"/>
      <c r="D47" s="6"/>
      <c r="E47" s="4"/>
    </row>
    <row r="48" spans="1:5" ht="13.5" thickBot="1">
      <c r="A48" t="s">
        <v>11</v>
      </c>
      <c r="B48" s="19">
        <f>ROUND('MITCHELL LOW SULFUR'!B21*0.5,2)</f>
        <v>96173.1</v>
      </c>
      <c r="C48" s="19">
        <f>ROUND('MITCHELL LOW SULFUR'!C21*0.5,2)</f>
        <v>7726868.61</v>
      </c>
      <c r="D48" s="20">
        <f>ROUND(IF(C48&gt;0,C48/B48,0),4)</f>
        <v>80.3433</v>
      </c>
      <c r="E48" s="246"/>
    </row>
    <row r="49" spans="4:8" ht="13.5" thickTop="1">
      <c r="D49" s="6"/>
      <c r="H49" s="8"/>
    </row>
    <row r="50" ht="12.75">
      <c r="D50" s="6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9" ht="12.75">
      <c r="B55"/>
      <c r="C55"/>
      <c r="D55"/>
      <c r="I55" s="8"/>
    </row>
    <row r="56" spans="2:4" ht="12.75">
      <c r="B56"/>
      <c r="C56"/>
      <c r="D56"/>
    </row>
    <row r="57" spans="2:4" ht="12.75">
      <c r="B57"/>
      <c r="C57"/>
      <c r="D57"/>
    </row>
    <row r="58" spans="2:7" ht="12.75">
      <c r="B58"/>
      <c r="C58"/>
      <c r="D58"/>
      <c r="G58" s="8"/>
    </row>
    <row r="59" spans="2:4" ht="12.75">
      <c r="B59"/>
      <c r="C59"/>
      <c r="D59"/>
    </row>
    <row r="60" spans="2:8" ht="12.75">
      <c r="B60"/>
      <c r="C60"/>
      <c r="D60"/>
      <c r="H60" s="8"/>
    </row>
    <row r="61" spans="2:4" ht="12.75">
      <c r="B61"/>
      <c r="C61"/>
      <c r="D61"/>
    </row>
    <row r="62" spans="2:7" ht="12.75">
      <c r="B62"/>
      <c r="C62"/>
      <c r="D62"/>
      <c r="G62" s="8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ht="12.75">
      <c r="D74" s="6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 s="105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  <row r="422" ht="12.75">
      <c r="D422" s="6"/>
    </row>
    <row r="423" ht="12.75">
      <c r="D423" s="6"/>
    </row>
    <row r="424" ht="12.75">
      <c r="D424" s="6"/>
    </row>
    <row r="425" ht="12.75">
      <c r="D425" s="6"/>
    </row>
    <row r="426" ht="12.75">
      <c r="D426" s="6"/>
    </row>
    <row r="427" ht="12.75">
      <c r="D427" s="6"/>
    </row>
    <row r="428" ht="12.75">
      <c r="D428" s="6"/>
    </row>
    <row r="429" ht="12.75">
      <c r="D429" s="6"/>
    </row>
    <row r="430" ht="12.75">
      <c r="D430" s="6"/>
    </row>
    <row r="431" ht="12.75">
      <c r="D431" s="6"/>
    </row>
    <row r="432" ht="12.75">
      <c r="D432" s="6"/>
    </row>
    <row r="433" ht="12.75">
      <c r="D433" s="6"/>
    </row>
    <row r="434" ht="12.75">
      <c r="D434" s="6"/>
    </row>
    <row r="435" ht="12.75">
      <c r="D435" s="6"/>
    </row>
    <row r="436" ht="12.75">
      <c r="D436" s="6"/>
    </row>
    <row r="437" ht="12.75">
      <c r="D437" s="6"/>
    </row>
    <row r="438" ht="12.75">
      <c r="D438" s="6"/>
    </row>
    <row r="439" ht="12.75">
      <c r="D439" s="6"/>
    </row>
    <row r="440" ht="12.75">
      <c r="D440" s="6"/>
    </row>
    <row r="441" ht="12.75">
      <c r="D441" s="6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49" ht="12.75">
      <c r="D449" s="6"/>
    </row>
    <row r="450" ht="12.75">
      <c r="D450" s="6"/>
    </row>
    <row r="451" ht="12.75">
      <c r="D451" s="6"/>
    </row>
    <row r="452" ht="12.75">
      <c r="D452" s="6"/>
    </row>
    <row r="453" ht="12.75">
      <c r="D453" s="6"/>
    </row>
    <row r="454" ht="12.75">
      <c r="D454" s="6"/>
    </row>
    <row r="455" ht="12.75">
      <c r="D455" s="6"/>
    </row>
    <row r="456" ht="12.75">
      <c r="D456" s="6"/>
    </row>
    <row r="457" ht="12.75">
      <c r="D457" s="6"/>
    </row>
    <row r="458" ht="12.75">
      <c r="D458" s="6"/>
    </row>
    <row r="459" ht="12.75">
      <c r="D459" s="6"/>
    </row>
    <row r="460" ht="12.75">
      <c r="D460" s="6"/>
    </row>
    <row r="461" ht="12.75">
      <c r="D461" s="6"/>
    </row>
    <row r="462" ht="12.75">
      <c r="D462" s="6"/>
    </row>
    <row r="463" ht="12.75">
      <c r="D463" s="6"/>
    </row>
    <row r="464" ht="12.75">
      <c r="D464" s="6"/>
    </row>
    <row r="465" ht="12.75">
      <c r="D465" s="6"/>
    </row>
    <row r="466" ht="12.75">
      <c r="D466" s="6"/>
    </row>
    <row r="467" ht="12.75">
      <c r="D467" s="6"/>
    </row>
    <row r="468" ht="12.75">
      <c r="D468" s="6"/>
    </row>
    <row r="469" ht="12.75">
      <c r="D469" s="6"/>
    </row>
    <row r="470" ht="12.75">
      <c r="D470" s="6"/>
    </row>
  </sheetData>
  <sheetProtection/>
  <mergeCells count="6">
    <mergeCell ref="A1:E1"/>
    <mergeCell ref="A2:E2"/>
    <mergeCell ref="A3:E3"/>
    <mergeCell ref="A26:E26"/>
    <mergeCell ref="A27:E27"/>
    <mergeCell ref="A28:E28"/>
  </mergeCells>
  <printOptions/>
  <pageMargins left="0.5" right="0.5" top="0.5" bottom="0.5" header="0.3" footer="0.3"/>
  <pageSetup fitToHeight="1" fitToWidth="1" horizontalDpi="600" verticalDpi="600" orientation="portrait" r:id="rId1"/>
  <headerFooter>
    <oddFooter>&amp;L&amp;D&amp;T&amp;C&amp;Z&amp;F&amp;A&amp;RBE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N74"/>
  <sheetViews>
    <sheetView showGridLines="0" zoomScalePageLayoutView="0" workbookViewId="0" topLeftCell="A1">
      <selection activeCell="G31" sqref="G31"/>
    </sheetView>
  </sheetViews>
  <sheetFormatPr defaultColWidth="15.7109375" defaultRowHeight="12.75"/>
  <cols>
    <col min="1" max="1" width="16.140625" style="107" customWidth="1"/>
    <col min="2" max="2" width="8.57421875" style="107" customWidth="1"/>
    <col min="3" max="3" width="6.7109375" style="107" customWidth="1"/>
    <col min="4" max="4" width="13.421875" style="107" bestFit="1" customWidth="1"/>
    <col min="5" max="5" width="5.7109375" style="107" customWidth="1"/>
    <col min="6" max="6" width="14.7109375" style="107" customWidth="1"/>
    <col min="7" max="7" width="16.8515625" style="107" customWidth="1"/>
    <col min="8" max="8" width="13.7109375" style="107" customWidth="1"/>
    <col min="9" max="9" width="11.8515625" style="107" customWidth="1"/>
    <col min="10" max="10" width="16.57421875" style="111" customWidth="1"/>
    <col min="11" max="11" width="14.140625" style="107" customWidth="1"/>
    <col min="12" max="16384" width="15.7109375" style="107" customWidth="1"/>
  </cols>
  <sheetData>
    <row r="1" spans="1:11" ht="12.75">
      <c r="A1" s="306" t="e">
        <f>#REF!</f>
        <v>#REF!</v>
      </c>
      <c r="B1" s="306"/>
      <c r="C1" s="306"/>
      <c r="D1" s="306"/>
      <c r="E1" s="306"/>
      <c r="F1" s="306"/>
      <c r="G1" s="306"/>
      <c r="H1" s="306"/>
      <c r="I1" s="306"/>
      <c r="J1" s="306"/>
      <c r="K1" s="98"/>
    </row>
    <row r="2" spans="1:11" ht="12.75">
      <c r="A2" s="306" t="s">
        <v>135</v>
      </c>
      <c r="B2" s="306"/>
      <c r="C2" s="306"/>
      <c r="D2" s="306"/>
      <c r="E2" s="306"/>
      <c r="F2" s="306"/>
      <c r="G2" s="306"/>
      <c r="H2" s="306"/>
      <c r="I2" s="306"/>
      <c r="J2" s="306"/>
      <c r="K2" s="98"/>
    </row>
    <row r="3" spans="1:11" ht="12.75">
      <c r="A3" s="310" t="e">
        <f>#REF!</f>
        <v>#REF!</v>
      </c>
      <c r="B3" s="310"/>
      <c r="C3" s="310"/>
      <c r="D3" s="310"/>
      <c r="E3" s="310"/>
      <c r="F3" s="310"/>
      <c r="G3" s="310"/>
      <c r="H3" s="310"/>
      <c r="I3" s="310"/>
      <c r="J3" s="310"/>
      <c r="K3" s="98"/>
    </row>
    <row r="4" spans="1:11" ht="13.5" thickBot="1">
      <c r="A4" s="1"/>
      <c r="B4" s="98"/>
      <c r="C4" s="98"/>
      <c r="D4" s="98"/>
      <c r="E4" s="98"/>
      <c r="F4" s="98"/>
      <c r="G4" s="98"/>
      <c r="H4" s="98"/>
      <c r="I4" s="98"/>
      <c r="J4" s="108"/>
      <c r="K4" s="98"/>
    </row>
    <row r="5" spans="1:11" ht="13.5" thickBot="1">
      <c r="A5" s="109" t="s">
        <v>136</v>
      </c>
      <c r="B5" s="98"/>
      <c r="C5" s="98"/>
      <c r="D5" s="98"/>
      <c r="E5" s="98"/>
      <c r="F5" s="98"/>
      <c r="G5" s="98"/>
      <c r="H5" s="98"/>
      <c r="I5" s="98"/>
      <c r="J5" s="108"/>
      <c r="K5" s="98"/>
    </row>
    <row r="6" ht="12.75">
      <c r="G6" s="110"/>
    </row>
    <row r="7" spans="1:7" ht="12.75">
      <c r="A7" s="107" t="s">
        <v>137</v>
      </c>
      <c r="G7" s="112" t="e">
        <f>+#REF!</f>
        <v>#REF!</v>
      </c>
    </row>
    <row r="8" ht="12.75">
      <c r="G8" s="110"/>
    </row>
    <row r="9" spans="1:7" ht="12.75">
      <c r="A9" s="107" t="s">
        <v>138</v>
      </c>
      <c r="G9" s="113" t="e">
        <f>+#REF!</f>
        <v>#REF!</v>
      </c>
    </row>
    <row r="10" ht="12.75">
      <c r="G10" s="110"/>
    </row>
    <row r="11" spans="1:7" ht="12.75">
      <c r="A11" s="107" t="s">
        <v>139</v>
      </c>
      <c r="G11" s="112">
        <f>INPUTS!B56</f>
        <v>11684</v>
      </c>
    </row>
    <row r="12" ht="12.75">
      <c r="G12" s="110"/>
    </row>
    <row r="13" spans="1:7" ht="12.75">
      <c r="A13" s="107" t="s">
        <v>140</v>
      </c>
      <c r="G13" s="236">
        <f>'[5]INPUT'!$E$29+'[6]INPUT'!$E$36</f>
        <v>614</v>
      </c>
    </row>
    <row r="14" ht="12.75">
      <c r="G14" s="110"/>
    </row>
    <row r="15" spans="1:7" ht="12.75">
      <c r="A15" s="107" t="s">
        <v>141</v>
      </c>
      <c r="G15" s="239">
        <v>0</v>
      </c>
    </row>
    <row r="16" ht="12.75">
      <c r="G16" s="110"/>
    </row>
    <row r="17" spans="1:7" ht="12.75">
      <c r="A17" s="107" t="s">
        <v>142</v>
      </c>
      <c r="G17" s="112">
        <f>+G13+G15</f>
        <v>614</v>
      </c>
    </row>
    <row r="18" ht="12.75"/>
    <row r="19" spans="1:8" ht="12.75">
      <c r="A19" s="107" t="s">
        <v>143</v>
      </c>
      <c r="G19" s="237">
        <f>'[4]CV 4'!$D$11</f>
        <v>3.0673</v>
      </c>
      <c r="H19"/>
    </row>
    <row r="20" spans="7:14" ht="12.75">
      <c r="G20" s="114"/>
      <c r="H20" s="114"/>
      <c r="I20" s="114"/>
      <c r="J20" s="115"/>
      <c r="K20" s="114"/>
      <c r="L20" s="114"/>
      <c r="M20" s="114"/>
      <c r="N20" s="114"/>
    </row>
    <row r="21" spans="1:14" ht="12.75">
      <c r="A21" s="107" t="s">
        <v>144</v>
      </c>
      <c r="G21" s="116">
        <f>INPUTS!B57</f>
        <v>136900</v>
      </c>
      <c r="H21" s="114"/>
      <c r="I21" s="114"/>
      <c r="J21" s="115"/>
      <c r="K21" s="114"/>
      <c r="L21" s="114"/>
      <c r="M21" s="114"/>
      <c r="N21" s="114"/>
    </row>
    <row r="22" spans="8:11" ht="12.75">
      <c r="H22" s="98"/>
      <c r="I22" s="98"/>
      <c r="J22" s="108"/>
      <c r="K22" s="98"/>
    </row>
    <row r="23" spans="1:11" ht="12.75">
      <c r="A23" s="107" t="s">
        <v>145</v>
      </c>
      <c r="G23" s="117">
        <f>INPUTS!B53</f>
        <v>744</v>
      </c>
      <c r="H23" s="98"/>
      <c r="I23" s="98"/>
      <c r="J23" s="108"/>
      <c r="K23" s="98"/>
    </row>
    <row r="24" spans="8:11" ht="12.75">
      <c r="H24" s="98"/>
      <c r="I24" s="98"/>
      <c r="J24" s="108"/>
      <c r="K24" s="98"/>
    </row>
    <row r="25" spans="1:11" ht="12.75">
      <c r="A25" s="107" t="s">
        <v>146</v>
      </c>
      <c r="H25" s="98"/>
      <c r="I25" s="98"/>
      <c r="J25" s="108"/>
      <c r="K25" s="98"/>
    </row>
    <row r="26" spans="1:11" ht="12.75">
      <c r="A26" s="118" t="s">
        <v>147</v>
      </c>
      <c r="B26" s="313" t="s">
        <v>1</v>
      </c>
      <c r="C26" s="313"/>
      <c r="D26" s="313"/>
      <c r="E26" s="118"/>
      <c r="F26" s="118"/>
      <c r="G26" s="118" t="s">
        <v>148</v>
      </c>
      <c r="H26" s="98"/>
      <c r="I26" s="98"/>
      <c r="J26" s="108"/>
      <c r="K26" s="98"/>
    </row>
    <row r="27" spans="1:11" ht="12.75">
      <c r="A27" s="119">
        <v>5010000</v>
      </c>
      <c r="B27" s="120" t="s">
        <v>149</v>
      </c>
      <c r="C27" s="120" t="s">
        <v>150</v>
      </c>
      <c r="D27" s="120"/>
      <c r="E27" s="120"/>
      <c r="F27" s="120"/>
      <c r="G27" s="238">
        <v>6269.62</v>
      </c>
      <c r="H27" s="98"/>
      <c r="I27" s="98"/>
      <c r="J27" s="108"/>
      <c r="K27" s="98"/>
    </row>
    <row r="28" spans="1:11" ht="12.75">
      <c r="A28" s="119">
        <v>5010003</v>
      </c>
      <c r="B28" s="120" t="s">
        <v>149</v>
      </c>
      <c r="C28" s="120" t="s">
        <v>151</v>
      </c>
      <c r="D28" s="120"/>
      <c r="G28" s="238">
        <v>-2891.46</v>
      </c>
      <c r="H28" s="98"/>
      <c r="I28" s="98"/>
      <c r="J28" s="108"/>
      <c r="K28" s="98"/>
    </row>
    <row r="29" spans="1:11" ht="12.75">
      <c r="A29" s="119">
        <v>5010012</v>
      </c>
      <c r="B29" s="120" t="s">
        <v>152</v>
      </c>
      <c r="C29" s="120" t="s">
        <v>153</v>
      </c>
      <c r="D29" s="120"/>
      <c r="E29" s="120"/>
      <c r="F29" s="120"/>
      <c r="G29" s="238">
        <v>0</v>
      </c>
      <c r="H29" s="98"/>
      <c r="I29" s="98"/>
      <c r="J29" s="108"/>
      <c r="K29" s="98"/>
    </row>
    <row r="30" spans="1:11" ht="12.75">
      <c r="A30" s="119">
        <v>5010000</v>
      </c>
      <c r="B30" s="120" t="s">
        <v>154</v>
      </c>
      <c r="C30" s="120" t="s">
        <v>150</v>
      </c>
      <c r="D30" s="120"/>
      <c r="E30" s="120"/>
      <c r="F30" s="120"/>
      <c r="G30" s="238">
        <v>109305.96</v>
      </c>
      <c r="H30" s="98"/>
      <c r="I30" s="98"/>
      <c r="J30" s="108"/>
      <c r="K30" s="98"/>
    </row>
    <row r="31" spans="1:11" ht="12.75">
      <c r="A31" s="119">
        <v>5010003</v>
      </c>
      <c r="B31" s="120" t="s">
        <v>154</v>
      </c>
      <c r="C31" s="120" t="s">
        <v>151</v>
      </c>
      <c r="D31" s="120"/>
      <c r="E31" s="120"/>
      <c r="F31" s="120"/>
      <c r="G31" s="238">
        <v>-157567.64</v>
      </c>
      <c r="H31" s="98"/>
      <c r="I31" s="98"/>
      <c r="J31" s="108"/>
      <c r="K31" s="98"/>
    </row>
    <row r="32" spans="1:11" ht="12.75">
      <c r="A32" s="119">
        <v>5010012</v>
      </c>
      <c r="B32" s="120" t="s">
        <v>155</v>
      </c>
      <c r="C32" s="120" t="s">
        <v>153</v>
      </c>
      <c r="D32" s="120"/>
      <c r="E32" s="120"/>
      <c r="F32" s="120"/>
      <c r="G32" s="238">
        <v>0</v>
      </c>
      <c r="H32" s="98"/>
      <c r="I32" s="98"/>
      <c r="J32" s="108"/>
      <c r="K32" s="98"/>
    </row>
    <row r="33" spans="1:11" ht="13.5" thickBot="1">
      <c r="A33" s="119"/>
      <c r="B33" s="120" t="s">
        <v>3</v>
      </c>
      <c r="C33" s="120"/>
      <c r="D33" s="120"/>
      <c r="E33" s="120"/>
      <c r="F33" s="120"/>
      <c r="G33" s="121">
        <f>SUM(G27:G32)</f>
        <v>-44883.520000000004</v>
      </c>
      <c r="H33" s="98"/>
      <c r="I33" s="98"/>
      <c r="J33" s="108"/>
      <c r="K33" s="98"/>
    </row>
    <row r="34" spans="1:7" ht="14.25" thickBot="1" thickTop="1">
      <c r="A34" s="119"/>
      <c r="B34" s="120"/>
      <c r="C34" s="120"/>
      <c r="D34" s="120"/>
      <c r="E34" s="120"/>
      <c r="F34" s="120"/>
      <c r="G34" s="122"/>
    </row>
    <row r="35" spans="1:5" ht="13.5" thickBot="1">
      <c r="A35" s="123" t="s">
        <v>156</v>
      </c>
      <c r="B35" s="124" t="s">
        <v>157</v>
      </c>
      <c r="C35" s="125"/>
      <c r="D35" s="126"/>
      <c r="E35" s="127"/>
    </row>
    <row r="37" spans="1:8" ht="12.75">
      <c r="A37" s="107" t="s">
        <v>158</v>
      </c>
      <c r="B37" s="110">
        <f>+G17</f>
        <v>614</v>
      </c>
      <c r="C37" s="119" t="s">
        <v>159</v>
      </c>
      <c r="D37" s="314" t="s">
        <v>160</v>
      </c>
      <c r="E37" s="314"/>
      <c r="F37" s="128">
        <f>+G19</f>
        <v>3.0673</v>
      </c>
      <c r="G37" s="119" t="s">
        <v>161</v>
      </c>
      <c r="H37" s="117">
        <f>ROUND(B37*F37,2)</f>
        <v>1883.32</v>
      </c>
    </row>
    <row r="38" ht="13.5" thickBot="1">
      <c r="F38" s="117"/>
    </row>
    <row r="39" spans="1:7" ht="12.75">
      <c r="A39" s="107" t="s">
        <v>162</v>
      </c>
      <c r="B39" s="129" t="s">
        <v>163</v>
      </c>
      <c r="C39" s="130"/>
      <c r="D39" s="130"/>
      <c r="E39" s="130"/>
      <c r="F39" s="131">
        <f>+H37</f>
        <v>1883.32</v>
      </c>
      <c r="G39" s="132"/>
    </row>
    <row r="40" spans="2:7" ht="13.5" thickBot="1">
      <c r="B40" s="133"/>
      <c r="C40" s="134" t="s">
        <v>164</v>
      </c>
      <c r="D40" s="134"/>
      <c r="E40" s="134"/>
      <c r="F40" s="134"/>
      <c r="G40" s="135">
        <f>+H37</f>
        <v>1883.32</v>
      </c>
    </row>
    <row r="42" ht="13.5" thickBot="1"/>
    <row r="43" spans="1:3" ht="13.5" thickBot="1">
      <c r="A43" s="123" t="s">
        <v>165</v>
      </c>
      <c r="B43" s="124"/>
      <c r="C43" s="125"/>
    </row>
    <row r="45" spans="1:11" ht="12.75">
      <c r="A45" s="120" t="s">
        <v>166</v>
      </c>
      <c r="B45" s="120"/>
      <c r="C45" s="120"/>
      <c r="D45" s="120"/>
      <c r="E45" s="120"/>
      <c r="F45" s="120"/>
      <c r="G45" s="120"/>
      <c r="H45" s="120"/>
      <c r="I45" s="120"/>
      <c r="J45" s="36">
        <f>INPUTS!B55</f>
        <v>820</v>
      </c>
      <c r="K45" s="136"/>
    </row>
    <row r="46" spans="1:11" ht="12.75">
      <c r="A46" s="120" t="s">
        <v>167</v>
      </c>
      <c r="B46" s="120"/>
      <c r="C46" s="120"/>
      <c r="D46" s="120"/>
      <c r="E46" s="120"/>
      <c r="F46" s="120"/>
      <c r="G46" s="120"/>
      <c r="H46" s="120"/>
      <c r="I46" s="120"/>
      <c r="J46" s="137">
        <f>+G11</f>
        <v>11684</v>
      </c>
      <c r="K46" s="112"/>
    </row>
    <row r="47" spans="1:11" ht="12.75">
      <c r="A47" s="120" t="s">
        <v>168</v>
      </c>
      <c r="B47" s="120"/>
      <c r="C47" s="120"/>
      <c r="D47" s="120"/>
      <c r="E47" s="120"/>
      <c r="F47" s="120"/>
      <c r="G47" s="120"/>
      <c r="H47" s="120"/>
      <c r="I47" s="120"/>
      <c r="J47" s="138"/>
      <c r="K47" s="120"/>
    </row>
    <row r="48" spans="1:11" ht="12.75">
      <c r="A48" s="139" t="s">
        <v>169</v>
      </c>
      <c r="B48" s="120"/>
      <c r="C48" s="120"/>
      <c r="D48" s="120"/>
      <c r="E48" s="120"/>
      <c r="F48" s="120"/>
      <c r="G48" s="120"/>
      <c r="H48" s="120"/>
      <c r="I48" s="120"/>
      <c r="J48" s="138" t="e">
        <f>+G9</f>
        <v>#REF!</v>
      </c>
      <c r="K48" s="113"/>
    </row>
    <row r="49" spans="1:11" ht="12.75">
      <c r="A49" s="139" t="s">
        <v>170</v>
      </c>
      <c r="B49" s="120"/>
      <c r="C49" s="120"/>
      <c r="D49" s="120"/>
      <c r="E49" s="120"/>
      <c r="F49" s="120"/>
      <c r="G49" s="120"/>
      <c r="H49" s="112"/>
      <c r="I49" s="120"/>
      <c r="J49" s="140"/>
      <c r="K49" s="120"/>
    </row>
    <row r="50" spans="1:11" ht="12.75">
      <c r="A50" s="139" t="s">
        <v>171</v>
      </c>
      <c r="B50" s="120"/>
      <c r="C50" s="120"/>
      <c r="D50" s="141">
        <f>+G33</f>
        <v>-44883.520000000004</v>
      </c>
      <c r="E50" s="120" t="s">
        <v>172</v>
      </c>
      <c r="F50" s="120"/>
      <c r="G50" s="120"/>
      <c r="H50" s="112" t="e">
        <f>+G7</f>
        <v>#REF!</v>
      </c>
      <c r="I50" s="120" t="s">
        <v>161</v>
      </c>
      <c r="J50" s="138" t="e">
        <f>IF(G7&lt;&gt;0,ROUND(G33/G7,4),0)</f>
        <v>#REF!</v>
      </c>
      <c r="K50" s="120"/>
    </row>
    <row r="51" spans="1:11" ht="12.75">
      <c r="A51" s="139" t="s">
        <v>173</v>
      </c>
      <c r="B51" s="120"/>
      <c r="C51" s="120"/>
      <c r="D51" s="141"/>
      <c r="E51" s="120"/>
      <c r="F51" s="120"/>
      <c r="G51" s="120"/>
      <c r="H51" s="112"/>
      <c r="I51" s="120"/>
      <c r="J51" s="138" t="e">
        <f>+J48+J50</f>
        <v>#REF!</v>
      </c>
      <c r="K51" s="120"/>
    </row>
    <row r="52" spans="1:11" ht="12.75">
      <c r="A52" s="142" t="s">
        <v>174</v>
      </c>
      <c r="B52" s="143"/>
      <c r="C52" s="143"/>
      <c r="D52" s="143"/>
      <c r="E52" s="143"/>
      <c r="F52" s="143"/>
      <c r="G52" s="143"/>
      <c r="H52" s="143"/>
      <c r="I52" s="143"/>
      <c r="J52" s="144">
        <f>+G23</f>
        <v>744</v>
      </c>
      <c r="K52" s="145"/>
    </row>
    <row r="53" spans="1:11" ht="12.75">
      <c r="A53" s="119"/>
      <c r="B53" s="119"/>
      <c r="C53" s="119"/>
      <c r="D53" s="119"/>
      <c r="E53" s="119"/>
      <c r="F53" s="119"/>
      <c r="G53" s="119"/>
      <c r="H53" s="119"/>
      <c r="I53" s="119"/>
      <c r="K53" s="119"/>
    </row>
    <row r="54" spans="1:11" ht="12.75">
      <c r="A54" s="146" t="s">
        <v>175</v>
      </c>
      <c r="E54" s="119"/>
      <c r="F54" s="147" t="e">
        <f>IF((G11&lt;&gt;0),(ROUND((((J45*1000000)/(J46*2000))*J51),2)),0)</f>
        <v>#REF!</v>
      </c>
      <c r="G54" s="119"/>
      <c r="H54" s="119"/>
      <c r="I54" s="119"/>
      <c r="K54" s="119"/>
    </row>
    <row r="55" spans="1:11" ht="12.75">
      <c r="A55" s="146" t="s">
        <v>176</v>
      </c>
      <c r="E55" s="119"/>
      <c r="F55" s="148" t="e">
        <f>ROUND((J52*F54),2)</f>
        <v>#REF!</v>
      </c>
      <c r="G55" s="146" t="s">
        <v>177</v>
      </c>
      <c r="H55" s="119"/>
      <c r="I55" s="119"/>
      <c r="K55" s="119"/>
    </row>
    <row r="56" spans="1:11" ht="12.75">
      <c r="A56" s="119"/>
      <c r="B56" s="119"/>
      <c r="C56" s="119"/>
      <c r="D56" s="119"/>
      <c r="E56" s="119"/>
      <c r="F56" s="119"/>
      <c r="G56" s="119"/>
      <c r="H56" s="119"/>
      <c r="I56" s="119"/>
      <c r="K56" s="119"/>
    </row>
    <row r="57" spans="1:11" ht="12.75">
      <c r="A57" s="146" t="s">
        <v>178</v>
      </c>
      <c r="C57" s="119"/>
      <c r="D57" s="119"/>
      <c r="E57" s="119"/>
      <c r="F57" s="146" t="s">
        <v>179</v>
      </c>
      <c r="G57" s="119"/>
      <c r="I57" s="119"/>
      <c r="J57" s="144" t="e">
        <f>ROUND(F55/J51,2)</f>
        <v>#REF!</v>
      </c>
      <c r="K57" s="119"/>
    </row>
    <row r="58" spans="1:11" ht="13.5" thickBot="1">
      <c r="A58" s="119"/>
      <c r="B58" s="119"/>
      <c r="C58" s="119"/>
      <c r="D58" s="119"/>
      <c r="E58" s="119"/>
      <c r="F58" s="119"/>
      <c r="G58" s="119"/>
      <c r="H58" s="119"/>
      <c r="I58" s="119"/>
      <c r="K58" s="119"/>
    </row>
    <row r="59" spans="1:11" ht="13.5" thickBot="1">
      <c r="A59" s="149" t="s">
        <v>180</v>
      </c>
      <c r="B59" s="150"/>
      <c r="C59" s="150"/>
      <c r="D59" s="150"/>
      <c r="E59" s="151"/>
      <c r="F59" s="119"/>
      <c r="G59" s="119"/>
      <c r="H59" s="119"/>
      <c r="I59" s="119"/>
      <c r="K59" s="119"/>
    </row>
    <row r="60" spans="1:12" ht="12.75">
      <c r="A60" s="119"/>
      <c r="B60" s="143"/>
      <c r="C60" s="143"/>
      <c r="D60" s="143"/>
      <c r="E60" s="143"/>
      <c r="F60" s="152" t="s">
        <v>181</v>
      </c>
      <c r="G60" s="315" t="s">
        <v>182</v>
      </c>
      <c r="H60" s="315"/>
      <c r="I60" s="143" t="s">
        <v>183</v>
      </c>
      <c r="J60" s="153" t="s">
        <v>184</v>
      </c>
      <c r="K60" s="119"/>
      <c r="L60" s="98"/>
    </row>
    <row r="61" spans="1:12" ht="12.75">
      <c r="A61" s="146" t="s">
        <v>185</v>
      </c>
      <c r="B61" s="142"/>
      <c r="C61" s="143"/>
      <c r="D61" s="143"/>
      <c r="E61" s="143"/>
      <c r="F61" s="154" t="e">
        <f>+J48</f>
        <v>#REF!</v>
      </c>
      <c r="G61" s="143"/>
      <c r="H61" s="155" t="e">
        <f>+J57</f>
        <v>#REF!</v>
      </c>
      <c r="I61" s="143"/>
      <c r="J61" s="156" t="e">
        <f>((ROUND(F55,2))-J62)-J63</f>
        <v>#REF!</v>
      </c>
      <c r="K61" s="157"/>
      <c r="L61" s="98"/>
    </row>
    <row r="62" spans="1:12" ht="12.75">
      <c r="A62" s="146" t="s">
        <v>186</v>
      </c>
      <c r="B62" s="142"/>
      <c r="C62" s="143"/>
      <c r="D62" s="143"/>
      <c r="E62" s="143"/>
      <c r="F62" s="154" t="e">
        <f>IF(H50&lt;&gt;0,ROUND(SUM(G27:G29)/H50,4),0)</f>
        <v>#REF!</v>
      </c>
      <c r="G62" s="143"/>
      <c r="H62" s="155" t="e">
        <f>+J57</f>
        <v>#REF!</v>
      </c>
      <c r="I62" s="143"/>
      <c r="J62" s="156" t="e">
        <f>ROUND((F62*J57),2)</f>
        <v>#REF!</v>
      </c>
      <c r="K62" s="119"/>
      <c r="L62" s="98"/>
    </row>
    <row r="63" spans="1:12" ht="12.75">
      <c r="A63" s="146" t="s">
        <v>187</v>
      </c>
      <c r="B63" s="142"/>
      <c r="C63" s="143"/>
      <c r="D63" s="143"/>
      <c r="E63" s="143"/>
      <c r="F63" s="154" t="e">
        <f>IF(H50&lt;&gt;0,ROUND((SUM(G30:G32))/H50,4),0)</f>
        <v>#REF!</v>
      </c>
      <c r="G63" s="143"/>
      <c r="H63" s="155" t="e">
        <f>+J57</f>
        <v>#REF!</v>
      </c>
      <c r="I63" s="143"/>
      <c r="J63" s="158" t="e">
        <f>ROUND((F63*J57),2)</f>
        <v>#REF!</v>
      </c>
      <c r="K63" s="119"/>
      <c r="L63" s="98"/>
    </row>
    <row r="64" spans="1:12" ht="13.5" thickBot="1">
      <c r="A64" s="146" t="s">
        <v>188</v>
      </c>
      <c r="B64" s="142"/>
      <c r="C64" s="143"/>
      <c r="D64" s="143"/>
      <c r="E64" s="143"/>
      <c r="F64" s="159" t="e">
        <f>SUM(F61:F63)</f>
        <v>#REF!</v>
      </c>
      <c r="G64" s="143"/>
      <c r="H64" s="143"/>
      <c r="I64" s="143"/>
      <c r="J64" s="160" t="e">
        <f>SUM(J61:J63)</f>
        <v>#REF!</v>
      </c>
      <c r="K64" s="161" t="e">
        <f>+F55-J64</f>
        <v>#REF!</v>
      </c>
      <c r="L64" s="98"/>
    </row>
    <row r="65" spans="1:11" ht="15.75" customHeight="1" thickTop="1">
      <c r="A65" s="119"/>
      <c r="B65" s="143"/>
      <c r="C65" s="143"/>
      <c r="D65" s="143"/>
      <c r="E65" s="143"/>
      <c r="F65" s="143"/>
      <c r="G65" s="143"/>
      <c r="H65" s="143"/>
      <c r="I65" s="143"/>
      <c r="J65" s="140"/>
      <c r="K65" s="119"/>
    </row>
    <row r="66" spans="1:11" ht="13.5" thickBot="1">
      <c r="A66" s="119"/>
      <c r="B66" s="119"/>
      <c r="C66" s="119"/>
      <c r="D66" s="119"/>
      <c r="E66" s="119"/>
      <c r="F66" s="119"/>
      <c r="G66" s="119"/>
      <c r="H66" s="119"/>
      <c r="I66" s="119"/>
      <c r="K66" s="119"/>
    </row>
    <row r="67" spans="1:11" ht="13.5" customHeight="1">
      <c r="A67" s="107" t="s">
        <v>189</v>
      </c>
      <c r="B67" s="162" t="s">
        <v>190</v>
      </c>
      <c r="C67" s="163"/>
      <c r="D67" s="163"/>
      <c r="E67" s="163"/>
      <c r="F67" s="164" t="e">
        <f>+J62</f>
        <v>#REF!</v>
      </c>
      <c r="G67" s="165"/>
      <c r="H67" s="119"/>
      <c r="I67" s="119"/>
      <c r="K67" s="119"/>
    </row>
    <row r="68" spans="2:11" ht="12.75">
      <c r="B68" s="166" t="s">
        <v>191</v>
      </c>
      <c r="C68" s="167"/>
      <c r="D68" s="167"/>
      <c r="E68" s="167"/>
      <c r="F68" s="168" t="e">
        <f>+J63</f>
        <v>#REF!</v>
      </c>
      <c r="G68" s="169"/>
      <c r="H68" s="119"/>
      <c r="I68" s="119"/>
      <c r="K68" s="119"/>
    </row>
    <row r="69" spans="2:11" ht="12.75">
      <c r="B69" s="166" t="s">
        <v>192</v>
      </c>
      <c r="C69" s="167"/>
      <c r="D69" s="167"/>
      <c r="E69" s="167"/>
      <c r="F69" s="168" t="e">
        <f>+J61</f>
        <v>#REF!</v>
      </c>
      <c r="G69" s="169"/>
      <c r="H69" s="119"/>
      <c r="I69" s="119"/>
      <c r="K69" s="119"/>
    </row>
    <row r="70" spans="1:11" ht="12.75">
      <c r="A70" s="146"/>
      <c r="B70" s="170"/>
      <c r="C70" s="171" t="s">
        <v>193</v>
      </c>
      <c r="D70" s="167"/>
      <c r="E70" s="167"/>
      <c r="F70" s="167"/>
      <c r="G70" s="172" t="e">
        <f>+J62</f>
        <v>#REF!</v>
      </c>
      <c r="H70" s="119"/>
      <c r="I70" s="119"/>
      <c r="K70" s="119"/>
    </row>
    <row r="71" spans="1:11" ht="12.75">
      <c r="A71" s="146"/>
      <c r="B71" s="170"/>
      <c r="C71" s="171" t="s">
        <v>194</v>
      </c>
      <c r="D71" s="167"/>
      <c r="E71" s="167"/>
      <c r="F71" s="167"/>
      <c r="G71" s="172" t="e">
        <f>+J63</f>
        <v>#REF!</v>
      </c>
      <c r="H71" s="119"/>
      <c r="I71" s="119"/>
      <c r="K71" s="119"/>
    </row>
    <row r="72" spans="1:11" ht="13.5" thickBot="1">
      <c r="A72" s="146"/>
      <c r="B72" s="133"/>
      <c r="C72" s="173" t="s">
        <v>195</v>
      </c>
      <c r="D72" s="174"/>
      <c r="E72" s="174"/>
      <c r="F72" s="174"/>
      <c r="G72" s="175" t="e">
        <f>+J61</f>
        <v>#REF!</v>
      </c>
      <c r="H72" s="119"/>
      <c r="I72" s="119"/>
      <c r="K72" s="119"/>
    </row>
    <row r="73" spans="1:11" ht="12.75">
      <c r="A73" s="119"/>
      <c r="B73" s="98"/>
      <c r="C73" s="98"/>
      <c r="D73" s="98"/>
      <c r="E73" s="98"/>
      <c r="F73" s="98"/>
      <c r="G73" s="98"/>
      <c r="H73" s="119"/>
      <c r="I73" s="119"/>
      <c r="K73" s="119"/>
    </row>
    <row r="74" spans="1:11" ht="12.75">
      <c r="A74" s="119"/>
      <c r="B74" s="98"/>
      <c r="C74" s="98"/>
      <c r="D74" s="98"/>
      <c r="E74" s="98"/>
      <c r="F74" s="98"/>
      <c r="G74" s="98"/>
      <c r="H74" s="119"/>
      <c r="I74" s="119"/>
      <c r="K74" s="119"/>
    </row>
  </sheetData>
  <sheetProtection/>
  <mergeCells count="6">
    <mergeCell ref="A1:J1"/>
    <mergeCell ref="A2:J2"/>
    <mergeCell ref="A3:J3"/>
    <mergeCell ref="B26:D26"/>
    <mergeCell ref="D37:E37"/>
    <mergeCell ref="G60:H60"/>
  </mergeCells>
  <printOptions horizontalCentered="1" verticalCentered="1"/>
  <pageMargins left="0.5" right="0.17" top="0.44" bottom="0.8" header="0.17" footer="0.5"/>
  <pageSetup fitToHeight="0" fitToWidth="1" horizontalDpi="600" verticalDpi="600" orientation="portrait" pageOrder="overThenDown" scale="72" r:id="rId3"/>
  <headerFooter alignWithMargins="0">
    <oddFooter>&amp;L&amp;D &amp;T&amp;C&amp;F &amp;A&amp;Rreh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2014-03-07T13:30:33Z</cp:lastPrinted>
  <dcterms:created xsi:type="dcterms:W3CDTF">2001-08-06T14:44:36Z</dcterms:created>
  <dcterms:modified xsi:type="dcterms:W3CDTF">2014-04-11T14:40:28Z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