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45" windowWidth="19230" windowHeight="6090" activeTab="2"/>
  </bookViews>
  <sheets>
    <sheet name="INPUT" sheetId="1" r:id="rId1"/>
    <sheet name="BIG SANDY" sheetId="2" r:id="rId2"/>
    <sheet name="PRIN GEN" sheetId="3" r:id="rId3"/>
    <sheet name="CONTROLS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ASD">#REF!</definedName>
    <definedName name="asd1">#REF!</definedName>
    <definedName name="NvsEndTime">36418.5573099537</definedName>
    <definedName name="_xlnm.Print_Area" localSheetId="1">'BIG SANDY'!$A$1:$H$67</definedName>
    <definedName name="_xlnm.Print_Area" localSheetId="3">'CONTROLS'!$A$1:$L$56</definedName>
    <definedName name="_xlnm.Print_Area" localSheetId="0">'INPUT'!$A$1:$H$113</definedName>
    <definedName name="wrn.PRINTFR03PAGE24." hidden="1">{"BIG SANDY",#N/A,FALSE,"BIG SANDY";"PRINC GENERATING",#N/A,FALSE,"PRIN GEN";"INPUT",#N/A,FALSE,"INPUT";#N/A,#N/A,FALSE,"CONTROLS"}</definedName>
    <definedName name="Z_3CE502EA_2AB4_11D6_8194_0000F6DC5E66_.wvu.PrintArea" localSheetId="1" hidden="1">'BIG SANDY'!$A$1:$H$62</definedName>
    <definedName name="Z_3CE502EA_2AB4_11D6_8194_0000F6DC5E66_.wvu.PrintArea" localSheetId="3" hidden="1">'CONTROLS'!$A$1:$L$56</definedName>
    <definedName name="Z_3CE502EA_2AB4_11D6_8194_0000F6DC5E66_.wvu.PrintArea" localSheetId="0" hidden="1">'INPUT'!$A$1:$H$111</definedName>
    <definedName name="Z_3CE502EB_2AB4_11D6_8194_0000F6DC5E66_.wvu.PrintArea" localSheetId="1" hidden="1">'BIG SANDY'!$A$1:$H$62</definedName>
    <definedName name="Z_3CE502EB_2AB4_11D6_8194_0000F6DC5E66_.wvu.PrintArea" localSheetId="3" hidden="1">'CONTROLS'!$A$1:$L$56</definedName>
    <definedName name="Z_3CE502EB_2AB4_11D6_8194_0000F6DC5E66_.wvu.PrintArea" localSheetId="0" hidden="1">'INPUT'!$A$1:$H$111</definedName>
    <definedName name="Z_3CE502EC_2AB4_11D6_8194_0000F6DC5E66_.wvu.PrintArea" localSheetId="1" hidden="1">'BIG SANDY'!$A$1:$H$62</definedName>
    <definedName name="Z_3CE502EC_2AB4_11D6_8194_0000F6DC5E66_.wvu.PrintArea" localSheetId="3" hidden="1">'CONTROLS'!$A$1:$L$56</definedName>
    <definedName name="Z_3CE502EC_2AB4_11D6_8194_0000F6DC5E66_.wvu.PrintArea" localSheetId="0" hidden="1">'INPUT'!$A$1:$H$111</definedName>
    <definedName name="Z_3CE502ED_2AB4_11D6_8194_0000F6DC5E66_.wvu.PrintArea" localSheetId="1" hidden="1">'BIG SANDY'!$A$1:$H$62</definedName>
    <definedName name="Z_3CE502ED_2AB4_11D6_8194_0000F6DC5E66_.wvu.PrintArea" localSheetId="3" hidden="1">'CONTROLS'!$A$1:$L$56</definedName>
    <definedName name="Z_3CE502ED_2AB4_11D6_8194_0000F6DC5E66_.wvu.PrintArea" localSheetId="0" hidden="1">'INPUT'!$A$1:$H$111</definedName>
  </definedNames>
  <calcPr fullCalcOnLoad="1"/>
</workbook>
</file>

<file path=xl/sharedStrings.xml><?xml version="1.0" encoding="utf-8"?>
<sst xmlns="http://schemas.openxmlformats.org/spreadsheetml/2006/main" count="277" uniqueCount="160">
  <si>
    <t xml:space="preserve">ANALYSIS OF FUEL RECEIPTS AND FUEL DISPOSED OF </t>
  </si>
  <si>
    <t>CURRENT MONTH</t>
  </si>
  <si>
    <t>YEAR TO DATE</t>
  </si>
  <si>
    <t>PRIOR MONTH YEAR TO DATE</t>
  </si>
  <si>
    <t xml:space="preserve">QUANTITY </t>
  </si>
  <si>
    <t xml:space="preserve">AMOUNT </t>
  </si>
  <si>
    <t>UNIT COST</t>
  </si>
  <si>
    <t>Receipts</t>
  </si>
  <si>
    <t>On Hand Beginning of Period</t>
  </si>
  <si>
    <t xml:space="preserve">  FOB Mine</t>
  </si>
  <si>
    <t xml:space="preserve">  Transportation</t>
  </si>
  <si>
    <t>Total Receipts</t>
  </si>
  <si>
    <t xml:space="preserve">Disposed </t>
  </si>
  <si>
    <t xml:space="preserve">  Storage Pile Survey Adjustment</t>
  </si>
  <si>
    <t xml:space="preserve">  Other</t>
  </si>
  <si>
    <t>Total Disposed</t>
  </si>
  <si>
    <t>On Hand End of Period</t>
  </si>
  <si>
    <t>Available</t>
  </si>
  <si>
    <t xml:space="preserve">  Consumed - Generation</t>
  </si>
  <si>
    <t xml:space="preserve">  Consumed - Other    </t>
  </si>
  <si>
    <t>COAL</t>
  </si>
  <si>
    <t>CHARGES TO ACCOUNT 501- FUEL</t>
  </si>
  <si>
    <t>Total Charges to Account 501 - Fuel</t>
  </si>
  <si>
    <t>NOTES</t>
  </si>
  <si>
    <t>BTU Per Pound of Coal As Fired</t>
  </si>
  <si>
    <t>BTU Per Gallon of Oil</t>
  </si>
  <si>
    <t xml:space="preserve">Total Disposed </t>
  </si>
  <si>
    <t>BTU Per Decatherm of Gas</t>
  </si>
  <si>
    <t>OIL (Equivalent Tons of Coal)</t>
  </si>
  <si>
    <t>PAGE 24-1</t>
  </si>
  <si>
    <t>AMOUNT</t>
  </si>
  <si>
    <t>BEN LOC</t>
  </si>
  <si>
    <t>TOTAL</t>
  </si>
  <si>
    <t>BLANK</t>
  </si>
  <si>
    <t>IN A/C 5010000</t>
  </si>
  <si>
    <t>BENEFITING LOCATIONS IN ACCOUNT 501</t>
  </si>
  <si>
    <t>ACCOUNT 5010000</t>
  </si>
  <si>
    <t>IN A/C 5010001</t>
  </si>
  <si>
    <t>IN A/C 5010003</t>
  </si>
  <si>
    <t>IN A/C 5010013</t>
  </si>
  <si>
    <t>CRYSTAL REPORT TALLY</t>
  </si>
  <si>
    <t>SUM OF SUBTOTALS ON THIS SHEET</t>
  </si>
  <si>
    <t>TOTAL OF A/C 1510001 ON REPORT</t>
  </si>
  <si>
    <t>TOTAL OF A/C 1510002 ON REPORT</t>
  </si>
  <si>
    <t>TOTAL OF A/C 1510003 ON REPORT</t>
  </si>
  <si>
    <t>TOTAL OF A/C 1520000 ON REPORT</t>
  </si>
  <si>
    <t>PLANT</t>
  </si>
  <si>
    <t>CONTROLS</t>
  </si>
  <si>
    <t xml:space="preserve">FUEL </t>
  </si>
  <si>
    <t>TYPE</t>
  </si>
  <si>
    <t xml:space="preserve"> GALLONS</t>
  </si>
  <si>
    <t>OIL</t>
  </si>
  <si>
    <t>BTU/LB</t>
  </si>
  <si>
    <t>BTU/GAL</t>
  </si>
  <si>
    <t xml:space="preserve">TOTAL </t>
  </si>
  <si>
    <t xml:space="preserve">GROSS </t>
  </si>
  <si>
    <t>ACCOUNT 501</t>
  </si>
  <si>
    <t>COST</t>
  </si>
  <si>
    <t>C/MMBTU</t>
  </si>
  <si>
    <t>MMBTU</t>
  </si>
  <si>
    <t>OTHER &amp;</t>
  </si>
  <si>
    <t>ACCOUNT 152</t>
  </si>
  <si>
    <t>ACCOUNT 151</t>
  </si>
  <si>
    <t xml:space="preserve"> C/MMBTU</t>
  </si>
  <si>
    <t>ENDING BALANCE UNIT PRICE - CURRENT MONTH VS. YTD</t>
  </si>
  <si>
    <t xml:space="preserve">COAL </t>
  </si>
  <si>
    <t xml:space="preserve">OIL </t>
  </si>
  <si>
    <t>HANDLING</t>
  </si>
  <si>
    <t>DIFFERENCE</t>
  </si>
  <si>
    <t>TOTAL COMPANY ENDING BALANCE IN $ - PAGE 24'S VS GENERAL LEDGER</t>
  </si>
  <si>
    <t>ACCOUNT</t>
  </si>
  <si>
    <t>BEGINNING BALANCE</t>
  </si>
  <si>
    <t xml:space="preserve">NET CHANGE </t>
  </si>
  <si>
    <t xml:space="preserve">PAGE 24 </t>
  </si>
  <si>
    <t>LEDGER</t>
  </si>
  <si>
    <t>ENDING BALANCE</t>
  </si>
  <si>
    <t>BEG BAL</t>
  </si>
  <si>
    <t>NET CHANGE</t>
  </si>
  <si>
    <t>END BAL</t>
  </si>
  <si>
    <t>1510002</t>
  </si>
  <si>
    <t>LEDGER INPUTS</t>
  </si>
  <si>
    <t xml:space="preserve">NET CHANG </t>
  </si>
  <si>
    <t>ENDING BAL</t>
  </si>
  <si>
    <t>TOTAL COMPANY EXPENSE $ - PAGE 24'S VS GENERAL LEDGER</t>
  </si>
  <si>
    <t>CUR MONTH</t>
  </si>
  <si>
    <t>YTD</t>
  </si>
  <si>
    <t>501% QUERY TOTAL</t>
  </si>
  <si>
    <t>DIFFERENCE (TOTAL-QUERY)</t>
  </si>
  <si>
    <t>PRINC GEN</t>
  </si>
  <si>
    <t xml:space="preserve">PRINC GEN </t>
  </si>
  <si>
    <t>TONS/GALLONS</t>
  </si>
  <si>
    <t>GROSS A/C 501 COST</t>
  </si>
  <si>
    <t>LAST MONTH</t>
  </si>
  <si>
    <t>ENDING BALANCE UNIT PRICE - CURRENT MONTH VS. LAST MONTH</t>
  </si>
  <si>
    <t>% CHANGE</t>
  </si>
  <si>
    <t>FUEL EXPENSE - PAGE 24'S VS PRINCIPAL GENERATING REPORT</t>
  </si>
  <si>
    <t>CURRENT MO</t>
  </si>
  <si>
    <t>PRIOR MONTH</t>
  </si>
  <si>
    <t>GROSS C/MBTU - CURRENT MONTH VS. PRIOR MONTH</t>
  </si>
  <si>
    <t>USE PRIYTD MACRO TO ROLL LAST MONTH PRIOR YTD TO COLUMNS J &amp; K, ROLL PRIOR MONTH UNIT PRICES FOR CONTROLS, AND CLEAR ALL INPUTS.</t>
  </si>
  <si>
    <t>417G</t>
  </si>
  <si>
    <t>418G</t>
  </si>
  <si>
    <t>BIG SANDY</t>
  </si>
  <si>
    <t>419G</t>
  </si>
  <si>
    <t>03G</t>
  </si>
  <si>
    <t>KENTUCKY POWER</t>
  </si>
  <si>
    <t>FUEL STOCK - OIL</t>
  </si>
  <si>
    <t>FUEL STOCK - HANDLING</t>
  </si>
  <si>
    <t>FUEL STOCK - COAL</t>
  </si>
  <si>
    <t>GAS (Equivalent Tons of Coal)</t>
  </si>
  <si>
    <t>Handling Expenses</t>
  </si>
  <si>
    <t>Ash Disposal &amp; Other</t>
  </si>
  <si>
    <t xml:space="preserve">Ash Sales </t>
  </si>
  <si>
    <t>This Page Excludes Deferred Fuel and In Transit Coal</t>
  </si>
  <si>
    <t>Disposed</t>
  </si>
  <si>
    <t>5010000</t>
  </si>
  <si>
    <t>5010013</t>
  </si>
  <si>
    <t>5010003</t>
  </si>
  <si>
    <t>5010001</t>
  </si>
  <si>
    <t>KENTUCKY POWER COMPANY</t>
  </si>
  <si>
    <t>REPORT OF FUEL CONSUMED DATA FOR PRINCIPAL GENERATING PLANTS</t>
  </si>
  <si>
    <t>TONS /</t>
  </si>
  <si>
    <t>CONSUMED</t>
  </si>
  <si>
    <t>USE PRINTFR03PAGE24 IN REPORT MANAGER TO PRINT PAGE 24'S, PRINCIPAL GENERATING UNIT REPORT,  INPUT SHEET AND CONTROL SHEET.</t>
  </si>
  <si>
    <t>USE FR03PAGE24VALUE TO PRODUCE A VALUE COPY OF FR03PAGE24 FOR TANSMITTAL BY E-MAIL</t>
  </si>
  <si>
    <t>ACCOUNT 5010001</t>
  </si>
  <si>
    <t>1510001</t>
  </si>
  <si>
    <t>1520000</t>
  </si>
  <si>
    <t>ACCOUNT 5010003</t>
  </si>
  <si>
    <t>5010019</t>
  </si>
  <si>
    <t>IN A/C 5010019</t>
  </si>
  <si>
    <t>ACCOUNT 5010019</t>
  </si>
  <si>
    <t>IN A/C 5010012</t>
  </si>
  <si>
    <t>ACCOUNT 5010012</t>
  </si>
  <si>
    <t>5010012</t>
  </si>
  <si>
    <t>5010005</t>
  </si>
  <si>
    <t>ACCOUNT 5010013--Survey</t>
  </si>
  <si>
    <t>Total Available</t>
  </si>
  <si>
    <t>Should Be Zero</t>
  </si>
  <si>
    <t>Activity</t>
  </si>
  <si>
    <t xml:space="preserve">KENTUCKY POWER </t>
  </si>
  <si>
    <t>Difference due to non-generating oil</t>
  </si>
  <si>
    <t xml:space="preserve">  Consumed - Generation                          **                                          </t>
  </si>
  <si>
    <t>BTU Per Pound of Coal As Received</t>
  </si>
  <si>
    <t>AS RECEIVED BTU - FROM FDRR2250 / 2270 REPORTS</t>
  </si>
  <si>
    <t>SCBBIL charges corrected in June business</t>
  </si>
  <si>
    <t>Net Gen</t>
  </si>
  <si>
    <t>Gross Gen</t>
  </si>
  <si>
    <t>Gross Heat Rate</t>
  </si>
  <si>
    <t>Net Heat Rate</t>
  </si>
  <si>
    <t>Tons/Gal</t>
  </si>
  <si>
    <t>Consumed</t>
  </si>
  <si>
    <t>$'s</t>
  </si>
  <si>
    <t>Unit 1</t>
  </si>
  <si>
    <t>Unit 2</t>
  </si>
  <si>
    <t>Oil - Unit 1</t>
  </si>
  <si>
    <t>Oil - Unit 2</t>
  </si>
  <si>
    <t>Coal &amp; Other - Unit 1</t>
  </si>
  <si>
    <t>BTU</t>
  </si>
  <si>
    <t>LB/GAL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</si>
</sst>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mm/dd/yy"/>
    <numFmt numFmtId="166" formatCode="&quot;$&quot;#,##0.00"/>
    <numFmt numFmtId="167" formatCode="&quot;$&quot;#,##0.0000"/>
    <numFmt numFmtId="168" formatCode="0.0%"/>
    <numFmt numFmtId="169" formatCode="#,##0.00000000000000000_);\(#,##0.00000000000000000\)"/>
    <numFmt numFmtId="170" formatCode="0.00_);\(0.00\)"/>
    <numFmt numFmtId="171" formatCode="#,##0.0000_);\(#,##0.0000\)"/>
    <numFmt numFmtId="172" formatCode="0_);\(0\)"/>
    <numFmt numFmtId="173" formatCode="0.0000"/>
    <numFmt numFmtId="174" formatCode="0.0000%"/>
    <numFmt numFmtId="175" formatCode="0.0000_);\(0.0000\)"/>
    <numFmt numFmtId="176" formatCode="&quot;$&quot;#,##0.0000_);\(&quot;$&quot;#,##0.0000\)"/>
    <numFmt numFmtId="177" formatCode="0.0000000000%"/>
    <numFmt numFmtId="178" formatCode="&quot;$&quot;#,##0.0000000000_);\(&quot;$&quot;#,##0.0000000000\)"/>
    <numFmt numFmtId="179" formatCode="#,##0.0000"/>
    <numFmt numFmtId="180" formatCode="#,##0.0_);\(#,##0.0\)"/>
    <numFmt numFmtId="181" formatCode="#,##0.000_);\(#,##0.000\)"/>
    <numFmt numFmtId="182" formatCode="_(* #,##0.0_);_(* \(#,##0.0\);_(* &quot;-&quot;??_);_(@_)"/>
    <numFmt numFmtId="183" formatCode="_(* #,##0_);_(* \(#,##0\);_(* &quot;-&quot;??_);_(@_)"/>
  </numFmts>
  <fonts count="54">
    <font>
      <sz val="10"/>
      <name val="Arial"/>
      <family val="0"/>
    </font>
    <font>
      <b/>
      <sz val="10"/>
      <name val="Arial"/>
      <family val="2"/>
    </font>
    <font>
      <sz val="10"/>
      <color indexed="14"/>
      <name val="Arial"/>
      <family val="2"/>
    </font>
    <font>
      <sz val="10"/>
      <color indexed="53"/>
      <name val="Arial"/>
      <family val="2"/>
    </font>
    <font>
      <sz val="10"/>
      <color indexed="57"/>
      <name val="Arial"/>
      <family val="2"/>
    </font>
    <font>
      <sz val="12"/>
      <name val="Arial MT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14"/>
      <name val="Arial"/>
      <family val="2"/>
    </font>
    <font>
      <b/>
      <u val="single"/>
      <sz val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theme="5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9">
      <alignment horizontal="center"/>
      <protection/>
    </xf>
    <xf numFmtId="0" fontId="6" fillId="33" borderId="0" applyNumberFormat="0" applyFont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39" fontId="1" fillId="0" borderId="0" xfId="0" applyNumberFormat="1" applyFont="1" applyAlignment="1">
      <alignment horizontal="center"/>
    </xf>
    <xf numFmtId="39" fontId="1" fillId="0" borderId="0" xfId="0" applyNumberFormat="1" applyFont="1" applyAlignment="1">
      <alignment/>
    </xf>
    <xf numFmtId="39" fontId="0" fillId="0" borderId="0" xfId="0" applyNumberFormat="1" applyAlignment="1">
      <alignment/>
    </xf>
    <xf numFmtId="39" fontId="0" fillId="34" borderId="0" xfId="0" applyNumberFormat="1" applyFill="1" applyAlignment="1">
      <alignment/>
    </xf>
    <xf numFmtId="39" fontId="0" fillId="0" borderId="11" xfId="0" applyNumberFormat="1" applyBorder="1" applyAlignment="1">
      <alignment/>
    </xf>
    <xf numFmtId="39" fontId="0" fillId="0" borderId="12" xfId="0" applyNumberFormat="1" applyBorder="1" applyAlignment="1">
      <alignment/>
    </xf>
    <xf numFmtId="39" fontId="0" fillId="0" borderId="13" xfId="0" applyNumberFormat="1" applyBorder="1" applyAlignment="1">
      <alignment/>
    </xf>
    <xf numFmtId="39" fontId="0" fillId="0" borderId="14" xfId="0" applyNumberFormat="1" applyBorder="1" applyAlignment="1">
      <alignment/>
    </xf>
    <xf numFmtId="39" fontId="0" fillId="0" borderId="0" xfId="0" applyNumberFormat="1" applyBorder="1" applyAlignment="1">
      <alignment/>
    </xf>
    <xf numFmtId="39" fontId="0" fillId="0" borderId="15" xfId="0" applyNumberFormat="1" applyBorder="1" applyAlignment="1">
      <alignment/>
    </xf>
    <xf numFmtId="39" fontId="0" fillId="0" borderId="9" xfId="0" applyNumberFormat="1" applyBorder="1" applyAlignment="1">
      <alignment/>
    </xf>
    <xf numFmtId="39" fontId="0" fillId="0" borderId="16" xfId="0" applyNumberFormat="1" applyBorder="1" applyAlignment="1">
      <alignment/>
    </xf>
    <xf numFmtId="39" fontId="2" fillId="0" borderId="14" xfId="0" applyNumberFormat="1" applyFont="1" applyBorder="1" applyAlignment="1">
      <alignment/>
    </xf>
    <xf numFmtId="39" fontId="2" fillId="0" borderId="0" xfId="0" applyNumberFormat="1" applyFont="1" applyBorder="1" applyAlignment="1">
      <alignment/>
    </xf>
    <xf numFmtId="39" fontId="0" fillId="0" borderId="17" xfId="0" applyNumberFormat="1" applyFont="1" applyBorder="1" applyAlignment="1">
      <alignment/>
    </xf>
    <xf numFmtId="39" fontId="0" fillId="0" borderId="0" xfId="0" applyNumberFormat="1" applyFont="1" applyAlignment="1">
      <alignment/>
    </xf>
    <xf numFmtId="39" fontId="3" fillId="0" borderId="0" xfId="0" applyNumberFormat="1" applyFont="1" applyFill="1" applyBorder="1" applyAlignment="1">
      <alignment/>
    </xf>
    <xf numFmtId="39" fontId="3" fillId="0" borderId="0" xfId="0" applyNumberFormat="1" applyFont="1" applyFill="1" applyAlignment="1">
      <alignment/>
    </xf>
    <xf numFmtId="39" fontId="4" fillId="0" borderId="14" xfId="0" applyNumberFormat="1" applyFont="1" applyBorder="1" applyAlignment="1">
      <alignment/>
    </xf>
    <xf numFmtId="37" fontId="2" fillId="0" borderId="0" xfId="0" applyNumberFormat="1" applyFont="1" applyFill="1" applyBorder="1" applyAlignment="1">
      <alignment/>
    </xf>
    <xf numFmtId="0" fontId="0" fillId="0" borderId="0" xfId="58" applyNumberFormat="1" applyFont="1" applyAlignment="1" applyProtection="1">
      <alignment/>
      <protection locked="0"/>
    </xf>
    <xf numFmtId="0" fontId="0" fillId="0" borderId="14" xfId="58" applyNumberFormat="1" applyFont="1" applyBorder="1" applyAlignment="1" applyProtection="1">
      <alignment/>
      <protection locked="0"/>
    </xf>
    <xf numFmtId="0" fontId="0" fillId="0" borderId="0" xfId="58" applyNumberFormat="1" applyFont="1" applyBorder="1" applyAlignment="1" applyProtection="1">
      <alignment/>
      <protection locked="0"/>
    </xf>
    <xf numFmtId="0" fontId="0" fillId="0" borderId="17" xfId="58" applyNumberFormat="1" applyFont="1" applyBorder="1" applyAlignment="1" applyProtection="1">
      <alignment/>
      <protection locked="0"/>
    </xf>
    <xf numFmtId="0" fontId="9" fillId="0" borderId="14" xfId="58" applyNumberFormat="1" applyFont="1" applyBorder="1" applyAlignment="1" applyProtection="1">
      <alignment horizontal="center"/>
      <protection locked="0"/>
    </xf>
    <xf numFmtId="0" fontId="9" fillId="0" borderId="0" xfId="58" applyNumberFormat="1" applyFont="1" applyBorder="1" applyAlignment="1" applyProtection="1">
      <alignment horizontal="center"/>
      <protection locked="0"/>
    </xf>
    <xf numFmtId="0" fontId="9" fillId="0" borderId="17" xfId="58" applyNumberFormat="1" applyFont="1" applyBorder="1" applyAlignment="1" applyProtection="1">
      <alignment horizontal="center"/>
      <protection locked="0"/>
    </xf>
    <xf numFmtId="0" fontId="0" fillId="0" borderId="14" xfId="58" applyNumberFormat="1" applyFont="1" applyBorder="1" applyAlignment="1" applyProtection="1">
      <alignment horizontal="center"/>
      <protection locked="0"/>
    </xf>
    <xf numFmtId="39" fontId="0" fillId="0" borderId="0" xfId="58" applyNumberFormat="1" applyFont="1" applyBorder="1" applyAlignment="1" applyProtection="1">
      <alignment/>
      <protection locked="0"/>
    </xf>
    <xf numFmtId="39" fontId="0" fillId="0" borderId="17" xfId="58" applyNumberFormat="1" applyFont="1" applyBorder="1" applyAlignment="1" applyProtection="1">
      <alignment/>
      <protection locked="0"/>
    </xf>
    <xf numFmtId="0" fontId="11" fillId="0" borderId="14" xfId="58" applyNumberFormat="1" applyFont="1" applyBorder="1" applyAlignment="1" applyProtection="1">
      <alignment horizontal="center"/>
      <protection locked="0"/>
    </xf>
    <xf numFmtId="39" fontId="0" fillId="0" borderId="0" xfId="58" applyNumberFormat="1" applyFont="1" applyAlignment="1" applyProtection="1">
      <alignment/>
      <protection locked="0"/>
    </xf>
    <xf numFmtId="0" fontId="0" fillId="0" borderId="15" xfId="58" applyNumberFormat="1" applyFont="1" applyBorder="1" applyAlignment="1" applyProtection="1">
      <alignment horizontal="center"/>
      <protection locked="0"/>
    </xf>
    <xf numFmtId="0" fontId="0" fillId="0" borderId="0" xfId="58" applyNumberFormat="1" applyFont="1" applyAlignment="1" applyProtection="1">
      <alignment horizontal="center"/>
      <protection locked="0"/>
    </xf>
    <xf numFmtId="0" fontId="0" fillId="0" borderId="0" xfId="58" applyNumberFormat="1" applyFont="1" applyBorder="1" applyAlignment="1" applyProtection="1">
      <alignment horizontal="center"/>
      <protection locked="0"/>
    </xf>
    <xf numFmtId="164" fontId="9" fillId="0" borderId="11" xfId="58" applyNumberFormat="1" applyFont="1" applyBorder="1" applyAlignment="1" applyProtection="1">
      <alignment horizontal="left"/>
      <protection locked="0"/>
    </xf>
    <xf numFmtId="164" fontId="8" fillId="0" borderId="12" xfId="58" applyNumberFormat="1" applyFont="1" applyBorder="1" applyAlignment="1" applyProtection="1">
      <alignment horizontal="center"/>
      <protection locked="0"/>
    </xf>
    <xf numFmtId="164" fontId="8" fillId="0" borderId="13" xfId="58" applyNumberFormat="1" applyFont="1" applyBorder="1" applyAlignment="1" applyProtection="1">
      <alignment horizontal="center"/>
      <protection locked="0"/>
    </xf>
    <xf numFmtId="39" fontId="0" fillId="0" borderId="9" xfId="58" applyNumberFormat="1" applyFont="1" applyBorder="1" applyAlignment="1" applyProtection="1">
      <alignment/>
      <protection locked="0"/>
    </xf>
    <xf numFmtId="39" fontId="0" fillId="0" borderId="13" xfId="58" applyNumberFormat="1" applyFont="1" applyBorder="1" applyAlignment="1" applyProtection="1">
      <alignment/>
      <protection locked="0"/>
    </xf>
    <xf numFmtId="39" fontId="0" fillId="0" borderId="16" xfId="58" applyNumberFormat="1" applyFont="1" applyBorder="1" applyAlignment="1" applyProtection="1">
      <alignment/>
      <protection locked="0"/>
    </xf>
    <xf numFmtId="39" fontId="0" fillId="0" borderId="15" xfId="58" applyNumberFormat="1" applyFont="1" applyBorder="1" applyAlignment="1" applyProtection="1">
      <alignment/>
      <protection locked="0"/>
    </xf>
    <xf numFmtId="0" fontId="0" fillId="0" borderId="14" xfId="58" applyNumberFormat="1" applyFont="1" applyBorder="1" applyAlignment="1" applyProtection="1">
      <alignment horizontal="left"/>
      <protection locked="0"/>
    </xf>
    <xf numFmtId="0" fontId="0" fillId="0" borderId="15" xfId="58" applyNumberFormat="1" applyFont="1" applyBorder="1" applyAlignment="1" applyProtection="1">
      <alignment horizontal="left"/>
      <protection locked="0"/>
    </xf>
    <xf numFmtId="0" fontId="9" fillId="0" borderId="11" xfId="58" applyNumberFormat="1" applyFont="1" applyBorder="1" applyAlignment="1" applyProtection="1">
      <alignment horizontal="left"/>
      <protection locked="0"/>
    </xf>
    <xf numFmtId="39" fontId="0" fillId="0" borderId="18" xfId="58" applyNumberFormat="1" applyFont="1" applyBorder="1" applyAlignment="1" applyProtection="1">
      <alignment/>
      <protection locked="0"/>
    </xf>
    <xf numFmtId="39" fontId="1" fillId="0" borderId="9" xfId="0" applyNumberFormat="1" applyFont="1" applyBorder="1" applyAlignment="1">
      <alignment horizontal="center"/>
    </xf>
    <xf numFmtId="39" fontId="0" fillId="0" borderId="19" xfId="0" applyNumberFormat="1" applyBorder="1" applyAlignment="1">
      <alignment/>
    </xf>
    <xf numFmtId="37" fontId="1" fillId="0" borderId="0" xfId="0" applyNumberFormat="1" applyFont="1" applyAlignment="1">
      <alignment horizontal="center"/>
    </xf>
    <xf numFmtId="37" fontId="0" fillId="0" borderId="0" xfId="0" applyNumberFormat="1" applyAlignment="1">
      <alignment/>
    </xf>
    <xf numFmtId="37" fontId="0" fillId="0" borderId="19" xfId="0" applyNumberFormat="1" applyBorder="1" applyAlignment="1">
      <alignment/>
    </xf>
    <xf numFmtId="37" fontId="0" fillId="0" borderId="20" xfId="0" applyNumberFormat="1" applyBorder="1" applyAlignment="1">
      <alignment/>
    </xf>
    <xf numFmtId="39" fontId="0" fillId="0" borderId="20" xfId="0" applyNumberFormat="1" applyBorder="1" applyAlignment="1">
      <alignment/>
    </xf>
    <xf numFmtId="179" fontId="0" fillId="0" borderId="0" xfId="0" applyNumberFormat="1" applyAlignment="1">
      <alignment/>
    </xf>
    <xf numFmtId="179" fontId="1" fillId="0" borderId="0" xfId="0" applyNumberFormat="1" applyFont="1" applyAlignment="1">
      <alignment horizontal="center"/>
    </xf>
    <xf numFmtId="37" fontId="0" fillId="0" borderId="12" xfId="0" applyNumberFormat="1" applyBorder="1" applyAlignment="1">
      <alignment/>
    </xf>
    <xf numFmtId="179" fontId="0" fillId="0" borderId="12" xfId="0" applyNumberFormat="1" applyBorder="1" applyAlignment="1">
      <alignment/>
    </xf>
    <xf numFmtId="179" fontId="0" fillId="0" borderId="13" xfId="0" applyNumberFormat="1" applyBorder="1" applyAlignment="1">
      <alignment/>
    </xf>
    <xf numFmtId="37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17" xfId="0" applyNumberFormat="1" applyBorder="1" applyAlignment="1">
      <alignment/>
    </xf>
    <xf numFmtId="39" fontId="0" fillId="0" borderId="14" xfId="0" applyNumberFormat="1" applyBorder="1" applyAlignment="1">
      <alignment horizontal="center"/>
    </xf>
    <xf numFmtId="37" fontId="0" fillId="0" borderId="9" xfId="0" applyNumberFormat="1" applyBorder="1" applyAlignment="1">
      <alignment/>
    </xf>
    <xf numFmtId="179" fontId="0" fillId="0" borderId="9" xfId="0" applyNumberFormat="1" applyBorder="1" applyAlignment="1">
      <alignment/>
    </xf>
    <xf numFmtId="179" fontId="0" fillId="0" borderId="16" xfId="0" applyNumberFormat="1" applyBorder="1" applyAlignment="1">
      <alignment/>
    </xf>
    <xf numFmtId="39" fontId="9" fillId="0" borderId="0" xfId="0" applyNumberFormat="1" applyFont="1" applyBorder="1" applyAlignment="1">
      <alignment/>
    </xf>
    <xf numFmtId="39" fontId="1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39" fontId="9" fillId="0" borderId="11" xfId="58" applyNumberFormat="1" applyFont="1" applyBorder="1" applyAlignment="1" applyProtection="1">
      <alignment/>
      <protection locked="0"/>
    </xf>
    <xf numFmtId="39" fontId="9" fillId="0" borderId="12" xfId="58" applyNumberFormat="1" applyFont="1" applyBorder="1" applyAlignment="1" applyProtection="1">
      <alignment/>
      <protection locked="0"/>
    </xf>
    <xf numFmtId="39" fontId="9" fillId="0" borderId="14" xfId="58" applyNumberFormat="1" applyFont="1" applyBorder="1" applyAlignment="1" applyProtection="1">
      <alignment horizontal="center"/>
      <protection locked="0"/>
    </xf>
    <xf numFmtId="39" fontId="9" fillId="0" borderId="0" xfId="58" applyNumberFormat="1" applyFont="1" applyBorder="1" applyAlignment="1" applyProtection="1">
      <alignment horizontal="center"/>
      <protection locked="0"/>
    </xf>
    <xf numFmtId="39" fontId="9" fillId="0" borderId="17" xfId="58" applyNumberFormat="1" applyFont="1" applyBorder="1" applyAlignment="1" applyProtection="1">
      <alignment horizontal="center"/>
      <protection locked="0"/>
    </xf>
    <xf numFmtId="49" fontId="0" fillId="0" borderId="14" xfId="58" applyNumberFormat="1" applyFont="1" applyBorder="1" applyAlignment="1" applyProtection="1">
      <alignment horizontal="center"/>
      <protection locked="0"/>
    </xf>
    <xf numFmtId="39" fontId="11" fillId="0" borderId="0" xfId="58" applyNumberFormat="1" applyFont="1" applyBorder="1" applyAlignment="1" applyProtection="1">
      <alignment/>
      <protection locked="0"/>
    </xf>
    <xf numFmtId="39" fontId="11" fillId="0" borderId="17" xfId="58" applyNumberFormat="1" applyFont="1" applyBorder="1" applyAlignment="1" applyProtection="1">
      <alignment/>
      <protection locked="0"/>
    </xf>
    <xf numFmtId="39" fontId="0" fillId="34" borderId="0" xfId="58" applyNumberFormat="1" applyFont="1" applyFill="1" applyBorder="1" applyAlignment="1" applyProtection="1">
      <alignment/>
      <protection locked="0"/>
    </xf>
    <xf numFmtId="39" fontId="0" fillId="34" borderId="9" xfId="58" applyNumberFormat="1" applyFont="1" applyFill="1" applyBorder="1" applyAlignment="1" applyProtection="1">
      <alignment/>
      <protection locked="0"/>
    </xf>
    <xf numFmtId="164" fontId="8" fillId="0" borderId="0" xfId="58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58" applyNumberFormat="1" applyFont="1" applyBorder="1" applyAlignment="1" applyProtection="1">
      <alignment horizontal="right"/>
      <protection locked="0"/>
    </xf>
    <xf numFmtId="0" fontId="0" fillId="0" borderId="17" xfId="0" applyBorder="1" applyAlignment="1">
      <alignment/>
    </xf>
    <xf numFmtId="39" fontId="0" fillId="0" borderId="17" xfId="58" applyNumberFormat="1" applyFont="1" applyBorder="1" applyAlignment="1" applyProtection="1">
      <alignment horizontal="right"/>
      <protection locked="0"/>
    </xf>
    <xf numFmtId="39" fontId="0" fillId="0" borderId="21" xfId="58" applyNumberFormat="1" applyFont="1" applyBorder="1" applyAlignment="1" applyProtection="1">
      <alignment horizontal="right"/>
      <protection locked="0"/>
    </xf>
    <xf numFmtId="39" fontId="10" fillId="34" borderId="17" xfId="58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12" fillId="0" borderId="0" xfId="58" applyNumberFormat="1" applyFont="1" applyAlignment="1" applyProtection="1">
      <alignment/>
      <protection locked="0"/>
    </xf>
    <xf numFmtId="0" fontId="13" fillId="0" borderId="0" xfId="0" applyFont="1" applyAlignment="1">
      <alignment/>
    </xf>
    <xf numFmtId="39" fontId="14" fillId="0" borderId="0" xfId="0" applyNumberFormat="1" applyFont="1" applyAlignment="1">
      <alignment/>
    </xf>
    <xf numFmtId="39" fontId="14" fillId="0" borderId="0" xfId="0" applyNumberFormat="1" applyFont="1" applyAlignment="1">
      <alignment horizontal="center"/>
    </xf>
    <xf numFmtId="39" fontId="13" fillId="34" borderId="0" xfId="0" applyNumberFormat="1" applyFont="1" applyFill="1" applyAlignment="1">
      <alignment/>
    </xf>
    <xf numFmtId="39" fontId="13" fillId="0" borderId="0" xfId="0" applyNumberFormat="1" applyFont="1" applyAlignment="1">
      <alignment/>
    </xf>
    <xf numFmtId="39" fontId="1" fillId="0" borderId="14" xfId="0" applyNumberFormat="1" applyFont="1" applyBorder="1" applyAlignment="1">
      <alignment/>
    </xf>
    <xf numFmtId="39" fontId="1" fillId="0" borderId="0" xfId="0" applyNumberFormat="1" applyFont="1" applyBorder="1" applyAlignment="1">
      <alignment/>
    </xf>
    <xf numFmtId="39" fontId="1" fillId="0" borderId="17" xfId="0" applyNumberFormat="1" applyFont="1" applyBorder="1" applyAlignment="1">
      <alignment/>
    </xf>
    <xf numFmtId="39" fontId="1" fillId="34" borderId="0" xfId="0" applyNumberFormat="1" applyFont="1" applyFill="1" applyAlignment="1">
      <alignment/>
    </xf>
    <xf numFmtId="39" fontId="2" fillId="0" borderId="20" xfId="0" applyNumberFormat="1" applyFont="1" applyBorder="1" applyAlignment="1">
      <alignment/>
    </xf>
    <xf numFmtId="39" fontId="0" fillId="0" borderId="21" xfId="0" applyNumberFormat="1" applyFont="1" applyBorder="1" applyAlignment="1">
      <alignment/>
    </xf>
    <xf numFmtId="39" fontId="0" fillId="0" borderId="22" xfId="0" applyNumberFormat="1" applyFill="1" applyBorder="1" applyAlignment="1">
      <alignment/>
    </xf>
    <xf numFmtId="39" fontId="2" fillId="0" borderId="22" xfId="0" applyNumberFormat="1" applyFont="1" applyBorder="1" applyAlignment="1">
      <alignment/>
    </xf>
    <xf numFmtId="39" fontId="0" fillId="0" borderId="22" xfId="0" applyNumberFormat="1" applyBorder="1" applyAlignment="1">
      <alignment/>
    </xf>
    <xf numFmtId="39" fontId="1" fillId="0" borderId="23" xfId="0" applyNumberFormat="1" applyFont="1" applyBorder="1" applyAlignment="1">
      <alignment/>
    </xf>
    <xf numFmtId="39" fontId="1" fillId="0" borderId="24" xfId="0" applyNumberFormat="1" applyFont="1" applyBorder="1" applyAlignment="1">
      <alignment/>
    </xf>
    <xf numFmtId="39" fontId="1" fillId="0" borderId="25" xfId="0" applyNumberFormat="1" applyFont="1" applyBorder="1" applyAlignment="1">
      <alignment/>
    </xf>
    <xf numFmtId="39" fontId="1" fillId="0" borderId="26" xfId="0" applyNumberFormat="1" applyFont="1" applyBorder="1" applyAlignment="1">
      <alignment/>
    </xf>
    <xf numFmtId="39" fontId="1" fillId="0" borderId="19" xfId="0" applyNumberFormat="1" applyFont="1" applyBorder="1" applyAlignment="1">
      <alignment/>
    </xf>
    <xf numFmtId="39" fontId="1" fillId="0" borderId="18" xfId="0" applyNumberFormat="1" applyFont="1" applyBorder="1" applyAlignment="1">
      <alignment/>
    </xf>
    <xf numFmtId="39" fontId="0" fillId="0" borderId="14" xfId="0" applyNumberFormat="1" applyFill="1" applyBorder="1" applyAlignment="1">
      <alignment/>
    </xf>
    <xf numFmtId="39" fontId="2" fillId="0" borderId="0" xfId="0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/>
    </xf>
    <xf numFmtId="39" fontId="0" fillId="0" borderId="14" xfId="0" applyNumberFormat="1" applyFont="1" applyBorder="1" applyAlignment="1">
      <alignment/>
    </xf>
    <xf numFmtId="39" fontId="0" fillId="0" borderId="0" xfId="0" applyNumberFormat="1" applyFont="1" applyBorder="1" applyAlignment="1">
      <alignment/>
    </xf>
    <xf numFmtId="39" fontId="0" fillId="34" borderId="0" xfId="0" applyNumberFormat="1" applyFont="1" applyFill="1" applyAlignment="1">
      <alignment/>
    </xf>
    <xf numFmtId="179" fontId="0" fillId="0" borderId="0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39" fontId="1" fillId="0" borderId="27" xfId="0" applyNumberFormat="1" applyFont="1" applyBorder="1" applyAlignment="1">
      <alignment horizontal="center"/>
    </xf>
    <xf numFmtId="39" fontId="1" fillId="0" borderId="28" xfId="0" applyNumberFormat="1" applyFont="1" applyBorder="1" applyAlignment="1">
      <alignment horizontal="center"/>
    </xf>
    <xf numFmtId="39" fontId="0" fillId="0" borderId="29" xfId="0" applyNumberFormat="1" applyBorder="1" applyAlignment="1">
      <alignment/>
    </xf>
    <xf numFmtId="39" fontId="0" fillId="0" borderId="30" xfId="0" applyNumberFormat="1" applyBorder="1" applyAlignment="1">
      <alignment/>
    </xf>
    <xf numFmtId="39" fontId="0" fillId="0" borderId="31" xfId="0" applyNumberFormat="1" applyBorder="1" applyAlignment="1">
      <alignment/>
    </xf>
    <xf numFmtId="39" fontId="0" fillId="0" borderId="32" xfId="0" applyNumberFormat="1" applyBorder="1" applyAlignment="1">
      <alignment/>
    </xf>
    <xf numFmtId="39" fontId="0" fillId="34" borderId="30" xfId="0" applyNumberFormat="1" applyFill="1" applyBorder="1" applyAlignment="1">
      <alignment/>
    </xf>
    <xf numFmtId="39" fontId="0" fillId="0" borderId="33" xfId="0" applyNumberFormat="1" applyBorder="1" applyAlignment="1">
      <alignment/>
    </xf>
    <xf numFmtId="39" fontId="0" fillId="34" borderId="29" xfId="0" applyNumberFormat="1" applyFill="1" applyBorder="1" applyAlignment="1">
      <alignment/>
    </xf>
    <xf numFmtId="39" fontId="0" fillId="0" borderId="34" xfId="0" applyNumberFormat="1" applyBorder="1" applyAlignment="1">
      <alignment/>
    </xf>
    <xf numFmtId="39" fontId="1" fillId="0" borderId="35" xfId="0" applyNumberFormat="1" applyFont="1" applyBorder="1" applyAlignment="1">
      <alignment horizontal="center"/>
    </xf>
    <xf numFmtId="39" fontId="1" fillId="0" borderId="24" xfId="0" applyNumberFormat="1" applyFont="1" applyBorder="1" applyAlignment="1">
      <alignment horizontal="center"/>
    </xf>
    <xf numFmtId="39" fontId="1" fillId="0" borderId="36" xfId="0" applyNumberFormat="1" applyFont="1" applyBorder="1" applyAlignment="1">
      <alignment horizontal="center"/>
    </xf>
    <xf numFmtId="39" fontId="0" fillId="0" borderId="37" xfId="0" applyNumberFormat="1" applyBorder="1" applyAlignment="1">
      <alignment/>
    </xf>
    <xf numFmtId="39" fontId="0" fillId="0" borderId="38" xfId="0" applyNumberFormat="1" applyBorder="1" applyAlignment="1">
      <alignment/>
    </xf>
    <xf numFmtId="39" fontId="0" fillId="0" borderId="39" xfId="0" applyNumberFormat="1" applyBorder="1" applyAlignment="1">
      <alignment/>
    </xf>
    <xf numFmtId="171" fontId="0" fillId="0" borderId="29" xfId="0" applyNumberFormat="1" applyBorder="1" applyAlignment="1">
      <alignment/>
    </xf>
    <xf numFmtId="39" fontId="12" fillId="0" borderId="0" xfId="0" applyNumberFormat="1" applyFont="1" applyAlignment="1">
      <alignment/>
    </xf>
    <xf numFmtId="39" fontId="0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9" fontId="10" fillId="34" borderId="0" xfId="58" applyNumberFormat="1" applyFont="1" applyFill="1" applyBorder="1" applyAlignment="1" applyProtection="1">
      <alignment/>
      <protection locked="0"/>
    </xf>
    <xf numFmtId="39" fontId="10" fillId="34" borderId="9" xfId="58" applyNumberFormat="1" applyFont="1" applyFill="1" applyBorder="1" applyAlignment="1" applyProtection="1">
      <alignment/>
      <protection locked="0"/>
    </xf>
    <xf numFmtId="39" fontId="10" fillId="34" borderId="20" xfId="58" applyNumberFormat="1" applyFont="1" applyFill="1" applyBorder="1" applyAlignment="1" applyProtection="1">
      <alignment/>
      <protection locked="0"/>
    </xf>
    <xf numFmtId="39" fontId="11" fillId="0" borderId="0" xfId="58" applyNumberFormat="1" applyFont="1" applyFill="1" applyBorder="1" applyAlignment="1" applyProtection="1">
      <alignment/>
      <protection locked="0"/>
    </xf>
    <xf numFmtId="39" fontId="11" fillId="0" borderId="17" xfId="58" applyNumberFormat="1" applyFont="1" applyFill="1" applyBorder="1" applyAlignment="1" applyProtection="1">
      <alignment/>
      <protection locked="0"/>
    </xf>
    <xf numFmtId="39" fontId="10" fillId="0" borderId="0" xfId="58" applyNumberFormat="1" applyFont="1" applyFill="1" applyBorder="1" applyAlignment="1" applyProtection="1">
      <alignment/>
      <protection locked="0"/>
    </xf>
    <xf numFmtId="39" fontId="4" fillId="0" borderId="0" xfId="0" applyNumberFormat="1" applyFont="1" applyFill="1" applyBorder="1" applyAlignment="1">
      <alignment/>
    </xf>
    <xf numFmtId="39" fontId="1" fillId="0" borderId="40" xfId="0" applyNumberFormat="1" applyFont="1" applyBorder="1" applyAlignment="1">
      <alignment/>
    </xf>
    <xf numFmtId="39" fontId="1" fillId="0" borderId="38" xfId="0" applyNumberFormat="1" applyFont="1" applyBorder="1" applyAlignment="1">
      <alignment/>
    </xf>
    <xf numFmtId="39" fontId="1" fillId="0" borderId="41" xfId="0" applyNumberFormat="1" applyFont="1" applyBorder="1" applyAlignment="1">
      <alignment/>
    </xf>
    <xf numFmtId="39" fontId="1" fillId="35" borderId="27" xfId="0" applyNumberFormat="1" applyFont="1" applyFill="1" applyBorder="1" applyAlignment="1">
      <alignment horizontal="center"/>
    </xf>
    <xf numFmtId="39" fontId="1" fillId="35" borderId="9" xfId="0" applyNumberFormat="1" applyFont="1" applyFill="1" applyBorder="1" applyAlignment="1">
      <alignment horizontal="center"/>
    </xf>
    <xf numFmtId="39" fontId="1" fillId="35" borderId="28" xfId="0" applyNumberFormat="1" applyFont="1" applyFill="1" applyBorder="1" applyAlignment="1">
      <alignment horizontal="center"/>
    </xf>
    <xf numFmtId="39" fontId="0" fillId="35" borderId="29" xfId="0" applyNumberFormat="1" applyFill="1" applyBorder="1" applyAlignment="1">
      <alignment/>
    </xf>
    <xf numFmtId="39" fontId="0" fillId="35" borderId="0" xfId="0" applyNumberFormat="1" applyFill="1" applyBorder="1" applyAlignment="1">
      <alignment/>
    </xf>
    <xf numFmtId="39" fontId="0" fillId="35" borderId="30" xfId="0" applyNumberFormat="1" applyFill="1" applyBorder="1" applyAlignment="1">
      <alignment/>
    </xf>
    <xf numFmtId="39" fontId="0" fillId="35" borderId="30" xfId="0" applyNumberFormat="1" applyFont="1" applyFill="1" applyBorder="1" applyAlignment="1">
      <alignment/>
    </xf>
    <xf numFmtId="39" fontId="0" fillId="35" borderId="33" xfId="0" applyNumberFormat="1" applyFill="1" applyBorder="1" applyAlignment="1">
      <alignment/>
    </xf>
    <xf numFmtId="39" fontId="0" fillId="35" borderId="19" xfId="0" applyNumberFormat="1" applyFill="1" applyBorder="1" applyAlignment="1">
      <alignment/>
    </xf>
    <xf numFmtId="39" fontId="0" fillId="35" borderId="34" xfId="0" applyNumberFormat="1" applyFont="1" applyFill="1" applyBorder="1" applyAlignment="1">
      <alignment/>
    </xf>
    <xf numFmtId="39" fontId="0" fillId="35" borderId="0" xfId="0" applyNumberFormat="1" applyFill="1" applyAlignment="1">
      <alignment/>
    </xf>
    <xf numFmtId="39" fontId="0" fillId="35" borderId="31" xfId="0" applyNumberFormat="1" applyFill="1" applyBorder="1" applyAlignment="1">
      <alignment/>
    </xf>
    <xf numFmtId="39" fontId="0" fillId="35" borderId="32" xfId="0" applyNumberFormat="1" applyFill="1" applyBorder="1" applyAlignment="1">
      <alignment/>
    </xf>
    <xf numFmtId="9" fontId="0" fillId="35" borderId="29" xfId="0" applyNumberFormat="1" applyFill="1" applyBorder="1" applyAlignment="1">
      <alignment/>
    </xf>
    <xf numFmtId="9" fontId="0" fillId="35" borderId="0" xfId="0" applyNumberFormat="1" applyFill="1" applyBorder="1" applyAlignment="1">
      <alignment/>
    </xf>
    <xf numFmtId="9" fontId="0" fillId="35" borderId="30" xfId="0" applyNumberFormat="1" applyFill="1" applyBorder="1" applyAlignment="1">
      <alignment/>
    </xf>
    <xf numFmtId="39" fontId="12" fillId="0" borderId="42" xfId="58" applyNumberFormat="1" applyFont="1" applyBorder="1" applyAlignment="1" applyProtection="1">
      <alignment/>
      <protection locked="0"/>
    </xf>
    <xf numFmtId="39" fontId="12" fillId="0" borderId="43" xfId="58" applyNumberFormat="1" applyFont="1" applyBorder="1" applyAlignment="1" applyProtection="1">
      <alignment/>
      <protection locked="0"/>
    </xf>
    <xf numFmtId="39" fontId="12" fillId="0" borderId="44" xfId="58" applyNumberFormat="1" applyFont="1" applyBorder="1" applyAlignment="1" applyProtection="1">
      <alignment/>
      <protection locked="0"/>
    </xf>
    <xf numFmtId="39" fontId="18" fillId="0" borderId="44" xfId="58" applyNumberFormat="1" applyFont="1" applyBorder="1" applyAlignment="1" applyProtection="1">
      <alignment/>
      <protection locked="0"/>
    </xf>
    <xf numFmtId="39" fontId="11" fillId="34" borderId="20" xfId="58" applyNumberFormat="1" applyFont="1" applyFill="1" applyBorder="1" applyAlignment="1" applyProtection="1">
      <alignment/>
      <protection locked="0"/>
    </xf>
    <xf numFmtId="39" fontId="9" fillId="36" borderId="0" xfId="0" applyNumberFormat="1" applyFont="1" applyFill="1" applyBorder="1" applyAlignment="1">
      <alignment/>
    </xf>
    <xf numFmtId="39" fontId="0" fillId="36" borderId="0" xfId="0" applyNumberFormat="1" applyFill="1" applyAlignment="1">
      <alignment/>
    </xf>
    <xf numFmtId="39" fontId="1" fillId="0" borderId="12" xfId="58" applyNumberFormat="1" applyFont="1" applyBorder="1" applyAlignment="1" applyProtection="1">
      <alignment horizontal="center"/>
      <protection locked="0"/>
    </xf>
    <xf numFmtId="39" fontId="1" fillId="0" borderId="0" xfId="0" applyNumberFormat="1" applyFont="1" applyFill="1" applyBorder="1" applyAlignment="1">
      <alignment/>
    </xf>
    <xf numFmtId="39" fontId="2" fillId="0" borderId="20" xfId="0" applyNumberFormat="1" applyFont="1" applyFill="1" applyBorder="1" applyAlignment="1">
      <alignment/>
    </xf>
    <xf numFmtId="39" fontId="2" fillId="0" borderId="25" xfId="58" applyNumberFormat="1" applyFont="1" applyBorder="1" applyAlignment="1" applyProtection="1">
      <alignment/>
      <protection locked="0"/>
    </xf>
    <xf numFmtId="39" fontId="0" fillId="0" borderId="29" xfId="0" applyNumberFormat="1" applyFont="1" applyBorder="1" applyAlignment="1">
      <alignment/>
    </xf>
    <xf numFmtId="39" fontId="17" fillId="0" borderId="0" xfId="0" applyNumberFormat="1" applyFont="1" applyBorder="1" applyAlignment="1">
      <alignment/>
    </xf>
    <xf numFmtId="44" fontId="0" fillId="0" borderId="0" xfId="44" applyFont="1" applyAlignment="1">
      <alignment/>
    </xf>
    <xf numFmtId="39" fontId="4" fillId="0" borderId="14" xfId="0" applyNumberFormat="1" applyFont="1" applyFill="1" applyBorder="1" applyAlignment="1">
      <alignment/>
    </xf>
    <xf numFmtId="164" fontId="9" fillId="34" borderId="11" xfId="58" applyNumberFormat="1" applyFont="1" applyFill="1" applyBorder="1" applyAlignment="1" applyProtection="1">
      <alignment horizontal="left"/>
      <protection locked="0"/>
    </xf>
    <xf numFmtId="164" fontId="8" fillId="34" borderId="12" xfId="58" applyNumberFormat="1" applyFont="1" applyFill="1" applyBorder="1" applyAlignment="1" applyProtection="1">
      <alignment horizontal="center"/>
      <protection locked="0"/>
    </xf>
    <xf numFmtId="164" fontId="8" fillId="34" borderId="13" xfId="58" applyNumberFormat="1" applyFont="1" applyFill="1" applyBorder="1" applyAlignment="1" applyProtection="1">
      <alignment horizontal="center"/>
      <protection locked="0"/>
    </xf>
    <xf numFmtId="0" fontId="0" fillId="34" borderId="14" xfId="58" applyNumberFormat="1" applyFont="1" applyFill="1" applyBorder="1" applyAlignment="1" applyProtection="1">
      <alignment/>
      <protection locked="0"/>
    </xf>
    <xf numFmtId="0" fontId="0" fillId="34" borderId="0" xfId="58" applyNumberFormat="1" applyFont="1" applyFill="1" applyBorder="1" applyAlignment="1" applyProtection="1">
      <alignment/>
      <protection locked="0"/>
    </xf>
    <xf numFmtId="0" fontId="0" fillId="34" borderId="17" xfId="58" applyNumberFormat="1" applyFont="1" applyFill="1" applyBorder="1" applyAlignment="1" applyProtection="1">
      <alignment/>
      <protection locked="0"/>
    </xf>
    <xf numFmtId="0" fontId="9" fillId="34" borderId="14" xfId="58" applyNumberFormat="1" applyFont="1" applyFill="1" applyBorder="1" applyAlignment="1" applyProtection="1">
      <alignment horizontal="center"/>
      <protection locked="0"/>
    </xf>
    <xf numFmtId="0" fontId="9" fillId="34" borderId="0" xfId="58" applyNumberFormat="1" applyFont="1" applyFill="1" applyBorder="1" applyAlignment="1" applyProtection="1">
      <alignment horizontal="center"/>
      <protection locked="0"/>
    </xf>
    <xf numFmtId="0" fontId="0" fillId="34" borderId="17" xfId="0" applyFill="1" applyBorder="1" applyAlignment="1">
      <alignment/>
    </xf>
    <xf numFmtId="0" fontId="9" fillId="34" borderId="17" xfId="58" applyNumberFormat="1" applyFont="1" applyFill="1" applyBorder="1" applyAlignment="1" applyProtection="1">
      <alignment horizontal="center"/>
      <protection locked="0"/>
    </xf>
    <xf numFmtId="0" fontId="0" fillId="34" borderId="14" xfId="58" applyNumberFormat="1" applyFont="1" applyFill="1" applyBorder="1" applyAlignment="1" applyProtection="1">
      <alignment horizontal="center"/>
      <protection locked="0"/>
    </xf>
    <xf numFmtId="39" fontId="0" fillId="34" borderId="17" xfId="58" applyNumberFormat="1" applyFont="1" applyFill="1" applyBorder="1" applyAlignment="1" applyProtection="1">
      <alignment horizontal="right"/>
      <protection locked="0"/>
    </xf>
    <xf numFmtId="0" fontId="11" fillId="34" borderId="14" xfId="58" applyNumberFormat="1" applyFont="1" applyFill="1" applyBorder="1" applyAlignment="1" applyProtection="1">
      <alignment horizontal="center"/>
      <protection locked="0"/>
    </xf>
    <xf numFmtId="39" fontId="0" fillId="34" borderId="21" xfId="58" applyNumberFormat="1" applyFont="1" applyFill="1" applyBorder="1" applyAlignment="1" applyProtection="1">
      <alignment horizontal="right"/>
      <protection locked="0"/>
    </xf>
    <xf numFmtId="0" fontId="0" fillId="34" borderId="15" xfId="58" applyNumberFormat="1" applyFont="1" applyFill="1" applyBorder="1" applyAlignment="1" applyProtection="1">
      <alignment horizontal="left"/>
      <protection locked="0"/>
    </xf>
    <xf numFmtId="39" fontId="0" fillId="34" borderId="16" xfId="58" applyNumberFormat="1" applyFont="1" applyFill="1" applyBorder="1" applyAlignment="1" applyProtection="1">
      <alignment/>
      <protection locked="0"/>
    </xf>
    <xf numFmtId="37" fontId="52" fillId="37" borderId="0" xfId="58" applyNumberFormat="1" applyFont="1" applyFill="1" applyBorder="1" applyAlignment="1" applyProtection="1">
      <alignment/>
      <protection locked="0"/>
    </xf>
    <xf numFmtId="39" fontId="53" fillId="0" borderId="29" xfId="0" applyNumberFormat="1" applyFont="1" applyBorder="1" applyAlignment="1">
      <alignment/>
    </xf>
    <xf numFmtId="39" fontId="53" fillId="0" borderId="0" xfId="0" applyNumberFormat="1" applyFont="1" applyBorder="1" applyAlignment="1">
      <alignment/>
    </xf>
    <xf numFmtId="39" fontId="53" fillId="0" borderId="30" xfId="0" applyNumberFormat="1" applyFont="1" applyBorder="1" applyAlignment="1">
      <alignment/>
    </xf>
    <xf numFmtId="171" fontId="53" fillId="0" borderId="0" xfId="0" applyNumberFormat="1" applyFont="1" applyBorder="1" applyAlignment="1">
      <alignment/>
    </xf>
    <xf numFmtId="39" fontId="1" fillId="0" borderId="20" xfId="0" applyNumberFormat="1" applyFont="1" applyBorder="1" applyAlignment="1">
      <alignment horizontal="center"/>
    </xf>
    <xf numFmtId="183" fontId="0" fillId="0" borderId="0" xfId="42" applyNumberFormat="1" applyFont="1" applyAlignment="1">
      <alignment/>
    </xf>
    <xf numFmtId="9" fontId="0" fillId="0" borderId="0" xfId="61" applyFont="1" applyAlignment="1">
      <alignment/>
    </xf>
    <xf numFmtId="14" fontId="0" fillId="0" borderId="0" xfId="42" applyNumberFormat="1" applyFont="1" applyAlignment="1">
      <alignment/>
    </xf>
    <xf numFmtId="0" fontId="1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39" fontId="1" fillId="37" borderId="14" xfId="58" applyNumberFormat="1" applyFont="1" applyFill="1" applyBorder="1" applyAlignment="1" applyProtection="1">
      <alignment horizontal="center"/>
      <protection locked="0"/>
    </xf>
    <xf numFmtId="39" fontId="1" fillId="37" borderId="0" xfId="58" applyNumberFormat="1" applyFont="1" applyFill="1" applyBorder="1" applyAlignment="1" applyProtection="1">
      <alignment horizontal="center"/>
      <protection locked="0"/>
    </xf>
    <xf numFmtId="39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9" fontId="9" fillId="0" borderId="29" xfId="0" applyNumberFormat="1" applyFont="1" applyBorder="1" applyAlignment="1">
      <alignment horizontal="center"/>
    </xf>
    <xf numFmtId="39" fontId="9" fillId="0" borderId="30" xfId="0" applyNumberFormat="1" applyFont="1" applyBorder="1" applyAlignment="1">
      <alignment horizontal="center"/>
    </xf>
    <xf numFmtId="39" fontId="9" fillId="0" borderId="0" xfId="0" applyNumberFormat="1" applyFont="1" applyAlignment="1">
      <alignment horizontal="center"/>
    </xf>
    <xf numFmtId="0" fontId="9" fillId="35" borderId="29" xfId="0" applyFont="1" applyFill="1" applyBorder="1" applyAlignment="1">
      <alignment horizontal="center"/>
    </xf>
    <xf numFmtId="0" fontId="9" fillId="35" borderId="30" xfId="0" applyFont="1" applyFill="1" applyBorder="1" applyAlignment="1">
      <alignment horizontal="center"/>
    </xf>
    <xf numFmtId="39" fontId="1" fillId="35" borderId="27" xfId="0" applyNumberFormat="1" applyFont="1" applyFill="1" applyBorder="1" applyAlignment="1">
      <alignment horizontal="center"/>
    </xf>
    <xf numFmtId="39" fontId="1" fillId="35" borderId="9" xfId="0" applyNumberFormat="1" applyFont="1" applyFill="1" applyBorder="1" applyAlignment="1">
      <alignment horizontal="center"/>
    </xf>
    <xf numFmtId="39" fontId="1" fillId="35" borderId="28" xfId="0" applyNumberFormat="1" applyFont="1" applyFill="1" applyBorder="1" applyAlignment="1">
      <alignment horizontal="center"/>
    </xf>
    <xf numFmtId="39" fontId="1" fillId="0" borderId="27" xfId="0" applyNumberFormat="1" applyFont="1" applyBorder="1" applyAlignment="1">
      <alignment horizontal="center"/>
    </xf>
    <xf numFmtId="39" fontId="1" fillId="0" borderId="9" xfId="0" applyNumberFormat="1" applyFont="1" applyBorder="1" applyAlignment="1">
      <alignment horizontal="center"/>
    </xf>
    <xf numFmtId="39" fontId="1" fillId="0" borderId="28" xfId="0" applyNumberFormat="1" applyFont="1" applyBorder="1" applyAlignment="1">
      <alignment horizontal="center"/>
    </xf>
    <xf numFmtId="39" fontId="1" fillId="0" borderId="31" xfId="0" applyNumberFormat="1" applyFont="1" applyBorder="1" applyAlignment="1">
      <alignment horizontal="center"/>
    </xf>
    <xf numFmtId="39" fontId="1" fillId="0" borderId="20" xfId="0" applyNumberFormat="1" applyFont="1" applyBorder="1" applyAlignment="1">
      <alignment horizontal="center"/>
    </xf>
    <xf numFmtId="39" fontId="1" fillId="0" borderId="32" xfId="0" applyNumberFormat="1" applyFont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39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44" fontId="0" fillId="0" borderId="0" xfId="44" applyFont="1" applyAlignment="1">
      <alignment horizontal="center"/>
    </xf>
    <xf numFmtId="44" fontId="0" fillId="0" borderId="20" xfId="44" applyFont="1" applyBorder="1" applyAlignment="1">
      <alignment horizontal="center"/>
    </xf>
    <xf numFmtId="37" fontId="1" fillId="0" borderId="20" xfId="0" applyNumberFormat="1" applyFont="1" applyBorder="1" applyAlignment="1">
      <alignment horizontal="center"/>
    </xf>
    <xf numFmtId="183" fontId="0" fillId="37" borderId="0" xfId="42" applyNumberFormat="1" applyFont="1" applyFill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INV10HANDLING" xfId="58"/>
    <cellStyle name="Note" xfId="59"/>
    <cellStyle name="Output" xfId="60"/>
    <cellStyle name="Percent" xfId="61"/>
    <cellStyle name="PSChar" xfId="62"/>
    <cellStyle name="PSDate" xfId="63"/>
    <cellStyle name="PSDec" xfId="64"/>
    <cellStyle name="PSHeading" xfId="65"/>
    <cellStyle name="PSSpacer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03CO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V03CO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V03OI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V03HANDLING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REC03CO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G SANDY CM"/>
      <sheetName val="BIG SANDY PM"/>
      <sheetName val="AP DIST CONTROL"/>
    </sheetNames>
    <sheetDataSet>
      <sheetData sheetId="2">
        <row r="3">
          <cell r="A3" t="str">
            <v>OCTOBER 2013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BIG SANDY"/>
      <sheetName val="CONTROL"/>
      <sheetName val="Risk Assessment"/>
      <sheetName val="Complex SS Info"/>
    </sheetNames>
    <sheetDataSet>
      <sheetData sheetId="1">
        <row r="7">
          <cell r="B7">
            <v>645958.34</v>
          </cell>
          <cell r="C7">
            <v>51643385.559999995</v>
          </cell>
        </row>
        <row r="9">
          <cell r="B9">
            <v>51997.02</v>
          </cell>
        </row>
        <row r="15">
          <cell r="B15">
            <v>3904</v>
          </cell>
          <cell r="C15">
            <v>312524.91000000003</v>
          </cell>
        </row>
        <row r="16">
          <cell r="B16">
            <v>0</v>
          </cell>
          <cell r="C16">
            <v>0</v>
          </cell>
        </row>
        <row r="18">
          <cell r="B18">
            <v>0</v>
          </cell>
          <cell r="C18">
            <v>0</v>
          </cell>
        </row>
        <row r="21">
          <cell r="E21">
            <v>11475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G SANDY"/>
      <sheetName val="CONTROLS"/>
      <sheetName val="Risk Assessment"/>
      <sheetName val="Complex SS Info"/>
    </sheetNames>
    <sheetDataSet>
      <sheetData sheetId="0">
        <row r="7">
          <cell r="B7">
            <v>283290.89999999997</v>
          </cell>
          <cell r="C7">
            <v>864253.93</v>
          </cell>
        </row>
        <row r="9">
          <cell r="B9">
            <v>0</v>
          </cell>
          <cell r="C9">
            <v>0</v>
          </cell>
        </row>
        <row r="13">
          <cell r="B13">
            <v>3971.3999999999996</v>
          </cell>
          <cell r="C13">
            <v>12115.810000000001</v>
          </cell>
        </row>
        <row r="14">
          <cell r="B14">
            <v>0</v>
          </cell>
          <cell r="C14">
            <v>0</v>
          </cell>
        </row>
        <row r="17">
          <cell r="E17">
            <v>136600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IG SANDY"/>
      <sheetName val="CONTROLS"/>
    </sheetNames>
    <sheetDataSet>
      <sheetData sheetId="1">
        <row r="7">
          <cell r="B7">
            <v>645958.34</v>
          </cell>
          <cell r="C7">
            <v>1816225.75</v>
          </cell>
        </row>
        <row r="9">
          <cell r="B9">
            <v>51997.02</v>
          </cell>
          <cell r="C9">
            <v>359096.88</v>
          </cell>
        </row>
        <row r="13">
          <cell r="B13">
            <v>3904</v>
          </cell>
          <cell r="C13">
            <v>12167.6</v>
          </cell>
        </row>
        <row r="14">
          <cell r="B14">
            <v>0</v>
          </cell>
          <cell r="C14">
            <v>0</v>
          </cell>
        </row>
        <row r="15">
          <cell r="B15">
            <v>0</v>
          </cell>
          <cell r="C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IG SANDY"/>
      <sheetName val="CONTROL"/>
    </sheetNames>
    <sheetDataSet>
      <sheetData sheetId="1">
        <row r="22">
          <cell r="C22">
            <v>4000510.77</v>
          </cell>
          <cell r="D22">
            <v>229166.67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13"/>
  <sheetViews>
    <sheetView zoomScale="75" zoomScaleNormal="75" zoomScalePageLayoutView="0" workbookViewId="0" topLeftCell="A49">
      <selection activeCell="A103" sqref="A103"/>
    </sheetView>
  </sheetViews>
  <sheetFormatPr defaultColWidth="13.8515625" defaultRowHeight="12.75"/>
  <cols>
    <col min="1" max="1" width="38.00390625" style="21" customWidth="1"/>
    <col min="2" max="2" width="17.140625" style="21" bestFit="1" customWidth="1"/>
    <col min="3" max="3" width="13.8515625" style="21" customWidth="1"/>
    <col min="4" max="4" width="20.140625" style="21" bestFit="1" customWidth="1"/>
    <col min="5" max="5" width="15.140625" style="21" bestFit="1" customWidth="1"/>
    <col min="6" max="6" width="14.8515625" style="21" bestFit="1" customWidth="1"/>
    <col min="7" max="7" width="15.57421875" style="21" bestFit="1" customWidth="1"/>
    <col min="8" max="8" width="16.8515625" style="21" customWidth="1"/>
    <col min="9" max="9" width="19.7109375" style="21" bestFit="1" customWidth="1"/>
    <col min="10" max="11" width="14.57421875" style="21" customWidth="1"/>
    <col min="12" max="12" width="19.7109375" style="21" bestFit="1" customWidth="1"/>
    <col min="13" max="13" width="15.7109375" style="21" bestFit="1" customWidth="1"/>
    <col min="14" max="16384" width="13.8515625" style="21" customWidth="1"/>
  </cols>
  <sheetData>
    <row r="1" spans="1:12" ht="12.75">
      <c r="A1" s="204" t="s">
        <v>140</v>
      </c>
      <c r="B1" s="204"/>
      <c r="C1" s="204"/>
      <c r="D1" s="204"/>
      <c r="E1" s="204"/>
      <c r="F1" s="204"/>
      <c r="G1" s="204"/>
      <c r="H1" s="204"/>
      <c r="I1" s="86"/>
      <c r="J1" s="86"/>
      <c r="K1" s="86"/>
      <c r="L1" s="86"/>
    </row>
    <row r="2" spans="1:12" ht="12.75">
      <c r="A2" s="204" t="s">
        <v>35</v>
      </c>
      <c r="B2" s="204"/>
      <c r="C2" s="204"/>
      <c r="D2" s="204"/>
      <c r="E2" s="204"/>
      <c r="F2" s="204"/>
      <c r="G2" s="204"/>
      <c r="H2" s="204"/>
      <c r="I2" s="86"/>
      <c r="J2" s="86"/>
      <c r="K2" s="86"/>
      <c r="L2" s="86"/>
    </row>
    <row r="3" spans="1:12" ht="13.5" thickBot="1">
      <c r="A3" s="205" t="str">
        <f>+'[1]AP DIST CONTROL'!$A$3:$B$3</f>
        <v>OCTOBER 2013</v>
      </c>
      <c r="B3" s="205"/>
      <c r="C3" s="205"/>
      <c r="D3" s="205"/>
      <c r="E3" s="205"/>
      <c r="F3" s="205"/>
      <c r="G3" s="205"/>
      <c r="H3" s="205"/>
      <c r="I3" s="86"/>
      <c r="J3" s="86"/>
      <c r="K3" s="86"/>
      <c r="L3" s="86"/>
    </row>
    <row r="4" spans="1:12" ht="12.75">
      <c r="A4" s="36" t="s">
        <v>36</v>
      </c>
      <c r="B4" s="37"/>
      <c r="C4" s="38"/>
      <c r="D4" s="79"/>
      <c r="E4" s="79"/>
      <c r="F4" s="79"/>
      <c r="G4"/>
      <c r="H4"/>
      <c r="I4"/>
      <c r="J4" s="79"/>
      <c r="K4" s="79"/>
      <c r="L4" s="79"/>
    </row>
    <row r="5" spans="1:12" ht="12.75">
      <c r="A5" s="22"/>
      <c r="B5" s="23"/>
      <c r="C5" s="24"/>
      <c r="D5" s="23"/>
      <c r="E5" s="23"/>
      <c r="F5" s="23"/>
      <c r="G5"/>
      <c r="H5"/>
      <c r="I5"/>
      <c r="J5" s="23"/>
      <c r="K5" s="23"/>
      <c r="L5" s="23"/>
    </row>
    <row r="6" spans="1:12" ht="12.75">
      <c r="A6" s="25"/>
      <c r="B6" s="26" t="s">
        <v>30</v>
      </c>
      <c r="C6" s="82"/>
      <c r="D6" s="80"/>
      <c r="E6" s="80"/>
      <c r="F6" s="80"/>
      <c r="G6"/>
      <c r="H6"/>
      <c r="I6"/>
      <c r="J6" s="80"/>
      <c r="K6" s="80"/>
      <c r="L6" s="80"/>
    </row>
    <row r="7" spans="1:13" ht="12.75">
      <c r="A7" s="25" t="s">
        <v>31</v>
      </c>
      <c r="B7" s="26" t="s">
        <v>34</v>
      </c>
      <c r="C7" s="27" t="s">
        <v>102</v>
      </c>
      <c r="D7"/>
      <c r="E7"/>
      <c r="F7"/>
      <c r="G7"/>
      <c r="H7"/>
      <c r="I7"/>
      <c r="J7"/>
      <c r="K7"/>
      <c r="L7"/>
      <c r="M7"/>
    </row>
    <row r="8" spans="1:13" ht="12.75">
      <c r="A8" s="28" t="s">
        <v>33</v>
      </c>
      <c r="B8" s="143">
        <v>34903.91</v>
      </c>
      <c r="C8" s="83">
        <f>+B8</f>
        <v>34903.91</v>
      </c>
      <c r="D8"/>
      <c r="E8"/>
      <c r="F8"/>
      <c r="G8"/>
      <c r="H8"/>
      <c r="I8"/>
      <c r="J8"/>
      <c r="K8"/>
      <c r="L8"/>
      <c r="M8"/>
    </row>
    <row r="9" spans="1:13" ht="12.75">
      <c r="A9" s="31" t="s">
        <v>100</v>
      </c>
      <c r="B9" s="138">
        <v>0</v>
      </c>
      <c r="C9" s="83">
        <f aca="true" t="shared" si="0" ref="C9:C20">+B9</f>
        <v>0</v>
      </c>
      <c r="D9"/>
      <c r="E9"/>
      <c r="F9"/>
      <c r="G9"/>
      <c r="H9"/>
      <c r="I9"/>
      <c r="J9"/>
      <c r="K9"/>
      <c r="L9"/>
      <c r="M9"/>
    </row>
    <row r="10" spans="1:13" ht="12.75">
      <c r="A10" s="31" t="s">
        <v>101</v>
      </c>
      <c r="B10" s="138">
        <v>0</v>
      </c>
      <c r="C10" s="83">
        <f t="shared" si="0"/>
        <v>0</v>
      </c>
      <c r="D10"/>
      <c r="E10"/>
      <c r="F10"/>
      <c r="G10"/>
      <c r="H10"/>
      <c r="I10"/>
      <c r="J10"/>
      <c r="K10"/>
      <c r="L10"/>
      <c r="M10"/>
    </row>
    <row r="11" spans="1:13" ht="12.75">
      <c r="A11" s="31"/>
      <c r="B11" s="138">
        <v>0</v>
      </c>
      <c r="C11" s="83">
        <f t="shared" si="0"/>
        <v>0</v>
      </c>
      <c r="D11"/>
      <c r="E11"/>
      <c r="F11"/>
      <c r="G11"/>
      <c r="H11"/>
      <c r="I11"/>
      <c r="J11"/>
      <c r="K11"/>
      <c r="L11"/>
      <c r="M11"/>
    </row>
    <row r="12" spans="1:13" ht="12.75">
      <c r="A12" s="31"/>
      <c r="B12" s="138">
        <v>0</v>
      </c>
      <c r="C12" s="83">
        <f t="shared" si="0"/>
        <v>0</v>
      </c>
      <c r="D12"/>
      <c r="E12"/>
      <c r="F12"/>
      <c r="G12"/>
      <c r="H12"/>
      <c r="I12"/>
      <c r="J12"/>
      <c r="K12"/>
      <c r="L12"/>
      <c r="M12"/>
    </row>
    <row r="13" spans="1:13" ht="12.75">
      <c r="A13" s="31"/>
      <c r="B13" s="138">
        <v>0</v>
      </c>
      <c r="C13" s="83">
        <f t="shared" si="0"/>
        <v>0</v>
      </c>
      <c r="D13"/>
      <c r="E13"/>
      <c r="F13"/>
      <c r="G13"/>
      <c r="H13"/>
      <c r="I13"/>
      <c r="J13"/>
      <c r="K13"/>
      <c r="L13"/>
      <c r="M13"/>
    </row>
    <row r="14" spans="1:13" ht="12.75">
      <c r="A14" s="31"/>
      <c r="B14" s="138">
        <v>0</v>
      </c>
      <c r="C14" s="83">
        <f t="shared" si="0"/>
        <v>0</v>
      </c>
      <c r="D14"/>
      <c r="E14"/>
      <c r="F14"/>
      <c r="G14"/>
      <c r="H14"/>
      <c r="I14"/>
      <c r="J14"/>
      <c r="K14"/>
      <c r="L14"/>
      <c r="M14"/>
    </row>
    <row r="15" spans="1:13" ht="12.75">
      <c r="A15" s="31"/>
      <c r="B15" s="138">
        <v>0</v>
      </c>
      <c r="C15" s="83">
        <f t="shared" si="0"/>
        <v>0</v>
      </c>
      <c r="D15"/>
      <c r="E15"/>
      <c r="F15"/>
      <c r="G15"/>
      <c r="H15"/>
      <c r="I15"/>
      <c r="J15"/>
      <c r="K15"/>
      <c r="L15"/>
      <c r="M15"/>
    </row>
    <row r="16" spans="1:13" ht="12.75">
      <c r="A16" s="31"/>
      <c r="B16" s="138">
        <v>0</v>
      </c>
      <c r="C16" s="83">
        <f t="shared" si="0"/>
        <v>0</v>
      </c>
      <c r="D16"/>
      <c r="E16"/>
      <c r="F16"/>
      <c r="G16"/>
      <c r="H16"/>
      <c r="I16"/>
      <c r="J16"/>
      <c r="K16"/>
      <c r="L16"/>
      <c r="M16"/>
    </row>
    <row r="17" spans="1:13" ht="12.75">
      <c r="A17" s="31"/>
      <c r="B17" s="138">
        <v>0</v>
      </c>
      <c r="C17" s="83">
        <f t="shared" si="0"/>
        <v>0</v>
      </c>
      <c r="D17"/>
      <c r="E17"/>
      <c r="F17"/>
      <c r="G17"/>
      <c r="H17"/>
      <c r="I17"/>
      <c r="J17"/>
      <c r="K17"/>
      <c r="L17"/>
      <c r="M17"/>
    </row>
    <row r="18" spans="1:13" ht="12.75">
      <c r="A18" s="31"/>
      <c r="B18" s="138">
        <v>0</v>
      </c>
      <c r="C18" s="83">
        <f t="shared" si="0"/>
        <v>0</v>
      </c>
      <c r="D18"/>
      <c r="E18"/>
      <c r="F18"/>
      <c r="G18"/>
      <c r="H18"/>
      <c r="I18"/>
      <c r="J18"/>
      <c r="K18"/>
      <c r="L18"/>
      <c r="M18"/>
    </row>
    <row r="19" spans="1:13" ht="12.75">
      <c r="A19" s="31"/>
      <c r="B19" s="138">
        <v>0</v>
      </c>
      <c r="C19" s="83">
        <f t="shared" si="0"/>
        <v>0</v>
      </c>
      <c r="D19"/>
      <c r="E19"/>
      <c r="F19"/>
      <c r="G19"/>
      <c r="H19"/>
      <c r="I19"/>
      <c r="J19"/>
      <c r="K19"/>
      <c r="L19"/>
      <c r="M19"/>
    </row>
    <row r="20" spans="1:13" ht="12.75">
      <c r="A20" s="28"/>
      <c r="B20" s="168">
        <v>0</v>
      </c>
      <c r="C20" s="84">
        <f t="shared" si="0"/>
        <v>0</v>
      </c>
      <c r="D20"/>
      <c r="E20"/>
      <c r="F20"/>
      <c r="G20"/>
      <c r="H20"/>
      <c r="I20"/>
      <c r="J20"/>
      <c r="K20"/>
      <c r="L20"/>
      <c r="M20"/>
    </row>
    <row r="21" spans="1:13" ht="13.5" thickBot="1">
      <c r="A21" s="44" t="s">
        <v>32</v>
      </c>
      <c r="B21" s="39">
        <f>SUM(B8:B20)</f>
        <v>34903.91</v>
      </c>
      <c r="C21" s="41">
        <f>SUM(C8:C20)</f>
        <v>34903.91</v>
      </c>
      <c r="D21"/>
      <c r="E21"/>
      <c r="F21"/>
      <c r="G21"/>
      <c r="H21"/>
      <c r="I21"/>
      <c r="J21"/>
      <c r="K21"/>
      <c r="L21"/>
      <c r="M21"/>
    </row>
    <row r="22" spans="1:13" ht="12.75">
      <c r="A22" s="34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2:13" ht="13.5" thickBot="1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1:13" s="23" customFormat="1" ht="12.75">
      <c r="A24" s="179" t="s">
        <v>125</v>
      </c>
      <c r="B24" s="180"/>
      <c r="C24" s="181"/>
      <c r="D24" s="79"/>
      <c r="E24" s="79"/>
      <c r="F24" s="79"/>
      <c r="G24" s="79"/>
      <c r="H24" s="79"/>
      <c r="I24" s="79"/>
      <c r="J24" s="79"/>
      <c r="K24" s="79"/>
      <c r="L24" s="79"/>
      <c r="M24" s="29"/>
    </row>
    <row r="25" spans="1:13" s="23" customFormat="1" ht="12.75">
      <c r="A25" s="182"/>
      <c r="B25" s="183"/>
      <c r="C25" s="184"/>
      <c r="M25" s="29"/>
    </row>
    <row r="26" spans="1:13" s="23" customFormat="1" ht="12.75">
      <c r="A26" s="185"/>
      <c r="B26" s="186" t="s">
        <v>30</v>
      </c>
      <c r="C26" s="187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s="23" customFormat="1" ht="12.75">
      <c r="A27" s="185" t="s">
        <v>31</v>
      </c>
      <c r="B27" s="186" t="s">
        <v>37</v>
      </c>
      <c r="C27" s="188" t="s">
        <v>102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</row>
    <row r="28" spans="1:13" s="23" customFormat="1" ht="12.75">
      <c r="A28" s="189" t="s">
        <v>33</v>
      </c>
      <c r="B28" s="143">
        <v>312524.91</v>
      </c>
      <c r="C28" s="190">
        <f>+B28</f>
        <v>312524.91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</row>
    <row r="29" spans="1:13" s="23" customFormat="1" ht="12.75">
      <c r="A29" s="191" t="s">
        <v>101</v>
      </c>
      <c r="B29" s="138">
        <v>0</v>
      </c>
      <c r="C29" s="190">
        <f aca="true" t="shared" si="1" ref="C29:C35">+B29</f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</row>
    <row r="30" spans="1:13" s="23" customFormat="1" ht="12.75">
      <c r="A30" s="191" t="s">
        <v>103</v>
      </c>
      <c r="B30" s="138">
        <v>0</v>
      </c>
      <c r="C30" s="190">
        <f t="shared" si="1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</row>
    <row r="31" spans="1:13" s="23" customFormat="1" ht="12.75">
      <c r="A31" s="191"/>
      <c r="B31" s="138">
        <v>0</v>
      </c>
      <c r="C31" s="190">
        <f t="shared" si="1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</row>
    <row r="32" spans="1:13" s="23" customFormat="1" ht="12.75">
      <c r="A32" s="191"/>
      <c r="B32" s="138">
        <v>0</v>
      </c>
      <c r="C32" s="190">
        <f t="shared" si="1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</row>
    <row r="33" spans="1:13" s="23" customFormat="1" ht="12.75">
      <c r="A33" s="191"/>
      <c r="B33" s="138">
        <v>0</v>
      </c>
      <c r="C33" s="190">
        <f t="shared" si="1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</row>
    <row r="34" spans="1:13" s="23" customFormat="1" ht="12.75">
      <c r="A34" s="191"/>
      <c r="B34" s="138">
        <v>0</v>
      </c>
      <c r="C34" s="190">
        <f t="shared" si="1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</row>
    <row r="35" spans="1:13" s="23" customFormat="1" ht="13.5" customHeight="1">
      <c r="A35" s="191"/>
      <c r="B35" s="140">
        <v>0</v>
      </c>
      <c r="C35" s="192">
        <f t="shared" si="1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</row>
    <row r="36" spans="1:13" s="23" customFormat="1" ht="13.5" thickBot="1">
      <c r="A36" s="193" t="s">
        <v>32</v>
      </c>
      <c r="B36" s="78">
        <f>SUM(B28:B35)</f>
        <v>312524.91</v>
      </c>
      <c r="C36" s="194">
        <f>SUM(C28:C35)</f>
        <v>312524.91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</row>
    <row r="37" spans="1:13" ht="12.75">
      <c r="A37" s="34"/>
      <c r="B37" s="32"/>
      <c r="C37" s="32"/>
      <c r="D37"/>
      <c r="E37"/>
      <c r="F37"/>
      <c r="G37"/>
      <c r="H37"/>
      <c r="I37"/>
      <c r="J37"/>
      <c r="K37"/>
      <c r="L37"/>
      <c r="M37"/>
    </row>
    <row r="38" spans="1:13" ht="13.5" thickBot="1">
      <c r="A38" s="34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1:13" s="23" customFormat="1" ht="12.75">
      <c r="A39" s="179" t="s">
        <v>128</v>
      </c>
      <c r="B39" s="180"/>
      <c r="C39" s="181"/>
      <c r="D39" s="79"/>
      <c r="E39" s="79"/>
      <c r="F39" s="79"/>
      <c r="G39" s="79"/>
      <c r="H39" s="79"/>
      <c r="I39" s="79"/>
      <c r="J39" s="79"/>
      <c r="K39" s="79"/>
      <c r="L39" s="79"/>
      <c r="M39" s="29"/>
    </row>
    <row r="40" spans="1:13" s="23" customFormat="1" ht="12.75">
      <c r="A40" s="182"/>
      <c r="B40" s="183"/>
      <c r="C40" s="184"/>
      <c r="M40" s="29"/>
    </row>
    <row r="41" spans="1:13" s="23" customFormat="1" ht="12.75">
      <c r="A41" s="185"/>
      <c r="B41" s="186" t="s">
        <v>30</v>
      </c>
      <c r="C41" s="187"/>
      <c r="D41"/>
      <c r="E41"/>
      <c r="F41"/>
      <c r="G41"/>
      <c r="H41"/>
      <c r="I41"/>
      <c r="J41"/>
      <c r="K41"/>
      <c r="L41"/>
      <c r="M41" s="29"/>
    </row>
    <row r="42" spans="1:13" s="23" customFormat="1" ht="12.75">
      <c r="A42" s="185" t="s">
        <v>31</v>
      </c>
      <c r="B42" s="186" t="s">
        <v>38</v>
      </c>
      <c r="C42" s="188" t="s">
        <v>102</v>
      </c>
      <c r="D42"/>
      <c r="E42"/>
      <c r="F42"/>
      <c r="G42"/>
      <c r="H42"/>
      <c r="I42"/>
      <c r="J42"/>
      <c r="K42"/>
      <c r="L42"/>
      <c r="M42"/>
    </row>
    <row r="43" spans="1:13" s="23" customFormat="1" ht="12.75">
      <c r="A43" s="189" t="s">
        <v>33</v>
      </c>
      <c r="B43" s="143">
        <v>12167.6</v>
      </c>
      <c r="C43" s="190">
        <f>+B43</f>
        <v>12167.6</v>
      </c>
      <c r="D43"/>
      <c r="E43"/>
      <c r="F43"/>
      <c r="G43"/>
      <c r="H43"/>
      <c r="I43"/>
      <c r="J43"/>
      <c r="K43"/>
      <c r="L43"/>
      <c r="M43"/>
    </row>
    <row r="44" spans="1:13" s="23" customFormat="1" ht="12.75">
      <c r="A44" s="191" t="s">
        <v>101</v>
      </c>
      <c r="B44" s="138">
        <v>0</v>
      </c>
      <c r="C44" s="190">
        <f aca="true" t="shared" si="2" ref="C44:C53">+B44</f>
        <v>0</v>
      </c>
      <c r="D44"/>
      <c r="E44"/>
      <c r="F44"/>
      <c r="G44"/>
      <c r="H44"/>
      <c r="I44"/>
      <c r="J44"/>
      <c r="K44"/>
      <c r="L44"/>
      <c r="M44"/>
    </row>
    <row r="45" spans="1:13" s="23" customFormat="1" ht="12.75">
      <c r="A45" s="191" t="s">
        <v>103</v>
      </c>
      <c r="B45" s="138">
        <v>0</v>
      </c>
      <c r="C45" s="190">
        <f t="shared" si="2"/>
        <v>0</v>
      </c>
      <c r="D45"/>
      <c r="E45"/>
      <c r="F45"/>
      <c r="G45"/>
      <c r="H45"/>
      <c r="I45"/>
      <c r="J45"/>
      <c r="K45"/>
      <c r="L45"/>
      <c r="M45"/>
    </row>
    <row r="46" spans="1:13" s="23" customFormat="1" ht="12.75">
      <c r="A46" s="191"/>
      <c r="B46" s="138">
        <v>0</v>
      </c>
      <c r="C46" s="190">
        <f t="shared" si="2"/>
        <v>0</v>
      </c>
      <c r="D46"/>
      <c r="E46"/>
      <c r="F46"/>
      <c r="G46"/>
      <c r="H46"/>
      <c r="I46"/>
      <c r="J46"/>
      <c r="K46"/>
      <c r="L46"/>
      <c r="M46"/>
    </row>
    <row r="47" spans="1:13" s="23" customFormat="1" ht="12.75">
      <c r="A47" s="191"/>
      <c r="B47" s="138">
        <v>0</v>
      </c>
      <c r="C47" s="190">
        <f t="shared" si="2"/>
        <v>0</v>
      </c>
      <c r="D47"/>
      <c r="E47"/>
      <c r="F47"/>
      <c r="G47"/>
      <c r="H47"/>
      <c r="I47"/>
      <c r="J47"/>
      <c r="K47"/>
      <c r="L47"/>
      <c r="M47"/>
    </row>
    <row r="48" spans="1:13" s="23" customFormat="1" ht="12.75">
      <c r="A48" s="191"/>
      <c r="B48" s="138">
        <v>0</v>
      </c>
      <c r="C48" s="190">
        <f t="shared" si="2"/>
        <v>0</v>
      </c>
      <c r="D48"/>
      <c r="E48"/>
      <c r="F48"/>
      <c r="G48"/>
      <c r="H48"/>
      <c r="I48"/>
      <c r="J48"/>
      <c r="K48"/>
      <c r="L48"/>
      <c r="M48"/>
    </row>
    <row r="49" spans="1:13" s="23" customFormat="1" ht="12.75">
      <c r="A49" s="191"/>
      <c r="B49" s="138">
        <v>0</v>
      </c>
      <c r="C49" s="190">
        <f t="shared" si="2"/>
        <v>0</v>
      </c>
      <c r="D49"/>
      <c r="E49"/>
      <c r="F49"/>
      <c r="G49"/>
      <c r="H49"/>
      <c r="I49"/>
      <c r="J49"/>
      <c r="K49"/>
      <c r="L49"/>
      <c r="M49"/>
    </row>
    <row r="50" spans="1:13" s="23" customFormat="1" ht="12.75">
      <c r="A50" s="191"/>
      <c r="B50" s="138">
        <v>0</v>
      </c>
      <c r="C50" s="190">
        <f t="shared" si="2"/>
        <v>0</v>
      </c>
      <c r="D50"/>
      <c r="E50"/>
      <c r="F50"/>
      <c r="G50"/>
      <c r="H50"/>
      <c r="I50"/>
      <c r="J50"/>
      <c r="K50"/>
      <c r="L50"/>
      <c r="M50"/>
    </row>
    <row r="51" spans="1:13" s="23" customFormat="1" ht="12.75">
      <c r="A51" s="191"/>
      <c r="B51" s="138">
        <v>0</v>
      </c>
      <c r="C51" s="190">
        <f t="shared" si="2"/>
        <v>0</v>
      </c>
      <c r="D51"/>
      <c r="E51"/>
      <c r="F51"/>
      <c r="G51"/>
      <c r="H51"/>
      <c r="I51"/>
      <c r="J51"/>
      <c r="K51"/>
      <c r="L51"/>
      <c r="M51"/>
    </row>
    <row r="52" spans="1:13" s="23" customFormat="1" ht="12.75">
      <c r="A52" s="191"/>
      <c r="B52" s="138">
        <v>0</v>
      </c>
      <c r="C52" s="190">
        <f t="shared" si="2"/>
        <v>0</v>
      </c>
      <c r="D52"/>
      <c r="E52"/>
      <c r="F52"/>
      <c r="G52"/>
      <c r="H52"/>
      <c r="I52"/>
      <c r="J52"/>
      <c r="K52"/>
      <c r="L52"/>
      <c r="M52"/>
    </row>
    <row r="53" spans="1:13" s="23" customFormat="1" ht="12.75">
      <c r="A53" s="191"/>
      <c r="B53" s="140">
        <v>0</v>
      </c>
      <c r="C53" s="192">
        <f t="shared" si="2"/>
        <v>0</v>
      </c>
      <c r="D53"/>
      <c r="E53"/>
      <c r="F53"/>
      <c r="G53"/>
      <c r="H53"/>
      <c r="I53"/>
      <c r="J53"/>
      <c r="K53"/>
      <c r="L53"/>
      <c r="M53"/>
    </row>
    <row r="54" spans="1:13" s="23" customFormat="1" ht="13.5" thickBot="1">
      <c r="A54" s="193" t="s">
        <v>32</v>
      </c>
      <c r="B54" s="78">
        <f>SUM(B43:B53)</f>
        <v>12167.6</v>
      </c>
      <c r="C54" s="194">
        <f>SUM(C43:C53)</f>
        <v>12167.6</v>
      </c>
      <c r="D54"/>
      <c r="E54"/>
      <c r="F54"/>
      <c r="G54"/>
      <c r="H54"/>
      <c r="I54"/>
      <c r="J54"/>
      <c r="K54"/>
      <c r="L54"/>
      <c r="M54"/>
    </row>
    <row r="55" spans="1:13" ht="12.75">
      <c r="A55" s="34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</row>
    <row r="56" spans="1:13" ht="13.5" thickBot="1">
      <c r="A56" s="34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</row>
    <row r="57" spans="1:13" s="23" customFormat="1" ht="12.75">
      <c r="A57" s="36" t="s">
        <v>133</v>
      </c>
      <c r="B57" s="37"/>
      <c r="C57" s="38"/>
      <c r="D57" s="79"/>
      <c r="E57" s="79"/>
      <c r="F57" s="79"/>
      <c r="G57" s="79"/>
      <c r="H57" s="79"/>
      <c r="I57" s="79"/>
      <c r="J57" s="79"/>
      <c r="K57" s="79"/>
      <c r="L57" s="79"/>
      <c r="M57" s="29"/>
    </row>
    <row r="58" spans="1:13" s="23" customFormat="1" ht="12.75">
      <c r="A58" s="22"/>
      <c r="C58" s="24"/>
      <c r="M58" s="29"/>
    </row>
    <row r="59" spans="1:13" s="23" customFormat="1" ht="12.75">
      <c r="A59" s="25"/>
      <c r="B59" s="26" t="s">
        <v>30</v>
      </c>
      <c r="C59" s="82"/>
      <c r="D59" s="80"/>
      <c r="E59" s="80"/>
      <c r="F59" s="80"/>
      <c r="G59" s="80"/>
      <c r="H59" s="80"/>
      <c r="I59" s="80"/>
      <c r="J59" s="80"/>
      <c r="K59" s="80"/>
      <c r="L59" s="80"/>
      <c r="M59" s="29"/>
    </row>
    <row r="60" spans="1:13" s="23" customFormat="1" ht="12.75">
      <c r="A60" s="25" t="s">
        <v>31</v>
      </c>
      <c r="B60" s="26" t="s">
        <v>132</v>
      </c>
      <c r="C60" s="27" t="s">
        <v>102</v>
      </c>
      <c r="D60"/>
      <c r="E60"/>
      <c r="F60"/>
      <c r="G60"/>
      <c r="H60"/>
      <c r="I60"/>
      <c r="J60"/>
      <c r="K60"/>
      <c r="L60"/>
      <c r="M60"/>
    </row>
    <row r="61" spans="1:13" s="23" customFormat="1" ht="12.75">
      <c r="A61" s="28" t="s">
        <v>33</v>
      </c>
      <c r="B61" s="143">
        <v>0</v>
      </c>
      <c r="C61" s="83">
        <f>+B61</f>
        <v>0</v>
      </c>
      <c r="D61"/>
      <c r="E61"/>
      <c r="F61"/>
      <c r="G61"/>
      <c r="H61"/>
      <c r="I61"/>
      <c r="J61"/>
      <c r="K61"/>
      <c r="L61"/>
      <c r="M61"/>
    </row>
    <row r="62" spans="1:13" s="23" customFormat="1" ht="12.75">
      <c r="A62" s="31" t="s">
        <v>104</v>
      </c>
      <c r="B62" s="138">
        <v>0</v>
      </c>
      <c r="C62" s="83">
        <f>+B62</f>
        <v>0</v>
      </c>
      <c r="D62"/>
      <c r="E62"/>
      <c r="F62"/>
      <c r="G62"/>
      <c r="H62"/>
      <c r="I62"/>
      <c r="J62"/>
      <c r="K62"/>
      <c r="L62"/>
      <c r="M62"/>
    </row>
    <row r="63" spans="1:13" s="23" customFormat="1" ht="12.75">
      <c r="A63" s="31"/>
      <c r="B63" s="138">
        <v>0</v>
      </c>
      <c r="C63" s="83">
        <f>+B63</f>
        <v>0</v>
      </c>
      <c r="D63"/>
      <c r="E63"/>
      <c r="F63"/>
      <c r="G63"/>
      <c r="H63"/>
      <c r="I63"/>
      <c r="J63"/>
      <c r="K63"/>
      <c r="L63"/>
      <c r="M63"/>
    </row>
    <row r="64" spans="1:13" s="23" customFormat="1" ht="15" customHeight="1">
      <c r="A64" s="31"/>
      <c r="B64" s="138">
        <v>0</v>
      </c>
      <c r="C64" s="83">
        <f>+B64</f>
        <v>0</v>
      </c>
      <c r="D64"/>
      <c r="E64"/>
      <c r="F64"/>
      <c r="G64"/>
      <c r="H64"/>
      <c r="I64"/>
      <c r="J64"/>
      <c r="K64"/>
      <c r="L64"/>
      <c r="M64"/>
    </row>
    <row r="65" spans="1:13" s="23" customFormat="1" ht="12.75" customHeight="1" thickBot="1">
      <c r="A65" s="31"/>
      <c r="B65" s="139">
        <v>0</v>
      </c>
      <c r="C65" s="41">
        <f>+B65</f>
        <v>0</v>
      </c>
      <c r="D65"/>
      <c r="E65"/>
      <c r="F65"/>
      <c r="G65"/>
      <c r="H65"/>
      <c r="I65"/>
      <c r="J65"/>
      <c r="K65"/>
      <c r="L65"/>
      <c r="M65"/>
    </row>
    <row r="66" spans="1:13" s="23" customFormat="1" ht="13.5" thickBot="1">
      <c r="A66" s="44" t="s">
        <v>32</v>
      </c>
      <c r="B66" s="78">
        <f>SUM(B61:B65)</f>
        <v>0</v>
      </c>
      <c r="C66" s="41">
        <f>SUM(C61:C65)</f>
        <v>0</v>
      </c>
      <c r="D66"/>
      <c r="E66"/>
      <c r="F66"/>
      <c r="G66"/>
      <c r="H66"/>
      <c r="I66"/>
      <c r="J66"/>
      <c r="K66"/>
      <c r="L66"/>
      <c r="M66"/>
    </row>
    <row r="67" spans="1:13" ht="12.75">
      <c r="A67" s="34"/>
      <c r="B67" s="32"/>
      <c r="C67" s="32"/>
      <c r="D67"/>
      <c r="E67"/>
      <c r="F67"/>
      <c r="G67"/>
      <c r="H67"/>
      <c r="I67"/>
      <c r="J67"/>
      <c r="K67"/>
      <c r="L67"/>
      <c r="M67"/>
    </row>
    <row r="68" spans="1:13" ht="11.25" customHeight="1" thickBot="1">
      <c r="A68" s="34"/>
      <c r="B68" s="32"/>
      <c r="C68" s="32"/>
      <c r="D68"/>
      <c r="E68"/>
      <c r="F68"/>
      <c r="G68"/>
      <c r="H68"/>
      <c r="I68"/>
      <c r="J68"/>
      <c r="K68"/>
      <c r="L68"/>
      <c r="M68"/>
    </row>
    <row r="69" spans="1:13" s="23" customFormat="1" ht="12.75">
      <c r="A69" s="179" t="s">
        <v>136</v>
      </c>
      <c r="B69" s="180"/>
      <c r="C69" s="181"/>
      <c r="D69" s="79"/>
      <c r="E69" s="79"/>
      <c r="F69" s="79"/>
      <c r="G69" s="79"/>
      <c r="H69" s="79"/>
      <c r="I69" s="79"/>
      <c r="J69" s="79"/>
      <c r="K69" s="79"/>
      <c r="L69" s="79"/>
      <c r="M69" s="29"/>
    </row>
    <row r="70" spans="1:13" s="23" customFormat="1" ht="12.75">
      <c r="A70" s="182"/>
      <c r="B70" s="183"/>
      <c r="C70" s="184"/>
      <c r="M70" s="29"/>
    </row>
    <row r="71" spans="1:13" s="23" customFormat="1" ht="12.75">
      <c r="A71" s="185"/>
      <c r="B71" s="186" t="s">
        <v>30</v>
      </c>
      <c r="C71" s="187"/>
      <c r="D71"/>
      <c r="E71"/>
      <c r="F71"/>
      <c r="G71"/>
      <c r="H71"/>
      <c r="I71"/>
      <c r="J71"/>
      <c r="K71"/>
      <c r="L71"/>
      <c r="M71" s="29"/>
    </row>
    <row r="72" spans="1:13" s="23" customFormat="1" ht="12.75">
      <c r="A72" s="185" t="s">
        <v>31</v>
      </c>
      <c r="B72" s="186" t="s">
        <v>39</v>
      </c>
      <c r="C72" s="188" t="s">
        <v>102</v>
      </c>
      <c r="D72" s="26"/>
      <c r="E72" s="26"/>
      <c r="F72" s="26"/>
      <c r="G72" s="26"/>
      <c r="H72" s="26"/>
      <c r="I72" s="26"/>
      <c r="J72" s="26"/>
      <c r="K72" s="26"/>
      <c r="L72" s="26"/>
      <c r="M72" s="29"/>
    </row>
    <row r="73" spans="1:13" s="23" customFormat="1" ht="12.75">
      <c r="A73" s="189" t="s">
        <v>33</v>
      </c>
      <c r="B73" s="143">
        <v>0</v>
      </c>
      <c r="C73" s="190">
        <f>+B73</f>
        <v>0</v>
      </c>
      <c r="D73" s="35"/>
      <c r="E73" s="35"/>
      <c r="F73" s="35"/>
      <c r="G73" s="35"/>
      <c r="H73" s="35"/>
      <c r="I73" s="29"/>
      <c r="J73" s="35"/>
      <c r="K73" s="35"/>
      <c r="L73" s="81"/>
      <c r="M73" s="29"/>
    </row>
    <row r="74" spans="1:13" s="23" customFormat="1" ht="12.75">
      <c r="A74" s="191" t="s">
        <v>101</v>
      </c>
      <c r="B74" s="138">
        <v>0</v>
      </c>
      <c r="C74" s="190">
        <f>+B74</f>
        <v>0</v>
      </c>
      <c r="D74" s="29"/>
      <c r="E74" s="29"/>
      <c r="F74" s="29"/>
      <c r="G74" s="29"/>
      <c r="H74" s="29"/>
      <c r="I74" s="29"/>
      <c r="J74" s="26"/>
      <c r="K74" s="26"/>
      <c r="L74" s="26"/>
      <c r="M74" s="29"/>
    </row>
    <row r="75" spans="1:13" s="23" customFormat="1" ht="12.75">
      <c r="A75" s="191" t="s">
        <v>103</v>
      </c>
      <c r="B75" s="138">
        <v>0</v>
      </c>
      <c r="C75" s="190">
        <f>+B75</f>
        <v>0</v>
      </c>
      <c r="D75" s="29"/>
      <c r="E75" s="29"/>
      <c r="F75" s="29"/>
      <c r="G75" s="29"/>
      <c r="H75" s="29"/>
      <c r="I75" s="29"/>
      <c r="J75" s="29"/>
      <c r="K75" s="29"/>
      <c r="L75" s="29"/>
      <c r="M75" s="29"/>
    </row>
    <row r="76" spans="1:13" s="23" customFormat="1" ht="12.75">
      <c r="A76" s="191"/>
      <c r="B76" s="140">
        <v>0</v>
      </c>
      <c r="C76" s="192">
        <f>+B76</f>
        <v>0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</row>
    <row r="77" spans="1:13" s="23" customFormat="1" ht="13.5" thickBot="1">
      <c r="A77" s="193" t="s">
        <v>32</v>
      </c>
      <c r="B77" s="78">
        <f>SUM(B73:B76)</f>
        <v>0</v>
      </c>
      <c r="C77" s="194">
        <f>SUM(C73:C76)</f>
        <v>0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</row>
    <row r="78" spans="1:13" ht="12.75">
      <c r="A78" s="34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</row>
    <row r="79" spans="1:13" ht="13.5" thickBot="1">
      <c r="A79" s="34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</row>
    <row r="80" spans="1:13" s="23" customFormat="1" ht="12.75">
      <c r="A80" s="179" t="s">
        <v>131</v>
      </c>
      <c r="B80" s="180"/>
      <c r="C80" s="181"/>
      <c r="D80" s="79"/>
      <c r="E80" s="79"/>
      <c r="F80" s="79"/>
      <c r="G80" s="79"/>
      <c r="H80" s="79"/>
      <c r="I80" s="79"/>
      <c r="J80" s="79"/>
      <c r="K80" s="79"/>
      <c r="L80" s="79"/>
      <c r="M80" s="29"/>
    </row>
    <row r="81" spans="1:13" s="23" customFormat="1" ht="12.75">
      <c r="A81" s="182"/>
      <c r="B81" s="183"/>
      <c r="C81" s="184"/>
      <c r="M81" s="29"/>
    </row>
    <row r="82" spans="1:13" s="23" customFormat="1" ht="12.75">
      <c r="A82" s="185"/>
      <c r="B82" s="186" t="s">
        <v>30</v>
      </c>
      <c r="C82" s="187"/>
      <c r="D82"/>
      <c r="E82"/>
      <c r="F82"/>
      <c r="G82"/>
      <c r="H82"/>
      <c r="I82"/>
      <c r="J82"/>
      <c r="K82"/>
      <c r="L82"/>
      <c r="M82" s="29"/>
    </row>
    <row r="83" spans="1:13" s="23" customFormat="1" ht="12.75">
      <c r="A83" s="185" t="s">
        <v>31</v>
      </c>
      <c r="B83" s="186" t="s">
        <v>130</v>
      </c>
      <c r="C83" s="188" t="s">
        <v>102</v>
      </c>
      <c r="D83" s="26"/>
      <c r="E83" s="26"/>
      <c r="F83" s="26"/>
      <c r="G83" s="26"/>
      <c r="H83" s="26"/>
      <c r="I83" s="26"/>
      <c r="J83" s="26"/>
      <c r="K83" s="26"/>
      <c r="L83" s="26"/>
      <c r="M83" s="29"/>
    </row>
    <row r="84" spans="1:13" s="23" customFormat="1" ht="12.75">
      <c r="A84" s="189" t="s">
        <v>33</v>
      </c>
      <c r="B84" s="143">
        <v>12115.81</v>
      </c>
      <c r="C84" s="190">
        <f>+B84</f>
        <v>12115.81</v>
      </c>
      <c r="D84" s="35"/>
      <c r="E84" s="35"/>
      <c r="F84" s="35"/>
      <c r="G84" s="35"/>
      <c r="H84" s="35"/>
      <c r="I84" s="29"/>
      <c r="J84" s="35"/>
      <c r="K84" s="35"/>
      <c r="L84" s="81"/>
      <c r="M84" s="29"/>
    </row>
    <row r="85" spans="1:13" s="23" customFormat="1" ht="12.75">
      <c r="A85" s="191" t="s">
        <v>101</v>
      </c>
      <c r="B85" s="138">
        <v>0</v>
      </c>
      <c r="C85" s="190">
        <f>+B85</f>
        <v>0</v>
      </c>
      <c r="D85" s="29"/>
      <c r="E85" s="29"/>
      <c r="F85" s="29"/>
      <c r="G85" s="29"/>
      <c r="H85" s="29"/>
      <c r="I85" s="29"/>
      <c r="J85" s="26"/>
      <c r="K85" s="26"/>
      <c r="L85" s="26"/>
      <c r="M85" s="29"/>
    </row>
    <row r="86" spans="1:13" s="23" customFormat="1" ht="12.75">
      <c r="A86" s="191" t="s">
        <v>103</v>
      </c>
      <c r="B86" s="138">
        <v>0</v>
      </c>
      <c r="C86" s="190">
        <f>+B86</f>
        <v>0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</row>
    <row r="87" spans="1:13" s="23" customFormat="1" ht="12.75">
      <c r="A87" s="191"/>
      <c r="B87" s="140">
        <v>0</v>
      </c>
      <c r="C87" s="192">
        <f>+B87</f>
        <v>0</v>
      </c>
      <c r="D87" s="206" t="s">
        <v>144</v>
      </c>
      <c r="E87" s="207"/>
      <c r="F87" s="207"/>
      <c r="G87" s="207"/>
      <c r="H87" s="207"/>
      <c r="I87" s="29"/>
      <c r="J87" s="29"/>
      <c r="K87" s="29"/>
      <c r="L87" s="29"/>
      <c r="M87" s="29"/>
    </row>
    <row r="88" spans="1:13" s="23" customFormat="1" ht="13.5" thickBot="1">
      <c r="A88" s="193" t="s">
        <v>32</v>
      </c>
      <c r="B88" s="78">
        <f>SUM(B84:B87)</f>
        <v>12115.81</v>
      </c>
      <c r="C88" s="194">
        <f>SUM(C84:C87)</f>
        <v>12115.81</v>
      </c>
      <c r="D88" s="29"/>
      <c r="F88" s="29"/>
      <c r="G88" s="29"/>
      <c r="H88" s="195">
        <v>12038</v>
      </c>
      <c r="I88" s="29"/>
      <c r="J88" s="29"/>
      <c r="K88" s="29"/>
      <c r="L88" s="29"/>
      <c r="M88" s="29"/>
    </row>
    <row r="89" spans="1:13" ht="12.75">
      <c r="A89" s="34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</row>
    <row r="90" spans="1:13" ht="13.5" thickBot="1">
      <c r="A90" s="34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</row>
    <row r="91" spans="1:13" ht="13.5" thickBot="1">
      <c r="A91" s="45" t="s">
        <v>40</v>
      </c>
      <c r="B91" s="40"/>
      <c r="C91" s="32"/>
      <c r="D91" s="69" t="s">
        <v>80</v>
      </c>
      <c r="E91" s="70"/>
      <c r="F91" s="171" t="s">
        <v>139</v>
      </c>
      <c r="G91" s="40"/>
      <c r="H91" s="32"/>
      <c r="I91" s="32"/>
      <c r="J91" s="32"/>
      <c r="K91" s="32"/>
      <c r="L91" s="32"/>
      <c r="M91" s="32"/>
    </row>
    <row r="92" spans="1:13" ht="13.5" thickBot="1">
      <c r="A92" s="43" t="s">
        <v>41</v>
      </c>
      <c r="B92" s="30">
        <f>+B21+B36+B54+B66+B77+B88</f>
        <v>371712.2299999999</v>
      </c>
      <c r="C92" s="32"/>
      <c r="D92" s="71" t="s">
        <v>70</v>
      </c>
      <c r="E92" s="72" t="s">
        <v>76</v>
      </c>
      <c r="F92" s="72" t="s">
        <v>81</v>
      </c>
      <c r="G92" s="73" t="s">
        <v>82</v>
      </c>
      <c r="H92" s="167" t="s">
        <v>138</v>
      </c>
      <c r="I92" s="32"/>
      <c r="J92" s="32"/>
      <c r="K92" s="32"/>
      <c r="L92" s="32"/>
      <c r="M92" s="32"/>
    </row>
    <row r="93" spans="1:13" ht="12.75">
      <c r="A93" s="43" t="s">
        <v>42</v>
      </c>
      <c r="B93" s="76">
        <v>55560538.09</v>
      </c>
      <c r="C93" s="32"/>
      <c r="D93" s="74" t="s">
        <v>126</v>
      </c>
      <c r="E93" s="75">
        <v>51643385.56</v>
      </c>
      <c r="F93" s="76">
        <v>3917152.53</v>
      </c>
      <c r="G93" s="76">
        <v>55560538.09</v>
      </c>
      <c r="H93" s="166">
        <f>+B93-G93</f>
        <v>0</v>
      </c>
      <c r="I93" s="32"/>
      <c r="J93" s="32"/>
      <c r="K93" s="32"/>
      <c r="L93" s="32"/>
      <c r="M93" s="32"/>
    </row>
    <row r="94" spans="1:13" ht="12.75">
      <c r="A94" s="43" t="s">
        <v>43</v>
      </c>
      <c r="B94" s="76">
        <v>852138.12</v>
      </c>
      <c r="C94" s="32"/>
      <c r="D94" s="74">
        <v>1510002</v>
      </c>
      <c r="E94" s="75">
        <v>864253.93</v>
      </c>
      <c r="F94" s="141">
        <v>-12115.81</v>
      </c>
      <c r="G94" s="142">
        <v>852138.12</v>
      </c>
      <c r="H94" s="164">
        <f>+B94-G94</f>
        <v>0</v>
      </c>
      <c r="I94" s="32"/>
      <c r="J94" s="32"/>
      <c r="K94" s="32"/>
      <c r="L94" s="32"/>
      <c r="M94" s="32"/>
    </row>
    <row r="95" spans="1:13" ht="13.5" thickBot="1">
      <c r="A95" s="43" t="s">
        <v>44</v>
      </c>
      <c r="B95" s="85">
        <v>0</v>
      </c>
      <c r="C95" s="32"/>
      <c r="D95" s="74" t="s">
        <v>127</v>
      </c>
      <c r="E95" s="75">
        <v>1816225.75</v>
      </c>
      <c r="F95" s="75">
        <v>346929.28</v>
      </c>
      <c r="G95" s="76">
        <v>2163155.03</v>
      </c>
      <c r="H95" s="165">
        <f>+B96-G95</f>
        <v>0</v>
      </c>
      <c r="I95" s="32"/>
      <c r="J95" s="32"/>
      <c r="K95" s="32"/>
      <c r="L95" s="32"/>
      <c r="M95" s="32"/>
    </row>
    <row r="96" spans="1:13" ht="12.75">
      <c r="A96" s="43" t="s">
        <v>45</v>
      </c>
      <c r="B96" s="76">
        <v>2163155.03</v>
      </c>
      <c r="C96" s="32"/>
      <c r="D96" s="74" t="s">
        <v>115</v>
      </c>
      <c r="E96" s="77"/>
      <c r="F96" s="75">
        <v>34903.91</v>
      </c>
      <c r="G96" s="76">
        <v>248363.11</v>
      </c>
      <c r="H96" s="32"/>
      <c r="I96" s="32"/>
      <c r="J96" s="32"/>
      <c r="K96" s="32"/>
      <c r="L96" s="32"/>
      <c r="M96" s="32"/>
    </row>
    <row r="97" spans="1:13" ht="13.5" thickBot="1">
      <c r="A97" s="43" t="s">
        <v>32</v>
      </c>
      <c r="B97" s="46">
        <f>SUM(B92:B96)</f>
        <v>58947543.47</v>
      </c>
      <c r="C97" s="32"/>
      <c r="D97" s="74" t="s">
        <v>118</v>
      </c>
      <c r="E97" s="77"/>
      <c r="F97" s="75">
        <v>312524.91</v>
      </c>
      <c r="G97" s="76">
        <v>78480891.22</v>
      </c>
      <c r="H97" s="32"/>
      <c r="I97" s="32"/>
      <c r="J97" s="32"/>
      <c r="K97" s="32"/>
      <c r="L97" s="32"/>
      <c r="M97" s="32"/>
    </row>
    <row r="98" spans="1:13" ht="14.25" thickBot="1" thickTop="1">
      <c r="A98" s="33"/>
      <c r="B98" s="41"/>
      <c r="C98" s="32"/>
      <c r="D98" s="74" t="s">
        <v>117</v>
      </c>
      <c r="E98" s="77"/>
      <c r="F98" s="75">
        <v>12167.6</v>
      </c>
      <c r="G98" s="76">
        <v>2449695.58</v>
      </c>
      <c r="H98" s="32"/>
      <c r="I98" s="32"/>
      <c r="J98" s="32"/>
      <c r="K98" s="32"/>
      <c r="L98" s="32"/>
      <c r="M98" s="32"/>
    </row>
    <row r="99" spans="1:13" ht="12.75">
      <c r="A99" s="35"/>
      <c r="B99" s="29"/>
      <c r="C99" s="32"/>
      <c r="D99" s="74" t="s">
        <v>135</v>
      </c>
      <c r="E99" s="77"/>
      <c r="F99" s="75">
        <v>-683118</v>
      </c>
      <c r="G99" s="76">
        <v>-3029400.54</v>
      </c>
      <c r="H99" s="32"/>
      <c r="I99" s="32"/>
      <c r="J99" s="32"/>
      <c r="K99" s="32"/>
      <c r="L99" s="32"/>
      <c r="M99" s="32"/>
    </row>
    <row r="100" spans="1:13" ht="12.75">
      <c r="A100" s="35"/>
      <c r="B100" s="29"/>
      <c r="C100" s="32"/>
      <c r="D100" s="74" t="s">
        <v>134</v>
      </c>
      <c r="E100" s="77"/>
      <c r="F100" s="75">
        <v>0</v>
      </c>
      <c r="G100" s="76">
        <v>-9324.98</v>
      </c>
      <c r="H100" s="32"/>
      <c r="I100" s="32"/>
      <c r="J100" s="32"/>
      <c r="K100" s="32"/>
      <c r="L100" s="32"/>
      <c r="M100" s="32"/>
    </row>
    <row r="101" spans="1:13" ht="12.75">
      <c r="A101" s="34"/>
      <c r="B101" s="32"/>
      <c r="C101" s="32"/>
      <c r="D101" s="74">
        <v>5010013</v>
      </c>
      <c r="E101" s="77"/>
      <c r="F101" s="75">
        <v>0</v>
      </c>
      <c r="G101" s="76">
        <v>0</v>
      </c>
      <c r="H101" s="32"/>
      <c r="I101" s="32"/>
      <c r="J101" s="32"/>
      <c r="K101" s="32"/>
      <c r="L101" s="32"/>
      <c r="M101" s="32"/>
    </row>
    <row r="102" spans="1:13" ht="12.75">
      <c r="A102" s="34"/>
      <c r="B102" s="32"/>
      <c r="C102" s="32"/>
      <c r="D102" s="74" t="s">
        <v>129</v>
      </c>
      <c r="E102" s="77"/>
      <c r="F102" s="75">
        <v>12115.81</v>
      </c>
      <c r="G102" s="76">
        <v>1637928.28</v>
      </c>
      <c r="H102" s="32"/>
      <c r="I102" s="32"/>
      <c r="J102" s="32"/>
      <c r="K102" s="32"/>
      <c r="L102" s="32"/>
      <c r="M102" s="32"/>
    </row>
    <row r="103" spans="1:13" ht="13.5" thickBot="1">
      <c r="A103" s="34"/>
      <c r="B103" s="32"/>
      <c r="C103" s="32"/>
      <c r="D103" s="42" t="s">
        <v>86</v>
      </c>
      <c r="E103" s="78"/>
      <c r="F103" s="174">
        <f>SUM(F93:F102)</f>
        <v>3940560.23</v>
      </c>
      <c r="G103" s="174">
        <f>SUM(G93:G102)</f>
        <v>138353983.91000003</v>
      </c>
      <c r="H103" s="32">
        <f>+G103/'BIG SANDY'!F54</f>
        <v>140.05689791640313</v>
      </c>
      <c r="I103" s="32"/>
      <c r="J103" s="32"/>
      <c r="K103" s="32"/>
      <c r="L103" s="32"/>
      <c r="M103" s="32"/>
    </row>
    <row r="104" spans="1:13" ht="12.75">
      <c r="A104" s="34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6:9" ht="12.75">
      <c r="F105" s="177"/>
      <c r="I105" s="3"/>
    </row>
    <row r="107" ht="12.75">
      <c r="A107" s="87" t="s">
        <v>99</v>
      </c>
    </row>
    <row r="109" ht="12.75">
      <c r="A109" s="87" t="s">
        <v>123</v>
      </c>
    </row>
    <row r="111" ht="12.75">
      <c r="A111" s="87" t="s">
        <v>124</v>
      </c>
    </row>
    <row r="113" ht="12.75">
      <c r="A113" s="21" t="str">
        <f ca="1">CELL("FILENAME")</f>
        <v>G:\Fuel New\Generation Summary Reports\2013\[11-13 East_Generation_Summary.xls]Generation Summary</v>
      </c>
    </row>
  </sheetData>
  <sheetProtection/>
  <mergeCells count="4">
    <mergeCell ref="A1:H1"/>
    <mergeCell ref="A2:H2"/>
    <mergeCell ref="A3:H3"/>
    <mergeCell ref="D87:H87"/>
  </mergeCells>
  <printOptions horizontalCentered="1" verticalCentered="1"/>
  <pageMargins left="0.75" right="0" top="0" bottom="0.5" header="0" footer="0"/>
  <pageSetup blackAndWhite="1" fitToHeight="1" fitToWidth="1" horizontalDpi="600" verticalDpi="600" orientation="portrait" scale="52" r:id="rId1"/>
  <headerFooter alignWithMargins="0">
    <oddFooter>&amp;L&amp;D  &amp;T&amp;C&amp;F  &amp;A&amp;RBE</oddFooter>
  </headerFooter>
  <rowBreaks count="2" manualBreakCount="2">
    <brk id="38" max="255" man="1"/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25">
      <selection activeCell="C60" sqref="C60"/>
    </sheetView>
  </sheetViews>
  <sheetFormatPr defaultColWidth="17.7109375" defaultRowHeight="12.75"/>
  <cols>
    <col min="1" max="1" width="38.8515625" style="0" customWidth="1"/>
    <col min="2" max="3" width="15.7109375" style="0" customWidth="1"/>
    <col min="4" max="4" width="12.8515625" style="0" bestFit="1" customWidth="1"/>
    <col min="5" max="5" width="2.7109375" style="0" customWidth="1"/>
    <col min="6" max="7" width="15.7109375" style="0" customWidth="1"/>
    <col min="8" max="8" width="12.7109375" style="0" customWidth="1"/>
    <col min="9" max="9" width="2.421875" style="0" customWidth="1"/>
  </cols>
  <sheetData>
    <row r="1" s="88" customFormat="1" ht="15">
      <c r="H1" s="89" t="s">
        <v>29</v>
      </c>
    </row>
    <row r="2" spans="1:9" s="92" customFormat="1" ht="15">
      <c r="A2" s="208" t="s">
        <v>119</v>
      </c>
      <c r="B2" s="208"/>
      <c r="C2" s="208"/>
      <c r="D2" s="208"/>
      <c r="E2" s="208"/>
      <c r="F2" s="208"/>
      <c r="G2" s="208"/>
      <c r="H2" s="208"/>
      <c r="I2" s="91"/>
    </row>
    <row r="3" spans="1:9" s="92" customFormat="1" ht="15">
      <c r="A3" s="208" t="s">
        <v>0</v>
      </c>
      <c r="B3" s="208"/>
      <c r="C3" s="208"/>
      <c r="D3" s="208"/>
      <c r="E3" s="208"/>
      <c r="F3" s="208"/>
      <c r="G3" s="208"/>
      <c r="H3" s="208"/>
      <c r="I3" s="91"/>
    </row>
    <row r="4" spans="1:9" s="92" customFormat="1" ht="15">
      <c r="A4" s="208" t="s">
        <v>102</v>
      </c>
      <c r="B4" s="208"/>
      <c r="C4" s="208"/>
      <c r="D4" s="208"/>
      <c r="E4" s="208"/>
      <c r="F4" s="208"/>
      <c r="G4" s="208"/>
      <c r="H4" s="208"/>
      <c r="I4" s="91"/>
    </row>
    <row r="5" spans="1:9" s="92" customFormat="1" ht="15">
      <c r="A5" s="209" t="str">
        <f>+INPUT!A3</f>
        <v>OCTOBER 2013</v>
      </c>
      <c r="B5" s="209"/>
      <c r="C5" s="209"/>
      <c r="D5" s="209"/>
      <c r="E5" s="209"/>
      <c r="F5" s="209"/>
      <c r="G5" s="209"/>
      <c r="H5" s="209"/>
      <c r="I5" s="91"/>
    </row>
    <row r="6" s="92" customFormat="1" ht="14.25">
      <c r="I6" s="91"/>
    </row>
    <row r="7" spans="2:11" s="92" customFormat="1" ht="15">
      <c r="B7" s="208" t="s">
        <v>1</v>
      </c>
      <c r="C7" s="208"/>
      <c r="D7" s="208"/>
      <c r="E7" s="90"/>
      <c r="F7" s="208" t="s">
        <v>2</v>
      </c>
      <c r="G7" s="208"/>
      <c r="H7" s="208"/>
      <c r="I7" s="91"/>
      <c r="J7" s="208" t="s">
        <v>3</v>
      </c>
      <c r="K7" s="208"/>
    </row>
    <row r="8" spans="2:11" s="92" customFormat="1" ht="15">
      <c r="B8" s="90" t="s">
        <v>4</v>
      </c>
      <c r="C8" s="90" t="s">
        <v>5</v>
      </c>
      <c r="D8" s="90" t="s">
        <v>6</v>
      </c>
      <c r="F8" s="90" t="s">
        <v>4</v>
      </c>
      <c r="G8" s="90" t="s">
        <v>5</v>
      </c>
      <c r="H8" s="90" t="s">
        <v>6</v>
      </c>
      <c r="I8" s="91"/>
      <c r="J8" s="90" t="s">
        <v>4</v>
      </c>
      <c r="K8" s="90" t="s">
        <v>5</v>
      </c>
    </row>
    <row r="9" spans="2:11" s="3" customFormat="1" ht="13.5" thickBot="1">
      <c r="B9" s="1"/>
      <c r="C9" s="1"/>
      <c r="D9" s="1"/>
      <c r="F9" s="1"/>
      <c r="G9" s="1"/>
      <c r="H9" s="1"/>
      <c r="I9" s="4"/>
      <c r="J9" s="1"/>
      <c r="K9" s="1"/>
    </row>
    <row r="10" spans="1:11" s="3" customFormat="1" ht="15">
      <c r="A10" s="89" t="s">
        <v>108</v>
      </c>
      <c r="B10" s="5"/>
      <c r="C10" s="6"/>
      <c r="D10" s="7"/>
      <c r="F10" s="5"/>
      <c r="G10" s="6"/>
      <c r="H10" s="7"/>
      <c r="I10" s="4"/>
      <c r="J10" s="17"/>
      <c r="K10" s="17"/>
    </row>
    <row r="11" spans="1:11" s="3" customFormat="1" ht="12.75">
      <c r="A11" s="3" t="s">
        <v>8</v>
      </c>
      <c r="B11" s="13">
        <f>+'[2]BIG SANDY'!$B$7</f>
        <v>645958.34</v>
      </c>
      <c r="C11" s="14">
        <f>+'[2]BIG SANDY'!$C$7</f>
        <v>51643385.559999995</v>
      </c>
      <c r="D11" s="15">
        <f aca="true" t="shared" si="0" ref="D11:D22">IF(AND(B11&lt;&gt;0,C11&lt;&gt;0),C11/B11,"")</f>
        <v>79.94847711076847</v>
      </c>
      <c r="E11" s="16"/>
      <c r="F11" s="178">
        <v>829952.34</v>
      </c>
      <c r="G11" s="144">
        <v>66595285.68</v>
      </c>
      <c r="H11" s="15">
        <f aca="true" t="shared" si="1" ref="H11:H22">IF(AND(F11&lt;&gt;0,G11&lt;&gt;0),G11/F11,"")</f>
        <v>80.23989146171935</v>
      </c>
      <c r="I11" s="4"/>
      <c r="J11" s="17">
        <v>829952.34</v>
      </c>
      <c r="K11" s="17">
        <v>66595285.68</v>
      </c>
    </row>
    <row r="12" spans="1:11" s="3" customFormat="1" ht="12.75">
      <c r="A12" s="3" t="s">
        <v>7</v>
      </c>
      <c r="B12" s="8"/>
      <c r="C12" s="9"/>
      <c r="D12" s="15">
        <f t="shared" si="0"/>
      </c>
      <c r="F12" s="8"/>
      <c r="G12" s="9"/>
      <c r="H12" s="15">
        <f t="shared" si="1"/>
      </c>
      <c r="I12" s="4"/>
      <c r="J12" s="17"/>
      <c r="K12" s="17"/>
    </row>
    <row r="13" spans="1:11" s="3" customFormat="1" ht="12.75">
      <c r="A13" s="3" t="s">
        <v>9</v>
      </c>
      <c r="B13" s="13">
        <f>+'[2]BIG SANDY'!$B$9</f>
        <v>51997.02</v>
      </c>
      <c r="C13" s="109">
        <f>+'[5]BIG SANDY'!$C$22</f>
        <v>4000510.77</v>
      </c>
      <c r="D13" s="15">
        <f t="shared" si="0"/>
        <v>76.93730852268072</v>
      </c>
      <c r="F13" s="8">
        <f>+B13+J13</f>
        <v>848863.02</v>
      </c>
      <c r="G13" s="9">
        <f>+C13+K13</f>
        <v>65267676.97999999</v>
      </c>
      <c r="H13" s="15">
        <f t="shared" si="1"/>
        <v>76.88834999550339</v>
      </c>
      <c r="I13" s="4"/>
      <c r="J13" s="17">
        <v>796866</v>
      </c>
      <c r="K13" s="17">
        <v>61267166.209999986</v>
      </c>
    </row>
    <row r="14" spans="1:11" s="3" customFormat="1" ht="12.75">
      <c r="A14" s="3" t="s">
        <v>10</v>
      </c>
      <c r="B14" s="99"/>
      <c r="C14" s="173">
        <f>+'[5]BIG SANDY'!$D$22</f>
        <v>229166.67</v>
      </c>
      <c r="D14" s="98">
        <f>IF(AND(B13&lt;&gt;0,C14&lt;&gt;0),C14/B13,"")</f>
        <v>4.407303918570719</v>
      </c>
      <c r="F14" s="99"/>
      <c r="G14" s="53">
        <f>+C14+K14</f>
        <v>2178466.65</v>
      </c>
      <c r="H14" s="98">
        <f>IF(AND(F13&lt;&gt;0,G14&lt;&gt;0),G14/F13,"")</f>
        <v>2.5663347308968647</v>
      </c>
      <c r="I14" s="4"/>
      <c r="J14" s="17"/>
      <c r="K14" s="17">
        <v>1949299.9799999997</v>
      </c>
    </row>
    <row r="15" spans="1:11" s="2" customFormat="1" ht="12.75">
      <c r="A15" s="2" t="s">
        <v>11</v>
      </c>
      <c r="B15" s="145">
        <f>SUM(B13:B14)</f>
        <v>51997.02</v>
      </c>
      <c r="C15" s="146">
        <f>SUM(C13:C14)</f>
        <v>4229677.44</v>
      </c>
      <c r="D15" s="147">
        <f t="shared" si="0"/>
        <v>81.34461244125146</v>
      </c>
      <c r="F15" s="145">
        <f>SUM(F13:F14)</f>
        <v>848863.02</v>
      </c>
      <c r="G15" s="146">
        <f>SUM(G13:G14)</f>
        <v>67446143.63</v>
      </c>
      <c r="H15" s="147">
        <f t="shared" si="1"/>
        <v>79.45468472640026</v>
      </c>
      <c r="I15" s="96"/>
      <c r="J15" s="17">
        <v>796866</v>
      </c>
      <c r="K15" s="17">
        <v>63216466.18999998</v>
      </c>
    </row>
    <row r="16" spans="1:11" s="2" customFormat="1" ht="12.75">
      <c r="A16" s="2" t="s">
        <v>137</v>
      </c>
      <c r="B16" s="145">
        <f>+B11+B15</f>
        <v>697955.36</v>
      </c>
      <c r="C16" s="146">
        <f>+C11+C15</f>
        <v>55873062.99999999</v>
      </c>
      <c r="D16" s="147">
        <f t="shared" si="0"/>
        <v>80.05248788403888</v>
      </c>
      <c r="E16" s="94"/>
      <c r="F16" s="145">
        <f>+F11+F15</f>
        <v>1678815.3599999999</v>
      </c>
      <c r="G16" s="146">
        <f>+G11+G15</f>
        <v>134041429.31</v>
      </c>
      <c r="H16" s="147">
        <f t="shared" si="1"/>
        <v>79.84286569191266</v>
      </c>
      <c r="I16" s="96"/>
      <c r="J16" s="17">
        <v>1626818.3399999999</v>
      </c>
      <c r="K16" s="17">
        <v>129811751.86999997</v>
      </c>
    </row>
    <row r="17" spans="1:11" s="3" customFormat="1" ht="12.75">
      <c r="A17" s="3" t="s">
        <v>12</v>
      </c>
      <c r="B17" s="8"/>
      <c r="C17" s="9"/>
      <c r="D17" s="15">
        <f t="shared" si="0"/>
      </c>
      <c r="F17" s="8"/>
      <c r="G17" s="9"/>
      <c r="H17" s="15">
        <f t="shared" si="1"/>
      </c>
      <c r="I17" s="4"/>
      <c r="J17" s="17"/>
      <c r="K17" s="17"/>
    </row>
    <row r="18" spans="1:11" s="3" customFormat="1" ht="12.75">
      <c r="A18" s="3" t="s">
        <v>18</v>
      </c>
      <c r="B18" s="13">
        <f>+'[2]BIG SANDY'!$B$15</f>
        <v>3904</v>
      </c>
      <c r="C18" s="14">
        <f>+'[2]BIG SANDY'!$C$15</f>
        <v>312524.91000000003</v>
      </c>
      <c r="D18" s="15">
        <f t="shared" si="0"/>
        <v>80.05248719262296</v>
      </c>
      <c r="F18" s="8">
        <f aca="true" t="shared" si="2" ref="F18:G20">+B18+J18</f>
        <v>984764</v>
      </c>
      <c r="G18" s="9">
        <f t="shared" si="2"/>
        <v>78480891.22</v>
      </c>
      <c r="H18" s="15">
        <f t="shared" si="1"/>
        <v>79.69512616220739</v>
      </c>
      <c r="I18" s="4"/>
      <c r="J18" s="17">
        <v>980860</v>
      </c>
      <c r="K18" s="17">
        <v>78168366.31</v>
      </c>
    </row>
    <row r="19" spans="1:11" s="3" customFormat="1" ht="12.75">
      <c r="A19" s="3" t="s">
        <v>13</v>
      </c>
      <c r="B19" s="13">
        <f>(+'[2]BIG SANDY'!$B$16)</f>
        <v>0</v>
      </c>
      <c r="C19" s="14">
        <f>(+'[2]BIG SANDY'!$C$16)</f>
        <v>0</v>
      </c>
      <c r="D19" s="15">
        <f t="shared" si="0"/>
      </c>
      <c r="F19" s="8">
        <f t="shared" si="2"/>
        <v>0</v>
      </c>
      <c r="G19" s="9">
        <f t="shared" si="2"/>
        <v>0</v>
      </c>
      <c r="H19" s="15"/>
      <c r="I19" s="4"/>
      <c r="J19" s="17">
        <v>0</v>
      </c>
      <c r="K19" s="17">
        <v>0</v>
      </c>
    </row>
    <row r="20" spans="1:11" s="3" customFormat="1" ht="12.75">
      <c r="A20" s="3" t="s">
        <v>14</v>
      </c>
      <c r="B20" s="100">
        <f>+'[2]BIG SANDY'!$B$18</f>
        <v>0</v>
      </c>
      <c r="C20" s="97">
        <f>+'[2]BIG SANDY'!$C$18</f>
        <v>0</v>
      </c>
      <c r="D20" s="15">
        <f t="shared" si="0"/>
      </c>
      <c r="F20" s="101">
        <f t="shared" si="2"/>
        <v>0</v>
      </c>
      <c r="G20" s="53">
        <f t="shared" si="2"/>
        <v>0</v>
      </c>
      <c r="H20" s="98">
        <f t="shared" si="1"/>
      </c>
      <c r="I20" s="4"/>
      <c r="J20" s="17">
        <v>0</v>
      </c>
      <c r="K20" s="17">
        <v>0</v>
      </c>
    </row>
    <row r="21" spans="1:11" s="2" customFormat="1" ht="12.75">
      <c r="A21" s="2" t="s">
        <v>15</v>
      </c>
      <c r="B21" s="102">
        <f>SUM(B18:B20)</f>
        <v>3904</v>
      </c>
      <c r="C21" s="103">
        <f>SUM(C18:C20)</f>
        <v>312524.91000000003</v>
      </c>
      <c r="D21" s="104">
        <f t="shared" si="0"/>
        <v>80.05248719262296</v>
      </c>
      <c r="F21" s="102">
        <f>SUM(F18:F20)</f>
        <v>984764</v>
      </c>
      <c r="G21" s="103">
        <f>SUM(G18:G20)</f>
        <v>78480891.22</v>
      </c>
      <c r="H21" s="104">
        <f t="shared" si="1"/>
        <v>79.69512616220739</v>
      </c>
      <c r="I21" s="96"/>
      <c r="J21" s="17">
        <v>980860</v>
      </c>
      <c r="K21" s="17">
        <v>78168366.31</v>
      </c>
    </row>
    <row r="22" spans="1:11" s="2" customFormat="1" ht="13.5" thickBot="1">
      <c r="A22" s="2" t="s">
        <v>16</v>
      </c>
      <c r="B22" s="105">
        <f>+B16-B21</f>
        <v>694051.36</v>
      </c>
      <c r="C22" s="106">
        <f>+C16-C21</f>
        <v>55560538.089999996</v>
      </c>
      <c r="D22" s="107">
        <f t="shared" si="0"/>
        <v>80.05248788792807</v>
      </c>
      <c r="F22" s="105">
        <f>+F16-F21</f>
        <v>694051.3599999999</v>
      </c>
      <c r="G22" s="106">
        <f>+G16-G21</f>
        <v>55560538.09</v>
      </c>
      <c r="H22" s="107">
        <f t="shared" si="1"/>
        <v>80.05248788792808</v>
      </c>
      <c r="I22" s="96"/>
      <c r="J22" s="17">
        <v>645958.3399999999</v>
      </c>
      <c r="K22" s="17">
        <v>51643385.55999997</v>
      </c>
    </row>
    <row r="23" spans="2:11" s="3" customFormat="1" ht="14.25" thickBot="1" thickTop="1">
      <c r="B23" s="10"/>
      <c r="C23" s="11"/>
      <c r="D23" s="15"/>
      <c r="F23" s="10"/>
      <c r="G23" s="11"/>
      <c r="H23" s="15"/>
      <c r="I23" s="4"/>
      <c r="J23" s="17"/>
      <c r="K23" s="17"/>
    </row>
    <row r="24" spans="1:11" s="3" customFormat="1" ht="15">
      <c r="A24" s="89" t="s">
        <v>107</v>
      </c>
      <c r="B24" s="5"/>
      <c r="C24" s="6"/>
      <c r="D24" s="7"/>
      <c r="F24" s="5"/>
      <c r="G24" s="6"/>
      <c r="H24" s="7"/>
      <c r="I24" s="4"/>
      <c r="J24" s="17"/>
      <c r="K24" s="17"/>
    </row>
    <row r="25" spans="1:11" s="3" customFormat="1" ht="12.75">
      <c r="A25" s="3" t="s">
        <v>8</v>
      </c>
      <c r="B25" s="13">
        <f>+'[4]BIG SANDY'!$B$7</f>
        <v>645958.34</v>
      </c>
      <c r="C25" s="109">
        <f>+'[4]BIG SANDY'!$C$7</f>
        <v>1816225.75</v>
      </c>
      <c r="D25" s="15">
        <f aca="true" t="shared" si="3" ref="D25:D33">IF(AND(B25&lt;&gt;0,C25&lt;&gt;0),C25/B25,"")</f>
        <v>2.8116762916939817</v>
      </c>
      <c r="F25" s="178">
        <v>829952.34</v>
      </c>
      <c r="G25" s="176">
        <v>1866856.54</v>
      </c>
      <c r="H25" s="15">
        <f aca="true" t="shared" si="4" ref="H25:H33">IF(AND(F25&lt;&gt;0,G25&lt;&gt;0),G25/F25,"")</f>
        <v>2.2493539086834793</v>
      </c>
      <c r="I25" s="4"/>
      <c r="J25" s="17">
        <v>829952.34</v>
      </c>
      <c r="K25" s="17">
        <v>1866856.54</v>
      </c>
    </row>
    <row r="26" spans="1:11" s="3" customFormat="1" ht="12.75">
      <c r="A26" s="3" t="s">
        <v>7</v>
      </c>
      <c r="B26" s="100">
        <f>+'[4]BIG SANDY'!$B$9</f>
        <v>51997.02</v>
      </c>
      <c r="C26" s="173">
        <f>ROUND(+'[4]BIG SANDY'!$C$9,2)</f>
        <v>359096.88</v>
      </c>
      <c r="D26" s="98">
        <f t="shared" si="3"/>
        <v>6.906105003709828</v>
      </c>
      <c r="F26" s="101">
        <f>+B26+J26</f>
        <v>848863.02</v>
      </c>
      <c r="G26" s="134">
        <f>+C26+K26</f>
        <v>2745994.0700000003</v>
      </c>
      <c r="H26" s="98">
        <f t="shared" si="4"/>
        <v>3.2349083483457677</v>
      </c>
      <c r="I26" s="4"/>
      <c r="J26" s="17">
        <v>796866</v>
      </c>
      <c r="K26" s="17">
        <v>2386897.1900000004</v>
      </c>
    </row>
    <row r="27" spans="1:11" s="2" customFormat="1" ht="12.75">
      <c r="A27" s="2" t="s">
        <v>17</v>
      </c>
      <c r="B27" s="93">
        <f>SUM(B25:B26)</f>
        <v>697955.36</v>
      </c>
      <c r="C27" s="94">
        <f>SUM(C25:C26)</f>
        <v>2175322.63</v>
      </c>
      <c r="D27" s="95">
        <f t="shared" si="3"/>
        <v>3.1167073922893866</v>
      </c>
      <c r="F27" s="93">
        <f>SUM(F25:F26)</f>
        <v>1678815.3599999999</v>
      </c>
      <c r="G27" s="94">
        <f>SUM(G25:G26)</f>
        <v>4612850.61</v>
      </c>
      <c r="H27" s="95">
        <f t="shared" si="4"/>
        <v>2.7476819189931647</v>
      </c>
      <c r="I27" s="96"/>
      <c r="J27" s="17">
        <v>1626818.3399999999</v>
      </c>
      <c r="K27" s="17">
        <v>4253753.73</v>
      </c>
    </row>
    <row r="28" spans="1:11" s="16" customFormat="1" ht="12.75">
      <c r="A28" s="16" t="s">
        <v>114</v>
      </c>
      <c r="B28" s="111"/>
      <c r="C28" s="112"/>
      <c r="D28" s="15"/>
      <c r="F28" s="111"/>
      <c r="G28" s="112"/>
      <c r="H28" s="15"/>
      <c r="I28" s="113"/>
      <c r="J28" s="17"/>
      <c r="K28" s="17"/>
    </row>
    <row r="29" spans="1:11" s="3" customFormat="1" ht="12.75">
      <c r="A29" s="3" t="s">
        <v>18</v>
      </c>
      <c r="B29" s="13">
        <f>+'[4]BIG SANDY'!$B$13</f>
        <v>3904</v>
      </c>
      <c r="C29" s="14">
        <f>ROUND(+'[4]BIG SANDY'!$C$13,3)</f>
        <v>12167.6</v>
      </c>
      <c r="D29" s="15">
        <f t="shared" si="3"/>
        <v>3.1167008196721313</v>
      </c>
      <c r="F29" s="8">
        <f aca="true" t="shared" si="5" ref="F29:G31">+B29+J29</f>
        <v>984764</v>
      </c>
      <c r="G29" s="112">
        <f>+C29+K29</f>
        <v>2449695.58</v>
      </c>
      <c r="H29" s="15">
        <f t="shared" si="4"/>
        <v>2.487596601825412</v>
      </c>
      <c r="I29" s="4"/>
      <c r="J29" s="17">
        <v>980860</v>
      </c>
      <c r="K29" s="17">
        <v>2437527.98</v>
      </c>
    </row>
    <row r="30" spans="1:11" s="3" customFormat="1" ht="12.75">
      <c r="A30" s="3" t="s">
        <v>13</v>
      </c>
      <c r="B30" s="13">
        <f>+'[4]BIG SANDY'!$B$14</f>
        <v>0</v>
      </c>
      <c r="C30" s="14">
        <f>ROUND(+'[4]BIG SANDY'!$C$14,3)</f>
        <v>0</v>
      </c>
      <c r="D30" s="15">
        <f t="shared" si="3"/>
      </c>
      <c r="F30" s="8">
        <f t="shared" si="5"/>
        <v>0</v>
      </c>
      <c r="G30" s="9">
        <f t="shared" si="5"/>
        <v>0</v>
      </c>
      <c r="H30" s="15">
        <f t="shared" si="4"/>
      </c>
      <c r="I30" s="4"/>
      <c r="J30" s="17">
        <v>0</v>
      </c>
      <c r="K30" s="17">
        <v>0</v>
      </c>
    </row>
    <row r="31" spans="1:11" s="3" customFormat="1" ht="12.75">
      <c r="A31" s="3" t="s">
        <v>14</v>
      </c>
      <c r="B31" s="13">
        <f>+'[4]BIG SANDY'!$B$15</f>
        <v>0</v>
      </c>
      <c r="C31" s="14">
        <f>+'[4]BIG SANDY'!$C$15</f>
        <v>0</v>
      </c>
      <c r="D31" s="15">
        <f t="shared" si="3"/>
      </c>
      <c r="F31" s="8">
        <f t="shared" si="5"/>
        <v>0</v>
      </c>
      <c r="G31" s="9">
        <f t="shared" si="5"/>
        <v>0</v>
      </c>
      <c r="H31" s="15">
        <f t="shared" si="4"/>
      </c>
      <c r="I31" s="4"/>
      <c r="J31" s="17">
        <v>0</v>
      </c>
      <c r="K31" s="17">
        <v>0</v>
      </c>
    </row>
    <row r="32" spans="1:11" s="2" customFormat="1" ht="12.75">
      <c r="A32" s="2" t="s">
        <v>26</v>
      </c>
      <c r="B32" s="102">
        <f>SUM(B29:B31)</f>
        <v>3904</v>
      </c>
      <c r="C32" s="103">
        <f>SUM(C29:C31)</f>
        <v>12167.6</v>
      </c>
      <c r="D32" s="104">
        <f t="shared" si="3"/>
        <v>3.1167008196721313</v>
      </c>
      <c r="F32" s="102">
        <f>SUM(F29:F31)</f>
        <v>984764</v>
      </c>
      <c r="G32" s="103">
        <f>SUM(G29:G31)</f>
        <v>2449695.58</v>
      </c>
      <c r="H32" s="104">
        <f t="shared" si="4"/>
        <v>2.487596601825412</v>
      </c>
      <c r="I32" s="96"/>
      <c r="J32" s="17">
        <v>980860</v>
      </c>
      <c r="K32" s="17">
        <v>2437527.98</v>
      </c>
    </row>
    <row r="33" spans="1:11" s="2" customFormat="1" ht="13.5" thickBot="1">
      <c r="A33" s="2" t="s">
        <v>16</v>
      </c>
      <c r="B33" s="105">
        <f>+B27-B32</f>
        <v>694051.36</v>
      </c>
      <c r="C33" s="106">
        <f>ROUND(+C27-C32,2)</f>
        <v>2163155.03</v>
      </c>
      <c r="D33" s="107">
        <f t="shared" si="3"/>
        <v>3.11670742925999</v>
      </c>
      <c r="F33" s="105">
        <f>+F27-F32</f>
        <v>694051.3599999999</v>
      </c>
      <c r="G33" s="106">
        <f>+G27-G32</f>
        <v>2163155.0300000003</v>
      </c>
      <c r="H33" s="107">
        <f t="shared" si="4"/>
        <v>3.116707429259991</v>
      </c>
      <c r="I33" s="96"/>
      <c r="J33" s="17">
        <v>645958.3399999999</v>
      </c>
      <c r="K33" s="17">
        <v>1816225.7500000005</v>
      </c>
    </row>
    <row r="34" spans="2:11" s="3" customFormat="1" ht="14.25" thickBot="1" thickTop="1">
      <c r="B34" s="10"/>
      <c r="C34" s="11"/>
      <c r="D34" s="12"/>
      <c r="F34" s="10"/>
      <c r="G34" s="11"/>
      <c r="H34" s="12"/>
      <c r="I34" s="4"/>
      <c r="J34" s="17"/>
      <c r="K34" s="17"/>
    </row>
    <row r="35" spans="1:11" s="3" customFormat="1" ht="15">
      <c r="A35" s="89" t="s">
        <v>106</v>
      </c>
      <c r="B35" s="5"/>
      <c r="C35" s="6"/>
      <c r="D35" s="7"/>
      <c r="F35" s="5"/>
      <c r="G35" s="6"/>
      <c r="H35" s="7"/>
      <c r="I35" s="4"/>
      <c r="J35" s="17"/>
      <c r="K35" s="17"/>
    </row>
    <row r="36" spans="1:11" s="3" customFormat="1" ht="12.75">
      <c r="A36" s="3" t="s">
        <v>8</v>
      </c>
      <c r="B36" s="13">
        <f>+'[3]BIG SANDY'!$B$7</f>
        <v>283290.89999999997</v>
      </c>
      <c r="C36" s="109">
        <f>+'[3]BIG SANDY'!$C$7</f>
        <v>864253.93</v>
      </c>
      <c r="D36" s="15">
        <f aca="true" t="shared" si="6" ref="D36:D43">IF(AND(B36&lt;&gt;0,C36&lt;&gt;0),C36/B36,"")</f>
        <v>3.050764885141034</v>
      </c>
      <c r="F36" s="19">
        <v>217813.28</v>
      </c>
      <c r="G36" s="176">
        <v>685034.25</v>
      </c>
      <c r="H36" s="15">
        <f aca="true" t="shared" si="7" ref="H36:H43">IF(AND(F36&lt;&gt;0,G36&lt;&gt;0),G36/F36,"")</f>
        <v>3.145052725894399</v>
      </c>
      <c r="I36" s="4"/>
      <c r="J36" s="17">
        <v>217813.28</v>
      </c>
      <c r="K36" s="17">
        <v>685034.25</v>
      </c>
    </row>
    <row r="37" spans="1:11" s="3" customFormat="1" ht="12.75">
      <c r="A37" s="3" t="s">
        <v>7</v>
      </c>
      <c r="B37" s="100">
        <f>+'[3]BIG SANDY'!$B$9</f>
        <v>0</v>
      </c>
      <c r="C37" s="97">
        <f>ROUND(+'[3]BIG SANDY'!$C$9,2)</f>
        <v>0</v>
      </c>
      <c r="D37" s="98">
        <f t="shared" si="6"/>
      </c>
      <c r="F37" s="101">
        <f>+B37+J37</f>
        <v>590106</v>
      </c>
      <c r="G37" s="53">
        <f>+C37+K37</f>
        <v>1805032.1500000001</v>
      </c>
      <c r="H37" s="98">
        <f t="shared" si="7"/>
        <v>3.058826973459006</v>
      </c>
      <c r="I37" s="4"/>
      <c r="J37" s="17">
        <v>590106</v>
      </c>
      <c r="K37" s="17">
        <v>1805032.1500000001</v>
      </c>
    </row>
    <row r="38" spans="1:11" s="2" customFormat="1" ht="12.75">
      <c r="A38" s="2" t="s">
        <v>17</v>
      </c>
      <c r="B38" s="93">
        <f>SUM(B36:B37)</f>
        <v>283290.89999999997</v>
      </c>
      <c r="C38" s="94">
        <f>SUM(C36:C37)</f>
        <v>864253.93</v>
      </c>
      <c r="D38" s="95">
        <f t="shared" si="6"/>
        <v>3.050764885141034</v>
      </c>
      <c r="F38" s="93">
        <f>SUM(F36:F37)</f>
        <v>807919.28</v>
      </c>
      <c r="G38" s="94">
        <f>SUM(G36:G37)</f>
        <v>2490066.4000000004</v>
      </c>
      <c r="H38" s="95">
        <f t="shared" si="7"/>
        <v>3.082073248703757</v>
      </c>
      <c r="I38" s="96"/>
      <c r="J38" s="17">
        <v>807919.28</v>
      </c>
      <c r="K38" s="17">
        <v>2490066.4000000004</v>
      </c>
    </row>
    <row r="39" spans="1:11" s="16" customFormat="1" ht="12.75">
      <c r="A39" s="16" t="s">
        <v>114</v>
      </c>
      <c r="B39" s="111"/>
      <c r="C39" s="112"/>
      <c r="D39" s="15"/>
      <c r="F39" s="111"/>
      <c r="G39" s="112"/>
      <c r="H39" s="15"/>
      <c r="I39" s="113"/>
      <c r="J39" s="17"/>
      <c r="K39" s="17"/>
    </row>
    <row r="40" spans="1:11" s="3" customFormat="1" ht="12.75">
      <c r="A40" s="3" t="s">
        <v>18</v>
      </c>
      <c r="B40" s="13">
        <f>+'[3]BIG SANDY'!$B$13</f>
        <v>3971.3999999999996</v>
      </c>
      <c r="C40" s="109">
        <f>ROUND(+'[3]BIG SANDY'!$C$13,2)</f>
        <v>12115.81</v>
      </c>
      <c r="D40" s="15">
        <f t="shared" si="6"/>
        <v>3.0507654731329006</v>
      </c>
      <c r="F40" s="8">
        <f>+B40+J40</f>
        <v>528599.78</v>
      </c>
      <c r="G40" s="9">
        <f>+C40+K40</f>
        <v>1637928.2800000003</v>
      </c>
      <c r="H40" s="15">
        <f t="shared" si="7"/>
        <v>3.098617029314693</v>
      </c>
      <c r="I40" s="4"/>
      <c r="J40" s="17">
        <v>524628.38</v>
      </c>
      <c r="K40" s="17">
        <v>1625812.4700000002</v>
      </c>
    </row>
    <row r="41" spans="1:11" s="3" customFormat="1" ht="12.75">
      <c r="A41" s="3" t="s">
        <v>19</v>
      </c>
      <c r="B41" s="13">
        <f>+'[3]BIG SANDY'!$B$14</f>
        <v>0</v>
      </c>
      <c r="C41" s="14">
        <f>+'[3]BIG SANDY'!$C$14</f>
        <v>0</v>
      </c>
      <c r="D41" s="15">
        <f t="shared" si="6"/>
      </c>
      <c r="F41" s="8">
        <f>+B41+J41</f>
        <v>0</v>
      </c>
      <c r="G41" s="9">
        <f>+C41+K41</f>
        <v>0</v>
      </c>
      <c r="H41" s="15">
        <f t="shared" si="7"/>
      </c>
      <c r="I41" s="4"/>
      <c r="J41" s="17">
        <v>0</v>
      </c>
      <c r="K41" s="17">
        <v>0</v>
      </c>
    </row>
    <row r="42" spans="1:11" s="2" customFormat="1" ht="12.75">
      <c r="A42" s="2" t="s">
        <v>15</v>
      </c>
      <c r="B42" s="102">
        <f>SUM(B40:B41)</f>
        <v>3971.3999999999996</v>
      </c>
      <c r="C42" s="103">
        <f>SUM(C40:C41)</f>
        <v>12115.81</v>
      </c>
      <c r="D42" s="104">
        <f t="shared" si="6"/>
        <v>3.0507654731329006</v>
      </c>
      <c r="F42" s="102">
        <f>SUM(F40:F41)</f>
        <v>528599.78</v>
      </c>
      <c r="G42" s="103">
        <f>SUM(G40:G41)</f>
        <v>1637928.2800000003</v>
      </c>
      <c r="H42" s="104">
        <f t="shared" si="7"/>
        <v>3.098617029314693</v>
      </c>
      <c r="I42" s="96"/>
      <c r="J42" s="17">
        <v>524628.38</v>
      </c>
      <c r="K42" s="17">
        <v>1625812.4700000002</v>
      </c>
    </row>
    <row r="43" spans="1:11" s="2" customFormat="1" ht="13.5" thickBot="1">
      <c r="A43" s="2" t="s">
        <v>16</v>
      </c>
      <c r="B43" s="105">
        <f>+B38-B42</f>
        <v>279319.49999999994</v>
      </c>
      <c r="C43" s="106">
        <f>ROUND(+C38-C42,2)</f>
        <v>852138.12</v>
      </c>
      <c r="D43" s="107">
        <f t="shared" si="6"/>
        <v>3.0507648767808915</v>
      </c>
      <c r="F43" s="105">
        <f>+F38-F42</f>
        <v>279319.5</v>
      </c>
      <c r="G43" s="106">
        <f>+G38-G42</f>
        <v>852138.1200000001</v>
      </c>
      <c r="H43" s="107">
        <f t="shared" si="7"/>
        <v>3.050764876780891</v>
      </c>
      <c r="I43" s="96"/>
      <c r="J43" s="17">
        <v>283290.9</v>
      </c>
      <c r="K43" s="17">
        <v>864253.9300000002</v>
      </c>
    </row>
    <row r="44" spans="2:11" s="3" customFormat="1" ht="14.25" thickBot="1" thickTop="1">
      <c r="B44" s="10"/>
      <c r="C44" s="11"/>
      <c r="D44" s="12"/>
      <c r="F44" s="10"/>
      <c r="G44" s="11"/>
      <c r="H44" s="12"/>
      <c r="I44" s="4"/>
      <c r="J44" s="17"/>
      <c r="K44" s="17"/>
    </row>
    <row r="45" spans="1:11" s="3" customFormat="1" ht="15">
      <c r="A45" s="89" t="s">
        <v>21</v>
      </c>
      <c r="B45" s="5"/>
      <c r="C45" s="6"/>
      <c r="D45" s="7"/>
      <c r="F45" s="5"/>
      <c r="G45" s="6"/>
      <c r="H45" s="7"/>
      <c r="I45" s="4"/>
      <c r="J45" s="17"/>
      <c r="K45" s="17"/>
    </row>
    <row r="46" spans="1:11" s="3" customFormat="1" ht="12.75">
      <c r="A46" s="3" t="s">
        <v>20</v>
      </c>
      <c r="B46" s="8"/>
      <c r="C46" s="9"/>
      <c r="D46" s="15">
        <f aca="true" t="shared" si="8" ref="D46:D54">IF(AND(B46&lt;&gt;0,C46&lt;&gt;0),C46/B46,"")</f>
      </c>
      <c r="F46" s="8"/>
      <c r="G46" s="9"/>
      <c r="H46" s="15">
        <f aca="true" t="shared" si="9" ref="H46:H54">IF(AND(F46&lt;&gt;0,G46&lt;&gt;0),G46/F46,"")</f>
      </c>
      <c r="I46" s="4"/>
      <c r="J46" s="17"/>
      <c r="K46" s="17"/>
    </row>
    <row r="47" spans="1:11" s="3" customFormat="1" ht="12.75">
      <c r="A47" s="16" t="s">
        <v>142</v>
      </c>
      <c r="B47" s="8">
        <f>+B18</f>
        <v>3904</v>
      </c>
      <c r="C47" s="112">
        <f>ROUND(+C18,2)</f>
        <v>312524.91</v>
      </c>
      <c r="D47" s="15">
        <f t="shared" si="8"/>
        <v>80.05248719262295</v>
      </c>
      <c r="F47" s="8">
        <f>+B47+J47</f>
        <v>984764</v>
      </c>
      <c r="G47" s="112">
        <f>+C47+K47</f>
        <v>78480891.22</v>
      </c>
      <c r="H47" s="15">
        <f t="shared" si="9"/>
        <v>79.69512616220739</v>
      </c>
      <c r="I47" s="4"/>
      <c r="J47" s="17">
        <v>980860</v>
      </c>
      <c r="K47" s="17">
        <v>78168366.31</v>
      </c>
    </row>
    <row r="48" spans="1:11" s="3" customFormat="1" ht="12.75">
      <c r="A48" s="3" t="s">
        <v>13</v>
      </c>
      <c r="B48" s="8">
        <f>+B19</f>
        <v>0</v>
      </c>
      <c r="C48" s="9">
        <f>+C19</f>
        <v>0</v>
      </c>
      <c r="D48" s="15">
        <f t="shared" si="8"/>
      </c>
      <c r="F48" s="8">
        <f>+B48+J48</f>
        <v>0</v>
      </c>
      <c r="G48" s="9">
        <f>+C48+K48</f>
        <v>0</v>
      </c>
      <c r="H48" s="15">
        <f t="shared" si="9"/>
      </c>
      <c r="I48" s="4"/>
      <c r="J48" s="17">
        <v>0</v>
      </c>
      <c r="K48" s="17">
        <v>0</v>
      </c>
    </row>
    <row r="49" spans="1:11" s="3" customFormat="1" ht="12.75">
      <c r="A49" s="3" t="s">
        <v>28</v>
      </c>
      <c r="B49" s="8">
        <f>ROUND(IF(B40&lt;&gt;0,(((B59/1000000)*B40)/((B58/1000)*2)),""),2)</f>
        <v>23.64</v>
      </c>
      <c r="C49" s="112">
        <f>ROUND(+C40,2)</f>
        <v>12115.81</v>
      </c>
      <c r="D49" s="15">
        <f t="shared" si="8"/>
        <v>512.5131133671742</v>
      </c>
      <c r="F49" s="8">
        <f>+B49+J49</f>
        <v>3077.27</v>
      </c>
      <c r="G49" s="112">
        <f>ROUND(+C49+K49,2)</f>
        <v>1637928.28</v>
      </c>
      <c r="H49" s="15">
        <f t="shared" si="9"/>
        <v>532.2666779320632</v>
      </c>
      <c r="I49" s="4"/>
      <c r="J49" s="17">
        <v>3053.63</v>
      </c>
      <c r="K49" s="17">
        <v>1625812.47</v>
      </c>
    </row>
    <row r="50" spans="1:11" s="3" customFormat="1" ht="12.75">
      <c r="A50" s="3" t="s">
        <v>109</v>
      </c>
      <c r="B50" s="108"/>
      <c r="C50" s="109"/>
      <c r="D50" s="15">
        <f t="shared" si="8"/>
      </c>
      <c r="F50" s="8"/>
      <c r="G50" s="9"/>
      <c r="H50" s="15">
        <f t="shared" si="9"/>
      </c>
      <c r="I50" s="4"/>
      <c r="J50" s="17"/>
      <c r="K50" s="17"/>
    </row>
    <row r="51" spans="1:11" s="3" customFormat="1" ht="12.75">
      <c r="A51" s="3" t="s">
        <v>110</v>
      </c>
      <c r="B51" s="108"/>
      <c r="C51" s="172">
        <f>ROUND(+C29+C30,3)</f>
        <v>12167.6</v>
      </c>
      <c r="D51" s="15">
        <f t="shared" si="8"/>
      </c>
      <c r="F51" s="8"/>
      <c r="G51" s="112">
        <f>ROUND(+C51+K51,2)</f>
        <v>2449695.58</v>
      </c>
      <c r="H51" s="15">
        <f t="shared" si="9"/>
      </c>
      <c r="I51" s="4"/>
      <c r="J51" s="17"/>
      <c r="K51" s="17">
        <v>2437527.98</v>
      </c>
    </row>
    <row r="52" spans="1:11" s="3" customFormat="1" ht="12.75">
      <c r="A52" s="3" t="s">
        <v>111</v>
      </c>
      <c r="B52" s="108"/>
      <c r="C52" s="172">
        <f>+INPUT!C21</f>
        <v>34903.91</v>
      </c>
      <c r="D52" s="15">
        <f t="shared" si="8"/>
      </c>
      <c r="F52" s="8"/>
      <c r="G52" s="110">
        <f>ROUND(+C52+K52,2)</f>
        <v>248363.11</v>
      </c>
      <c r="H52" s="15">
        <f t="shared" si="9"/>
      </c>
      <c r="I52" s="4"/>
      <c r="J52" s="17"/>
      <c r="K52" s="17">
        <v>213459.2</v>
      </c>
    </row>
    <row r="53" spans="1:11" s="3" customFormat="1" ht="12.75">
      <c r="A53" s="3" t="s">
        <v>112</v>
      </c>
      <c r="B53" s="108"/>
      <c r="C53" s="110">
        <f>+INPUT!B66</f>
        <v>0</v>
      </c>
      <c r="D53" s="15">
        <f t="shared" si="8"/>
      </c>
      <c r="F53" s="8"/>
      <c r="G53" s="9">
        <f>ROUND(+C53+K53,2)</f>
        <v>-9324.98</v>
      </c>
      <c r="H53" s="15">
        <f t="shared" si="9"/>
      </c>
      <c r="I53" s="4"/>
      <c r="J53" s="17"/>
      <c r="K53" s="17">
        <v>-9324.98</v>
      </c>
    </row>
    <row r="54" spans="1:11" s="2" customFormat="1" ht="13.5" thickBot="1">
      <c r="A54" s="2" t="s">
        <v>22</v>
      </c>
      <c r="B54" s="105">
        <f>SUM(B47:B53)</f>
        <v>3927.64</v>
      </c>
      <c r="C54" s="106">
        <f>SUM(C47:C53)</f>
        <v>371712.23</v>
      </c>
      <c r="D54" s="107">
        <f t="shared" si="8"/>
        <v>94.64009685205365</v>
      </c>
      <c r="F54" s="105">
        <f>SUM(F47:F53)</f>
        <v>987841.27</v>
      </c>
      <c r="G54" s="106">
        <f>SUM(G47:G53)</f>
        <v>82807553.21</v>
      </c>
      <c r="H54" s="107">
        <f t="shared" si="9"/>
        <v>83.82678039964861</v>
      </c>
      <c r="I54" s="96"/>
      <c r="J54" s="17">
        <v>983913.63</v>
      </c>
      <c r="K54" s="17">
        <v>82435840.98</v>
      </c>
    </row>
    <row r="55" spans="2:11" s="3" customFormat="1" ht="14.25" thickBot="1" thickTop="1">
      <c r="B55" s="10"/>
      <c r="C55" s="11"/>
      <c r="D55" s="12"/>
      <c r="F55" s="10"/>
      <c r="G55" s="11"/>
      <c r="H55" s="12"/>
      <c r="I55" s="4"/>
      <c r="J55" s="18"/>
      <c r="K55" s="18"/>
    </row>
    <row r="56" s="3" customFormat="1" ht="12.75">
      <c r="I56" s="4"/>
    </row>
    <row r="57" spans="1:9" s="3" customFormat="1" ht="15">
      <c r="A57" s="89" t="s">
        <v>23</v>
      </c>
      <c r="I57" s="4"/>
    </row>
    <row r="58" spans="1:9" s="3" customFormat="1" ht="12.75">
      <c r="A58" s="3" t="s">
        <v>24</v>
      </c>
      <c r="B58" s="20">
        <f>+'[2]BIG SANDY'!$E$21</f>
        <v>11475</v>
      </c>
      <c r="I58" s="4"/>
    </row>
    <row r="59" spans="1:9" s="3" customFormat="1" ht="12.75">
      <c r="A59" s="3" t="s">
        <v>25</v>
      </c>
      <c r="B59" s="20">
        <f>+'[3]BIG SANDY'!$E$17</f>
        <v>136600</v>
      </c>
      <c r="I59" s="4"/>
    </row>
    <row r="60" spans="1:9" s="3" customFormat="1" ht="12.75">
      <c r="A60" s="16" t="s">
        <v>143</v>
      </c>
      <c r="B60" s="20">
        <f>INPUT!H88</f>
        <v>12038</v>
      </c>
      <c r="I60" s="4"/>
    </row>
    <row r="61" spans="1:2" ht="12.75">
      <c r="A61" s="3" t="s">
        <v>27</v>
      </c>
      <c r="B61" s="136"/>
    </row>
    <row r="62" ht="12.75">
      <c r="A62" s="3" t="s">
        <v>113</v>
      </c>
    </row>
    <row r="63" ht="12.75">
      <c r="A63" s="3"/>
    </row>
    <row r="64" ht="12.75">
      <c r="A64" s="133"/>
    </row>
    <row r="65" ht="12.75">
      <c r="A65" s="133"/>
    </row>
    <row r="66" ht="12.75">
      <c r="A66" s="133"/>
    </row>
    <row r="67" ht="12.75">
      <c r="A67" t="str">
        <f ca="1">CELL("FILENAME")</f>
        <v>G:\Fuel New\Generation Summary Reports\2013\[11-13 East_Generation_Summary.xls]Generation Summary</v>
      </c>
    </row>
  </sheetData>
  <sheetProtection/>
  <mergeCells count="7">
    <mergeCell ref="J7:K7"/>
    <mergeCell ref="B7:D7"/>
    <mergeCell ref="F7:H7"/>
    <mergeCell ref="A2:H2"/>
    <mergeCell ref="A3:H3"/>
    <mergeCell ref="A4:H4"/>
    <mergeCell ref="A5:H5"/>
  </mergeCells>
  <printOptions horizontalCentered="1" verticalCentered="1"/>
  <pageMargins left="0.5" right="0.5" top="0.5" bottom="0.5" header="0.3" footer="0.3"/>
  <pageSetup blackAndWhite="1" fitToHeight="1" fitToWidth="1" horizontalDpi="600" verticalDpi="600" orientation="portrait" scale="74" r:id="rId1"/>
  <headerFooter alignWithMargins="0">
    <oddFooter>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PageLayoutView="0" workbookViewId="0" topLeftCell="A1">
      <selection activeCell="F17" sqref="F17"/>
    </sheetView>
  </sheetViews>
  <sheetFormatPr defaultColWidth="15.7109375" defaultRowHeight="12.75"/>
  <cols>
    <col min="1" max="1" width="33.00390625" style="3" customWidth="1"/>
    <col min="2" max="2" width="18.57421875" style="3" bestFit="1" customWidth="1"/>
    <col min="3" max="3" width="16.00390625" style="3" customWidth="1"/>
    <col min="4" max="4" width="13.28125" style="50" customWidth="1"/>
    <col min="5" max="5" width="14.421875" style="50" customWidth="1"/>
    <col min="6" max="6" width="15.7109375" style="3" customWidth="1"/>
    <col min="7" max="7" width="15.7109375" style="54" customWidth="1"/>
    <col min="8" max="9" width="15.7109375" style="3" customWidth="1"/>
    <col min="10" max="10" width="15.7109375" style="54" customWidth="1"/>
    <col min="11" max="16384" width="15.7109375" style="3" customWidth="1"/>
  </cols>
  <sheetData>
    <row r="1" spans="1:10" ht="12.75">
      <c r="A1" s="210" t="s">
        <v>119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10" ht="12.75">
      <c r="A2" s="210" t="s">
        <v>120</v>
      </c>
      <c r="B2" s="210"/>
      <c r="C2" s="210"/>
      <c r="D2" s="210"/>
      <c r="E2" s="210"/>
      <c r="F2" s="210"/>
      <c r="G2" s="210"/>
      <c r="H2" s="210"/>
      <c r="I2" s="210"/>
      <c r="J2" s="210"/>
    </row>
    <row r="3" spans="1:10" ht="12.75">
      <c r="A3" s="211" t="str">
        <f>+INPUT!A3</f>
        <v>OCTOBER 2013</v>
      </c>
      <c r="B3" s="211"/>
      <c r="C3" s="211"/>
      <c r="D3" s="211"/>
      <c r="E3" s="211"/>
      <c r="F3" s="211"/>
      <c r="G3" s="211"/>
      <c r="H3" s="211"/>
      <c r="I3" s="211"/>
      <c r="J3" s="211"/>
    </row>
    <row r="5" spans="3:4" ht="12.75">
      <c r="C5" s="1" t="s">
        <v>121</v>
      </c>
      <c r="D5" s="49"/>
    </row>
    <row r="6" spans="2:10" s="1" customFormat="1" ht="12.75">
      <c r="B6" s="1" t="s">
        <v>48</v>
      </c>
      <c r="C6" s="1" t="s">
        <v>50</v>
      </c>
      <c r="D6" s="49" t="s">
        <v>52</v>
      </c>
      <c r="E6" s="49" t="s">
        <v>54</v>
      </c>
      <c r="F6" s="1" t="s">
        <v>55</v>
      </c>
      <c r="G6" s="55" t="s">
        <v>57</v>
      </c>
      <c r="H6" s="1" t="s">
        <v>60</v>
      </c>
      <c r="J6" s="55" t="s">
        <v>57</v>
      </c>
    </row>
    <row r="7" spans="1:10" s="1" customFormat="1" ht="13.5" thickBot="1">
      <c r="A7" s="1" t="s">
        <v>46</v>
      </c>
      <c r="B7" s="1" t="s">
        <v>49</v>
      </c>
      <c r="C7" s="1" t="s">
        <v>122</v>
      </c>
      <c r="D7" s="49" t="s">
        <v>53</v>
      </c>
      <c r="E7" s="49" t="s">
        <v>59</v>
      </c>
      <c r="F7" s="1" t="s">
        <v>56</v>
      </c>
      <c r="G7" s="55" t="s">
        <v>58</v>
      </c>
      <c r="H7" s="1" t="s">
        <v>61</v>
      </c>
      <c r="I7" s="1" t="s">
        <v>62</v>
      </c>
      <c r="J7" s="55" t="s">
        <v>63</v>
      </c>
    </row>
    <row r="8" spans="1:10" ht="12.75">
      <c r="A8" s="5"/>
      <c r="B8" s="6"/>
      <c r="C8" s="6"/>
      <c r="D8" s="56"/>
      <c r="E8" s="56"/>
      <c r="F8" s="6"/>
      <c r="G8" s="57"/>
      <c r="H8" s="6"/>
      <c r="I8" s="6"/>
      <c r="J8" s="58"/>
    </row>
    <row r="9" spans="1:10" ht="12.75">
      <c r="A9" s="8" t="s">
        <v>102</v>
      </c>
      <c r="B9" s="9" t="s">
        <v>20</v>
      </c>
      <c r="C9" s="9">
        <f>+'BIG SANDY'!B47+'BIG SANDY'!B48</f>
        <v>3904</v>
      </c>
      <c r="D9" s="59">
        <f>+'BIG SANDY'!B58</f>
        <v>11475</v>
      </c>
      <c r="E9" s="59">
        <f>ROUND(C9*D9*2/1000,0)</f>
        <v>89597</v>
      </c>
      <c r="F9" s="9">
        <f>+'BIG SANDY'!C47+'BIG SANDY'!C48+'BIG SANDY'!C51+'BIG SANDY'!C52+'BIG SANDY'!C53</f>
        <v>359596.4199999999</v>
      </c>
      <c r="G9" s="60"/>
      <c r="H9" s="9">
        <f>+'BIG SANDY'!C51+'BIG SANDY'!C52+'BIG SANDY'!C53</f>
        <v>47071.51</v>
      </c>
      <c r="I9" s="9">
        <f>+F9-H9</f>
        <v>312524.9099999999</v>
      </c>
      <c r="J9" s="61"/>
    </row>
    <row r="10" spans="1:10" ht="12.75">
      <c r="A10" s="8"/>
      <c r="B10" s="9" t="s">
        <v>51</v>
      </c>
      <c r="C10" s="9">
        <f>+'BIG SANDY'!B40</f>
        <v>3971.3999999999996</v>
      </c>
      <c r="D10" s="59">
        <f>+'BIG SANDY'!B59</f>
        <v>136600</v>
      </c>
      <c r="E10" s="52">
        <f>ROUND(C10*D10/1000000,0)</f>
        <v>542</v>
      </c>
      <c r="F10" s="53">
        <f>+'BIG SANDY'!C49</f>
        <v>12115.81</v>
      </c>
      <c r="G10" s="60"/>
      <c r="H10" s="53"/>
      <c r="I10" s="53">
        <f>+F10-H10</f>
        <v>12115.81</v>
      </c>
      <c r="J10" s="61"/>
    </row>
    <row r="11" spans="1:10" ht="13.5" thickBot="1">
      <c r="A11" s="62" t="s">
        <v>32</v>
      </c>
      <c r="B11" s="9"/>
      <c r="C11" s="9"/>
      <c r="D11" s="59"/>
      <c r="E11" s="51">
        <f>SUM(E9:E10)</f>
        <v>90139</v>
      </c>
      <c r="F11" s="48">
        <f>SUM(F9:F10)</f>
        <v>371712.2299999999</v>
      </c>
      <c r="G11" s="114">
        <f>ROUND(F11/E11*100,4)</f>
        <v>412.3767</v>
      </c>
      <c r="H11" s="48">
        <f>SUM(H9:H10)</f>
        <v>47071.51</v>
      </c>
      <c r="I11" s="48">
        <f>SUM(I9:I10)</f>
        <v>324640.7199999999</v>
      </c>
      <c r="J11" s="115">
        <f>ROUND(I11/E11*100,4)</f>
        <v>360.1557</v>
      </c>
    </row>
    <row r="12" spans="1:10" ht="14.25" thickBot="1" thickTop="1">
      <c r="A12" s="10"/>
      <c r="B12" s="11"/>
      <c r="C12" s="11"/>
      <c r="D12" s="63"/>
      <c r="E12" s="63"/>
      <c r="F12" s="11"/>
      <c r="G12" s="64"/>
      <c r="H12" s="11"/>
      <c r="I12" s="11"/>
      <c r="J12" s="65"/>
    </row>
    <row r="16" ht="12.75">
      <c r="A16" s="3" t="str">
        <f ca="1">CELL("FILENAME")</f>
        <v>G:\Fuel New\Generation Summary Reports\2013\[11-13 East_Generation_Summary.xls]Generation Summary</v>
      </c>
    </row>
    <row r="18" spans="4:5" ht="12.75">
      <c r="D18" s="203">
        <v>41578</v>
      </c>
      <c r="E18" s="203"/>
    </row>
    <row r="19" spans="3:8" ht="12.75">
      <c r="C19" s="3" t="s">
        <v>147</v>
      </c>
      <c r="D19" s="50">
        <v>17537</v>
      </c>
      <c r="H19" s="202"/>
    </row>
    <row r="20" spans="3:8" ht="12.75">
      <c r="C20" s="3" t="s">
        <v>146</v>
      </c>
      <c r="D20" s="50">
        <v>16734</v>
      </c>
      <c r="H20" s="202"/>
    </row>
    <row r="22" spans="3:8" ht="12.75">
      <c r="C22" s="3" t="s">
        <v>148</v>
      </c>
      <c r="D22" s="236">
        <f>(+E11/D19)*1000</f>
        <v>5139.932713691052</v>
      </c>
      <c r="E22" s="201"/>
      <c r="H22" s="202"/>
    </row>
    <row r="23" spans="3:8" ht="12.75">
      <c r="C23" s="3" t="s">
        <v>149</v>
      </c>
      <c r="D23" s="236">
        <f>(+E11/D20)*1000</f>
        <v>5386.578223975141</v>
      </c>
      <c r="E23" s="201"/>
      <c r="H23" s="202"/>
    </row>
    <row r="27" spans="3:5" ht="12.75">
      <c r="C27" s="224" t="s">
        <v>151</v>
      </c>
      <c r="D27" s="224"/>
      <c r="E27" s="49" t="s">
        <v>158</v>
      </c>
    </row>
    <row r="28" spans="3:5" ht="12.75">
      <c r="C28" s="200" t="s">
        <v>152</v>
      </c>
      <c r="D28" s="235" t="s">
        <v>150</v>
      </c>
      <c r="E28" s="235" t="s">
        <v>159</v>
      </c>
    </row>
    <row r="29" spans="2:5" ht="12.75">
      <c r="B29" s="16" t="s">
        <v>157</v>
      </c>
      <c r="C29" s="233">
        <f>+F9</f>
        <v>359596.4199999999</v>
      </c>
      <c r="D29" s="232">
        <f>+C9</f>
        <v>3904</v>
      </c>
      <c r="E29" s="50">
        <f>+D9</f>
        <v>11475</v>
      </c>
    </row>
    <row r="30" spans="2:5" ht="12.75">
      <c r="B30" s="3" t="s">
        <v>155</v>
      </c>
      <c r="C30" s="233">
        <v>8077.21</v>
      </c>
      <c r="D30" s="232">
        <v>2647.6</v>
      </c>
      <c r="E30" s="50">
        <f>+D10</f>
        <v>136600</v>
      </c>
    </row>
    <row r="31" spans="2:5" ht="12.75">
      <c r="B31" s="3" t="s">
        <v>156</v>
      </c>
      <c r="C31" s="234">
        <v>4038.6</v>
      </c>
      <c r="D31" s="232">
        <v>1323.8</v>
      </c>
      <c r="E31" s="50">
        <f>+D10</f>
        <v>136600</v>
      </c>
    </row>
    <row r="32" ht="12.75">
      <c r="C32" s="233">
        <f>+C29+C30+C31</f>
        <v>371712.2299999999</v>
      </c>
    </row>
    <row r="34" spans="3:4" ht="12.75">
      <c r="C34" s="200" t="s">
        <v>147</v>
      </c>
      <c r="D34" s="235" t="s">
        <v>146</v>
      </c>
    </row>
    <row r="35" spans="2:4" ht="12.75">
      <c r="B35" s="231" t="s">
        <v>153</v>
      </c>
      <c r="C35" s="231">
        <v>17537</v>
      </c>
      <c r="D35" s="232">
        <v>16734</v>
      </c>
    </row>
    <row r="36" spans="2:4" ht="12.75">
      <c r="B36" s="231" t="s">
        <v>154</v>
      </c>
      <c r="C36" s="231">
        <v>0</v>
      </c>
      <c r="D36" s="231">
        <v>0</v>
      </c>
    </row>
    <row r="49" ht="12.75">
      <c r="C49" s="50"/>
    </row>
  </sheetData>
  <sheetProtection/>
  <mergeCells count="4">
    <mergeCell ref="A1:J1"/>
    <mergeCell ref="A2:J2"/>
    <mergeCell ref="A3:J3"/>
    <mergeCell ref="C27:D27"/>
  </mergeCells>
  <printOptions horizontalCentered="1" verticalCentered="1"/>
  <pageMargins left="0" right="0" top="0" bottom="0" header="0" footer="0"/>
  <pageSetup fitToHeight="1" fitToWidth="1" horizontalDpi="600" verticalDpi="600" orientation="landscape" scale="80" r:id="rId1"/>
  <headerFooter alignWithMargins="0">
    <oddFooter>&amp;L&amp;D  &amp;T&amp;C&amp;F  &amp;A&amp;RBE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PageLayoutView="0" workbookViewId="0" topLeftCell="A1">
      <selection activeCell="F44" sqref="F44"/>
    </sheetView>
  </sheetViews>
  <sheetFormatPr defaultColWidth="13.7109375" defaultRowHeight="12.75"/>
  <cols>
    <col min="1" max="1" width="30.421875" style="3" customWidth="1"/>
    <col min="2" max="2" width="17.7109375" style="3" bestFit="1" customWidth="1"/>
    <col min="3" max="3" width="18.28125" style="3" bestFit="1" customWidth="1"/>
    <col min="4" max="4" width="16.8515625" style="3" bestFit="1" customWidth="1"/>
    <col min="5" max="5" width="1.28515625" style="3" customWidth="1"/>
    <col min="6" max="6" width="14.421875" style="3" bestFit="1" customWidth="1"/>
    <col min="7" max="7" width="16.140625" style="3" bestFit="1" customWidth="1"/>
    <col min="8" max="8" width="15.57421875" style="3" bestFit="1" customWidth="1"/>
    <col min="9" max="9" width="1.1484375" style="3" customWidth="1"/>
    <col min="10" max="12" width="13.7109375" style="3" customWidth="1"/>
    <col min="13" max="13" width="17.00390625" style="3" customWidth="1"/>
    <col min="14" max="16384" width="13.7109375" style="3" customWidth="1"/>
  </cols>
  <sheetData>
    <row r="1" spans="1:12" ht="12.75">
      <c r="A1" s="210" t="s">
        <v>105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 ht="12.75">
      <c r="A2" s="210" t="s">
        <v>47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spans="1:12" ht="12.75">
      <c r="A3" s="211" t="str">
        <f>+INPUT!A3</f>
        <v>OCTOBER 2013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5" ht="12.75">
      <c r="A5" s="66" t="s">
        <v>64</v>
      </c>
    </row>
    <row r="7" spans="2:12" ht="13.5" thickBot="1">
      <c r="B7" s="220" t="s">
        <v>1</v>
      </c>
      <c r="C7" s="221"/>
      <c r="D7" s="222"/>
      <c r="E7" s="67"/>
      <c r="F7" s="223" t="s">
        <v>2</v>
      </c>
      <c r="G7" s="224"/>
      <c r="H7" s="225"/>
      <c r="I7" s="67"/>
      <c r="J7" s="217" t="s">
        <v>68</v>
      </c>
      <c r="K7" s="218"/>
      <c r="L7" s="219"/>
    </row>
    <row r="8" spans="1:12" ht="13.5" thickBot="1">
      <c r="A8" s="47" t="s">
        <v>46</v>
      </c>
      <c r="B8" s="116" t="s">
        <v>65</v>
      </c>
      <c r="C8" s="47" t="s">
        <v>66</v>
      </c>
      <c r="D8" s="117" t="s">
        <v>67</v>
      </c>
      <c r="E8" s="47"/>
      <c r="F8" s="126" t="s">
        <v>65</v>
      </c>
      <c r="G8" s="127" t="s">
        <v>66</v>
      </c>
      <c r="H8" s="128" t="s">
        <v>67</v>
      </c>
      <c r="I8" s="67"/>
      <c r="J8" s="148" t="s">
        <v>65</v>
      </c>
      <c r="K8" s="149" t="s">
        <v>66</v>
      </c>
      <c r="L8" s="150" t="s">
        <v>67</v>
      </c>
    </row>
    <row r="9" spans="1:12" ht="12.75">
      <c r="A9" s="3" t="s">
        <v>102</v>
      </c>
      <c r="B9" s="118">
        <f>+'BIG SANDY'!D22</f>
        <v>80.05248788792807</v>
      </c>
      <c r="C9" s="9">
        <f>+'BIG SANDY'!D43</f>
        <v>3.0507648767808915</v>
      </c>
      <c r="D9" s="119">
        <f>+'BIG SANDY'!D33</f>
        <v>3.11670742925999</v>
      </c>
      <c r="F9" s="129">
        <f>+'BIG SANDY'!H22</f>
        <v>80.05248788792808</v>
      </c>
      <c r="G9" s="130">
        <f>+'BIG SANDY'!H43</f>
        <v>3.050764876780891</v>
      </c>
      <c r="H9" s="131">
        <f>+'BIG SANDY'!H33</f>
        <v>3.116707429259991</v>
      </c>
      <c r="J9" s="151">
        <f>+B9-F9</f>
        <v>0</v>
      </c>
      <c r="K9" s="152">
        <f>+C9-G9</f>
        <v>0</v>
      </c>
      <c r="L9" s="153">
        <f>+D9-H9</f>
        <v>0</v>
      </c>
    </row>
    <row r="12" ht="12.75">
      <c r="A12" s="66" t="s">
        <v>69</v>
      </c>
    </row>
    <row r="14" spans="2:12" ht="12.75">
      <c r="B14" s="212" t="s">
        <v>71</v>
      </c>
      <c r="C14" s="213"/>
      <c r="D14" s="214" t="s">
        <v>72</v>
      </c>
      <c r="E14" s="214"/>
      <c r="F14" s="214"/>
      <c r="G14" s="229" t="s">
        <v>75</v>
      </c>
      <c r="H14" s="230"/>
      <c r="I14"/>
      <c r="J14" s="226" t="s">
        <v>68</v>
      </c>
      <c r="K14" s="227"/>
      <c r="L14" s="228"/>
    </row>
    <row r="15" spans="1:12" ht="13.5" thickBot="1">
      <c r="A15" s="47" t="s">
        <v>70</v>
      </c>
      <c r="B15" s="116" t="s">
        <v>73</v>
      </c>
      <c r="C15" s="117" t="s">
        <v>74</v>
      </c>
      <c r="D15" s="47" t="s">
        <v>73</v>
      </c>
      <c r="E15" s="11"/>
      <c r="F15" s="47" t="s">
        <v>74</v>
      </c>
      <c r="G15" s="116" t="s">
        <v>73</v>
      </c>
      <c r="H15" s="117" t="s">
        <v>74</v>
      </c>
      <c r="I15" s="11"/>
      <c r="J15" s="148" t="s">
        <v>76</v>
      </c>
      <c r="K15" s="149" t="s">
        <v>77</v>
      </c>
      <c r="L15" s="150" t="s">
        <v>78</v>
      </c>
    </row>
    <row r="16" spans="1:12" ht="12.75">
      <c r="A16" s="68" t="s">
        <v>126</v>
      </c>
      <c r="B16" s="175">
        <f>+'BIG SANDY'!C11</f>
        <v>51643385.559999995</v>
      </c>
      <c r="C16" s="119">
        <f>+INPUT!E93</f>
        <v>51643385.56</v>
      </c>
      <c r="D16" s="3">
        <f>+'BIG SANDY'!C22-'BIG SANDY'!C11</f>
        <v>3917152.530000001</v>
      </c>
      <c r="F16" s="3">
        <f>+INPUT!F93</f>
        <v>3917152.53</v>
      </c>
      <c r="G16" s="118">
        <f>+'BIG SANDY'!C22</f>
        <v>55560538.089999996</v>
      </c>
      <c r="H16" s="119">
        <f>+INPUT!G93</f>
        <v>55560538.09</v>
      </c>
      <c r="J16" s="151">
        <f>+B16-C16</f>
        <v>0</v>
      </c>
      <c r="K16" s="152">
        <f>+D16-F16</f>
        <v>0</v>
      </c>
      <c r="L16" s="153">
        <f>+G16-H16</f>
        <v>0</v>
      </c>
    </row>
    <row r="17" spans="1:12" ht="12.75">
      <c r="A17" s="68" t="s">
        <v>79</v>
      </c>
      <c r="B17" s="175">
        <f>+'BIG SANDY'!C36</f>
        <v>864253.93</v>
      </c>
      <c r="C17" s="119">
        <f>+INPUT!E94</f>
        <v>864253.93</v>
      </c>
      <c r="D17" s="3">
        <f>+'BIG SANDY'!C43-'BIG SANDY'!C36</f>
        <v>-12115.810000000056</v>
      </c>
      <c r="F17" s="3">
        <f>+INPUT!F94</f>
        <v>-12115.81</v>
      </c>
      <c r="G17" s="118">
        <f>+'BIG SANDY'!C43</f>
        <v>852138.12</v>
      </c>
      <c r="H17" s="119">
        <f>+INPUT!G94</f>
        <v>852138.12</v>
      </c>
      <c r="J17" s="151">
        <f>+B17-C17</f>
        <v>0</v>
      </c>
      <c r="K17" s="152">
        <f>+D17-F17</f>
        <v>-5.638867150992155E-11</v>
      </c>
      <c r="L17" s="153">
        <f>+G17-H17</f>
        <v>0</v>
      </c>
    </row>
    <row r="18" spans="1:12" ht="12.75">
      <c r="A18" s="68" t="s">
        <v>127</v>
      </c>
      <c r="B18" s="175">
        <f>+'BIG SANDY'!C25</f>
        <v>1816225.75</v>
      </c>
      <c r="C18" s="119">
        <f>+INPUT!E95</f>
        <v>1816225.75</v>
      </c>
      <c r="D18" s="3">
        <f>+'BIG SANDY'!C33-'BIG SANDY'!C25</f>
        <v>346929.2799999998</v>
      </c>
      <c r="F18" s="3">
        <f>+INPUT!F95</f>
        <v>346929.28</v>
      </c>
      <c r="G18" s="118">
        <f>+'BIG SANDY'!C33</f>
        <v>2163155.03</v>
      </c>
      <c r="H18" s="119">
        <f>+INPUT!G95</f>
        <v>2163155.03</v>
      </c>
      <c r="J18" s="151">
        <f>+B18-C18</f>
        <v>0</v>
      </c>
      <c r="K18" s="152">
        <f>ROUND(+D18-F18,2)</f>
        <v>0</v>
      </c>
      <c r="L18" s="154">
        <f>+G18-H18</f>
        <v>0</v>
      </c>
    </row>
    <row r="19" spans="1:13" ht="13.5" thickBot="1">
      <c r="A19" s="3" t="s">
        <v>32</v>
      </c>
      <c r="B19" s="123">
        <f>SUM(B16:B18)</f>
        <v>54323865.239999995</v>
      </c>
      <c r="C19" s="125">
        <f aca="true" t="shared" si="0" ref="C19:L19">SUM(C16:C18)</f>
        <v>54323865.24</v>
      </c>
      <c r="D19" s="48">
        <f t="shared" si="0"/>
        <v>4251966.000000001</v>
      </c>
      <c r="E19" s="48">
        <f t="shared" si="0"/>
        <v>0</v>
      </c>
      <c r="F19" s="48">
        <f t="shared" si="0"/>
        <v>4251966</v>
      </c>
      <c r="G19" s="123">
        <f t="shared" si="0"/>
        <v>58575831.239999995</v>
      </c>
      <c r="H19" s="125">
        <f t="shared" si="0"/>
        <v>58575831.24</v>
      </c>
      <c r="I19" s="48">
        <f t="shared" si="0"/>
        <v>0</v>
      </c>
      <c r="J19" s="155">
        <f t="shared" si="0"/>
        <v>0</v>
      </c>
      <c r="K19" s="156">
        <f t="shared" si="0"/>
        <v>-5.638867150992155E-11</v>
      </c>
      <c r="L19" s="157">
        <f t="shared" si="0"/>
        <v>0</v>
      </c>
      <c r="M19" s="16"/>
    </row>
    <row r="20" spans="7:10" ht="13.5" thickTop="1">
      <c r="G20" s="158">
        <f>+B19+D19-G19</f>
        <v>0</v>
      </c>
      <c r="H20" s="158">
        <f>+C19+F19-H19</f>
        <v>0</v>
      </c>
      <c r="J20" s="16"/>
    </row>
    <row r="22" ht="12.75">
      <c r="A22" s="66" t="s">
        <v>83</v>
      </c>
    </row>
    <row r="24" spans="2:13" ht="12.75">
      <c r="B24" s="212" t="s">
        <v>1</v>
      </c>
      <c r="C24" s="213"/>
      <c r="D24" s="214" t="s">
        <v>2</v>
      </c>
      <c r="E24" s="214"/>
      <c r="F24" s="214"/>
      <c r="G24" s="215" t="s">
        <v>68</v>
      </c>
      <c r="H24" s="216"/>
      <c r="I24"/>
      <c r="J24"/>
      <c r="K24"/>
      <c r="L24"/>
      <c r="M24"/>
    </row>
    <row r="25" spans="1:13" ht="13.5" thickBot="1">
      <c r="A25" s="47" t="s">
        <v>70</v>
      </c>
      <c r="B25" s="116" t="s">
        <v>73</v>
      </c>
      <c r="C25" s="117" t="s">
        <v>74</v>
      </c>
      <c r="D25" s="47" t="s">
        <v>73</v>
      </c>
      <c r="E25" s="11"/>
      <c r="F25" s="47" t="s">
        <v>74</v>
      </c>
      <c r="G25" s="148" t="s">
        <v>84</v>
      </c>
      <c r="H25" s="150" t="s">
        <v>85</v>
      </c>
      <c r="I25"/>
      <c r="J25"/>
      <c r="K25"/>
      <c r="L25"/>
      <c r="M25"/>
    </row>
    <row r="26" spans="1:13" ht="12.75">
      <c r="A26" s="68" t="s">
        <v>118</v>
      </c>
      <c r="B26" s="118">
        <f>+'BIG SANDY'!C47</f>
        <v>312524.91</v>
      </c>
      <c r="C26" s="119">
        <f>+INPUT!F97</f>
        <v>312524.91</v>
      </c>
      <c r="D26" s="16">
        <f>+'BIG SANDY'!G47</f>
        <v>78480891.22</v>
      </c>
      <c r="F26" s="137">
        <f>INPUT!G97</f>
        <v>78480891.22</v>
      </c>
      <c r="G26" s="151">
        <f aca="true" t="shared" si="1" ref="G26:G31">+B26-C26</f>
        <v>0</v>
      </c>
      <c r="H26" s="153">
        <f aca="true" t="shared" si="2" ref="H26:H31">+D26-F26</f>
        <v>0</v>
      </c>
      <c r="I26"/>
      <c r="J26" s="133" t="s">
        <v>145</v>
      </c>
      <c r="K26" s="135"/>
      <c r="L26"/>
      <c r="M26"/>
    </row>
    <row r="27" spans="1:13" ht="12.75">
      <c r="A27" s="68" t="s">
        <v>115</v>
      </c>
      <c r="B27" s="118">
        <f>+'BIG SANDY'!C52</f>
        <v>34903.91</v>
      </c>
      <c r="C27" s="119">
        <f>+INPUT!F96</f>
        <v>34903.91</v>
      </c>
      <c r="D27" s="3">
        <f>+'BIG SANDY'!G52</f>
        <v>248363.11</v>
      </c>
      <c r="F27" s="3">
        <f>+INPUT!G96</f>
        <v>248363.11</v>
      </c>
      <c r="G27" s="151">
        <f t="shared" si="1"/>
        <v>0</v>
      </c>
      <c r="H27" s="153">
        <f t="shared" si="2"/>
        <v>0</v>
      </c>
      <c r="I27"/>
      <c r="J27"/>
      <c r="K27"/>
      <c r="L27"/>
      <c r="M27"/>
    </row>
    <row r="28" spans="1:13" ht="12.75">
      <c r="A28" s="68" t="s">
        <v>117</v>
      </c>
      <c r="B28" s="118">
        <f>+'BIG SANDY'!C51</f>
        <v>12167.6</v>
      </c>
      <c r="C28" s="119">
        <f>+INPUT!F98</f>
        <v>12167.6</v>
      </c>
      <c r="D28" s="3">
        <f>+'BIG SANDY'!G51</f>
        <v>2449695.58</v>
      </c>
      <c r="F28" s="3">
        <f>+INPUT!G98</f>
        <v>2449695.58</v>
      </c>
      <c r="G28" s="151">
        <f t="shared" si="1"/>
        <v>0</v>
      </c>
      <c r="H28" s="153">
        <f t="shared" si="2"/>
        <v>0</v>
      </c>
      <c r="I28"/>
      <c r="J28"/>
      <c r="K28"/>
      <c r="L28"/>
      <c r="M28"/>
    </row>
    <row r="29" spans="1:13" ht="12.75">
      <c r="A29" s="68" t="s">
        <v>134</v>
      </c>
      <c r="B29" s="118">
        <f>+'BIG SANDY'!C53</f>
        <v>0</v>
      </c>
      <c r="C29" s="119">
        <f>+INPUT!F100</f>
        <v>0</v>
      </c>
      <c r="D29" s="3">
        <f>+'BIG SANDY'!G53</f>
        <v>-9324.98</v>
      </c>
      <c r="F29" s="3">
        <f>+INPUT!G100</f>
        <v>-9324.98</v>
      </c>
      <c r="G29" s="151">
        <f t="shared" si="1"/>
        <v>0</v>
      </c>
      <c r="H29" s="153">
        <f t="shared" si="2"/>
        <v>0</v>
      </c>
      <c r="I29"/>
      <c r="J29"/>
      <c r="K29"/>
      <c r="L29"/>
      <c r="M29"/>
    </row>
    <row r="30" spans="1:13" ht="12.75">
      <c r="A30" s="68" t="s">
        <v>116</v>
      </c>
      <c r="B30" s="118">
        <f>+'BIG SANDY'!C48</f>
        <v>0</v>
      </c>
      <c r="C30" s="119">
        <f>+INPUT!F101</f>
        <v>0</v>
      </c>
      <c r="D30" s="9">
        <f>+'BIG SANDY'!G48</f>
        <v>0</v>
      </c>
      <c r="E30" s="9"/>
      <c r="F30" s="9">
        <f>+INPUT!G101</f>
        <v>0</v>
      </c>
      <c r="G30" s="151">
        <f t="shared" si="1"/>
        <v>0</v>
      </c>
      <c r="H30" s="153">
        <f t="shared" si="2"/>
        <v>0</v>
      </c>
      <c r="I30"/>
      <c r="J30"/>
      <c r="K30"/>
      <c r="L30"/>
      <c r="M30"/>
    </row>
    <row r="31" spans="1:13" ht="12.75">
      <c r="A31" s="68" t="s">
        <v>129</v>
      </c>
      <c r="B31" s="120">
        <f>+'BIG SANDY'!C49</f>
        <v>12115.81</v>
      </c>
      <c r="C31" s="121">
        <f>+INPUT!F102</f>
        <v>12115.81</v>
      </c>
      <c r="D31" s="134">
        <f>+'BIG SANDY'!G49</f>
        <v>1637928.28</v>
      </c>
      <c r="E31" s="53"/>
      <c r="F31" s="134">
        <f>+INPUT!G102</f>
        <v>1637928.28</v>
      </c>
      <c r="G31" s="159">
        <f t="shared" si="1"/>
        <v>0</v>
      </c>
      <c r="H31" s="160">
        <f t="shared" si="2"/>
        <v>0</v>
      </c>
      <c r="I31"/>
      <c r="M31"/>
    </row>
    <row r="32" spans="1:13" ht="12.75">
      <c r="A32" s="3" t="s">
        <v>32</v>
      </c>
      <c r="B32" s="118">
        <f>SUM(B26:B31)</f>
        <v>371712.2299999999</v>
      </c>
      <c r="C32" s="119">
        <f>SUM(C26:C31)</f>
        <v>371712.2299999999</v>
      </c>
      <c r="D32" s="9">
        <f>SUM(D26:D31)</f>
        <v>82807553.21</v>
      </c>
      <c r="E32" s="9">
        <f>SUM(E26:E30)</f>
        <v>0</v>
      </c>
      <c r="F32" s="9">
        <f>SUM(F26:F31)</f>
        <v>82807553.21</v>
      </c>
      <c r="G32" s="151">
        <f>SUM(G26:G31)</f>
        <v>0</v>
      </c>
      <c r="H32" s="153">
        <f>SUM(H26:H31)</f>
        <v>0</v>
      </c>
      <c r="I32"/>
      <c r="J32" s="16"/>
      <c r="K32"/>
      <c r="L32"/>
      <c r="M32"/>
    </row>
    <row r="33" spans="1:8" ht="12.75">
      <c r="A33" s="3" t="s">
        <v>86</v>
      </c>
      <c r="B33" s="118">
        <f>+INPUT!F103-INPUT!F99</f>
        <v>4623678.23</v>
      </c>
      <c r="C33" s="122"/>
      <c r="D33" s="3">
        <f>+INPUT!G103-INPUT!G99</f>
        <v>141383384.45000002</v>
      </c>
      <c r="F33" s="4"/>
      <c r="G33" s="124"/>
      <c r="H33" s="122"/>
    </row>
    <row r="34" spans="1:8" ht="13.5" thickBot="1">
      <c r="A34" s="3" t="s">
        <v>87</v>
      </c>
      <c r="B34" s="155">
        <f>+B32-B33</f>
        <v>-4251966.000000001</v>
      </c>
      <c r="C34" s="122"/>
      <c r="D34" s="156">
        <f>+D32-D33</f>
        <v>-58575831.240000024</v>
      </c>
      <c r="F34" s="4"/>
      <c r="G34" s="124"/>
      <c r="H34" s="122"/>
    </row>
    <row r="35" ht="13.5" thickTop="1"/>
    <row r="37" spans="1:3" ht="12.75">
      <c r="A37" s="169" t="s">
        <v>95</v>
      </c>
      <c r="B37" s="170"/>
      <c r="C37" s="170"/>
    </row>
    <row r="39" spans="2:8" ht="12.75">
      <c r="B39" s="212" t="s">
        <v>91</v>
      </c>
      <c r="C39" s="213"/>
      <c r="D39" s="214" t="s">
        <v>90</v>
      </c>
      <c r="E39" s="214"/>
      <c r="F39" s="214"/>
      <c r="G39" s="215" t="s">
        <v>68</v>
      </c>
      <c r="H39" s="216"/>
    </row>
    <row r="40" spans="1:8" ht="13.5" thickBot="1">
      <c r="A40" s="47" t="s">
        <v>46</v>
      </c>
      <c r="B40" s="116" t="s">
        <v>73</v>
      </c>
      <c r="C40" s="117" t="s">
        <v>88</v>
      </c>
      <c r="D40" s="47" t="s">
        <v>73</v>
      </c>
      <c r="E40" s="11"/>
      <c r="F40" s="47" t="s">
        <v>89</v>
      </c>
      <c r="G40" s="148" t="s">
        <v>84</v>
      </c>
      <c r="H40" s="150" t="s">
        <v>85</v>
      </c>
    </row>
    <row r="41" spans="1:10" ht="12.75">
      <c r="A41" s="3" t="s">
        <v>102</v>
      </c>
      <c r="B41" s="118">
        <f>+'BIG SANDY'!C54</f>
        <v>371712.23</v>
      </c>
      <c r="C41" s="119">
        <f>+'PRIN GEN'!F11</f>
        <v>371712.2299999999</v>
      </c>
      <c r="D41" s="9">
        <f>+'BIG SANDY'!B21+'BIG SANDY'!B42</f>
        <v>7875.4</v>
      </c>
      <c r="E41" s="9"/>
      <c r="F41" s="9">
        <f>+'PRIN GEN'!C9+'PRIN GEN'!C10</f>
        <v>7875.4</v>
      </c>
      <c r="G41" s="151">
        <f>+B41-C41</f>
        <v>0</v>
      </c>
      <c r="H41" s="153">
        <f>+D41-F41</f>
        <v>0</v>
      </c>
      <c r="J41" s="3" t="s">
        <v>141</v>
      </c>
    </row>
    <row r="44" ht="12.75">
      <c r="A44" s="66" t="s">
        <v>93</v>
      </c>
    </row>
    <row r="46" spans="2:12" ht="13.5" thickBot="1">
      <c r="B46" s="220" t="s">
        <v>1</v>
      </c>
      <c r="C46" s="221"/>
      <c r="D46" s="222"/>
      <c r="E46" s="67"/>
      <c r="F46" s="220" t="s">
        <v>92</v>
      </c>
      <c r="G46" s="221"/>
      <c r="H46" s="222"/>
      <c r="I46" s="67"/>
      <c r="J46" s="217" t="s">
        <v>94</v>
      </c>
      <c r="K46" s="218"/>
      <c r="L46" s="219"/>
    </row>
    <row r="47" spans="1:12" ht="13.5" thickBot="1">
      <c r="A47" s="47" t="s">
        <v>46</v>
      </c>
      <c r="B47" s="116" t="s">
        <v>65</v>
      </c>
      <c r="C47" s="47" t="s">
        <v>66</v>
      </c>
      <c r="D47" s="117" t="s">
        <v>67</v>
      </c>
      <c r="E47" s="47"/>
      <c r="F47" s="116" t="s">
        <v>65</v>
      </c>
      <c r="G47" s="47" t="s">
        <v>66</v>
      </c>
      <c r="H47" s="117" t="s">
        <v>67</v>
      </c>
      <c r="I47" s="67"/>
      <c r="J47" s="148" t="s">
        <v>65</v>
      </c>
      <c r="K47" s="149" t="s">
        <v>66</v>
      </c>
      <c r="L47" s="150" t="s">
        <v>67</v>
      </c>
    </row>
    <row r="48" spans="1:12" ht="12.75">
      <c r="A48" s="3" t="s">
        <v>102</v>
      </c>
      <c r="B48" s="118">
        <f>+B9</f>
        <v>80.05248788792807</v>
      </c>
      <c r="C48" s="9">
        <f>+C9</f>
        <v>3.0507648767808915</v>
      </c>
      <c r="D48" s="119">
        <f>+D9</f>
        <v>3.11670742925999</v>
      </c>
      <c r="F48" s="196">
        <v>79.94847711076847</v>
      </c>
      <c r="G48" s="197">
        <v>3.050764885141034</v>
      </c>
      <c r="H48" s="198">
        <v>2.811676291693981</v>
      </c>
      <c r="J48" s="161">
        <f>ROUND((B48-F48)/F48,2)</f>
        <v>0</v>
      </c>
      <c r="K48" s="162">
        <f>ROUND((C48-G48)/G48,2)</f>
        <v>0</v>
      </c>
      <c r="L48" s="163">
        <f>ROUND((D48-H48)/H48,2)</f>
        <v>0.11</v>
      </c>
    </row>
    <row r="49" spans="1:12" ht="12.75">
      <c r="A49"/>
      <c r="B49"/>
      <c r="C49"/>
      <c r="D49"/>
      <c r="E49"/>
      <c r="F49"/>
      <c r="G49"/>
      <c r="H49"/>
      <c r="I49"/>
      <c r="J49"/>
      <c r="K49"/>
      <c r="L49"/>
    </row>
    <row r="50" spans="1:12" ht="12.75">
      <c r="A50"/>
      <c r="B50"/>
      <c r="C50"/>
      <c r="D50"/>
      <c r="E50"/>
      <c r="F50"/>
      <c r="G50"/>
      <c r="H50"/>
      <c r="I50"/>
      <c r="J50"/>
      <c r="K50"/>
      <c r="L50"/>
    </row>
    <row r="51" ht="12.75">
      <c r="A51" s="66" t="s">
        <v>98</v>
      </c>
    </row>
    <row r="52" spans="2:4" ht="12.75">
      <c r="B52" s="118"/>
      <c r="C52" s="9"/>
      <c r="D52" s="153"/>
    </row>
    <row r="53" spans="1:8" ht="13.5" thickBot="1">
      <c r="A53" s="47" t="s">
        <v>46</v>
      </c>
      <c r="B53" s="116" t="s">
        <v>96</v>
      </c>
      <c r="C53" s="47" t="s">
        <v>97</v>
      </c>
      <c r="D53" s="150" t="s">
        <v>94</v>
      </c>
      <c r="E53"/>
      <c r="F53"/>
      <c r="G53"/>
      <c r="H53"/>
    </row>
    <row r="54" spans="1:8" ht="12.75">
      <c r="A54" s="3" t="s">
        <v>102</v>
      </c>
      <c r="B54" s="132">
        <f>+'PRIN GEN'!G11</f>
        <v>412.3767</v>
      </c>
      <c r="C54" s="199">
        <v>358.1781</v>
      </c>
      <c r="D54" s="163">
        <f>ROUND((B54-C54)/C54,2)</f>
        <v>0.15</v>
      </c>
      <c r="E54" s="9"/>
      <c r="F54"/>
      <c r="G54"/>
      <c r="H54"/>
    </row>
    <row r="55" ht="12.75"/>
    <row r="56" ht="12.75">
      <c r="A56" s="3" t="str">
        <f ca="1">CELL("FILENAME")</f>
        <v>G:\Fuel New\Generation Summary Reports\2013\[11-13 East_Generation_Summary.xls]Generation Summary</v>
      </c>
    </row>
  </sheetData>
  <sheetProtection/>
  <mergeCells count="19">
    <mergeCell ref="B46:D46"/>
    <mergeCell ref="F46:H46"/>
    <mergeCell ref="J46:L46"/>
    <mergeCell ref="J14:L14"/>
    <mergeCell ref="B39:C39"/>
    <mergeCell ref="D39:F39"/>
    <mergeCell ref="G39:H39"/>
    <mergeCell ref="B14:C14"/>
    <mergeCell ref="D14:F14"/>
    <mergeCell ref="G14:H14"/>
    <mergeCell ref="B24:C24"/>
    <mergeCell ref="D24:F24"/>
    <mergeCell ref="G24:H24"/>
    <mergeCell ref="J7:L7"/>
    <mergeCell ref="A1:L1"/>
    <mergeCell ref="A2:L2"/>
    <mergeCell ref="A3:L3"/>
    <mergeCell ref="B7:D7"/>
    <mergeCell ref="F7:H7"/>
  </mergeCells>
  <printOptions horizontalCentered="1" verticalCentered="1"/>
  <pageMargins left="0" right="0" top="0" bottom="0.5" header="0" footer="0"/>
  <pageSetup fitToHeight="1" fitToWidth="1" horizontalDpi="600" verticalDpi="600" orientation="landscape" scale="78" r:id="rId1"/>
  <headerFooter alignWithMargins="0">
    <oddFooter>&amp;L&amp;D  &amp;T&amp;C &amp;F  &amp;A&amp;RBE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AEP-Word-Excel-PowerPoint-Access-6-2-00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i395047</dc:creator>
  <cp:keywords/>
  <dc:description/>
  <cp:lastModifiedBy>Hello from Brian Lysiak (220-6460)</cp:lastModifiedBy>
  <cp:lastPrinted>2013-11-14T20:15:33Z</cp:lastPrinted>
  <dcterms:created xsi:type="dcterms:W3CDTF">2001-12-06T16:44:28Z</dcterms:created>
  <dcterms:modified xsi:type="dcterms:W3CDTF">2014-01-23T18:09:34Z</dcterms:modified>
  <cp:category/>
  <cp:version/>
  <cp:contentType/>
  <cp:contentStatus/>
</cp:coreProperties>
</file>