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2" yWindow="720" windowWidth="19188" windowHeight="6516" tabRatio="789"/>
  </bookViews>
  <sheets>
    <sheet name="Cover Sheet" sheetId="1" r:id="rId1"/>
    <sheet name="Project Summary Rounded" sheetId="52" state="hidden" r:id="rId2"/>
    <sheet name="Project Summary" sheetId="2" r:id="rId3"/>
    <sheet name="Owners Cost Summary" sheetId="32" state="hidden" r:id="rId4"/>
    <sheet name="Owners Cost" sheetId="33" state="hidden" r:id="rId5"/>
    <sheet name="Sheet1" sheetId="57" state="hidden" r:id="rId6"/>
    <sheet name="Estimate Details" sheetId="12" r:id="rId7"/>
    <sheet name="Unit Sort Codes" sheetId="29" state="hidden" r:id="rId8"/>
    <sheet name="Unit Cost Summary" sheetId="27" state="hidden" r:id="rId9"/>
    <sheet name="Cost Differential" sheetId="28" state="hidden" r:id="rId10"/>
    <sheet name="Pivot Table (Unit Sort)" sheetId="31" state="hidden" r:id="rId11"/>
    <sheet name="Sheet3" sheetId="59" state="hidden" r:id="rId12"/>
    <sheet name="Pipe Takeoff" sheetId="54" state="hidden" r:id="rId13"/>
    <sheet name="Composite Crew Void" sheetId="44" state="hidden" r:id="rId14"/>
    <sheet name="Raw Water &amp; Discharge Detail" sheetId="43" state="hidden" r:id="rId15"/>
    <sheet name="Wage Rates" sheetId="8" state="hidden" r:id="rId16"/>
    <sheet name="Composite Crew Rates 2" sheetId="58" r:id="rId17"/>
    <sheet name="Out Buildings and Structures" sheetId="22" state="hidden" r:id="rId18"/>
    <sheet name="Main Power Block Area" sheetId="23" state="hidden" r:id="rId19"/>
    <sheet name="EPC Field Staff" sheetId="40" state="hidden" r:id="rId20"/>
    <sheet name="Const Indirects &amp; Services" sheetId="41" state="hidden" r:id="rId21"/>
    <sheet name="Construction Equipment" sheetId="39" state="hidden" r:id="rId22"/>
    <sheet name="Productivity Factor Calc." sheetId="20" r:id="rId23"/>
    <sheet name="OFE &amp; EPC Cash Flow" sheetId="26" state="hidden" r:id="rId24"/>
    <sheet name="EPC Craft Hour &amp; Escalation" sheetId="18" state="hidden" r:id="rId25"/>
    <sheet name="Estimate WBS" sheetId="21" state="hidden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LL" localSheetId="20">'Const Indirects &amp; Services'!$A$10:$P$178</definedName>
    <definedName name="ALL" localSheetId="21">'Construction Equipment'!$A$2:$I$98</definedName>
    <definedName name="archpod1">'[1]Estimate Details - VOID'!$X$8</definedName>
    <definedName name="archprod" localSheetId="6">'Estimate Details'!$Z$5</definedName>
    <definedName name="archprod" localSheetId="1">#REF!</definedName>
    <definedName name="archprod">#REF!</definedName>
    <definedName name="Average_rate">'[2]Wages Composite Crew'!$N$118</definedName>
    <definedName name="Average_rate__Avr_1">'[3]Composite Crew Rates'!$C$128</definedName>
    <definedName name="AvR_1">'Composite Crew Rates 2'!$D$128</definedName>
    <definedName name="BM_1">'Composite Crew Rates 2'!$C$109</definedName>
    <definedName name="BM_2">'Composite Crew Rates 2'!$C$110</definedName>
    <definedName name="BOIL" localSheetId="15">'Wage Rates'!$I$79:$I$79</definedName>
    <definedName name="BOIL">'[4]Wage Rates'!$I$61:$I$61</definedName>
    <definedName name="Boil1">'[4]Wage Rates'!$I$61:$I$61</definedName>
    <definedName name="boilprod" localSheetId="6">'Estimate Details'!$Z$6</definedName>
    <definedName name="boilprod" localSheetId="1">#REF!</definedName>
    <definedName name="boilprod">#REF!</definedName>
    <definedName name="boilprod1">'[1]Estimate Details - VOID'!$X$9</definedName>
    <definedName name="BOQPRINTALL" localSheetId="1">#REF!</definedName>
    <definedName name="BOQPRINTALL">#REF!</definedName>
    <definedName name="BOTTOM" localSheetId="20">'Const Indirects &amp; Services'!$A$32:$P$771</definedName>
    <definedName name="BOTTOM" localSheetId="21">'Construction Equipment'!$A$219:$I$884</definedName>
    <definedName name="C_1">'Composite Crew Rates 2'!$C$105</definedName>
    <definedName name="C_2">'Composite Crew Rates 2'!$C$106</definedName>
    <definedName name="CARP">#REF!</definedName>
    <definedName name="CARP1" localSheetId="1">#REF!</definedName>
    <definedName name="CARP1">#REF!</definedName>
    <definedName name="civilprod" localSheetId="6">'Estimate Details'!$Z$3</definedName>
    <definedName name="civilprod" localSheetId="1">#REF!</definedName>
    <definedName name="civilprod">#REF!</definedName>
    <definedName name="civilprod1">'[1]Estimate Details - VOID'!$X$6</definedName>
    <definedName name="Con_1">'Composite Crew Rates 2'!$C$98</definedName>
    <definedName name="CONC" localSheetId="15">'Wage Rates'!$I$69:$I$69</definedName>
    <definedName name="CONC">'[4]Wage Rates'!$I$51:$I$51</definedName>
    <definedName name="CONC1">'[4]Wage Rates'!$I$51:$I$51</definedName>
    <definedName name="concprod" localSheetId="6">'Estimate Details'!$Z$4</definedName>
    <definedName name="concprod" localSheetId="1">#REF!</definedName>
    <definedName name="concprod">#REF!</definedName>
    <definedName name="concprod1">'[1]Estimate Details - VOID'!$X$7</definedName>
    <definedName name="CREWPRINT">#REF!</definedName>
    <definedName name="CREWPRINT1" localSheetId="1">#REF!</definedName>
    <definedName name="CREWPRINT1">#REF!</definedName>
    <definedName name="Dem_1">'Composite Crew Rates 2'!$C$96</definedName>
    <definedName name="DOR" localSheetId="1">#REF!</definedName>
    <definedName name="DOR">#REF!</definedName>
    <definedName name="DSUMDATA" localSheetId="1">#REF!</definedName>
    <definedName name="DSUMDATA">#REF!</definedName>
    <definedName name="E_1">'Composite Crew Rates 2'!$C$118</definedName>
    <definedName name="E_2">'Composite Crew Rates 2'!$C$119</definedName>
    <definedName name="ELEC" localSheetId="15">'Wage Rates'!$I$87:$I$87</definedName>
    <definedName name="ELEC">'[4]Wage Rates'!$I$69:$I$69</definedName>
    <definedName name="ELEC1">'[4]Wage Rates'!$I$69:$I$69</definedName>
    <definedName name="elecprod" localSheetId="6">'Estimate Details'!$Z$9</definedName>
    <definedName name="elecprod" localSheetId="1">#REF!</definedName>
    <definedName name="elecprod">#REF!</definedName>
    <definedName name="elecprod1">'[1]Estimate Details - VOID'!$X$13</definedName>
    <definedName name="EQIP1">'[4]Wage Rates'!$I$65:$I$65</definedName>
    <definedName name="EQUIP" localSheetId="15">'Wage Rates'!$I$83:$I$83</definedName>
    <definedName name="EQUIP">'[4]Wage Rates'!$I$65:$I$65</definedName>
    <definedName name="EQUIPMENT" localSheetId="21">'Construction Equipment'!$A$6:$H$119</definedName>
    <definedName name="EQUIPMENT" localSheetId="1">#REF!</definedName>
    <definedName name="EQUIPMENT">#REF!</definedName>
    <definedName name="GENERALCONDITIO" localSheetId="20">'Const Indirects &amp; Services'!$A$13:$R$178</definedName>
    <definedName name="GENERALCONDITIO" localSheetId="1">#REF!</definedName>
    <definedName name="GENERALCONDITIO">#REF!</definedName>
    <definedName name="HVAC" localSheetId="1">'[5]Wage Rates'!#REF!</definedName>
    <definedName name="HVAC">'[5]Wage Rates'!#REF!</definedName>
    <definedName name="I_1">'Composite Crew Rates 2'!$C$116</definedName>
    <definedName name="iconprod1">'[1]Estimate Details - VOID'!$X$10</definedName>
    <definedName name="INDIRECT" localSheetId="1">'[5]Wage Rates'!#REF!</definedName>
    <definedName name="INDIRECT">'[5]Wage Rates'!#REF!</definedName>
    <definedName name="INSUL" localSheetId="15">'Wage Rates'!$I$85:$I$85</definedName>
    <definedName name="INSUL">'[4]Wage Rates'!$I$67:$I$67</definedName>
    <definedName name="INSUL1">'[4]Wage Rates'!$I$67:$I$67</definedName>
    <definedName name="ironprod" localSheetId="1">#REF!</definedName>
    <definedName name="ironprod">#REF!</definedName>
    <definedName name="Mas__1">'Composite Crew Rates 2'!$C$104</definedName>
    <definedName name="millprod" localSheetId="6">'Estimate Details'!$Z$7</definedName>
    <definedName name="millprod" localSheetId="1">#REF!</definedName>
    <definedName name="millprod">#REF!</definedName>
    <definedName name="millprod1">'[1]Estimate Details - VOID'!$X$11</definedName>
    <definedName name="MW_1">'Composite Crew Rates 2'!$C$114</definedName>
    <definedName name="noprod" localSheetId="1">#REF!</definedName>
    <definedName name="noprod">#REF!</definedName>
    <definedName name="noprod1">'[1]Estimate Details - VOID'!$X$5</definedName>
    <definedName name="OPER">#REF!</definedName>
    <definedName name="OPER1" localSheetId="1">#REF!</definedName>
    <definedName name="OPER1">#REF!</definedName>
    <definedName name="P_1">'Composite Crew Rates 2'!$C$123</definedName>
    <definedName name="PAINT" localSheetId="1">'[5]Wage Rates'!#REF!</definedName>
    <definedName name="PAINT">'[5]Wage Rates'!#REF!</definedName>
    <definedName name="PF_1">'Composite Crew Rates 2'!$C$111</definedName>
    <definedName name="PF_2">'[2]Composite Crew Rates1'!$C$101</definedName>
    <definedName name="PIPE" localSheetId="15">'Wage Rates'!$I$81:$I$81</definedName>
    <definedName name="PIPE">'[4]Wage Rates'!$I$63:$I$63</definedName>
    <definedName name="PIPE1">'[4]Wage Rates'!$I$63:$I$63</definedName>
    <definedName name="pipeprod" localSheetId="6">'Estimate Details'!$Z$8</definedName>
    <definedName name="pipeprod" localSheetId="1">#REF!</definedName>
    <definedName name="pipeprod">#REF!</definedName>
    <definedName name="pipeprod1">'[1]Estimate Details - VOID'!$X$12</definedName>
    <definedName name="Pre_Engin">'Composite Crew Rates 2'!$C$101</definedName>
    <definedName name="_xlnm.Print_Area" localSheetId="16">'Composite Crew Rates 2'!$A$1:$M$257</definedName>
    <definedName name="_xlnm.Print_Area" localSheetId="20">'Const Indirects &amp; Services'!$A$1:$N$189</definedName>
    <definedName name="_xlnm.Print_Area" localSheetId="21">'Construction Equipment'!$A$1:$K$122</definedName>
    <definedName name="_xlnm.Print_Area" localSheetId="9">'Cost Differential'!$B$1:$G$104</definedName>
    <definedName name="_xlnm.Print_Area" localSheetId="0">'Cover Sheet'!$A$2:$J$29</definedName>
    <definedName name="_xlnm.Print_Area" localSheetId="24">'EPC Craft Hour &amp; Escalation'!$A$1:$O$97</definedName>
    <definedName name="_xlnm.Print_Area" localSheetId="19">'EPC Field Staff'!$B$10:$W$121</definedName>
    <definedName name="_xlnm.Print_Area" localSheetId="6">'Estimate Details'!$A$12:$X$142</definedName>
    <definedName name="_xlnm.Print_Area" localSheetId="25">'Estimate WBS'!$B$1:$F$995</definedName>
    <definedName name="_xlnm.Print_Area" localSheetId="18">'Main Power Block Area'!$A$1:$T$55</definedName>
    <definedName name="_xlnm.Print_Area" localSheetId="23">'OFE &amp; EPC Cash Flow'!$A$1:$R$50</definedName>
    <definedName name="_xlnm.Print_Area" localSheetId="4">'Owners Cost'!$A$1:$D$93</definedName>
    <definedName name="_xlnm.Print_Area" localSheetId="3">'Owners Cost Summary'!$A$1:$P$49</definedName>
    <definedName name="_xlnm.Print_Area" localSheetId="2">'Project Summary'!$A$1:$Q$53</definedName>
    <definedName name="_xlnm.Print_Area" localSheetId="1">'Project Summary Rounded'!$A$1:$O$79</definedName>
    <definedName name="_xlnm.Print_Area" localSheetId="14">'Raw Water &amp; Discharge Detail'!$A$1:$G$69</definedName>
    <definedName name="_xlnm.Print_Area" localSheetId="11">Sheet3!$A$1:$F$86</definedName>
    <definedName name="_xlnm.Print_Area" localSheetId="8">'Unit Cost Summary'!$B$1:$G$106</definedName>
    <definedName name="_xlnm.Print_Area" localSheetId="7">'Unit Sort Codes'!$A$12:$AD$1089</definedName>
    <definedName name="_xlnm.Print_Area" localSheetId="15">'Wage Rates'!$A$1:$K$92</definedName>
    <definedName name="_xlnm.Print_Titles" localSheetId="20">'Const Indirects &amp; Services'!$2:$12</definedName>
    <definedName name="_xlnm.Print_Titles" localSheetId="21">'Construction Equipment'!$1:$7</definedName>
    <definedName name="_xlnm.Print_Titles" localSheetId="9">'Cost Differential'!$1:$4</definedName>
    <definedName name="_xlnm.Print_Titles" localSheetId="19">'EPC Field Staff'!$2:$13</definedName>
    <definedName name="_xlnm.Print_Titles" localSheetId="6">'Estimate Details'!$1:$10</definedName>
    <definedName name="_xlnm.Print_Titles" localSheetId="25">'Estimate WBS'!$1:$10</definedName>
    <definedName name="_xlnm.Print_Titles" localSheetId="18">'Main Power Block Area'!$1:$5</definedName>
    <definedName name="_xlnm.Print_Titles" localSheetId="17">'Out Buildings and Structures'!$3:$5</definedName>
    <definedName name="_xlnm.Print_Titles" localSheetId="22">'Productivity Factor Calc.'!$5:$6</definedName>
    <definedName name="_xlnm.Print_Titles" localSheetId="2">'Project Summary'!$1:$17</definedName>
    <definedName name="_xlnm.Print_Titles" localSheetId="1">'Project Summary Rounded'!$1:$17</definedName>
    <definedName name="_xlnm.Print_Titles" localSheetId="8">'Unit Cost Summary'!$1:$4</definedName>
    <definedName name="_xlnm.Print_Titles" localSheetId="7">'Unit Sort Codes'!$1:$10</definedName>
    <definedName name="_xlnm.Print_Titles" localSheetId="15">'Wage Rates'!$1:$2</definedName>
    <definedName name="PRINTBOQ" localSheetId="1">#REF!</definedName>
    <definedName name="PRINTBOQ">#REF!</definedName>
    <definedName name="PRINTSUMMARY" localSheetId="2">'Project Summary'!$B$1:$P$54</definedName>
    <definedName name="PRINTSUMMARY" localSheetId="1">'Project Summary Rounded'!$B$1:$N$80</definedName>
    <definedName name="PRINTSUMMARY">[6]Summary!$B$4:$O$96</definedName>
    <definedName name="RF_1">'Composite Crew Rates 2'!$C$125</definedName>
    <definedName name="S_1">'Composite Crew Rates 2'!$C$93</definedName>
    <definedName name="S_2">'Composite Crew Rates 2'!$C$94</definedName>
    <definedName name="Scaf_1">'[2]Composite Crew Rates1'!$C$93</definedName>
    <definedName name="Sid___1">'Composite Crew Rates 2'!$C$102</definedName>
    <definedName name="SIDE">#REF!</definedName>
    <definedName name="SIDE1" localSheetId="1">#REF!</definedName>
    <definedName name="SIDE1">#REF!</definedName>
    <definedName name="site" localSheetId="6">'Estimate Details'!#REF!</definedName>
    <definedName name="site" localSheetId="1">#REF!</definedName>
    <definedName name="SITE" localSheetId="15">'Wage Rates'!$I$63:$I$63</definedName>
    <definedName name="site">#REF!</definedName>
    <definedName name="site1">'[1]Estimate Details - VOID'!$K$15</definedName>
    <definedName name="SS_1">'Composite Crew Rates 2'!$C$121</definedName>
    <definedName name="SStl_1">'Composite Crew Rates 2'!$C$100</definedName>
    <definedName name="STEEL" localSheetId="15">'Wage Rates'!$I$71:$I$71</definedName>
    <definedName name="STEEL">'[4]Wage Rates'!$I$53:$I$53</definedName>
    <definedName name="STEEL1">'[4]Wage Rates'!$I$53:$I$53</definedName>
    <definedName name="steelprod" localSheetId="21">[4]BOQ!#REF!</definedName>
    <definedName name="steelprod" localSheetId="24">'[7]Estimate Details'!#REF!</definedName>
    <definedName name="steelprod" localSheetId="1">#REF!</definedName>
    <definedName name="steelprod" localSheetId="15">[8]BOQ!#REF!</definedName>
    <definedName name="steelprod">#REF!</definedName>
    <definedName name="steelprod1" localSheetId="1">'[1]Estimate Details - VOID'!#REF!</definedName>
    <definedName name="steelprod1">'[1]Estimate Details - VOID'!#REF!</definedName>
    <definedName name="TC_1">'Composite Crew Rates 2'!$C$95</definedName>
    <definedName name="Z_B0DE55D3_31F4_4C5A_BCDA_3DAF0319F50E_.wvu.PrintArea" localSheetId="20" hidden="1">'Const Indirects &amp; Services'!$A$1:$N$178</definedName>
    <definedName name="Z_B0DE55D3_31F4_4C5A_BCDA_3DAF0319F50E_.wvu.PrintArea" localSheetId="21" hidden="1">'Construction Equipment'!$A$2:$G$119</definedName>
    <definedName name="Z_B0DE55D3_31F4_4C5A_BCDA_3DAF0319F50E_.wvu.PrintArea" localSheetId="24" hidden="1">'EPC Craft Hour &amp; Escalation'!$B$1:$K$61</definedName>
    <definedName name="Z_B0DE55D3_31F4_4C5A_BCDA_3DAF0319F50E_.wvu.PrintArea" localSheetId="19" hidden="1">'EPC Field Staff'!$B$11:$R$116</definedName>
    <definedName name="Z_B0DE55D3_31F4_4C5A_BCDA_3DAF0319F50E_.wvu.PrintArea" localSheetId="6" hidden="1">'Estimate Details'!$B$1:$X$114</definedName>
    <definedName name="Z_B0DE55D3_31F4_4C5A_BCDA_3DAF0319F50E_.wvu.PrintArea" localSheetId="2" hidden="1">'Project Summary'!$A$1:$Q$53</definedName>
    <definedName name="Z_B0DE55D3_31F4_4C5A_BCDA_3DAF0319F50E_.wvu.PrintArea" localSheetId="1" hidden="1">'Project Summary Rounded'!$A$1:$O$79</definedName>
    <definedName name="Z_B0DE55D3_31F4_4C5A_BCDA_3DAF0319F50E_.wvu.PrintArea" localSheetId="15" hidden="1">'Wage Rates'!$A$3:$K$97</definedName>
    <definedName name="Z_B0DE55D3_31F4_4C5A_BCDA_3DAF0319F50E_.wvu.PrintTitles" localSheetId="20" hidden="1">'Const Indirects &amp; Services'!$2:$11</definedName>
    <definedName name="Z_B0DE55D3_31F4_4C5A_BCDA_3DAF0319F50E_.wvu.PrintTitles" localSheetId="24" hidden="1">'EPC Craft Hour &amp; Escalation'!$1:$3</definedName>
    <definedName name="Z_B0DE55D3_31F4_4C5A_BCDA_3DAF0319F50E_.wvu.PrintTitles" localSheetId="19" hidden="1">'EPC Field Staff'!$2:$9</definedName>
    <definedName name="Z_B0DE55D3_31F4_4C5A_BCDA_3DAF0319F50E_.wvu.PrintTitles" localSheetId="6" hidden="1">'Estimate Details'!$1:$9</definedName>
    <definedName name="Z_B0DE55D3_31F4_4C5A_BCDA_3DAF0319F50E_.wvu.PrintTitles" localSheetId="22" hidden="1">'Productivity Factor Calc.'!$5:$6</definedName>
    <definedName name="Z_B0DE55D3_31F4_4C5A_BCDA_3DAF0319F50E_.wvu.Rows" localSheetId="6" hidden="1">'Estimate Details'!#REF!,'Estimate Details'!#REF!</definedName>
    <definedName name="Z_BC3A604D_E901_4D72_B567_A41E3CE4BC9B_.wvu.PrintArea" localSheetId="20" hidden="1">'Const Indirects &amp; Services'!$A$1:$N$178</definedName>
    <definedName name="Z_BC3A604D_E901_4D72_B567_A41E3CE4BC9B_.wvu.PrintArea" localSheetId="21" hidden="1">'Construction Equipment'!$A$2:$G$119</definedName>
    <definedName name="Z_BC3A604D_E901_4D72_B567_A41E3CE4BC9B_.wvu.PrintArea" localSheetId="24" hidden="1">'EPC Craft Hour &amp; Escalation'!$B$1:$K$61</definedName>
    <definedName name="Z_BC3A604D_E901_4D72_B567_A41E3CE4BC9B_.wvu.PrintArea" localSheetId="19" hidden="1">'EPC Field Staff'!$B$11:$R$116</definedName>
    <definedName name="Z_BC3A604D_E901_4D72_B567_A41E3CE4BC9B_.wvu.PrintArea" localSheetId="6" hidden="1">'Estimate Details'!$B$1:$W$114</definedName>
    <definedName name="Z_BC3A604D_E901_4D72_B567_A41E3CE4BC9B_.wvu.PrintArea" localSheetId="2" hidden="1">'Project Summary'!$A$1:$P$53</definedName>
    <definedName name="Z_BC3A604D_E901_4D72_B567_A41E3CE4BC9B_.wvu.PrintArea" localSheetId="1" hidden="1">'Project Summary Rounded'!$A$1:$N$79</definedName>
    <definedName name="Z_BC3A604D_E901_4D72_B567_A41E3CE4BC9B_.wvu.PrintArea" localSheetId="15" hidden="1">'Wage Rates'!$A$3:$K$97</definedName>
    <definedName name="Z_BC3A604D_E901_4D72_B567_A41E3CE4BC9B_.wvu.PrintTitles" localSheetId="20" hidden="1">'Const Indirects &amp; Services'!$2:$11</definedName>
    <definedName name="Z_BC3A604D_E901_4D72_B567_A41E3CE4BC9B_.wvu.PrintTitles" localSheetId="24" hidden="1">'EPC Craft Hour &amp; Escalation'!$1:$3</definedName>
    <definedName name="Z_BC3A604D_E901_4D72_B567_A41E3CE4BC9B_.wvu.PrintTitles" localSheetId="19" hidden="1">'EPC Field Staff'!$2:$9</definedName>
    <definedName name="Z_BC3A604D_E901_4D72_B567_A41E3CE4BC9B_.wvu.PrintTitles" localSheetId="6" hidden="1">'Estimate Details'!$1:$9</definedName>
    <definedName name="Z_BC3A604D_E901_4D72_B567_A41E3CE4BC9B_.wvu.PrintTitles" localSheetId="22" hidden="1">'Productivity Factor Calc.'!$5:$6</definedName>
    <definedName name="Z_BC3A604D_E901_4D72_B567_A41E3CE4BC9B_.wvu.Rows" localSheetId="6" hidden="1">'Estimate Details'!#REF!,'Estimate Details'!#REF!</definedName>
  </definedNames>
  <calcPr calcId="145621"/>
  <customWorkbookViews>
    <customWorkbookView name="  - Personal View" guid="{B0DE55D3-31F4-4C5A-BCDA-3DAF0319F50E}" mergeInterval="0" personalView="1" maximized="1" windowWidth="1020" windowHeight="573" activeSheetId="6"/>
    <customWorkbookView name="rdb - Personal View" guid="{BC3A604D-E901-4D72-B567-A41E3CE4BC9B}" mergeInterval="0" personalView="1" maximized="1" windowWidth="1020" windowHeight="553" activeSheetId="12"/>
  </customWorkbookViews>
</workbook>
</file>

<file path=xl/calcChain.xml><?xml version="1.0" encoding="utf-8"?>
<calcChain xmlns="http://schemas.openxmlformats.org/spreadsheetml/2006/main">
  <c r="A73" i="12" l="1"/>
  <c r="A67" i="12"/>
  <c r="R40" i="2"/>
  <c r="R20" i="2"/>
  <c r="R19" i="2"/>
  <c r="R18" i="2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E66" i="12"/>
  <c r="A68" i="12" l="1"/>
  <c r="A69" i="12" s="1"/>
  <c r="A70" i="12" s="1"/>
  <c r="A71" i="12" s="1"/>
  <c r="A72" i="12" s="1"/>
  <c r="A74" i="12" s="1"/>
  <c r="A75" i="12" s="1"/>
  <c r="A76" i="12" s="1"/>
  <c r="A77" i="12" s="1"/>
  <c r="A78" i="12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U40" i="12"/>
  <c r="Q40" i="12"/>
  <c r="O40" i="12"/>
  <c r="N40" i="12"/>
  <c r="M40" i="12"/>
  <c r="L40" i="12"/>
  <c r="K40" i="12"/>
  <c r="R40" i="12" l="1"/>
  <c r="T40" i="12" s="1"/>
  <c r="V40" i="12" s="1"/>
  <c r="S40" i="12"/>
  <c r="V130" i="12"/>
  <c r="N39" i="12"/>
  <c r="U39" i="12" l="1"/>
  <c r="U41" i="12" s="1"/>
  <c r="L19" i="2" s="1"/>
  <c r="Q39" i="12"/>
  <c r="O39" i="12"/>
  <c r="O41" i="12" s="1"/>
  <c r="M39" i="12"/>
  <c r="L39" i="12"/>
  <c r="K39" i="12"/>
  <c r="F19" i="2" l="1"/>
  <c r="N41" i="12"/>
  <c r="D19" i="2" s="1"/>
  <c r="L41" i="12"/>
  <c r="Q41" i="12"/>
  <c r="R39" i="12"/>
  <c r="S39" i="12"/>
  <c r="S41" i="12" l="1"/>
  <c r="J19" i="2" s="1"/>
  <c r="T39" i="12"/>
  <c r="R41" i="12"/>
  <c r="H19" i="2" s="1"/>
  <c r="L113" i="12"/>
  <c r="V39" i="12" l="1"/>
  <c r="V41" i="12" s="1"/>
  <c r="T41" i="12"/>
  <c r="Q32" i="12" l="1"/>
  <c r="O32" i="12"/>
  <c r="N32" i="12"/>
  <c r="M32" i="12"/>
  <c r="K32" i="12"/>
  <c r="Q31" i="12"/>
  <c r="O31" i="12"/>
  <c r="N31" i="12"/>
  <c r="M31" i="12"/>
  <c r="K31" i="12"/>
  <c r="Q30" i="12"/>
  <c r="O30" i="12"/>
  <c r="N30" i="12"/>
  <c r="M30" i="12"/>
  <c r="K30" i="12"/>
  <c r="L32" i="12"/>
  <c r="U31" i="12"/>
  <c r="L30" i="12"/>
  <c r="S30" i="12" l="1"/>
  <c r="L31" i="12"/>
  <c r="R31" i="12" s="1"/>
  <c r="T31" i="12" s="1"/>
  <c r="V31" i="12" s="1"/>
  <c r="U32" i="12"/>
  <c r="U30" i="12"/>
  <c r="R30" i="12"/>
  <c r="T30" i="12" s="1"/>
  <c r="S32" i="12"/>
  <c r="R32" i="12"/>
  <c r="T32" i="12" s="1"/>
  <c r="V32" i="12" l="1"/>
  <c r="S31" i="12"/>
  <c r="V30" i="12"/>
  <c r="V128" i="12" l="1"/>
  <c r="V127" i="12"/>
  <c r="V131" i="12" l="1"/>
  <c r="V129" i="12"/>
  <c r="V126" i="12"/>
  <c r="V124" i="12"/>
  <c r="V123" i="12"/>
  <c r="V122" i="12"/>
  <c r="V121" i="12"/>
  <c r="V120" i="12"/>
  <c r="V119" i="12"/>
  <c r="V118" i="12"/>
  <c r="N45" i="12"/>
  <c r="B2" i="58" l="1"/>
  <c r="F42" i="58"/>
  <c r="F41" i="58"/>
  <c r="F40" i="58"/>
  <c r="F39" i="58"/>
  <c r="F38" i="58"/>
  <c r="F37" i="58"/>
  <c r="F36" i="58"/>
  <c r="H36" i="58" s="1"/>
  <c r="I65" i="58" s="1"/>
  <c r="F35" i="58"/>
  <c r="F34" i="58"/>
  <c r="F33" i="58"/>
  <c r="F32" i="58"/>
  <c r="F31" i="58"/>
  <c r="F30" i="58"/>
  <c r="F29" i="58"/>
  <c r="F28" i="58"/>
  <c r="F27" i="58"/>
  <c r="F26" i="58"/>
  <c r="F25" i="58"/>
  <c r="H25" i="58" s="1"/>
  <c r="F24" i="58"/>
  <c r="H24" i="58" s="1"/>
  <c r="I57" i="58" s="1"/>
  <c r="D298" i="58"/>
  <c r="D297" i="58"/>
  <c r="D296" i="58"/>
  <c r="D294" i="58"/>
  <c r="D293" i="58"/>
  <c r="D292" i="58"/>
  <c r="D291" i="58"/>
  <c r="D290" i="58"/>
  <c r="D289" i="58"/>
  <c r="D288" i="58"/>
  <c r="D287" i="58"/>
  <c r="D286" i="58"/>
  <c r="D285" i="58"/>
  <c r="D284" i="58"/>
  <c r="D283" i="58"/>
  <c r="D282" i="58"/>
  <c r="D281" i="58"/>
  <c r="D278" i="58"/>
  <c r="D277" i="58"/>
  <c r="D276" i="58"/>
  <c r="D275" i="58"/>
  <c r="D274" i="58"/>
  <c r="D273" i="58"/>
  <c r="D272" i="58"/>
  <c r="D271" i="58"/>
  <c r="D270" i="58"/>
  <c r="D269" i="58"/>
  <c r="D268" i="58"/>
  <c r="D267" i="58"/>
  <c r="D266" i="58"/>
  <c r="D265" i="58"/>
  <c r="D264" i="58"/>
  <c r="D263" i="58"/>
  <c r="D262" i="58"/>
  <c r="D261" i="58"/>
  <c r="D300" i="58" s="1"/>
  <c r="I256" i="58"/>
  <c r="J256" i="58" s="1"/>
  <c r="D256" i="58"/>
  <c r="I247" i="58"/>
  <c r="D247" i="58"/>
  <c r="I238" i="58"/>
  <c r="D238" i="58"/>
  <c r="D229" i="58"/>
  <c r="I224" i="58"/>
  <c r="I215" i="58"/>
  <c r="D215" i="58"/>
  <c r="I206" i="58"/>
  <c r="D206" i="58"/>
  <c r="I190" i="58"/>
  <c r="D190" i="58"/>
  <c r="I181" i="58"/>
  <c r="D181" i="58"/>
  <c r="L181" i="58" s="1"/>
  <c r="I172" i="58"/>
  <c r="D172" i="58"/>
  <c r="D163" i="58"/>
  <c r="L163" i="58" s="1"/>
  <c r="I157" i="58"/>
  <c r="J156" i="58"/>
  <c r="I148" i="58"/>
  <c r="D148" i="58"/>
  <c r="L148" i="58" s="1"/>
  <c r="I139" i="58"/>
  <c r="D139" i="58"/>
  <c r="D83" i="58"/>
  <c r="C83" i="58"/>
  <c r="D82" i="58"/>
  <c r="C82" i="58"/>
  <c r="D80" i="58"/>
  <c r="C80" i="58"/>
  <c r="D79" i="58"/>
  <c r="C79" i="58"/>
  <c r="D71" i="58"/>
  <c r="C71" i="58"/>
  <c r="D70" i="58"/>
  <c r="C70" i="58"/>
  <c r="D68" i="58"/>
  <c r="C68" i="58"/>
  <c r="C66" i="58"/>
  <c r="D66" i="58"/>
  <c r="C64" i="58"/>
  <c r="C63" i="58"/>
  <c r="D61" i="58"/>
  <c r="C61" i="58"/>
  <c r="D60" i="58"/>
  <c r="C60" i="58"/>
  <c r="D58" i="58"/>
  <c r="C58" i="58"/>
  <c r="C56" i="58"/>
  <c r="D54" i="58"/>
  <c r="C54" i="58"/>
  <c r="D52" i="58"/>
  <c r="C52" i="58"/>
  <c r="D51" i="58"/>
  <c r="C51" i="58"/>
  <c r="D49" i="58"/>
  <c r="C49" i="58"/>
  <c r="D48" i="58"/>
  <c r="C48" i="58"/>
  <c r="G42" i="58"/>
  <c r="E42" i="58"/>
  <c r="H42" i="58" s="1"/>
  <c r="G41" i="58"/>
  <c r="E41" i="58"/>
  <c r="G40" i="58"/>
  <c r="E40" i="58"/>
  <c r="G39" i="58"/>
  <c r="E39" i="58"/>
  <c r="G38" i="58"/>
  <c r="E38" i="58"/>
  <c r="H38" i="58" s="1"/>
  <c r="G37" i="58"/>
  <c r="G36" i="58"/>
  <c r="G35" i="58"/>
  <c r="H35" i="58"/>
  <c r="G34" i="58"/>
  <c r="H34" i="58" s="1"/>
  <c r="G33" i="58"/>
  <c r="H32" i="58"/>
  <c r="G32" i="58"/>
  <c r="G31" i="58"/>
  <c r="H31" i="58"/>
  <c r="I78" i="58" s="1"/>
  <c r="G30" i="58"/>
  <c r="G29" i="58"/>
  <c r="G28" i="58"/>
  <c r="H28" i="58"/>
  <c r="G27" i="58"/>
  <c r="H27" i="58" s="1"/>
  <c r="G26" i="58"/>
  <c r="H26" i="58"/>
  <c r="G25" i="58"/>
  <c r="G24" i="58"/>
  <c r="E17" i="58"/>
  <c r="E78" i="58" s="1"/>
  <c r="J12" i="58"/>
  <c r="J11" i="58"/>
  <c r="J10" i="58"/>
  <c r="J9" i="58"/>
  <c r="H30" i="58" l="1"/>
  <c r="I55" i="58" s="1"/>
  <c r="H40" i="58"/>
  <c r="I52" i="58" s="1"/>
  <c r="D64" i="58"/>
  <c r="E64" i="58" s="1"/>
  <c r="H64" i="58" s="1"/>
  <c r="L190" i="58"/>
  <c r="L215" i="58"/>
  <c r="L238" i="58"/>
  <c r="J13" i="58"/>
  <c r="E14" i="58" s="1"/>
  <c r="H41" i="58"/>
  <c r="I81" i="58" s="1"/>
  <c r="L139" i="58"/>
  <c r="I63" i="58"/>
  <c r="I66" i="58"/>
  <c r="E57" i="58"/>
  <c r="F57" i="58" s="1"/>
  <c r="H29" i="58"/>
  <c r="I48" i="58" s="1"/>
  <c r="E49" i="58"/>
  <c r="F49" i="58" s="1"/>
  <c r="E60" i="58"/>
  <c r="F60" i="58" s="1"/>
  <c r="E70" i="58"/>
  <c r="F70" i="58" s="1"/>
  <c r="E77" i="58"/>
  <c r="F77" i="58" s="1"/>
  <c r="E82" i="58"/>
  <c r="F82" i="58" s="1"/>
  <c r="E85" i="58"/>
  <c r="F85" i="58" s="1"/>
  <c r="E79" i="58"/>
  <c r="F79" i="58" s="1"/>
  <c r="H37" i="58"/>
  <c r="H39" i="58"/>
  <c r="I72" i="58" s="1"/>
  <c r="E51" i="58"/>
  <c r="F51" i="58" s="1"/>
  <c r="E52" i="58"/>
  <c r="F52" i="58" s="1"/>
  <c r="E59" i="58"/>
  <c r="F59" i="58" s="1"/>
  <c r="E69" i="58"/>
  <c r="F69" i="58" s="1"/>
  <c r="E81" i="58"/>
  <c r="F81" i="58" s="1"/>
  <c r="E73" i="58"/>
  <c r="F73" i="58" s="1"/>
  <c r="H33" i="58"/>
  <c r="E54" i="58"/>
  <c r="F54" i="58" s="1"/>
  <c r="E58" i="58"/>
  <c r="F58" i="58" s="1"/>
  <c r="I61" i="58"/>
  <c r="E68" i="58"/>
  <c r="F68" i="58" s="1"/>
  <c r="E80" i="58"/>
  <c r="F80" i="58" s="1"/>
  <c r="F78" i="58"/>
  <c r="I75" i="58"/>
  <c r="I76" i="58"/>
  <c r="I85" i="58"/>
  <c r="I77" i="58"/>
  <c r="I73" i="58"/>
  <c r="I74" i="58"/>
  <c r="I68" i="58"/>
  <c r="I69" i="58"/>
  <c r="H70" i="58"/>
  <c r="I58" i="58"/>
  <c r="I59" i="58"/>
  <c r="E288" i="58"/>
  <c r="E282" i="58"/>
  <c r="E274" i="58"/>
  <c r="E298" i="58"/>
  <c r="E278" i="58"/>
  <c r="E272" i="58"/>
  <c r="E296" i="58"/>
  <c r="E270" i="58"/>
  <c r="E293" i="58"/>
  <c r="E284" i="58"/>
  <c r="E268" i="58"/>
  <c r="E265" i="58"/>
  <c r="E262" i="58"/>
  <c r="I83" i="58"/>
  <c r="E291" i="58"/>
  <c r="I53" i="58"/>
  <c r="I62" i="58"/>
  <c r="I60" i="58"/>
  <c r="I49" i="58"/>
  <c r="I84" i="58"/>
  <c r="I82" i="58"/>
  <c r="L172" i="58"/>
  <c r="L206" i="58"/>
  <c r="L247" i="58"/>
  <c r="L256" i="58"/>
  <c r="I54" i="58"/>
  <c r="E56" i="58"/>
  <c r="F56" i="58" s="1"/>
  <c r="E62" i="58"/>
  <c r="E65" i="58"/>
  <c r="F65" i="58" s="1"/>
  <c r="D67" i="58"/>
  <c r="I67" i="58"/>
  <c r="E72" i="58"/>
  <c r="E76" i="58"/>
  <c r="E84" i="58"/>
  <c r="L229" i="58"/>
  <c r="I64" i="58"/>
  <c r="E48" i="58"/>
  <c r="F48" i="58" s="1"/>
  <c r="E50" i="58"/>
  <c r="I56" i="58"/>
  <c r="H59" i="58"/>
  <c r="J59" i="58" s="1"/>
  <c r="E154" i="58" s="1"/>
  <c r="E61" i="58"/>
  <c r="F61" i="58" s="1"/>
  <c r="E66" i="58"/>
  <c r="F66" i="58" s="1"/>
  <c r="E71" i="58"/>
  <c r="F71" i="58" s="1"/>
  <c r="E75" i="58"/>
  <c r="E83" i="58"/>
  <c r="F83" i="58" s="1"/>
  <c r="H85" i="58"/>
  <c r="E53" i="58"/>
  <c r="E55" i="58"/>
  <c r="D63" i="58"/>
  <c r="E63" i="58" s="1"/>
  <c r="F63" i="58" s="1"/>
  <c r="E74" i="58"/>
  <c r="I51" i="58" l="1"/>
  <c r="J85" i="58"/>
  <c r="E162" i="58" s="1"/>
  <c r="I71" i="58"/>
  <c r="I70" i="58"/>
  <c r="H58" i="58"/>
  <c r="J58" i="58" s="1"/>
  <c r="E153" i="58" s="1"/>
  <c r="H60" i="58"/>
  <c r="H82" i="58"/>
  <c r="H77" i="58"/>
  <c r="J77" i="58" s="1"/>
  <c r="J138" i="58" s="1"/>
  <c r="H69" i="58"/>
  <c r="J69" i="58" s="1"/>
  <c r="E145" i="58" s="1"/>
  <c r="H57" i="58"/>
  <c r="J57" i="58" s="1"/>
  <c r="H51" i="58"/>
  <c r="J51" i="58" s="1"/>
  <c r="H52" i="58"/>
  <c r="J52" i="58" s="1"/>
  <c r="E196" i="58" s="1"/>
  <c r="L258" i="58"/>
  <c r="H81" i="58"/>
  <c r="J81" i="58" s="1"/>
  <c r="J211" i="58" s="1"/>
  <c r="H73" i="58"/>
  <c r="J73" i="58" s="1"/>
  <c r="J154" i="58" s="1"/>
  <c r="I79" i="58"/>
  <c r="H49" i="58"/>
  <c r="J49" i="58" s="1"/>
  <c r="E193" i="58" s="1"/>
  <c r="I80" i="58"/>
  <c r="I50" i="58"/>
  <c r="J70" i="58"/>
  <c r="E220" i="58" s="1"/>
  <c r="H78" i="58"/>
  <c r="J78" i="58" s="1"/>
  <c r="J241" i="58" s="1"/>
  <c r="J247" i="58" s="1"/>
  <c r="C123" i="58" s="1"/>
  <c r="F64" i="58"/>
  <c r="J64" i="58" s="1"/>
  <c r="J152" i="58" s="1"/>
  <c r="H65" i="58"/>
  <c r="J65" i="58" s="1"/>
  <c r="H66" i="58"/>
  <c r="J66" i="58" s="1"/>
  <c r="E157" i="58" s="1"/>
  <c r="H79" i="58"/>
  <c r="H54" i="58"/>
  <c r="J54" i="58" s="1"/>
  <c r="E175" i="58" s="1"/>
  <c r="H80" i="58"/>
  <c r="H68" i="58"/>
  <c r="J68" i="58" s="1"/>
  <c r="E133" i="58" s="1"/>
  <c r="H61" i="58"/>
  <c r="J61" i="58" s="1"/>
  <c r="J82" i="58"/>
  <c r="J60" i="58"/>
  <c r="E232" i="58" s="1"/>
  <c r="J185" i="58"/>
  <c r="E152" i="58"/>
  <c r="E143" i="58"/>
  <c r="E241" i="58"/>
  <c r="E185" i="58"/>
  <c r="J176" i="58"/>
  <c r="J147" i="58"/>
  <c r="J232" i="58"/>
  <c r="E211" i="58"/>
  <c r="F74" i="58"/>
  <c r="H74" i="58"/>
  <c r="H84" i="58"/>
  <c r="F84" i="58"/>
  <c r="H72" i="58"/>
  <c r="F72" i="58"/>
  <c r="H62" i="58"/>
  <c r="F62" i="58"/>
  <c r="H83" i="58"/>
  <c r="J83" i="58" s="1"/>
  <c r="H48" i="58"/>
  <c r="J48" i="58" s="1"/>
  <c r="J218" i="58" s="1"/>
  <c r="H76" i="58"/>
  <c r="F76" i="58"/>
  <c r="E67" i="58"/>
  <c r="F67" i="58" s="1"/>
  <c r="H63" i="58"/>
  <c r="J63" i="58" s="1"/>
  <c r="J151" i="58" s="1"/>
  <c r="H56" i="58"/>
  <c r="J56" i="58" s="1"/>
  <c r="F53" i="58"/>
  <c r="H53" i="58"/>
  <c r="F50" i="58"/>
  <c r="H50" i="58"/>
  <c r="E300" i="58"/>
  <c r="H75" i="58"/>
  <c r="F75" i="58"/>
  <c r="F55" i="58"/>
  <c r="H55" i="58"/>
  <c r="H71" i="58"/>
  <c r="J71" i="58" s="1"/>
  <c r="E221" i="58" s="1"/>
  <c r="E202" i="58" l="1"/>
  <c r="E205" i="58"/>
  <c r="J179" i="58"/>
  <c r="J205" i="58"/>
  <c r="E244" i="58"/>
  <c r="J177" i="58"/>
  <c r="E156" i="58"/>
  <c r="E134" i="58"/>
  <c r="E161" i="58"/>
  <c r="J200" i="58"/>
  <c r="E138" i="58"/>
  <c r="E200" i="58"/>
  <c r="J79" i="58"/>
  <c r="E225" i="58" s="1"/>
  <c r="J80" i="58"/>
  <c r="E226" i="58" s="1"/>
  <c r="J210" i="58"/>
  <c r="J202" i="58"/>
  <c r="E227" i="58"/>
  <c r="J198" i="58"/>
  <c r="J144" i="58"/>
  <c r="E223" i="58"/>
  <c r="E187" i="58"/>
  <c r="E251" i="58"/>
  <c r="E177" i="58"/>
  <c r="J186" i="58"/>
  <c r="J134" i="58"/>
  <c r="E242" i="58"/>
  <c r="J143" i="58"/>
  <c r="E166" i="58"/>
  <c r="J219" i="58"/>
  <c r="E233" i="58"/>
  <c r="J233" i="58"/>
  <c r="J196" i="58"/>
  <c r="J55" i="58"/>
  <c r="E176" i="58" s="1"/>
  <c r="J53" i="58"/>
  <c r="J195" i="58" s="1"/>
  <c r="E201" i="58"/>
  <c r="E198" i="58"/>
  <c r="J166" i="58"/>
  <c r="E218" i="58"/>
  <c r="J194" i="58"/>
  <c r="J209" i="58"/>
  <c r="E155" i="58"/>
  <c r="I89" i="58"/>
  <c r="E144" i="58"/>
  <c r="J133" i="58"/>
  <c r="E186" i="58"/>
  <c r="E209" i="58"/>
  <c r="E250" i="58"/>
  <c r="J142" i="58"/>
  <c r="J50" i="58"/>
  <c r="J220" i="58" s="1"/>
  <c r="H67" i="58"/>
  <c r="J67" i="58" s="1"/>
  <c r="E158" i="58" s="1"/>
  <c r="J76" i="58"/>
  <c r="E243" i="58" s="1"/>
  <c r="J72" i="58"/>
  <c r="E222" i="58" s="1"/>
  <c r="J75" i="58"/>
  <c r="J170" i="58" s="1"/>
  <c r="E203" i="58"/>
  <c r="E168" i="58"/>
  <c r="J221" i="58"/>
  <c r="J203" i="58"/>
  <c r="J168" i="58"/>
  <c r="E184" i="58"/>
  <c r="J175" i="58"/>
  <c r="J184" i="58"/>
  <c r="E151" i="58"/>
  <c r="E142" i="58"/>
  <c r="J74" i="58"/>
  <c r="E197" i="58"/>
  <c r="E195" i="58"/>
  <c r="J193" i="58"/>
  <c r="J167" i="58"/>
  <c r="E219" i="58"/>
  <c r="J197" i="58"/>
  <c r="E167" i="58"/>
  <c r="J153" i="58"/>
  <c r="J62" i="58"/>
  <c r="J84" i="58"/>
  <c r="J201" i="58" l="1"/>
  <c r="E136" i="58"/>
  <c r="E194" i="58"/>
  <c r="E190" i="58"/>
  <c r="C106" i="58" s="1"/>
  <c r="E247" i="58"/>
  <c r="C121" i="58" s="1"/>
  <c r="E210" i="58"/>
  <c r="E215" i="58" s="1"/>
  <c r="C111" i="58" s="1"/>
  <c r="J215" i="58"/>
  <c r="C112" i="58" s="1"/>
  <c r="J146" i="58"/>
  <c r="E224" i="58"/>
  <c r="E229" i="58" s="1"/>
  <c r="C114" i="58" s="1"/>
  <c r="E137" i="58"/>
  <c r="J190" i="58"/>
  <c r="C107" i="58" s="1"/>
  <c r="E181" i="58"/>
  <c r="C104" i="58" s="1"/>
  <c r="E160" i="58"/>
  <c r="E199" i="58"/>
  <c r="J178" i="58"/>
  <c r="J181" i="58" s="1"/>
  <c r="C105" i="58" s="1"/>
  <c r="J137" i="58"/>
  <c r="E146" i="58"/>
  <c r="E148" i="58" s="1"/>
  <c r="C95" i="58" s="1"/>
  <c r="J136" i="58"/>
  <c r="J155" i="58"/>
  <c r="J157" i="58" s="1"/>
  <c r="C100" i="58" s="1"/>
  <c r="J199" i="58"/>
  <c r="J222" i="58"/>
  <c r="J224" i="58" s="1"/>
  <c r="C116" i="58" s="1"/>
  <c r="J204" i="58"/>
  <c r="J169" i="58"/>
  <c r="J172" i="58" s="1"/>
  <c r="C102" i="58" s="1"/>
  <c r="E204" i="58"/>
  <c r="E169" i="58"/>
  <c r="J234" i="58"/>
  <c r="J238" i="58" s="1"/>
  <c r="C119" i="58" s="1"/>
  <c r="E234" i="58"/>
  <c r="E238" i="58" s="1"/>
  <c r="C118" i="58" s="1"/>
  <c r="E170" i="58"/>
  <c r="J145" i="58"/>
  <c r="E135" i="58"/>
  <c r="E252" i="58"/>
  <c r="E256" i="58" s="1"/>
  <c r="C125" i="58" s="1"/>
  <c r="E159" i="58"/>
  <c r="J135" i="58"/>
  <c r="J148" i="58" l="1"/>
  <c r="C96" i="58" s="1"/>
  <c r="E163" i="58"/>
  <c r="C98" i="58" s="1"/>
  <c r="E139" i="58"/>
  <c r="C93" i="58" s="1"/>
  <c r="J139" i="58"/>
  <c r="C94" i="58" s="1"/>
  <c r="E206" i="58"/>
  <c r="C109" i="58" s="1"/>
  <c r="E172" i="58"/>
  <c r="C101" i="58" s="1"/>
  <c r="J206" i="58"/>
  <c r="C110" i="58" s="1"/>
  <c r="B128" i="58" l="1"/>
  <c r="C128" i="58" s="1"/>
  <c r="B2" i="12"/>
  <c r="B3" i="12"/>
  <c r="B4" i="12"/>
  <c r="B5" i="12"/>
  <c r="B6" i="12"/>
  <c r="C85" i="59" l="1"/>
  <c r="B85" i="59"/>
  <c r="C51" i="59"/>
  <c r="B51" i="59"/>
  <c r="C37" i="59"/>
  <c r="B37" i="59"/>
  <c r="C10" i="59"/>
  <c r="B10" i="59"/>
  <c r="G87" i="54"/>
  <c r="F37" i="57" l="1"/>
  <c r="F38" i="57"/>
  <c r="F36" i="57"/>
  <c r="C39" i="57"/>
  <c r="F11" i="57"/>
  <c r="D14" i="57"/>
  <c r="A15" i="57"/>
  <c r="L87" i="54"/>
  <c r="J87" i="54"/>
  <c r="I87" i="54"/>
  <c r="H87" i="54"/>
  <c r="T88" i="54"/>
  <c r="F88" i="54"/>
  <c r="F87" i="54"/>
  <c r="D87" i="54"/>
  <c r="C87" i="54"/>
  <c r="T5" i="54"/>
  <c r="T87" i="54" l="1"/>
  <c r="T95" i="54"/>
  <c r="T94" i="54"/>
  <c r="T93" i="54"/>
  <c r="T92" i="54"/>
  <c r="T91" i="54"/>
  <c r="T90" i="54"/>
  <c r="T89" i="54"/>
  <c r="T86" i="54"/>
  <c r="T84" i="54"/>
  <c r="T85" i="54"/>
  <c r="T8" i="54"/>
  <c r="T7" i="54"/>
  <c r="T6" i="54"/>
  <c r="T4" i="54"/>
  <c r="T80" i="54" l="1"/>
  <c r="T79" i="54"/>
  <c r="T78" i="54"/>
  <c r="T77" i="54"/>
  <c r="T76" i="54"/>
  <c r="T75" i="54"/>
  <c r="T74" i="54"/>
  <c r="T73" i="54"/>
  <c r="T72" i="54"/>
  <c r="T71" i="54"/>
  <c r="T70" i="54"/>
  <c r="T69" i="54"/>
  <c r="T68" i="54"/>
  <c r="T67" i="54"/>
  <c r="T66" i="54"/>
  <c r="T65" i="54"/>
  <c r="T64" i="54"/>
  <c r="T63" i="54"/>
  <c r="T62" i="54"/>
  <c r="T61" i="54"/>
  <c r="T60" i="54"/>
  <c r="T59" i="54"/>
  <c r="T58" i="54"/>
  <c r="I53" i="54"/>
  <c r="I52" i="54"/>
  <c r="I51" i="54"/>
  <c r="I50" i="54"/>
  <c r="I49" i="54"/>
  <c r="I48" i="54"/>
  <c r="I47" i="54"/>
  <c r="I46" i="54"/>
  <c r="H44" i="54"/>
  <c r="G44" i="54"/>
  <c r="D44" i="54"/>
  <c r="C44" i="54"/>
  <c r="B44" i="54"/>
  <c r="I43" i="54"/>
  <c r="I42" i="54"/>
  <c r="I40" i="54"/>
  <c r="I39" i="54"/>
  <c r="I38" i="54"/>
  <c r="I37" i="54"/>
  <c r="I36" i="54"/>
  <c r="I35" i="54"/>
  <c r="I34" i="54"/>
  <c r="I33" i="54"/>
  <c r="I32" i="54"/>
  <c r="I31" i="54"/>
  <c r="I30" i="54"/>
  <c r="I29" i="54"/>
  <c r="I28" i="54"/>
  <c r="I27" i="54"/>
  <c r="I26" i="54"/>
  <c r="I25" i="54"/>
  <c r="I24" i="54"/>
  <c r="I20" i="54"/>
  <c r="I19" i="54"/>
  <c r="I18" i="54"/>
  <c r="I17" i="54"/>
  <c r="I44" i="54" l="1"/>
  <c r="K136" i="41" l="1"/>
  <c r="K134" i="41"/>
  <c r="K119" i="41"/>
  <c r="G122" i="41"/>
  <c r="G123" i="41"/>
  <c r="G124" i="41"/>
  <c r="K124" i="41" s="1"/>
  <c r="G125" i="41"/>
  <c r="K125" i="41" s="1"/>
  <c r="G126" i="41"/>
  <c r="G121" i="41"/>
  <c r="G15" i="41"/>
  <c r="K15" i="41" s="1"/>
  <c r="G16" i="41"/>
  <c r="K16" i="41" s="1"/>
  <c r="G17" i="41"/>
  <c r="K17" i="41" s="1"/>
  <c r="G18" i="41"/>
  <c r="K18" i="41" s="1"/>
  <c r="G19" i="41"/>
  <c r="K19" i="41" s="1"/>
  <c r="G20" i="41"/>
  <c r="K20" i="41" s="1"/>
  <c r="G21" i="41"/>
  <c r="K21" i="41" s="1"/>
  <c r="G22" i="41"/>
  <c r="K22" i="41" s="1"/>
  <c r="G23" i="41"/>
  <c r="K23" i="41" s="1"/>
  <c r="G24" i="41"/>
  <c r="K24" i="41" s="1"/>
  <c r="G25" i="41"/>
  <c r="K25" i="41" s="1"/>
  <c r="G26" i="41"/>
  <c r="G27" i="41"/>
  <c r="K27" i="41" s="1"/>
  <c r="G28" i="41"/>
  <c r="G29" i="41"/>
  <c r="G30" i="41"/>
  <c r="G31" i="41"/>
  <c r="K31" i="41" s="1"/>
  <c r="G32" i="41"/>
  <c r="G33" i="41"/>
  <c r="G34" i="41"/>
  <c r="G35" i="41"/>
  <c r="G36" i="41"/>
  <c r="K36" i="41" s="1"/>
  <c r="G37" i="41"/>
  <c r="K37" i="41" s="1"/>
  <c r="G38" i="41"/>
  <c r="G14" i="41"/>
  <c r="K14" i="41" s="1"/>
  <c r="U34" i="12" l="1"/>
  <c r="Q34" i="12"/>
  <c r="O34" i="12"/>
  <c r="N34" i="12"/>
  <c r="L34" i="12"/>
  <c r="K34" i="12"/>
  <c r="F49" i="52"/>
  <c r="J61" i="52"/>
  <c r="H61" i="52"/>
  <c r="F61" i="52"/>
  <c r="D61" i="52"/>
  <c r="J56" i="52"/>
  <c r="J62" i="52" s="1"/>
  <c r="H56" i="52"/>
  <c r="H62" i="52" s="1"/>
  <c r="F56" i="52"/>
  <c r="D56" i="52"/>
  <c r="P33" i="52"/>
  <c r="F33" i="52"/>
  <c r="P26" i="52"/>
  <c r="N7" i="52"/>
  <c r="B1" i="52"/>
  <c r="D62" i="52" l="1"/>
  <c r="F62" i="52"/>
  <c r="U73" i="12" l="1"/>
  <c r="L30" i="52" s="1"/>
  <c r="F26" i="52" l="1"/>
  <c r="D26" i="52"/>
  <c r="L26" i="52" l="1"/>
  <c r="U33" i="12" l="1"/>
  <c r="O33" i="12"/>
  <c r="Q33" i="12" s="1"/>
  <c r="N33" i="12"/>
  <c r="L33" i="12"/>
  <c r="K33" i="12"/>
  <c r="E3" i="20"/>
  <c r="E2" i="20"/>
  <c r="D3" i="20"/>
  <c r="D2" i="20"/>
  <c r="E143" i="44"/>
  <c r="D143" i="44"/>
  <c r="C143" i="44"/>
  <c r="E142" i="44"/>
  <c r="F142" i="44" s="1"/>
  <c r="I59" i="44" s="1"/>
  <c r="D142" i="44"/>
  <c r="C142" i="44"/>
  <c r="E141" i="44"/>
  <c r="F141" i="44" s="1"/>
  <c r="I30" i="44" s="1"/>
  <c r="D141" i="44"/>
  <c r="C141" i="44"/>
  <c r="E140" i="44"/>
  <c r="F140" i="44" s="1"/>
  <c r="I50" i="44" s="1"/>
  <c r="D140" i="44"/>
  <c r="C140" i="44"/>
  <c r="E139" i="44"/>
  <c r="F139" i="44" s="1"/>
  <c r="D139" i="44"/>
  <c r="C139" i="44"/>
  <c r="E138" i="44"/>
  <c r="F138" i="44" s="1"/>
  <c r="D138" i="44"/>
  <c r="E137" i="44"/>
  <c r="D137" i="44"/>
  <c r="E136" i="44"/>
  <c r="D136" i="44"/>
  <c r="E135" i="44"/>
  <c r="D135" i="44"/>
  <c r="F135" i="44" s="1"/>
  <c r="E134" i="44"/>
  <c r="D134" i="44"/>
  <c r="E133" i="44"/>
  <c r="D133" i="44"/>
  <c r="F132" i="44"/>
  <c r="I56" i="44" s="1"/>
  <c r="E132" i="44"/>
  <c r="D132" i="44"/>
  <c r="E131" i="44"/>
  <c r="D131" i="44"/>
  <c r="F131" i="44" s="1"/>
  <c r="E130" i="44"/>
  <c r="D130" i="44"/>
  <c r="F130" i="44" s="1"/>
  <c r="E129" i="44"/>
  <c r="D129" i="44"/>
  <c r="E128" i="44"/>
  <c r="D128" i="44"/>
  <c r="F128" i="44" s="1"/>
  <c r="E127" i="44"/>
  <c r="D127" i="44"/>
  <c r="E126" i="44"/>
  <c r="D126" i="44"/>
  <c r="F126" i="44" s="1"/>
  <c r="E125" i="44"/>
  <c r="F125" i="44" s="1"/>
  <c r="I34" i="44" s="1"/>
  <c r="D125" i="44"/>
  <c r="BD65" i="44"/>
  <c r="BB65" i="44"/>
  <c r="AZ65" i="44"/>
  <c r="AX65" i="44"/>
  <c r="AV65" i="44"/>
  <c r="AT65" i="44"/>
  <c r="AR65" i="44"/>
  <c r="AP65" i="44"/>
  <c r="AN65" i="44"/>
  <c r="AL65" i="44"/>
  <c r="AJ65" i="44"/>
  <c r="AH65" i="44"/>
  <c r="AF65" i="44"/>
  <c r="AD65" i="44"/>
  <c r="AB65" i="44"/>
  <c r="Z65" i="44"/>
  <c r="X65" i="44"/>
  <c r="V65" i="44"/>
  <c r="T65" i="44"/>
  <c r="R65" i="44"/>
  <c r="P65" i="44"/>
  <c r="BH63" i="44"/>
  <c r="BH62" i="44"/>
  <c r="BH61" i="44"/>
  <c r="D61" i="44"/>
  <c r="C61" i="44"/>
  <c r="BH60" i="44"/>
  <c r="D60" i="44"/>
  <c r="C60" i="44"/>
  <c r="BH59" i="44"/>
  <c r="BH58" i="44"/>
  <c r="D58" i="44"/>
  <c r="BH57" i="44"/>
  <c r="D57" i="44"/>
  <c r="C57" i="44"/>
  <c r="BH56" i="44"/>
  <c r="BH55" i="44"/>
  <c r="BH54" i="44"/>
  <c r="BH53" i="44"/>
  <c r="BH52" i="44"/>
  <c r="BH51" i="44"/>
  <c r="BH50" i="44"/>
  <c r="BH49" i="44"/>
  <c r="D49" i="44"/>
  <c r="C49" i="44"/>
  <c r="BH48" i="44"/>
  <c r="D48" i="44"/>
  <c r="C48" i="44"/>
  <c r="BH47" i="44"/>
  <c r="BH46" i="44"/>
  <c r="D46" i="44"/>
  <c r="C46" i="44"/>
  <c r="BH45" i="44"/>
  <c r="BH44" i="44"/>
  <c r="C44" i="44"/>
  <c r="BH43" i="44"/>
  <c r="D43" i="44"/>
  <c r="BH42" i="44"/>
  <c r="C42" i="44"/>
  <c r="BH41" i="44"/>
  <c r="C41" i="44"/>
  <c r="BH40" i="44"/>
  <c r="BH39" i="44"/>
  <c r="D39" i="44"/>
  <c r="C39" i="44"/>
  <c r="BH38" i="44"/>
  <c r="D38" i="44"/>
  <c r="C38" i="44"/>
  <c r="BH37" i="44"/>
  <c r="I37" i="44"/>
  <c r="BH36" i="44"/>
  <c r="D36" i="44"/>
  <c r="C36" i="44"/>
  <c r="BH35" i="44"/>
  <c r="BE35" i="44"/>
  <c r="BC35" i="44"/>
  <c r="BA35" i="44"/>
  <c r="AY35" i="44"/>
  <c r="AW35" i="44"/>
  <c r="AU35" i="44"/>
  <c r="AS35" i="44"/>
  <c r="AQ35" i="44"/>
  <c r="AO35" i="44"/>
  <c r="AM35" i="44"/>
  <c r="AK35" i="44"/>
  <c r="AI35" i="44"/>
  <c r="AG35" i="44"/>
  <c r="AE35" i="44"/>
  <c r="AC35" i="44"/>
  <c r="AA35" i="44"/>
  <c r="Y35" i="44"/>
  <c r="W35" i="44"/>
  <c r="U35" i="44"/>
  <c r="S35" i="44"/>
  <c r="Q35" i="44"/>
  <c r="BH34" i="44"/>
  <c r="BH33" i="44"/>
  <c r="C33" i="44"/>
  <c r="BH32" i="44"/>
  <c r="BH31" i="44"/>
  <c r="D31" i="44"/>
  <c r="C31" i="44"/>
  <c r="BH30" i="44"/>
  <c r="BH29" i="44"/>
  <c r="D29" i="44"/>
  <c r="C29" i="44"/>
  <c r="BH28" i="44"/>
  <c r="D28" i="44"/>
  <c r="C28" i="44"/>
  <c r="BH27" i="44"/>
  <c r="I27" i="44"/>
  <c r="BH26" i="44"/>
  <c r="D26" i="44"/>
  <c r="C26" i="44"/>
  <c r="I26" i="44" s="1"/>
  <c r="BH25" i="44"/>
  <c r="I25" i="44"/>
  <c r="D25" i="44"/>
  <c r="C25" i="44"/>
  <c r="E25" i="44" s="1"/>
  <c r="K14" i="44"/>
  <c r="E53" i="44" s="1"/>
  <c r="N9" i="44"/>
  <c r="N8" i="44"/>
  <c r="N7" i="44"/>
  <c r="N6" i="44"/>
  <c r="N10" i="44" s="1"/>
  <c r="K11" i="44" s="1"/>
  <c r="H35" i="44" s="1"/>
  <c r="I54" i="44" l="1"/>
  <c r="I52" i="44"/>
  <c r="I53" i="44"/>
  <c r="I55" i="44"/>
  <c r="I51" i="44"/>
  <c r="I63" i="44"/>
  <c r="I60" i="44"/>
  <c r="F25" i="44"/>
  <c r="I29" i="44"/>
  <c r="F133" i="44"/>
  <c r="F137" i="44"/>
  <c r="I43" i="44" s="1"/>
  <c r="F143" i="44"/>
  <c r="I47" i="44" s="1"/>
  <c r="F129" i="44"/>
  <c r="F127" i="44"/>
  <c r="I38" i="44" s="1"/>
  <c r="F134" i="44"/>
  <c r="F136" i="44"/>
  <c r="I62" i="44" s="1"/>
  <c r="F53" i="44"/>
  <c r="H53" i="44"/>
  <c r="H25" i="44"/>
  <c r="J25" i="44" s="1"/>
  <c r="E36" i="44"/>
  <c r="F36" i="44" s="1"/>
  <c r="D45" i="44"/>
  <c r="D44" i="44"/>
  <c r="F44" i="44" s="1"/>
  <c r="I48" i="44"/>
  <c r="E48" i="44"/>
  <c r="F48" i="44"/>
  <c r="I32" i="44"/>
  <c r="I31" i="44"/>
  <c r="I42" i="44"/>
  <c r="E44" i="44"/>
  <c r="E47" i="44"/>
  <c r="E54" i="44"/>
  <c r="E59" i="44"/>
  <c r="I39" i="44"/>
  <c r="BH65" i="44"/>
  <c r="E30" i="44"/>
  <c r="E31" i="44"/>
  <c r="F31" i="44" s="1"/>
  <c r="I36" i="44"/>
  <c r="E39" i="44"/>
  <c r="F39" i="44" s="1"/>
  <c r="E41" i="44"/>
  <c r="E45" i="44"/>
  <c r="E63" i="44"/>
  <c r="E60" i="44"/>
  <c r="E56" i="44"/>
  <c r="E52" i="44"/>
  <c r="E46" i="44"/>
  <c r="F46" i="44" s="1"/>
  <c r="E62" i="44"/>
  <c r="E55" i="44"/>
  <c r="E51" i="44"/>
  <c r="E43" i="44"/>
  <c r="H43" i="44" s="1"/>
  <c r="E37" i="44"/>
  <c r="E34" i="44"/>
  <c r="E50" i="44"/>
  <c r="E32" i="44"/>
  <c r="I61" i="44"/>
  <c r="E61" i="44"/>
  <c r="H61" i="44" s="1"/>
  <c r="F61" i="44"/>
  <c r="J61" i="44" s="1"/>
  <c r="I45" i="44"/>
  <c r="I44" i="44"/>
  <c r="E26" i="44"/>
  <c r="H26" i="44" s="1"/>
  <c r="E27" i="44"/>
  <c r="E28" i="44"/>
  <c r="I28" i="44"/>
  <c r="E29" i="44"/>
  <c r="F29" i="44" s="1"/>
  <c r="H36" i="44"/>
  <c r="E40" i="44"/>
  <c r="D41" i="44"/>
  <c r="D42" i="44"/>
  <c r="H48" i="44"/>
  <c r="E38" i="44"/>
  <c r="H38" i="44" s="1"/>
  <c r="E42" i="44"/>
  <c r="F42" i="44"/>
  <c r="E33" i="44"/>
  <c r="F33" i="44" s="1"/>
  <c r="H39" i="44"/>
  <c r="F41" i="44"/>
  <c r="F60" i="44"/>
  <c r="I33" i="44"/>
  <c r="H41" i="44"/>
  <c r="H46" i="44"/>
  <c r="E49" i="44"/>
  <c r="F49" i="44" s="1"/>
  <c r="E57" i="44"/>
  <c r="F57" i="44" s="1"/>
  <c r="H60" i="44"/>
  <c r="I49" i="44"/>
  <c r="I57" i="44"/>
  <c r="C58" i="44"/>
  <c r="H42" i="44" l="1"/>
  <c r="H44" i="44"/>
  <c r="I40" i="44"/>
  <c r="H57" i="44"/>
  <c r="J57" i="44" s="1"/>
  <c r="J36" i="44"/>
  <c r="H49" i="44"/>
  <c r="H31" i="44"/>
  <c r="J31" i="44" s="1"/>
  <c r="J46" i="44"/>
  <c r="AM46" i="44" s="1"/>
  <c r="I46" i="44"/>
  <c r="I41" i="44"/>
  <c r="BE46" i="44"/>
  <c r="Y46" i="44"/>
  <c r="AI46" i="44"/>
  <c r="BA46" i="44"/>
  <c r="BC25" i="44"/>
  <c r="AU25" i="44"/>
  <c r="AM25" i="44"/>
  <c r="AE25" i="44"/>
  <c r="W25" i="44"/>
  <c r="BE25" i="44"/>
  <c r="AW25" i="44"/>
  <c r="AO25" i="44"/>
  <c r="AG25" i="44"/>
  <c r="Y25" i="44"/>
  <c r="Q25" i="44"/>
  <c r="AY25" i="44"/>
  <c r="AQ25" i="44"/>
  <c r="AI25" i="44"/>
  <c r="AA25" i="44"/>
  <c r="S25" i="44"/>
  <c r="AC25" i="44"/>
  <c r="BA25" i="44"/>
  <c r="AS25" i="44"/>
  <c r="AK25" i="44"/>
  <c r="U25" i="44"/>
  <c r="BC36" i="44"/>
  <c r="AU36" i="44"/>
  <c r="AM36" i="44"/>
  <c r="AE36" i="44"/>
  <c r="W36" i="44"/>
  <c r="BE36" i="44"/>
  <c r="AW36" i="44"/>
  <c r="AO36" i="44"/>
  <c r="AG36" i="44"/>
  <c r="Y36" i="44"/>
  <c r="Q36" i="44"/>
  <c r="BA36" i="44"/>
  <c r="AK36" i="44"/>
  <c r="U36" i="44"/>
  <c r="AQ36" i="44"/>
  <c r="AA36" i="44"/>
  <c r="AS36" i="44"/>
  <c r="AC36" i="44"/>
  <c r="AY36" i="44"/>
  <c r="AI36" i="44"/>
  <c r="S36" i="44"/>
  <c r="F34" i="44"/>
  <c r="H34" i="44"/>
  <c r="F55" i="44"/>
  <c r="J55" i="44" s="1"/>
  <c r="H55" i="44"/>
  <c r="F56" i="44"/>
  <c r="H56" i="44"/>
  <c r="H30" i="44"/>
  <c r="F30" i="44"/>
  <c r="H45" i="44"/>
  <c r="F45" i="44"/>
  <c r="J45" i="44" s="1"/>
  <c r="J41" i="44"/>
  <c r="J42" i="44"/>
  <c r="H29" i="44"/>
  <c r="J29" i="44" s="1"/>
  <c r="F38" i="44"/>
  <c r="J38" i="44" s="1"/>
  <c r="J53" i="44"/>
  <c r="F27" i="44"/>
  <c r="H27" i="44"/>
  <c r="BA61" i="44"/>
  <c r="AS61" i="44"/>
  <c r="AK61" i="44"/>
  <c r="AC61" i="44"/>
  <c r="U61" i="44"/>
  <c r="BC61" i="44"/>
  <c r="AU61" i="44"/>
  <c r="AM61" i="44"/>
  <c r="AE61" i="44"/>
  <c r="W61" i="44"/>
  <c r="BE61" i="44"/>
  <c r="AW61" i="44"/>
  <c r="AO61" i="44"/>
  <c r="AG61" i="44"/>
  <c r="Y61" i="44"/>
  <c r="Q61" i="44"/>
  <c r="AY61" i="44"/>
  <c r="S61" i="44"/>
  <c r="AA61" i="44"/>
  <c r="AI61" i="44"/>
  <c r="AQ61" i="44"/>
  <c r="H50" i="44"/>
  <c r="F50" i="44"/>
  <c r="F51" i="44"/>
  <c r="H51" i="44"/>
  <c r="F52" i="44"/>
  <c r="J52" i="44" s="1"/>
  <c r="H52" i="44"/>
  <c r="BI61" i="44"/>
  <c r="BI49" i="44"/>
  <c r="BI32" i="44"/>
  <c r="BI29" i="44"/>
  <c r="BI58" i="44"/>
  <c r="BI53" i="44"/>
  <c r="BI47" i="44"/>
  <c r="BI39" i="44"/>
  <c r="BI63" i="44"/>
  <c r="BI26" i="44"/>
  <c r="BI43" i="44"/>
  <c r="BI36" i="44"/>
  <c r="BI56" i="44"/>
  <c r="BI34" i="44"/>
  <c r="F47" i="44"/>
  <c r="J47" i="44" s="1"/>
  <c r="H47" i="44"/>
  <c r="H33" i="44"/>
  <c r="J33" i="44" s="1"/>
  <c r="J48" i="44"/>
  <c r="J44" i="44"/>
  <c r="H40" i="44"/>
  <c r="F40" i="44"/>
  <c r="J40" i="44" s="1"/>
  <c r="H28" i="44"/>
  <c r="F28" i="44"/>
  <c r="F32" i="44"/>
  <c r="H32" i="44"/>
  <c r="F63" i="44"/>
  <c r="J63" i="44" s="1"/>
  <c r="H63" i="44"/>
  <c r="F54" i="44"/>
  <c r="H54" i="44"/>
  <c r="J49" i="44"/>
  <c r="F26" i="44"/>
  <c r="J26" i="44" s="1"/>
  <c r="F43" i="44"/>
  <c r="J43" i="44" s="1"/>
  <c r="I58" i="44"/>
  <c r="E58" i="44"/>
  <c r="H58" i="44" s="1"/>
  <c r="F37" i="44"/>
  <c r="H37" i="44"/>
  <c r="F62" i="44"/>
  <c r="H62" i="44"/>
  <c r="F59" i="44"/>
  <c r="H59" i="44"/>
  <c r="J60" i="44"/>
  <c r="J39" i="44"/>
  <c r="AK46" i="44" l="1"/>
  <c r="AQ46" i="44"/>
  <c r="W46" i="44"/>
  <c r="BC46" i="44"/>
  <c r="AC46" i="44"/>
  <c r="S46" i="44"/>
  <c r="AY46" i="44"/>
  <c r="AO46" i="44"/>
  <c r="AE46" i="44"/>
  <c r="AU46" i="44"/>
  <c r="AS46" i="44"/>
  <c r="AG46" i="44"/>
  <c r="J59" i="44"/>
  <c r="J37" i="44"/>
  <c r="U46" i="44"/>
  <c r="AA46" i="44"/>
  <c r="Q46" i="44"/>
  <c r="AW46" i="44"/>
  <c r="BA33" i="44"/>
  <c r="AS33" i="44"/>
  <c r="AK33" i="44"/>
  <c r="AA33" i="44"/>
  <c r="S33" i="44"/>
  <c r="BC33" i="44"/>
  <c r="AU33" i="44"/>
  <c r="AM33" i="44"/>
  <c r="AC33" i="44"/>
  <c r="U33" i="44"/>
  <c r="BE33" i="44"/>
  <c r="AO33" i="44"/>
  <c r="W33" i="44"/>
  <c r="AQ33" i="44"/>
  <c r="Y33" i="44"/>
  <c r="AW33" i="44"/>
  <c r="AE33" i="44"/>
  <c r="AY33" i="44"/>
  <c r="AG33" i="44"/>
  <c r="Q33" i="44"/>
  <c r="BA29" i="44"/>
  <c r="AS29" i="44"/>
  <c r="AK29" i="44"/>
  <c r="AC29" i="44"/>
  <c r="U29" i="44"/>
  <c r="BE29" i="44"/>
  <c r="AU29" i="44"/>
  <c r="AI29" i="44"/>
  <c r="Y29" i="44"/>
  <c r="AW29" i="44"/>
  <c r="AM29" i="44"/>
  <c r="AA29" i="44"/>
  <c r="Q29" i="44"/>
  <c r="AY29" i="44"/>
  <c r="AO29" i="44"/>
  <c r="AE29" i="44"/>
  <c r="S29" i="44"/>
  <c r="BC29" i="44"/>
  <c r="AQ29" i="44"/>
  <c r="AG29" i="44"/>
  <c r="W29" i="44"/>
  <c r="AY57" i="44"/>
  <c r="AQ57" i="44"/>
  <c r="AI57" i="44"/>
  <c r="AA57" i="44"/>
  <c r="S57" i="44"/>
  <c r="BA57" i="44"/>
  <c r="AS57" i="44"/>
  <c r="AK57" i="44"/>
  <c r="AC57" i="44"/>
  <c r="U57" i="44"/>
  <c r="BC57" i="44"/>
  <c r="AU57" i="44"/>
  <c r="AM57" i="44"/>
  <c r="AE57" i="44"/>
  <c r="W57" i="44"/>
  <c r="BE57" i="44"/>
  <c r="Y57" i="44"/>
  <c r="AG57" i="44"/>
  <c r="AO57" i="44"/>
  <c r="AW57" i="44"/>
  <c r="Q57" i="44"/>
  <c r="BA26" i="44"/>
  <c r="AS26" i="44"/>
  <c r="AK26" i="44"/>
  <c r="AC26" i="44"/>
  <c r="U26" i="44"/>
  <c r="BC26" i="44"/>
  <c r="AU26" i="44"/>
  <c r="AM26" i="44"/>
  <c r="AE26" i="44"/>
  <c r="W26" i="44"/>
  <c r="BE26" i="44"/>
  <c r="AW26" i="44"/>
  <c r="AO26" i="44"/>
  <c r="AG26" i="44"/>
  <c r="Y26" i="44"/>
  <c r="Q26" i="44"/>
  <c r="S26" i="44"/>
  <c r="AY26" i="44"/>
  <c r="AQ26" i="44"/>
  <c r="AI26" i="44"/>
  <c r="AA26" i="44"/>
  <c r="AY31" i="44"/>
  <c r="AQ31" i="44"/>
  <c r="AI31" i="44"/>
  <c r="AA31" i="44"/>
  <c r="S31" i="44"/>
  <c r="BA31" i="44"/>
  <c r="AS31" i="44"/>
  <c r="AK31" i="44"/>
  <c r="AC31" i="44"/>
  <c r="U31" i="44"/>
  <c r="AU31" i="44"/>
  <c r="AE31" i="44"/>
  <c r="AW31" i="44"/>
  <c r="AG31" i="44"/>
  <c r="Q31" i="44"/>
  <c r="BC31" i="44"/>
  <c r="AM31" i="44"/>
  <c r="W31" i="44"/>
  <c r="BE31" i="44"/>
  <c r="AO31" i="44"/>
  <c r="Y31" i="44"/>
  <c r="J62" i="44"/>
  <c r="J54" i="44"/>
  <c r="J32" i="44"/>
  <c r="J51" i="44"/>
  <c r="J56" i="44"/>
  <c r="J34" i="44"/>
  <c r="BC60" i="44"/>
  <c r="AU60" i="44"/>
  <c r="AM60" i="44"/>
  <c r="AE60" i="44"/>
  <c r="W60" i="44"/>
  <c r="BE60" i="44"/>
  <c r="AW60" i="44"/>
  <c r="AO60" i="44"/>
  <c r="AG60" i="44"/>
  <c r="Y60" i="44"/>
  <c r="Q60" i="44"/>
  <c r="AY60" i="44"/>
  <c r="AQ60" i="44"/>
  <c r="AI60" i="44"/>
  <c r="AA60" i="44"/>
  <c r="S60" i="44"/>
  <c r="AC60" i="44"/>
  <c r="AK60" i="44"/>
  <c r="AS60" i="44"/>
  <c r="BA60" i="44"/>
  <c r="U60" i="44"/>
  <c r="BC43" i="44"/>
  <c r="AU43" i="44"/>
  <c r="AM43" i="44"/>
  <c r="AE43" i="44"/>
  <c r="W43" i="44"/>
  <c r="BE43" i="44"/>
  <c r="AW43" i="44"/>
  <c r="AO43" i="44"/>
  <c r="AG43" i="44"/>
  <c r="Y43" i="44"/>
  <c r="Q43" i="44"/>
  <c r="AQ43" i="44"/>
  <c r="AA43" i="44"/>
  <c r="AS43" i="44"/>
  <c r="AC43" i="44"/>
  <c r="AY43" i="44"/>
  <c r="AI43" i="44"/>
  <c r="S43" i="44"/>
  <c r="BA43" i="44"/>
  <c r="AK43" i="44"/>
  <c r="U43" i="44"/>
  <c r="AY40" i="44"/>
  <c r="AQ40" i="44"/>
  <c r="AI40" i="44"/>
  <c r="AA40" i="44"/>
  <c r="S40" i="44"/>
  <c r="BA40" i="44"/>
  <c r="AS40" i="44"/>
  <c r="AK40" i="44"/>
  <c r="AC40" i="44"/>
  <c r="U40" i="44"/>
  <c r="AW40" i="44"/>
  <c r="AG40" i="44"/>
  <c r="Q40" i="44"/>
  <c r="BC40" i="44"/>
  <c r="AM40" i="44"/>
  <c r="W40" i="44"/>
  <c r="BE40" i="44"/>
  <c r="AO40" i="44"/>
  <c r="Y40" i="44"/>
  <c r="AU40" i="44"/>
  <c r="AE40" i="44"/>
  <c r="BA38" i="44"/>
  <c r="AS38" i="44"/>
  <c r="AK38" i="44"/>
  <c r="AC38" i="44"/>
  <c r="U38" i="44"/>
  <c r="BC38" i="44"/>
  <c r="AU38" i="44"/>
  <c r="AM38" i="44"/>
  <c r="AE38" i="44"/>
  <c r="W38" i="44"/>
  <c r="AW38" i="44"/>
  <c r="AG38" i="44"/>
  <c r="Q38" i="44"/>
  <c r="AY38" i="44"/>
  <c r="AI38" i="44"/>
  <c r="S38" i="44"/>
  <c r="BE38" i="44"/>
  <c r="AO38" i="44"/>
  <c r="Y38" i="44"/>
  <c r="AQ38" i="44"/>
  <c r="AA38" i="44"/>
  <c r="BE45" i="44"/>
  <c r="AW45" i="44"/>
  <c r="AO45" i="44"/>
  <c r="AY45" i="44"/>
  <c r="AQ45" i="44"/>
  <c r="AI45" i="44"/>
  <c r="AA45" i="44"/>
  <c r="S45" i="44"/>
  <c r="BA45" i="44"/>
  <c r="AS45" i="44"/>
  <c r="AK45" i="44"/>
  <c r="AC45" i="44"/>
  <c r="U45" i="44"/>
  <c r="BC45" i="44"/>
  <c r="AE45" i="44"/>
  <c r="AG45" i="44"/>
  <c r="Q45" i="44"/>
  <c r="AM45" i="44"/>
  <c r="W45" i="44"/>
  <c r="AU45" i="44"/>
  <c r="Y45" i="44"/>
  <c r="BI65" i="44"/>
  <c r="AY39" i="44"/>
  <c r="AQ39" i="44"/>
  <c r="AI39" i="44"/>
  <c r="AA39" i="44"/>
  <c r="S39" i="44"/>
  <c r="BA39" i="44"/>
  <c r="AS39" i="44"/>
  <c r="AK39" i="44"/>
  <c r="AC39" i="44"/>
  <c r="U39" i="44"/>
  <c r="AU39" i="44"/>
  <c r="AE39" i="44"/>
  <c r="AW39" i="44"/>
  <c r="AG39" i="44"/>
  <c r="Q39" i="44"/>
  <c r="BC39" i="44"/>
  <c r="AM39" i="44"/>
  <c r="W39" i="44"/>
  <c r="BE39" i="44"/>
  <c r="AO39" i="44"/>
  <c r="Y39" i="44"/>
  <c r="BE59" i="44"/>
  <c r="AW59" i="44"/>
  <c r="AO59" i="44"/>
  <c r="AG59" i="44"/>
  <c r="Y59" i="44"/>
  <c r="Q59" i="44"/>
  <c r="AY59" i="44"/>
  <c r="AQ59" i="44"/>
  <c r="AI59" i="44"/>
  <c r="AA59" i="44"/>
  <c r="S59" i="44"/>
  <c r="BA59" i="44"/>
  <c r="AS59" i="44"/>
  <c r="AK59" i="44"/>
  <c r="AC59" i="44"/>
  <c r="U59" i="44"/>
  <c r="AM59" i="44"/>
  <c r="AU59" i="44"/>
  <c r="BC59" i="44"/>
  <c r="W59" i="44"/>
  <c r="AE59" i="44"/>
  <c r="BC37" i="44"/>
  <c r="AU37" i="44"/>
  <c r="AM37" i="44"/>
  <c r="AE37" i="44"/>
  <c r="W37" i="44"/>
  <c r="BE37" i="44"/>
  <c r="AW37" i="44"/>
  <c r="AO37" i="44"/>
  <c r="AG37" i="44"/>
  <c r="Y37" i="44"/>
  <c r="Q37" i="44"/>
  <c r="AS37" i="44"/>
  <c r="AC37" i="44"/>
  <c r="AY37" i="44"/>
  <c r="AI37" i="44"/>
  <c r="S37" i="44"/>
  <c r="BA37" i="44"/>
  <c r="AK37" i="44"/>
  <c r="U37" i="44"/>
  <c r="AQ37" i="44"/>
  <c r="AA37" i="44"/>
  <c r="AY49" i="44"/>
  <c r="AQ49" i="44"/>
  <c r="AI49" i="44"/>
  <c r="AA49" i="44"/>
  <c r="S49" i="44"/>
  <c r="BA49" i="44"/>
  <c r="AS49" i="44"/>
  <c r="AK49" i="44"/>
  <c r="AC49" i="44"/>
  <c r="U49" i="44"/>
  <c r="BC49" i="44"/>
  <c r="AU49" i="44"/>
  <c r="AM49" i="44"/>
  <c r="AE49" i="44"/>
  <c r="W49" i="44"/>
  <c r="BE49" i="44"/>
  <c r="Y49" i="44"/>
  <c r="AG49" i="44"/>
  <c r="AO49" i="44"/>
  <c r="AW49" i="44"/>
  <c r="Q49" i="44"/>
  <c r="BC63" i="44"/>
  <c r="AU63" i="44"/>
  <c r="AM63" i="44"/>
  <c r="AE63" i="44"/>
  <c r="W63" i="44"/>
  <c r="BE63" i="44"/>
  <c r="AW63" i="44"/>
  <c r="AO63" i="44"/>
  <c r="AG63" i="44"/>
  <c r="Y63" i="44"/>
  <c r="Q63" i="44"/>
  <c r="AY63" i="44"/>
  <c r="AQ63" i="44"/>
  <c r="AI63" i="44"/>
  <c r="AA63" i="44"/>
  <c r="S63" i="44"/>
  <c r="AK63" i="44"/>
  <c r="AS63" i="44"/>
  <c r="BA63" i="44"/>
  <c r="U63" i="44"/>
  <c r="AC63" i="44"/>
  <c r="BA48" i="44"/>
  <c r="AS48" i="44"/>
  <c r="AK48" i="44"/>
  <c r="AC48" i="44"/>
  <c r="U48" i="44"/>
  <c r="BC48" i="44"/>
  <c r="AU48" i="44"/>
  <c r="AM48" i="44"/>
  <c r="AE48" i="44"/>
  <c r="W48" i="44"/>
  <c r="BE48" i="44"/>
  <c r="AW48" i="44"/>
  <c r="AO48" i="44"/>
  <c r="AG48" i="44"/>
  <c r="Y48" i="44"/>
  <c r="Q48" i="44"/>
  <c r="AI48" i="44"/>
  <c r="AQ48" i="44"/>
  <c r="AY48" i="44"/>
  <c r="S48" i="44"/>
  <c r="AA48" i="44"/>
  <c r="BE47" i="44"/>
  <c r="AW47" i="44"/>
  <c r="AO47" i="44"/>
  <c r="AG47" i="44"/>
  <c r="Y47" i="44"/>
  <c r="Q47" i="44"/>
  <c r="AY47" i="44"/>
  <c r="AQ47" i="44"/>
  <c r="AI47" i="44"/>
  <c r="AA47" i="44"/>
  <c r="S47" i="44"/>
  <c r="C115" i="44"/>
  <c r="BA47" i="44"/>
  <c r="AS47" i="44"/>
  <c r="AK47" i="44"/>
  <c r="AC47" i="44"/>
  <c r="U47" i="44"/>
  <c r="AU47" i="44"/>
  <c r="BC47" i="44"/>
  <c r="W47" i="44"/>
  <c r="AE47" i="44"/>
  <c r="AM47" i="44"/>
  <c r="BC52" i="44"/>
  <c r="AU52" i="44"/>
  <c r="AM52" i="44"/>
  <c r="AE52" i="44"/>
  <c r="W52" i="44"/>
  <c r="BE52" i="44"/>
  <c r="AW52" i="44"/>
  <c r="AO52" i="44"/>
  <c r="AG52" i="44"/>
  <c r="Y52" i="44"/>
  <c r="Q52" i="44"/>
  <c r="AY52" i="44"/>
  <c r="AQ52" i="44"/>
  <c r="AI52" i="44"/>
  <c r="AA52" i="44"/>
  <c r="S52" i="44"/>
  <c r="BA52" i="44"/>
  <c r="U52" i="44"/>
  <c r="AC52" i="44"/>
  <c r="AK52" i="44"/>
  <c r="AS52" i="44"/>
  <c r="BE53" i="44"/>
  <c r="AW53" i="44"/>
  <c r="AO53" i="44"/>
  <c r="AG53" i="44"/>
  <c r="Y53" i="44"/>
  <c r="Q53" i="44"/>
  <c r="AY53" i="44"/>
  <c r="AQ53" i="44"/>
  <c r="AI53" i="44"/>
  <c r="AA53" i="44"/>
  <c r="S53" i="44"/>
  <c r="BA53" i="44"/>
  <c r="AS53" i="44"/>
  <c r="AK53" i="44"/>
  <c r="AC53" i="44"/>
  <c r="U53" i="44"/>
  <c r="AU53" i="44"/>
  <c r="BC53" i="44"/>
  <c r="W53" i="44"/>
  <c r="AE53" i="44"/>
  <c r="AM53" i="44"/>
  <c r="BE41" i="44"/>
  <c r="AW41" i="44"/>
  <c r="AO41" i="44"/>
  <c r="AG41" i="44"/>
  <c r="Y41" i="44"/>
  <c r="Q41" i="44"/>
  <c r="AY41" i="44"/>
  <c r="AQ41" i="44"/>
  <c r="AI41" i="44"/>
  <c r="AA41" i="44"/>
  <c r="S41" i="44"/>
  <c r="AU41" i="44"/>
  <c r="AE41" i="44"/>
  <c r="BA41" i="44"/>
  <c r="AK41" i="44"/>
  <c r="U41" i="44"/>
  <c r="BC41" i="44"/>
  <c r="AM41" i="44"/>
  <c r="W41" i="44"/>
  <c r="AS41" i="44"/>
  <c r="AC41" i="44"/>
  <c r="BA55" i="44"/>
  <c r="AS55" i="44"/>
  <c r="AK55" i="44"/>
  <c r="AC55" i="44"/>
  <c r="U55" i="44"/>
  <c r="BC55" i="44"/>
  <c r="AU55" i="44"/>
  <c r="AM55" i="44"/>
  <c r="AE55" i="44"/>
  <c r="W55" i="44"/>
  <c r="BE55" i="44"/>
  <c r="AW55" i="44"/>
  <c r="AO55" i="44"/>
  <c r="AG55" i="44"/>
  <c r="Y55" i="44"/>
  <c r="Q55" i="44"/>
  <c r="AI55" i="44"/>
  <c r="AQ55" i="44"/>
  <c r="AY55" i="44"/>
  <c r="S55" i="44"/>
  <c r="AA55" i="44"/>
  <c r="F58" i="44"/>
  <c r="J58" i="44" s="1"/>
  <c r="AY44" i="44"/>
  <c r="AQ44" i="44"/>
  <c r="AI44" i="44"/>
  <c r="AA44" i="44"/>
  <c r="S44" i="44"/>
  <c r="BA44" i="44"/>
  <c r="AS44" i="44"/>
  <c r="AK44" i="44"/>
  <c r="AC44" i="44"/>
  <c r="U44" i="44"/>
  <c r="BE44" i="44"/>
  <c r="AO44" i="44"/>
  <c r="Y44" i="44"/>
  <c r="AU44" i="44"/>
  <c r="AE44" i="44"/>
  <c r="AW44" i="44"/>
  <c r="AG44" i="44"/>
  <c r="Q44" i="44"/>
  <c r="BC44" i="44"/>
  <c r="AM44" i="44"/>
  <c r="W44" i="44"/>
  <c r="BC42" i="44"/>
  <c r="AU42" i="44"/>
  <c r="AM42" i="44"/>
  <c r="AE42" i="44"/>
  <c r="W42" i="44"/>
  <c r="BE42" i="44"/>
  <c r="AW42" i="44"/>
  <c r="AO42" i="44"/>
  <c r="AG42" i="44"/>
  <c r="Y42" i="44"/>
  <c r="Q42" i="44"/>
  <c r="AY42" i="44"/>
  <c r="AI42" i="44"/>
  <c r="S42" i="44"/>
  <c r="BA42" i="44"/>
  <c r="AK42" i="44"/>
  <c r="U42" i="44"/>
  <c r="AQ42" i="44"/>
  <c r="AA42" i="44"/>
  <c r="AS42" i="44"/>
  <c r="AC42" i="44"/>
  <c r="J28" i="44"/>
  <c r="J50" i="44"/>
  <c r="J27" i="44"/>
  <c r="J30" i="44"/>
  <c r="AY50" i="44" l="1"/>
  <c r="AQ50" i="44"/>
  <c r="AI50" i="44"/>
  <c r="AA50" i="44"/>
  <c r="S50" i="44"/>
  <c r="BA50" i="44"/>
  <c r="AS50" i="44"/>
  <c r="AK50" i="44"/>
  <c r="AC50" i="44"/>
  <c r="U50" i="44"/>
  <c r="BC50" i="44"/>
  <c r="AU50" i="44"/>
  <c r="AM50" i="44"/>
  <c r="AE50" i="44"/>
  <c r="W50" i="44"/>
  <c r="AW50" i="44"/>
  <c r="Q50" i="44"/>
  <c r="BE50" i="44"/>
  <c r="Y50" i="44"/>
  <c r="AG50" i="44"/>
  <c r="AO50" i="44"/>
  <c r="BC56" i="44"/>
  <c r="AU56" i="44"/>
  <c r="AM56" i="44"/>
  <c r="AE56" i="44"/>
  <c r="W56" i="44"/>
  <c r="C113" i="44"/>
  <c r="BE56" i="44"/>
  <c r="AW56" i="44"/>
  <c r="AO56" i="44"/>
  <c r="AG56" i="44"/>
  <c r="Y56" i="44"/>
  <c r="Q56" i="44"/>
  <c r="AY56" i="44"/>
  <c r="AQ56" i="44"/>
  <c r="AI56" i="44"/>
  <c r="AA56" i="44"/>
  <c r="S56" i="44"/>
  <c r="AS56" i="44"/>
  <c r="BA56" i="44"/>
  <c r="U56" i="44"/>
  <c r="AC56" i="44"/>
  <c r="AK56" i="44"/>
  <c r="BA62" i="44"/>
  <c r="AS62" i="44"/>
  <c r="AK62" i="44"/>
  <c r="AC62" i="44"/>
  <c r="U62" i="44"/>
  <c r="BC62" i="44"/>
  <c r="AU62" i="44"/>
  <c r="AM62" i="44"/>
  <c r="AE62" i="44"/>
  <c r="W62" i="44"/>
  <c r="BE62" i="44"/>
  <c r="AW62" i="44"/>
  <c r="AO62" i="44"/>
  <c r="AG62" i="44"/>
  <c r="Y62" i="44"/>
  <c r="Q62" i="44"/>
  <c r="AA62" i="44"/>
  <c r="AI62" i="44"/>
  <c r="AQ62" i="44"/>
  <c r="AY62" i="44"/>
  <c r="S62" i="44"/>
  <c r="BE27" i="44"/>
  <c r="AW27" i="44"/>
  <c r="AO27" i="44"/>
  <c r="AG27" i="44"/>
  <c r="Y27" i="44"/>
  <c r="Q27" i="44"/>
  <c r="AU27" i="44"/>
  <c r="AK27" i="44"/>
  <c r="AA27" i="44"/>
  <c r="AY27" i="44"/>
  <c r="AM27" i="44"/>
  <c r="AC27" i="44"/>
  <c r="S27" i="44"/>
  <c r="BA27" i="44"/>
  <c r="AQ27" i="44"/>
  <c r="AE27" i="44"/>
  <c r="U27" i="44"/>
  <c r="BC27" i="44"/>
  <c r="AS27" i="44"/>
  <c r="AI27" i="44"/>
  <c r="W27" i="44"/>
  <c r="BE34" i="44"/>
  <c r="AW34" i="44"/>
  <c r="AO34" i="44"/>
  <c r="AE34" i="44"/>
  <c r="W34" i="44"/>
  <c r="AY34" i="44"/>
  <c r="AQ34" i="44"/>
  <c r="AG34" i="44"/>
  <c r="Y34" i="44"/>
  <c r="Q34" i="44"/>
  <c r="BA34" i="44"/>
  <c r="AK34" i="44"/>
  <c r="S34" i="44"/>
  <c r="BC34" i="44"/>
  <c r="AM34" i="44"/>
  <c r="U34" i="44"/>
  <c r="AS34" i="44"/>
  <c r="AA34" i="44"/>
  <c r="AU34" i="44"/>
  <c r="AC34" i="44"/>
  <c r="AY54" i="44"/>
  <c r="AO54" i="44"/>
  <c r="AG54" i="44"/>
  <c r="Y54" i="44"/>
  <c r="Q54" i="44"/>
  <c r="BA54" i="44"/>
  <c r="AQ54" i="44"/>
  <c r="AI54" i="44"/>
  <c r="AA54" i="44"/>
  <c r="S54" i="44"/>
  <c r="BC54" i="44"/>
  <c r="AU54" i="44"/>
  <c r="AK54" i="44"/>
  <c r="AC54" i="44"/>
  <c r="U54" i="44"/>
  <c r="AM54" i="44"/>
  <c r="AW54" i="44"/>
  <c r="BE54" i="44"/>
  <c r="W54" i="44"/>
  <c r="AE54" i="44"/>
  <c r="BA30" i="44"/>
  <c r="AS30" i="44"/>
  <c r="AK30" i="44"/>
  <c r="AC30" i="44"/>
  <c r="U30" i="44"/>
  <c r="AY30" i="44"/>
  <c r="AO30" i="44"/>
  <c r="AE30" i="44"/>
  <c r="S30" i="44"/>
  <c r="BC30" i="44"/>
  <c r="AQ30" i="44"/>
  <c r="AG30" i="44"/>
  <c r="W30" i="44"/>
  <c r="BE30" i="44"/>
  <c r="AU30" i="44"/>
  <c r="AI30" i="44"/>
  <c r="Y30" i="44"/>
  <c r="AW30" i="44"/>
  <c r="AM30" i="44"/>
  <c r="AA30" i="44"/>
  <c r="Q30" i="44"/>
  <c r="BA32" i="44"/>
  <c r="AS32" i="44"/>
  <c r="AK32" i="44"/>
  <c r="AC32" i="44"/>
  <c r="U32" i="44"/>
  <c r="BC32" i="44"/>
  <c r="AU32" i="44"/>
  <c r="AM32" i="44"/>
  <c r="AE32" i="44"/>
  <c r="W32" i="44"/>
  <c r="AY32" i="44"/>
  <c r="AI32" i="44"/>
  <c r="S32" i="44"/>
  <c r="BE32" i="44"/>
  <c r="AO32" i="44"/>
  <c r="Y32" i="44"/>
  <c r="AQ32" i="44"/>
  <c r="AA32" i="44"/>
  <c r="AW32" i="44"/>
  <c r="AG32" i="44"/>
  <c r="Q32" i="44"/>
  <c r="BE58" i="44"/>
  <c r="AW58" i="44"/>
  <c r="AO58" i="44"/>
  <c r="AG58" i="44"/>
  <c r="Y58" i="44"/>
  <c r="Q58" i="44"/>
  <c r="AY58" i="44"/>
  <c r="AQ58" i="44"/>
  <c r="AI58" i="44"/>
  <c r="AA58" i="44"/>
  <c r="S58" i="44"/>
  <c r="BA58" i="44"/>
  <c r="AS58" i="44"/>
  <c r="AK58" i="44"/>
  <c r="AC58" i="44"/>
  <c r="U58" i="44"/>
  <c r="AU58" i="44"/>
  <c r="BC58" i="44"/>
  <c r="W58" i="44"/>
  <c r="AE58" i="44"/>
  <c r="AM58" i="44"/>
  <c r="BC28" i="44"/>
  <c r="AU28" i="44"/>
  <c r="AM28" i="44"/>
  <c r="AE28" i="44"/>
  <c r="W28" i="44"/>
  <c r="BA28" i="44"/>
  <c r="AQ28" i="44"/>
  <c r="AG28" i="44"/>
  <c r="U28" i="44"/>
  <c r="BE28" i="44"/>
  <c r="AS28" i="44"/>
  <c r="AI28" i="44"/>
  <c r="Y28" i="44"/>
  <c r="AW28" i="44"/>
  <c r="AK28" i="44"/>
  <c r="AA28" i="44"/>
  <c r="Q28" i="44"/>
  <c r="AY28" i="44"/>
  <c r="AO28" i="44"/>
  <c r="AC28" i="44"/>
  <c r="S28" i="44"/>
  <c r="BA51" i="44"/>
  <c r="AS51" i="44"/>
  <c r="AK51" i="44"/>
  <c r="AC51" i="44"/>
  <c r="U51" i="44"/>
  <c r="BC51" i="44"/>
  <c r="AU51" i="44"/>
  <c r="AM51" i="44"/>
  <c r="AE51" i="44"/>
  <c r="W51" i="44"/>
  <c r="BE51" i="44"/>
  <c r="AW51" i="44"/>
  <c r="AO51" i="44"/>
  <c r="AG51" i="44"/>
  <c r="Y51" i="44"/>
  <c r="Q51" i="44"/>
  <c r="AQ51" i="44"/>
  <c r="AY51" i="44"/>
  <c r="S51" i="44"/>
  <c r="AA51" i="44"/>
  <c r="AI51" i="44"/>
  <c r="W65" i="44" l="1"/>
  <c r="C77" i="44" s="1"/>
  <c r="U65" i="44"/>
  <c r="C75" i="44" s="1"/>
  <c r="S65" i="44"/>
  <c r="C73" i="44" s="1"/>
  <c r="AA65" i="44"/>
  <c r="C81" i="44" s="1"/>
  <c r="Y65" i="44"/>
  <c r="C79" i="44" s="1"/>
  <c r="BE65" i="44"/>
  <c r="C111" i="44" s="1"/>
  <c r="BC65" i="44"/>
  <c r="C109" i="44" s="1"/>
  <c r="BA65" i="44"/>
  <c r="C107" i="44" s="1"/>
  <c r="AY65" i="44"/>
  <c r="C105" i="44" s="1"/>
  <c r="Q65" i="44"/>
  <c r="C71" i="44" s="1"/>
  <c r="AW65" i="44"/>
  <c r="C103" i="44" s="1"/>
  <c r="AS65" i="44"/>
  <c r="C99" i="44" s="1"/>
  <c r="AQ65" i="44"/>
  <c r="C97" i="44" s="1"/>
  <c r="AM65" i="44"/>
  <c r="C93" i="44" s="1"/>
  <c r="AU65" i="44"/>
  <c r="C101" i="44" s="1"/>
  <c r="AO65" i="44"/>
  <c r="C95" i="44" s="1"/>
  <c r="AI65" i="44"/>
  <c r="C89" i="44" s="1"/>
  <c r="AE65" i="44"/>
  <c r="C85" i="44" s="1"/>
  <c r="AC65" i="44"/>
  <c r="C83" i="44" s="1"/>
  <c r="AK65" i="44"/>
  <c r="C91" i="44" s="1"/>
  <c r="AG65" i="44"/>
  <c r="C87" i="44" s="1"/>
  <c r="B118" i="44" l="1"/>
  <c r="C118" i="44" s="1"/>
  <c r="E15" i="40"/>
  <c r="G15" i="40"/>
  <c r="I15" i="40" s="1"/>
  <c r="H15" i="40"/>
  <c r="P15" i="40"/>
  <c r="Q15" i="40"/>
  <c r="R15" i="40" s="1"/>
  <c r="G16" i="40"/>
  <c r="H16" i="40"/>
  <c r="O16" i="40"/>
  <c r="T16" i="40" s="1"/>
  <c r="P16" i="40"/>
  <c r="Q16" i="40" s="1"/>
  <c r="R16" i="40" s="1"/>
  <c r="G17" i="40"/>
  <c r="H17" i="40"/>
  <c r="I17" i="40" s="1"/>
  <c r="O17" i="40"/>
  <c r="T17" i="40" s="1"/>
  <c r="P17" i="40"/>
  <c r="Q17" i="40" s="1"/>
  <c r="R17" i="40" s="1"/>
  <c r="G18" i="40"/>
  <c r="O18" i="40" s="1"/>
  <c r="H18" i="40"/>
  <c r="I18" i="40" s="1"/>
  <c r="G19" i="40"/>
  <c r="O19" i="40" s="1"/>
  <c r="T19" i="40" s="1"/>
  <c r="H19" i="40"/>
  <c r="G20" i="40"/>
  <c r="H20" i="40"/>
  <c r="O20" i="40"/>
  <c r="T20" i="40" s="1"/>
  <c r="P20" i="40"/>
  <c r="Q20" i="40" s="1"/>
  <c r="R20" i="40" s="1"/>
  <c r="G21" i="40"/>
  <c r="H21" i="40"/>
  <c r="I21" i="40" s="1"/>
  <c r="O21" i="40"/>
  <c r="P21" i="40"/>
  <c r="Q21" i="40" s="1"/>
  <c r="R21" i="40" s="1"/>
  <c r="G22" i="40"/>
  <c r="O22" i="40" s="1"/>
  <c r="H22" i="40"/>
  <c r="I22" i="40" s="1"/>
  <c r="G23" i="40"/>
  <c r="P23" i="40" s="1"/>
  <c r="Q23" i="40" s="1"/>
  <c r="R23" i="40" s="1"/>
  <c r="H23" i="40"/>
  <c r="G24" i="40"/>
  <c r="H24" i="40"/>
  <c r="O24" i="40"/>
  <c r="P24" i="40"/>
  <c r="Q24" i="40" s="1"/>
  <c r="R24" i="40" s="1"/>
  <c r="G25" i="40"/>
  <c r="H25" i="40"/>
  <c r="I25" i="40" s="1"/>
  <c r="O25" i="40"/>
  <c r="P25" i="40"/>
  <c r="Q25" i="40" s="1"/>
  <c r="R25" i="40" s="1"/>
  <c r="G26" i="40"/>
  <c r="O26" i="40" s="1"/>
  <c r="H26" i="40"/>
  <c r="I26" i="40" s="1"/>
  <c r="G27" i="40"/>
  <c r="O27" i="40" s="1"/>
  <c r="H27" i="40"/>
  <c r="G28" i="40"/>
  <c r="H28" i="40"/>
  <c r="O28" i="40"/>
  <c r="P28" i="40"/>
  <c r="Q28" i="40" s="1"/>
  <c r="R28" i="40" s="1"/>
  <c r="G29" i="40"/>
  <c r="H29" i="40"/>
  <c r="I29" i="40" s="1"/>
  <c r="O29" i="40"/>
  <c r="T29" i="40" s="1"/>
  <c r="P29" i="40"/>
  <c r="Q29" i="40" s="1"/>
  <c r="R29" i="40" s="1"/>
  <c r="G30" i="40"/>
  <c r="O30" i="40" s="1"/>
  <c r="H30" i="40"/>
  <c r="I30" i="40" s="1"/>
  <c r="G31" i="40"/>
  <c r="O31" i="40" s="1"/>
  <c r="H31" i="40"/>
  <c r="G32" i="40"/>
  <c r="O32" i="40" s="1"/>
  <c r="H32" i="40"/>
  <c r="G33" i="40"/>
  <c r="O33" i="40" s="1"/>
  <c r="H33" i="40"/>
  <c r="G34" i="40"/>
  <c r="O34" i="40" s="1"/>
  <c r="T34" i="40" s="1"/>
  <c r="H34" i="40"/>
  <c r="G35" i="40"/>
  <c r="O35" i="40" s="1"/>
  <c r="H35" i="40"/>
  <c r="G36" i="40"/>
  <c r="O36" i="40" s="1"/>
  <c r="T36" i="40" s="1"/>
  <c r="H36" i="40"/>
  <c r="G37" i="40"/>
  <c r="O37" i="40" s="1"/>
  <c r="H37" i="40"/>
  <c r="G38" i="40"/>
  <c r="O38" i="40" s="1"/>
  <c r="H38" i="40"/>
  <c r="G39" i="40"/>
  <c r="O39" i="40" s="1"/>
  <c r="T39" i="40" s="1"/>
  <c r="H39" i="40"/>
  <c r="G40" i="40"/>
  <c r="O40" i="40" s="1"/>
  <c r="H40" i="40"/>
  <c r="G41" i="40"/>
  <c r="O41" i="40" s="1"/>
  <c r="H41" i="40"/>
  <c r="G42" i="40"/>
  <c r="O42" i="40" s="1"/>
  <c r="H42" i="40"/>
  <c r="G43" i="40"/>
  <c r="O43" i="40" s="1"/>
  <c r="H43" i="40"/>
  <c r="G44" i="40"/>
  <c r="O44" i="40" s="1"/>
  <c r="T44" i="40" s="1"/>
  <c r="H44" i="40"/>
  <c r="G45" i="40"/>
  <c r="O45" i="40" s="1"/>
  <c r="H45" i="40"/>
  <c r="G46" i="40"/>
  <c r="O46" i="40" s="1"/>
  <c r="H46" i="40"/>
  <c r="G47" i="40"/>
  <c r="O47" i="40" s="1"/>
  <c r="H47" i="40"/>
  <c r="I47" i="40"/>
  <c r="P47" i="40"/>
  <c r="Q47" i="40" s="1"/>
  <c r="G48" i="40"/>
  <c r="O48" i="40" s="1"/>
  <c r="H48" i="40"/>
  <c r="I48" i="40"/>
  <c r="G49" i="40"/>
  <c r="O49" i="40" s="1"/>
  <c r="H49" i="40"/>
  <c r="I49" i="40"/>
  <c r="P49" i="40"/>
  <c r="Q49" i="40" s="1"/>
  <c r="G50" i="40"/>
  <c r="O50" i="40" s="1"/>
  <c r="T50" i="40" s="1"/>
  <c r="H50" i="40"/>
  <c r="I50" i="40"/>
  <c r="C51" i="40"/>
  <c r="J53" i="40"/>
  <c r="G54" i="40"/>
  <c r="O54" i="40" s="1"/>
  <c r="H54" i="40"/>
  <c r="I54" i="40" s="1"/>
  <c r="J54" i="40" s="1"/>
  <c r="P54" i="40"/>
  <c r="Q54" i="40"/>
  <c r="R54" i="40" s="1"/>
  <c r="G55" i="40"/>
  <c r="H55" i="40"/>
  <c r="O55" i="40"/>
  <c r="P55" i="40"/>
  <c r="Q55" i="40" s="1"/>
  <c r="R55" i="40" s="1"/>
  <c r="G56" i="40"/>
  <c r="O56" i="40" s="1"/>
  <c r="T56" i="40" s="1"/>
  <c r="H56" i="40"/>
  <c r="I56" i="40" s="1"/>
  <c r="J56" i="40" s="1"/>
  <c r="K56" i="40" s="1"/>
  <c r="P56" i="40"/>
  <c r="Q56" i="40"/>
  <c r="R56" i="40" s="1"/>
  <c r="G57" i="40"/>
  <c r="H57" i="40"/>
  <c r="O57" i="40"/>
  <c r="P57" i="40"/>
  <c r="Q57" i="40" s="1"/>
  <c r="R57" i="40" s="1"/>
  <c r="G58" i="40"/>
  <c r="H58" i="40"/>
  <c r="I58" i="40" s="1"/>
  <c r="O58" i="40"/>
  <c r="P58" i="40"/>
  <c r="Q58" i="40" s="1"/>
  <c r="R58" i="40" s="1"/>
  <c r="G59" i="40"/>
  <c r="O59" i="40" s="1"/>
  <c r="H59" i="40"/>
  <c r="I59" i="40" s="1"/>
  <c r="G60" i="40"/>
  <c r="O60" i="40" s="1"/>
  <c r="H60" i="40"/>
  <c r="G61" i="40"/>
  <c r="H61" i="40"/>
  <c r="O61" i="40"/>
  <c r="T61" i="40" s="1"/>
  <c r="P61" i="40"/>
  <c r="Q61" i="40" s="1"/>
  <c r="R61" i="40" s="1"/>
  <c r="G62" i="40"/>
  <c r="H62" i="40"/>
  <c r="I62" i="40" s="1"/>
  <c r="O62" i="40"/>
  <c r="P62" i="40"/>
  <c r="Q62" i="40" s="1"/>
  <c r="R62" i="40" s="1"/>
  <c r="G63" i="40"/>
  <c r="O63" i="40" s="1"/>
  <c r="T63" i="40" s="1"/>
  <c r="H63" i="40"/>
  <c r="I63" i="40" s="1"/>
  <c r="G64" i="40"/>
  <c r="O64" i="40" s="1"/>
  <c r="T64" i="40" s="1"/>
  <c r="H64" i="40"/>
  <c r="G65" i="40"/>
  <c r="H65" i="40"/>
  <c r="O65" i="40"/>
  <c r="T65" i="40" s="1"/>
  <c r="P65" i="40"/>
  <c r="Q65" i="40" s="1"/>
  <c r="R65" i="40" s="1"/>
  <c r="G66" i="40"/>
  <c r="H66" i="40"/>
  <c r="I66" i="40" s="1"/>
  <c r="O66" i="40"/>
  <c r="P66" i="40"/>
  <c r="Q66" i="40" s="1"/>
  <c r="R66" i="40" s="1"/>
  <c r="G67" i="40"/>
  <c r="O67" i="40" s="1"/>
  <c r="H67" i="40"/>
  <c r="I67" i="40" s="1"/>
  <c r="G68" i="40"/>
  <c r="O68" i="40" s="1"/>
  <c r="H68" i="40"/>
  <c r="G69" i="40"/>
  <c r="H69" i="40"/>
  <c r="O69" i="40"/>
  <c r="P69" i="40"/>
  <c r="Q69" i="40" s="1"/>
  <c r="R69" i="40" s="1"/>
  <c r="G70" i="40"/>
  <c r="H70" i="40"/>
  <c r="I70" i="40" s="1"/>
  <c r="O70" i="40"/>
  <c r="P70" i="40"/>
  <c r="Q70" i="40" s="1"/>
  <c r="R70" i="40" s="1"/>
  <c r="G71" i="40"/>
  <c r="O71" i="40" s="1"/>
  <c r="T71" i="40" s="1"/>
  <c r="H71" i="40"/>
  <c r="I71" i="40" s="1"/>
  <c r="G72" i="40"/>
  <c r="P72" i="40" s="1"/>
  <c r="Q72" i="40" s="1"/>
  <c r="R72" i="40" s="1"/>
  <c r="H72" i="40"/>
  <c r="G73" i="40"/>
  <c r="H73" i="40"/>
  <c r="I73" i="40" s="1"/>
  <c r="O73" i="40"/>
  <c r="P73" i="40"/>
  <c r="Q73" i="40" s="1"/>
  <c r="R73" i="40" s="1"/>
  <c r="H74" i="40"/>
  <c r="I74" i="40"/>
  <c r="H75" i="40"/>
  <c r="I75" i="40" s="1"/>
  <c r="H76" i="40"/>
  <c r="I76" i="40"/>
  <c r="G77" i="40"/>
  <c r="P77" i="40" s="1"/>
  <c r="Q77" i="40" s="1"/>
  <c r="R77" i="40" s="1"/>
  <c r="H77" i="40"/>
  <c r="G78" i="40"/>
  <c r="H78" i="40"/>
  <c r="I78" i="40" s="1"/>
  <c r="O78" i="40"/>
  <c r="T78" i="40" s="1"/>
  <c r="P78" i="40"/>
  <c r="Q78" i="40" s="1"/>
  <c r="R78" i="40" s="1"/>
  <c r="G79" i="40"/>
  <c r="P79" i="40" s="1"/>
  <c r="Q79" i="40" s="1"/>
  <c r="R79" i="40" s="1"/>
  <c r="H79" i="40"/>
  <c r="I79" i="40" s="1"/>
  <c r="O79" i="40"/>
  <c r="T79" i="40" s="1"/>
  <c r="G80" i="40"/>
  <c r="O80" i="40" s="1"/>
  <c r="H80" i="40"/>
  <c r="I80" i="40" s="1"/>
  <c r="G81" i="40"/>
  <c r="O81" i="40" s="1"/>
  <c r="T81" i="40" s="1"/>
  <c r="H81" i="40"/>
  <c r="G82" i="40"/>
  <c r="H82" i="40"/>
  <c r="I82" i="40" s="1"/>
  <c r="O82" i="40"/>
  <c r="T82" i="40" s="1"/>
  <c r="P82" i="40"/>
  <c r="Q82" i="40" s="1"/>
  <c r="R82" i="40" s="1"/>
  <c r="C83" i="40"/>
  <c r="I88" i="40"/>
  <c r="P88" i="40"/>
  <c r="P91" i="40" s="1"/>
  <c r="Q88" i="40"/>
  <c r="T88" i="40"/>
  <c r="G89" i="40"/>
  <c r="H89" i="40"/>
  <c r="I89" i="40" s="1"/>
  <c r="J89" i="40" s="1"/>
  <c r="P89" i="40"/>
  <c r="Q89" i="40"/>
  <c r="R89" i="40"/>
  <c r="T89" i="40"/>
  <c r="G90" i="40"/>
  <c r="I90" i="40" s="1"/>
  <c r="J90" i="40"/>
  <c r="P90" i="40"/>
  <c r="R90" i="40" s="1"/>
  <c r="Q90" i="40"/>
  <c r="T90" i="40"/>
  <c r="T91" i="40" s="1"/>
  <c r="G91" i="40"/>
  <c r="G100" i="40"/>
  <c r="E100" i="40" s="1"/>
  <c r="E101" i="40"/>
  <c r="E102" i="40"/>
  <c r="Q102" i="40"/>
  <c r="Q103" i="40"/>
  <c r="Q104" i="40"/>
  <c r="H111" i="40"/>
  <c r="I111" i="40" s="1"/>
  <c r="J111" i="40" s="1"/>
  <c r="O111" i="40"/>
  <c r="P111" i="40"/>
  <c r="Q111" i="40"/>
  <c r="R111" i="40" s="1"/>
  <c r="G112" i="40"/>
  <c r="H112" i="40"/>
  <c r="O112" i="40"/>
  <c r="P112" i="40"/>
  <c r="Q112" i="40" s="1"/>
  <c r="R112" i="40" s="1"/>
  <c r="G113" i="40"/>
  <c r="H113" i="40"/>
  <c r="I113" i="40" s="1"/>
  <c r="J113" i="40" s="1"/>
  <c r="O113" i="40"/>
  <c r="P113" i="40"/>
  <c r="Q113" i="40" s="1"/>
  <c r="R113" i="40" s="1"/>
  <c r="G114" i="40"/>
  <c r="O114" i="40" s="1"/>
  <c r="H114" i="40"/>
  <c r="I114" i="40" s="1"/>
  <c r="J114" i="40" s="1"/>
  <c r="G115" i="40"/>
  <c r="P115" i="40" s="1"/>
  <c r="Q115" i="40" s="1"/>
  <c r="R115" i="40" s="1"/>
  <c r="H115" i="40"/>
  <c r="C116" i="40"/>
  <c r="C117" i="40" s="1"/>
  <c r="J15" i="40" l="1"/>
  <c r="T54" i="40"/>
  <c r="G83" i="40"/>
  <c r="P81" i="40"/>
  <c r="Q81" i="40" s="1"/>
  <c r="R81" i="40" s="1"/>
  <c r="P68" i="40"/>
  <c r="Q68" i="40" s="1"/>
  <c r="R68" i="40" s="1"/>
  <c r="P64" i="40"/>
  <c r="Q64" i="40" s="1"/>
  <c r="R64" i="40" s="1"/>
  <c r="P60" i="40"/>
  <c r="Q60" i="40" s="1"/>
  <c r="R60" i="40" s="1"/>
  <c r="P27" i="40"/>
  <c r="Q27" i="40" s="1"/>
  <c r="R27" i="40" s="1"/>
  <c r="P19" i="40"/>
  <c r="Q19" i="40" s="1"/>
  <c r="R19" i="40" s="1"/>
  <c r="G116" i="40"/>
  <c r="O115" i="40"/>
  <c r="O116" i="40" s="1"/>
  <c r="P114" i="40"/>
  <c r="I112" i="40"/>
  <c r="J112" i="40" s="1"/>
  <c r="P80" i="40"/>
  <c r="Q80" i="40" s="1"/>
  <c r="R80" i="40" s="1"/>
  <c r="O77" i="40"/>
  <c r="O72" i="40"/>
  <c r="T72" i="40" s="1"/>
  <c r="P71" i="40"/>
  <c r="Q71" i="40" s="1"/>
  <c r="R71" i="40" s="1"/>
  <c r="I69" i="40"/>
  <c r="K69" i="40" s="1"/>
  <c r="M69" i="40" s="1"/>
  <c r="P67" i="40"/>
  <c r="Q67" i="40" s="1"/>
  <c r="R67" i="40" s="1"/>
  <c r="I65" i="40"/>
  <c r="P63" i="40"/>
  <c r="Q63" i="40" s="1"/>
  <c r="R63" i="40" s="1"/>
  <c r="I61" i="40"/>
  <c r="K61" i="40" s="1"/>
  <c r="M61" i="40" s="1"/>
  <c r="P59" i="40"/>
  <c r="Q59" i="40" s="1"/>
  <c r="R59" i="40" s="1"/>
  <c r="R83" i="40" s="1"/>
  <c r="I57" i="40"/>
  <c r="I55" i="40"/>
  <c r="J55" i="40" s="1"/>
  <c r="P45" i="40"/>
  <c r="Q45" i="40" s="1"/>
  <c r="P44" i="40"/>
  <c r="Q44" i="40" s="1"/>
  <c r="R44" i="40" s="1"/>
  <c r="P43" i="40"/>
  <c r="Q43" i="40" s="1"/>
  <c r="R43" i="40" s="1"/>
  <c r="P42" i="40"/>
  <c r="Q42" i="40" s="1"/>
  <c r="R42" i="40" s="1"/>
  <c r="P41" i="40"/>
  <c r="Q41" i="40" s="1"/>
  <c r="R41" i="40" s="1"/>
  <c r="P40" i="40"/>
  <c r="Q40" i="40" s="1"/>
  <c r="R40" i="40" s="1"/>
  <c r="P39" i="40"/>
  <c r="Q39" i="40" s="1"/>
  <c r="R39" i="40" s="1"/>
  <c r="P38" i="40"/>
  <c r="Q38" i="40" s="1"/>
  <c r="R38" i="40" s="1"/>
  <c r="P37" i="40"/>
  <c r="Q37" i="40" s="1"/>
  <c r="R37" i="40" s="1"/>
  <c r="P36" i="40"/>
  <c r="Q36" i="40" s="1"/>
  <c r="R36" i="40" s="1"/>
  <c r="P35" i="40"/>
  <c r="Q35" i="40" s="1"/>
  <c r="R35" i="40" s="1"/>
  <c r="P34" i="40"/>
  <c r="Q34" i="40" s="1"/>
  <c r="R34" i="40" s="1"/>
  <c r="P33" i="40"/>
  <c r="Q33" i="40" s="1"/>
  <c r="R33" i="40" s="1"/>
  <c r="P32" i="40"/>
  <c r="Q32" i="40" s="1"/>
  <c r="R32" i="40" s="1"/>
  <c r="P31" i="40"/>
  <c r="Q31" i="40" s="1"/>
  <c r="R31" i="40" s="1"/>
  <c r="P30" i="40"/>
  <c r="Q30" i="40" s="1"/>
  <c r="I28" i="40"/>
  <c r="P26" i="40"/>
  <c r="Q26" i="40" s="1"/>
  <c r="R26" i="40" s="1"/>
  <c r="I24" i="40"/>
  <c r="O23" i="40"/>
  <c r="P22" i="40"/>
  <c r="Q22" i="40" s="1"/>
  <c r="R22" i="40" s="1"/>
  <c r="I20" i="40"/>
  <c r="P18" i="40"/>
  <c r="Q18" i="40" s="1"/>
  <c r="R18" i="40" s="1"/>
  <c r="I16" i="40"/>
  <c r="O15" i="40"/>
  <c r="I115" i="40"/>
  <c r="J115" i="40" s="1"/>
  <c r="I81" i="40"/>
  <c r="I77" i="40"/>
  <c r="J77" i="40" s="1"/>
  <c r="I72" i="40"/>
  <c r="K72" i="40" s="1"/>
  <c r="M72" i="40" s="1"/>
  <c r="I68" i="40"/>
  <c r="I64" i="40"/>
  <c r="I60" i="40"/>
  <c r="K60" i="40" s="1"/>
  <c r="M60" i="40" s="1"/>
  <c r="I46" i="40"/>
  <c r="I45" i="40"/>
  <c r="J45" i="40" s="1"/>
  <c r="K45" i="40" s="1"/>
  <c r="M45" i="40" s="1"/>
  <c r="I44" i="40"/>
  <c r="I43" i="40"/>
  <c r="I42" i="40"/>
  <c r="I41" i="40"/>
  <c r="I40" i="40"/>
  <c r="I39" i="40"/>
  <c r="I38" i="40"/>
  <c r="I37" i="40"/>
  <c r="I36" i="40"/>
  <c r="I35" i="40"/>
  <c r="I34" i="40"/>
  <c r="I33" i="40"/>
  <c r="J33" i="40" s="1"/>
  <c r="K33" i="40" s="1"/>
  <c r="M33" i="40" s="1"/>
  <c r="I32" i="40"/>
  <c r="I31" i="40"/>
  <c r="I27" i="40"/>
  <c r="I23" i="40"/>
  <c r="I19" i="40"/>
  <c r="J116" i="40"/>
  <c r="R88" i="40"/>
  <c r="R91" i="40" s="1"/>
  <c r="Q91" i="40"/>
  <c r="J88" i="40"/>
  <c r="I91" i="40"/>
  <c r="J82" i="40"/>
  <c r="K82" i="40"/>
  <c r="M82" i="40" s="1"/>
  <c r="J78" i="40"/>
  <c r="K78" i="40"/>
  <c r="M78" i="40" s="1"/>
  <c r="J73" i="40"/>
  <c r="J71" i="40"/>
  <c r="K71" i="40"/>
  <c r="M71" i="40" s="1"/>
  <c r="J69" i="40"/>
  <c r="J67" i="40"/>
  <c r="K67" i="40"/>
  <c r="M67" i="40" s="1"/>
  <c r="J65" i="40"/>
  <c r="J63" i="40"/>
  <c r="K63" i="40"/>
  <c r="M63" i="40" s="1"/>
  <c r="J61" i="40"/>
  <c r="J59" i="40"/>
  <c r="K59" i="40"/>
  <c r="M59" i="40" s="1"/>
  <c r="J57" i="40"/>
  <c r="K90" i="40"/>
  <c r="L90" i="40" s="1"/>
  <c r="K89" i="40"/>
  <c r="L89" i="40" s="1"/>
  <c r="K115" i="40"/>
  <c r="L115" i="40" s="1"/>
  <c r="M115" i="40"/>
  <c r="K114" i="40"/>
  <c r="L114" i="40" s="1"/>
  <c r="K113" i="40"/>
  <c r="L113" i="40" s="1"/>
  <c r="M113" i="40"/>
  <c r="K112" i="40"/>
  <c r="L112" i="40" s="1"/>
  <c r="K111" i="40"/>
  <c r="K116" i="40" s="1"/>
  <c r="M111" i="40"/>
  <c r="I116" i="40"/>
  <c r="J81" i="40"/>
  <c r="K81" i="40"/>
  <c r="M81" i="40" s="1"/>
  <c r="J79" i="40"/>
  <c r="J72" i="40"/>
  <c r="J70" i="40"/>
  <c r="K70" i="40"/>
  <c r="M70" i="40" s="1"/>
  <c r="J66" i="40"/>
  <c r="K66" i="40"/>
  <c r="M66" i="40" s="1"/>
  <c r="J64" i="40"/>
  <c r="J62" i="40"/>
  <c r="K62" i="40"/>
  <c r="M62" i="40" s="1"/>
  <c r="J60" i="40"/>
  <c r="J58" i="40"/>
  <c r="K58" i="40"/>
  <c r="M58" i="40" s="1"/>
  <c r="L56" i="40"/>
  <c r="S56" i="40" s="1"/>
  <c r="U56" i="40" s="1"/>
  <c r="V56" i="40" s="1"/>
  <c r="M56" i="40"/>
  <c r="K55" i="40"/>
  <c r="L55" i="40" s="1"/>
  <c r="K54" i="40"/>
  <c r="R30" i="40"/>
  <c r="K30" i="40"/>
  <c r="M30" i="40" s="1"/>
  <c r="P50" i="40"/>
  <c r="R49" i="40"/>
  <c r="P48" i="40"/>
  <c r="R47" i="40"/>
  <c r="P46" i="40"/>
  <c r="O51" i="40"/>
  <c r="K15" i="40"/>
  <c r="L15" i="40" s="1"/>
  <c r="T15" i="40" s="1"/>
  <c r="G51" i="40"/>
  <c r="L45" i="40"/>
  <c r="L33" i="40"/>
  <c r="S33" i="40" s="1"/>
  <c r="L77" i="40" l="1"/>
  <c r="K77" i="40"/>
  <c r="M77" i="40" s="1"/>
  <c r="L60" i="40"/>
  <c r="S60" i="40" s="1"/>
  <c r="U60" i="40" s="1"/>
  <c r="V60" i="40" s="1"/>
  <c r="W60" i="40" s="1"/>
  <c r="L72" i="40"/>
  <c r="S72" i="40" s="1"/>
  <c r="U72" i="40" s="1"/>
  <c r="V72" i="40" s="1"/>
  <c r="W72" i="40" s="1"/>
  <c r="L61" i="40"/>
  <c r="S61" i="40" s="1"/>
  <c r="U61" i="40" s="1"/>
  <c r="V61" i="40" s="1"/>
  <c r="L69" i="40"/>
  <c r="S69" i="40" s="1"/>
  <c r="U69" i="40" s="1"/>
  <c r="V69" i="40" s="1"/>
  <c r="W69" i="40" s="1"/>
  <c r="L30" i="40"/>
  <c r="I51" i="40"/>
  <c r="R45" i="40"/>
  <c r="L58" i="40"/>
  <c r="T58" i="40" s="1"/>
  <c r="L62" i="40"/>
  <c r="T62" i="40" s="1"/>
  <c r="L66" i="40"/>
  <c r="L70" i="40"/>
  <c r="L81" i="40"/>
  <c r="S81" i="40" s="1"/>
  <c r="U81" i="40" s="1"/>
  <c r="V81" i="40" s="1"/>
  <c r="M112" i="40"/>
  <c r="M116" i="40" s="1"/>
  <c r="P121" i="40" s="1"/>
  <c r="P122" i="40" s="1"/>
  <c r="M114" i="40"/>
  <c r="I83" i="40"/>
  <c r="I84" i="40" s="1"/>
  <c r="L59" i="40"/>
  <c r="S59" i="40" s="1"/>
  <c r="U59" i="40" s="1"/>
  <c r="V59" i="40" s="1"/>
  <c r="W59" i="40" s="1"/>
  <c r="L63" i="40"/>
  <c r="S63" i="40" s="1"/>
  <c r="U63" i="40" s="1"/>
  <c r="V63" i="40" s="1"/>
  <c r="W63" i="40" s="1"/>
  <c r="L67" i="40"/>
  <c r="L71" i="40"/>
  <c r="S71" i="40" s="1"/>
  <c r="U71" i="40" s="1"/>
  <c r="V71" i="40" s="1"/>
  <c r="L78" i="40"/>
  <c r="S78" i="40" s="1"/>
  <c r="U78" i="40" s="1"/>
  <c r="V78" i="40" s="1"/>
  <c r="L82" i="40"/>
  <c r="S82" i="40" s="1"/>
  <c r="U82" i="40" s="1"/>
  <c r="V82" i="40" s="1"/>
  <c r="W82" i="40" s="1"/>
  <c r="Q83" i="40"/>
  <c r="L65" i="40"/>
  <c r="S65" i="40" s="1"/>
  <c r="U65" i="40" s="1"/>
  <c r="V65" i="40" s="1"/>
  <c r="W65" i="40" s="1"/>
  <c r="Q114" i="40"/>
  <c r="P116" i="40"/>
  <c r="G84" i="40"/>
  <c r="G117" i="40" s="1"/>
  <c r="I117" i="40" s="1"/>
  <c r="I118" i="40" s="1"/>
  <c r="P51" i="40"/>
  <c r="K64" i="40"/>
  <c r="M64" i="40" s="1"/>
  <c r="K79" i="40"/>
  <c r="M79" i="40" s="1"/>
  <c r="K57" i="40"/>
  <c r="M57" i="40" s="1"/>
  <c r="K65" i="40"/>
  <c r="M65" i="40" s="1"/>
  <c r="K73" i="40"/>
  <c r="M73" i="40" s="1"/>
  <c r="O83" i="40"/>
  <c r="O84" i="40" s="1"/>
  <c r="P83" i="40"/>
  <c r="S112" i="40"/>
  <c r="T112" i="40"/>
  <c r="S113" i="40"/>
  <c r="T113" i="40"/>
  <c r="S114" i="40"/>
  <c r="T114" i="40"/>
  <c r="S115" i="40"/>
  <c r="T115" i="40"/>
  <c r="M89" i="40"/>
  <c r="S89" i="40"/>
  <c r="U89" i="40" s="1"/>
  <c r="V89" i="40" s="1"/>
  <c r="W81" i="40"/>
  <c r="W61" i="40"/>
  <c r="W71" i="40"/>
  <c r="W78" i="40"/>
  <c r="S55" i="40"/>
  <c r="T55" i="40"/>
  <c r="S58" i="40"/>
  <c r="T60" i="40"/>
  <c r="S62" i="40"/>
  <c r="S66" i="40"/>
  <c r="T66" i="40"/>
  <c r="S70" i="40"/>
  <c r="T70" i="40"/>
  <c r="S77" i="40"/>
  <c r="U77" i="40" s="1"/>
  <c r="V77" i="40" s="1"/>
  <c r="W77" i="40" s="1"/>
  <c r="T77" i="40"/>
  <c r="M90" i="40"/>
  <c r="S90" i="40"/>
  <c r="U90" i="40" s="1"/>
  <c r="V90" i="40" s="1"/>
  <c r="T59" i="40"/>
  <c r="S67" i="40"/>
  <c r="U67" i="40" s="1"/>
  <c r="V67" i="40" s="1"/>
  <c r="W67" i="40" s="1"/>
  <c r="T67" i="40"/>
  <c r="T69" i="40"/>
  <c r="K117" i="40"/>
  <c r="K118" i="40" s="1"/>
  <c r="S15" i="40"/>
  <c r="M15" i="40"/>
  <c r="K88" i="40"/>
  <c r="J91" i="40"/>
  <c r="M54" i="40"/>
  <c r="M55" i="40"/>
  <c r="L54" i="40"/>
  <c r="W56" i="40"/>
  <c r="L111" i="40"/>
  <c r="S45" i="40"/>
  <c r="T45" i="40"/>
  <c r="Q46" i="40"/>
  <c r="R46" i="40"/>
  <c r="Q48" i="40"/>
  <c r="R48" i="40" s="1"/>
  <c r="Q50" i="40"/>
  <c r="R50" i="40"/>
  <c r="S30" i="40"/>
  <c r="T30" i="40"/>
  <c r="T33" i="40"/>
  <c r="U33" i="40" s="1"/>
  <c r="V33" i="40" s="1"/>
  <c r="W33" i="40" s="1"/>
  <c r="Q72" i="12"/>
  <c r="Q71" i="12"/>
  <c r="Q65" i="12"/>
  <c r="Q62" i="12"/>
  <c r="Q61" i="12"/>
  <c r="Q60" i="12"/>
  <c r="Q59" i="12"/>
  <c r="Q58" i="12"/>
  <c r="Q57" i="12"/>
  <c r="Q56" i="12"/>
  <c r="Q55" i="12"/>
  <c r="Q54" i="12"/>
  <c r="Q51" i="12"/>
  <c r="Q50" i="12"/>
  <c r="Q45" i="12"/>
  <c r="Q46" i="12" l="1"/>
  <c r="U58" i="40"/>
  <c r="V58" i="40" s="1"/>
  <c r="W58" i="40" s="1"/>
  <c r="W90" i="40"/>
  <c r="U70" i="40"/>
  <c r="V70" i="40" s="1"/>
  <c r="W70" i="40" s="1"/>
  <c r="U66" i="40"/>
  <c r="V66" i="40" s="1"/>
  <c r="W66" i="40" s="1"/>
  <c r="U55" i="40"/>
  <c r="V55" i="40" s="1"/>
  <c r="L64" i="40"/>
  <c r="S64" i="40" s="1"/>
  <c r="U64" i="40" s="1"/>
  <c r="V64" i="40" s="1"/>
  <c r="W64" i="40" s="1"/>
  <c r="R51" i="40"/>
  <c r="R84" i="40" s="1"/>
  <c r="U62" i="40"/>
  <c r="V62" i="40" s="1"/>
  <c r="W62" i="40" s="1"/>
  <c r="R114" i="40"/>
  <c r="R116" i="40" s="1"/>
  <c r="Q116" i="40"/>
  <c r="L57" i="40"/>
  <c r="W55" i="40"/>
  <c r="P84" i="40"/>
  <c r="L73" i="40"/>
  <c r="L79" i="40"/>
  <c r="S79" i="40" s="1"/>
  <c r="U79" i="40" s="1"/>
  <c r="V79" i="40" s="1"/>
  <c r="W79" i="40" s="1"/>
  <c r="Q73" i="12"/>
  <c r="S54" i="40"/>
  <c r="U15" i="40"/>
  <c r="U30" i="40"/>
  <c r="V30" i="40" s="1"/>
  <c r="W30" i="40" s="1"/>
  <c r="Q51" i="40"/>
  <c r="Q84" i="40" s="1"/>
  <c r="U45" i="40"/>
  <c r="V45" i="40" s="1"/>
  <c r="W45" i="40" s="1"/>
  <c r="W89" i="40"/>
  <c r="U115" i="40"/>
  <c r="V115" i="40" s="1"/>
  <c r="W115" i="40" s="1"/>
  <c r="U114" i="40"/>
  <c r="V114" i="40" s="1"/>
  <c r="W114" i="40" s="1"/>
  <c r="U113" i="40"/>
  <c r="V113" i="40" s="1"/>
  <c r="W113" i="40" s="1"/>
  <c r="U112" i="40"/>
  <c r="V112" i="40" s="1"/>
  <c r="W112" i="40" s="1"/>
  <c r="S111" i="40"/>
  <c r="L116" i="40"/>
  <c r="T111" i="40"/>
  <c r="T116" i="40" s="1"/>
  <c r="K91" i="40"/>
  <c r="L88" i="40"/>
  <c r="T73" i="40" l="1"/>
  <c r="S73" i="40"/>
  <c r="T57" i="40"/>
  <c r="S57" i="40"/>
  <c r="U57" i="40" s="1"/>
  <c r="V57" i="40" s="1"/>
  <c r="W57" i="40" s="1"/>
  <c r="R93" i="40"/>
  <c r="V15" i="40"/>
  <c r="S88" i="40"/>
  <c r="M88" i="40"/>
  <c r="L91" i="40"/>
  <c r="S116" i="40"/>
  <c r="U111" i="40"/>
  <c r="U54" i="40"/>
  <c r="U73" i="40" l="1"/>
  <c r="V73" i="40" s="1"/>
  <c r="W73" i="40" s="1"/>
  <c r="V54" i="40"/>
  <c r="M91" i="40"/>
  <c r="V111" i="40"/>
  <c r="U116" i="40"/>
  <c r="S91" i="40"/>
  <c r="U88" i="40"/>
  <c r="W15" i="40"/>
  <c r="V116" i="40" l="1"/>
  <c r="W111" i="40"/>
  <c r="W116" i="40" s="1"/>
  <c r="W54" i="40"/>
  <c r="V88" i="40"/>
  <c r="U91" i="40"/>
  <c r="V91" i="40" l="1"/>
  <c r="W88" i="40"/>
  <c r="W91" i="40" s="1"/>
  <c r="D172" i="41" l="1"/>
  <c r="K172" i="41" s="1"/>
  <c r="D171" i="41"/>
  <c r="K170" i="41"/>
  <c r="J170" i="41"/>
  <c r="K169" i="41"/>
  <c r="J169" i="41"/>
  <c r="K168" i="41"/>
  <c r="J168" i="41"/>
  <c r="K167" i="41"/>
  <c r="J167" i="41"/>
  <c r="K166" i="41"/>
  <c r="J166" i="41"/>
  <c r="L165" i="41"/>
  <c r="K165" i="41"/>
  <c r="J165" i="41"/>
  <c r="K164" i="41"/>
  <c r="J164" i="41"/>
  <c r="H164" i="41"/>
  <c r="K159" i="41"/>
  <c r="J159" i="41"/>
  <c r="K157" i="41"/>
  <c r="J157" i="41"/>
  <c r="K156" i="41"/>
  <c r="J156" i="41"/>
  <c r="K155" i="41"/>
  <c r="J155" i="41"/>
  <c r="K154" i="41"/>
  <c r="J154" i="41"/>
  <c r="K153" i="41"/>
  <c r="J153" i="41"/>
  <c r="J161" i="41" s="1"/>
  <c r="K148" i="41"/>
  <c r="J148" i="41"/>
  <c r="K147" i="41"/>
  <c r="J147" i="41"/>
  <c r="K146" i="41"/>
  <c r="J146" i="41"/>
  <c r="K145" i="41"/>
  <c r="J145" i="41"/>
  <c r="K144" i="41"/>
  <c r="J144" i="41"/>
  <c r="K143" i="41"/>
  <c r="J143" i="41"/>
  <c r="K142" i="41"/>
  <c r="J142" i="41"/>
  <c r="K141" i="41"/>
  <c r="J141" i="41"/>
  <c r="J150" i="41" s="1"/>
  <c r="J136" i="41"/>
  <c r="D135" i="41"/>
  <c r="K135" i="41" s="1"/>
  <c r="J134" i="41"/>
  <c r="D129" i="41"/>
  <c r="K129" i="41" s="1"/>
  <c r="D128" i="41"/>
  <c r="K128" i="41" s="1"/>
  <c r="D127" i="41"/>
  <c r="K127" i="41" s="1"/>
  <c r="D126" i="41"/>
  <c r="K126" i="41" s="1"/>
  <c r="J125" i="41"/>
  <c r="J124" i="41"/>
  <c r="D123" i="41"/>
  <c r="K123" i="41" s="1"/>
  <c r="D122" i="41"/>
  <c r="K122" i="41" s="1"/>
  <c r="D121" i="41"/>
  <c r="K121" i="41" s="1"/>
  <c r="J120" i="41"/>
  <c r="F120" i="41"/>
  <c r="K120" i="41" s="1"/>
  <c r="J119" i="41"/>
  <c r="D114" i="41"/>
  <c r="K114" i="41" s="1"/>
  <c r="L113" i="41"/>
  <c r="K113" i="41"/>
  <c r="J113" i="41"/>
  <c r="K112" i="41"/>
  <c r="J112" i="41"/>
  <c r="K111" i="41"/>
  <c r="J111" i="41"/>
  <c r="D110" i="41"/>
  <c r="K110" i="41" s="1"/>
  <c r="K109" i="41"/>
  <c r="J109" i="41"/>
  <c r="K108" i="41"/>
  <c r="J108" i="41"/>
  <c r="D107" i="41"/>
  <c r="D106" i="41"/>
  <c r="K106" i="41" s="1"/>
  <c r="K105" i="41"/>
  <c r="J105" i="41"/>
  <c r="D104" i="41"/>
  <c r="D103" i="41"/>
  <c r="K103" i="41" s="1"/>
  <c r="K102" i="41"/>
  <c r="J102" i="41"/>
  <c r="D101" i="41"/>
  <c r="D100" i="41"/>
  <c r="K100" i="41" s="1"/>
  <c r="D99" i="41"/>
  <c r="K98" i="41"/>
  <c r="J98" i="41"/>
  <c r="K97" i="41"/>
  <c r="J97" i="41"/>
  <c r="D96" i="41"/>
  <c r="K96" i="41" s="1"/>
  <c r="E95" i="41"/>
  <c r="D95" i="41"/>
  <c r="D90" i="41"/>
  <c r="K90" i="41" s="1"/>
  <c r="D89" i="41"/>
  <c r="K88" i="41"/>
  <c r="J88" i="41"/>
  <c r="K86" i="41"/>
  <c r="J86" i="41"/>
  <c r="D85" i="41"/>
  <c r="K85" i="41" s="1"/>
  <c r="D84" i="41"/>
  <c r="D83" i="41"/>
  <c r="K83" i="41" s="1"/>
  <c r="K82" i="41"/>
  <c r="J82" i="41"/>
  <c r="K77" i="41"/>
  <c r="J77" i="41"/>
  <c r="K76" i="41"/>
  <c r="J76" i="41"/>
  <c r="K72" i="41"/>
  <c r="J72" i="41"/>
  <c r="L71" i="41"/>
  <c r="K71" i="41"/>
  <c r="J71" i="41"/>
  <c r="K70" i="41"/>
  <c r="J70" i="41"/>
  <c r="K69" i="41"/>
  <c r="J69" i="41"/>
  <c r="K68" i="41"/>
  <c r="J68" i="41"/>
  <c r="D67" i="41"/>
  <c r="D66" i="41"/>
  <c r="K66" i="41" s="1"/>
  <c r="K65" i="41"/>
  <c r="J65" i="41"/>
  <c r="K64" i="41"/>
  <c r="J64" i="41"/>
  <c r="K63" i="41"/>
  <c r="J63" i="41"/>
  <c r="K62" i="41"/>
  <c r="J62" i="41"/>
  <c r="D61" i="41"/>
  <c r="K61" i="41" s="1"/>
  <c r="K60" i="41"/>
  <c r="J60" i="41"/>
  <c r="D59" i="41"/>
  <c r="K58" i="41"/>
  <c r="J58" i="41"/>
  <c r="K57" i="41"/>
  <c r="J57" i="41"/>
  <c r="K56" i="41"/>
  <c r="J56" i="41"/>
  <c r="K55" i="41"/>
  <c r="J55" i="41"/>
  <c r="K54" i="41"/>
  <c r="J54" i="41"/>
  <c r="K53" i="41"/>
  <c r="J53" i="41"/>
  <c r="K51" i="41"/>
  <c r="J51" i="41"/>
  <c r="K50" i="41"/>
  <c r="J50" i="41"/>
  <c r="K48" i="41"/>
  <c r="J48" i="41"/>
  <c r="K47" i="41"/>
  <c r="J47" i="41"/>
  <c r="K46" i="41"/>
  <c r="J46" i="41"/>
  <c r="K45" i="41"/>
  <c r="J45" i="41"/>
  <c r="K44" i="41"/>
  <c r="J44" i="41"/>
  <c r="J43" i="41"/>
  <c r="F43" i="41"/>
  <c r="K43" i="41" s="1"/>
  <c r="D38" i="41"/>
  <c r="K38" i="41" s="1"/>
  <c r="J37" i="41"/>
  <c r="J36" i="41"/>
  <c r="D35" i="41"/>
  <c r="K35" i="41" s="1"/>
  <c r="D34" i="41"/>
  <c r="K34" i="41" s="1"/>
  <c r="D33" i="41"/>
  <c r="K33" i="41" s="1"/>
  <c r="D32" i="41"/>
  <c r="K32" i="41" s="1"/>
  <c r="J31" i="41"/>
  <c r="D30" i="41"/>
  <c r="K30" i="41" s="1"/>
  <c r="D29" i="41"/>
  <c r="K29" i="41" s="1"/>
  <c r="D28" i="41"/>
  <c r="K28" i="41" s="1"/>
  <c r="J27" i="41"/>
  <c r="D26" i="41"/>
  <c r="K26" i="41" s="1"/>
  <c r="J25" i="41"/>
  <c r="J24" i="41"/>
  <c r="J23" i="41"/>
  <c r="J22" i="41"/>
  <c r="J21" i="41"/>
  <c r="J20" i="41"/>
  <c r="J19" i="41"/>
  <c r="J18" i="41"/>
  <c r="J17" i="41"/>
  <c r="J16" i="41"/>
  <c r="J15" i="41"/>
  <c r="J14" i="41"/>
  <c r="K150" i="41" l="1"/>
  <c r="K161" i="41"/>
  <c r="J28" i="41"/>
  <c r="J30" i="41"/>
  <c r="J33" i="41"/>
  <c r="J35" i="41"/>
  <c r="K59" i="41"/>
  <c r="J61" i="41"/>
  <c r="J66" i="41"/>
  <c r="L66" i="41"/>
  <c r="K67" i="41"/>
  <c r="J83" i="41"/>
  <c r="K84" i="41"/>
  <c r="J85" i="41"/>
  <c r="K89" i="41"/>
  <c r="J90" i="41"/>
  <c r="K95" i="41"/>
  <c r="J96" i="41"/>
  <c r="K99" i="41"/>
  <c r="J100" i="41"/>
  <c r="K101" i="41"/>
  <c r="J103" i="41"/>
  <c r="K104" i="41"/>
  <c r="J106" i="41"/>
  <c r="K107" i="41"/>
  <c r="J110" i="41"/>
  <c r="J114" i="41"/>
  <c r="J122" i="41"/>
  <c r="J126" i="41"/>
  <c r="J128" i="41"/>
  <c r="K138" i="41"/>
  <c r="K171" i="41"/>
  <c r="K174" i="41" s="1"/>
  <c r="J172" i="41"/>
  <c r="J26" i="41"/>
  <c r="J29" i="41"/>
  <c r="J32" i="41"/>
  <c r="J34" i="41"/>
  <c r="J38" i="41"/>
  <c r="J59" i="41"/>
  <c r="J67" i="41"/>
  <c r="J84" i="41"/>
  <c r="J89" i="41"/>
  <c r="J95" i="41"/>
  <c r="J99" i="41"/>
  <c r="J101" i="41"/>
  <c r="J104" i="41"/>
  <c r="J107" i="41"/>
  <c r="J121" i="41"/>
  <c r="J123" i="41"/>
  <c r="J127" i="41"/>
  <c r="J129" i="41"/>
  <c r="J135" i="41"/>
  <c r="J138" i="41" s="1"/>
  <c r="J171" i="41"/>
  <c r="J174" i="41" s="1"/>
  <c r="J79" i="41" l="1"/>
  <c r="J131" i="41"/>
  <c r="K131" i="41"/>
  <c r="J92" i="41"/>
  <c r="K39" i="41"/>
  <c r="K40" i="41" s="1"/>
  <c r="K92" i="41"/>
  <c r="K79" i="41"/>
  <c r="J39" i="41"/>
  <c r="J40" i="41" s="1"/>
  <c r="J178" i="41" s="1"/>
  <c r="J116" i="41"/>
  <c r="K116" i="41"/>
  <c r="K178" i="41" l="1"/>
  <c r="U14" i="12"/>
  <c r="O14" i="12"/>
  <c r="Q14" i="12" s="1"/>
  <c r="N14" i="12"/>
  <c r="L14" i="12"/>
  <c r="K14" i="12"/>
  <c r="B8" i="41"/>
  <c r="B7" i="41"/>
  <c r="B6" i="41"/>
  <c r="B5" i="41"/>
  <c r="B4" i="41"/>
  <c r="B3" i="41"/>
  <c r="C8" i="40" l="1"/>
  <c r="C7" i="40"/>
  <c r="C6" i="40"/>
  <c r="C5" i="40"/>
  <c r="C4" i="40"/>
  <c r="C3" i="40"/>
  <c r="K72" i="12"/>
  <c r="K71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5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3" i="12"/>
  <c r="BK64" i="44"/>
  <c r="BK63" i="44"/>
  <c r="BK62" i="44"/>
  <c r="BK61" i="44"/>
  <c r="BK60" i="44"/>
  <c r="BK59" i="44"/>
  <c r="BK58" i="44"/>
  <c r="BK57" i="44"/>
  <c r="BK56" i="44"/>
  <c r="BK55" i="44"/>
  <c r="BK54" i="44"/>
  <c r="BK53" i="44"/>
  <c r="BK52" i="44"/>
  <c r="BK51" i="44"/>
  <c r="BK50" i="44"/>
  <c r="BK49" i="44"/>
  <c r="BK48" i="44"/>
  <c r="BK47" i="44"/>
  <c r="BK46" i="44"/>
  <c r="BK45" i="44"/>
  <c r="BK44" i="44"/>
  <c r="BK43" i="44"/>
  <c r="BK42" i="44"/>
  <c r="BK41" i="44"/>
  <c r="BK40" i="44"/>
  <c r="BK39" i="44"/>
  <c r="BK38" i="44"/>
  <c r="BK37" i="44"/>
  <c r="BK36" i="44"/>
  <c r="BK35" i="44"/>
  <c r="BK34" i="44"/>
  <c r="BK33" i="44"/>
  <c r="BK32" i="44"/>
  <c r="BK31" i="44"/>
  <c r="BK30" i="44"/>
  <c r="BK29" i="44"/>
  <c r="BK28" i="44"/>
  <c r="BK27" i="44"/>
  <c r="BK26" i="44"/>
  <c r="BK66" i="44" s="1"/>
  <c r="BL62" i="44" l="1"/>
  <c r="BL57" i="44"/>
  <c r="BL59" i="44"/>
  <c r="BL50" i="44"/>
  <c r="BL40" i="44"/>
  <c r="BL54" i="44"/>
  <c r="BL48" i="44"/>
  <c r="BL44" i="44"/>
  <c r="BL37" i="44"/>
  <c r="BL35" i="44"/>
  <c r="BL30" i="44"/>
  <c r="BL27" i="44"/>
  <c r="BL33" i="44"/>
  <c r="BL64" i="44"/>
  <c r="BL66" i="44" l="1"/>
  <c r="H64" i="18" l="1"/>
  <c r="R812" i="29"/>
  <c r="T812" i="29"/>
  <c r="P812" i="29"/>
  <c r="T917" i="29"/>
  <c r="L15" i="12"/>
  <c r="S15" i="12" s="1"/>
  <c r="L16" i="12"/>
  <c r="S16" i="12" s="1"/>
  <c r="L17" i="12"/>
  <c r="S17" i="12" s="1"/>
  <c r="L18" i="12"/>
  <c r="S18" i="12" s="1"/>
  <c r="L19" i="12"/>
  <c r="S19" i="12" s="1"/>
  <c r="L20" i="12"/>
  <c r="S20" i="12" s="1"/>
  <c r="L21" i="12"/>
  <c r="S21" i="12" s="1"/>
  <c r="L22" i="12"/>
  <c r="S22" i="12" s="1"/>
  <c r="L23" i="12"/>
  <c r="S23" i="12" s="1"/>
  <c r="L24" i="12"/>
  <c r="L25" i="12"/>
  <c r="L26" i="12"/>
  <c r="L27" i="12"/>
  <c r="L28" i="12"/>
  <c r="L29" i="12"/>
  <c r="P86" i="29"/>
  <c r="P105" i="29"/>
  <c r="P110" i="29"/>
  <c r="P129" i="29"/>
  <c r="P149" i="29"/>
  <c r="P152" i="29"/>
  <c r="P116" i="29"/>
  <c r="P630" i="29"/>
  <c r="P680" i="29"/>
  <c r="P681" i="29"/>
  <c r="P682" i="29"/>
  <c r="P684" i="29"/>
  <c r="P685" i="29"/>
  <c r="P686" i="29"/>
  <c r="P687" i="29"/>
  <c r="P688" i="29"/>
  <c r="P689" i="29"/>
  <c r="P690" i="29"/>
  <c r="P691" i="29"/>
  <c r="P692" i="29"/>
  <c r="P693" i="29"/>
  <c r="P694" i="29"/>
  <c r="P695" i="29"/>
  <c r="P696" i="29"/>
  <c r="P698" i="29"/>
  <c r="P702" i="29"/>
  <c r="P705" i="29"/>
  <c r="P708" i="29"/>
  <c r="P709" i="29"/>
  <c r="P154" i="29"/>
  <c r="P163" i="29"/>
  <c r="P179" i="29"/>
  <c r="P194" i="29"/>
  <c r="P710" i="29"/>
  <c r="P712" i="29"/>
  <c r="P713" i="29"/>
  <c r="P714" i="29"/>
  <c r="P775" i="29"/>
  <c r="P777" i="29"/>
  <c r="P778" i="29"/>
  <c r="P779" i="29"/>
  <c r="P780" i="29"/>
  <c r="P782" i="29"/>
  <c r="P783" i="29"/>
  <c r="P784" i="29"/>
  <c r="P785" i="29"/>
  <c r="P786" i="29"/>
  <c r="P787" i="29"/>
  <c r="P788" i="29"/>
  <c r="P789" i="29"/>
  <c r="P794" i="29"/>
  <c r="P795" i="29"/>
  <c r="P803" i="29"/>
  <c r="P804" i="29"/>
  <c r="P805" i="29"/>
  <c r="P806" i="29"/>
  <c r="L45" i="12"/>
  <c r="P823" i="29"/>
  <c r="P825" i="29"/>
  <c r="P826" i="29"/>
  <c r="P834" i="29"/>
  <c r="P841" i="29"/>
  <c r="P842" i="29"/>
  <c r="P843" i="29"/>
  <c r="P844" i="29"/>
  <c r="P845" i="29"/>
  <c r="P851" i="29"/>
  <c r="P852" i="29"/>
  <c r="P853" i="29"/>
  <c r="P854" i="29"/>
  <c r="P855" i="29"/>
  <c r="P859" i="29"/>
  <c r="P861" i="29"/>
  <c r="P862" i="29"/>
  <c r="P863" i="29"/>
  <c r="P864" i="29"/>
  <c r="P865" i="29"/>
  <c r="P866" i="29"/>
  <c r="P867" i="29"/>
  <c r="P868" i="29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T942" i="29"/>
  <c r="R942" i="29"/>
  <c r="Z942" i="29"/>
  <c r="T944" i="29"/>
  <c r="R944" i="29"/>
  <c r="T947" i="29"/>
  <c r="R947" i="29"/>
  <c r="Z947" i="29"/>
  <c r="T948" i="29"/>
  <c r="R948" i="29"/>
  <c r="Z948" i="29"/>
  <c r="T949" i="29"/>
  <c r="R949" i="29"/>
  <c r="Z949" i="29"/>
  <c r="T950" i="29"/>
  <c r="R950" i="29"/>
  <c r="Z950" i="29"/>
  <c r="T951" i="29"/>
  <c r="R951" i="29"/>
  <c r="Z951" i="29"/>
  <c r="T952" i="29"/>
  <c r="R952" i="29"/>
  <c r="Z952" i="29"/>
  <c r="T953" i="29"/>
  <c r="R953" i="29"/>
  <c r="Z953" i="29"/>
  <c r="T954" i="29"/>
  <c r="R954" i="29"/>
  <c r="Z954" i="29"/>
  <c r="T955" i="29"/>
  <c r="R955" i="29"/>
  <c r="Z955" i="29"/>
  <c r="O13" i="12"/>
  <c r="N13" i="12"/>
  <c r="U13" i="12"/>
  <c r="N15" i="12"/>
  <c r="U15" i="12"/>
  <c r="O16" i="12"/>
  <c r="Q16" i="12" s="1"/>
  <c r="N16" i="12"/>
  <c r="U16" i="12"/>
  <c r="N17" i="12"/>
  <c r="U17" i="12"/>
  <c r="N18" i="12"/>
  <c r="U18" i="12"/>
  <c r="O19" i="12"/>
  <c r="Q19" i="12" s="1"/>
  <c r="N19" i="12"/>
  <c r="U19" i="12"/>
  <c r="N20" i="12"/>
  <c r="U20" i="12"/>
  <c r="O21" i="12"/>
  <c r="Q21" i="12" s="1"/>
  <c r="N21" i="12"/>
  <c r="O22" i="12"/>
  <c r="Q22" i="12" s="1"/>
  <c r="N22" i="12"/>
  <c r="O23" i="12"/>
  <c r="Q23" i="12" s="1"/>
  <c r="N23" i="12"/>
  <c r="O24" i="12"/>
  <c r="Q24" i="12" s="1"/>
  <c r="N24" i="12"/>
  <c r="U24" i="12"/>
  <c r="O25" i="12"/>
  <c r="Q25" i="12" s="1"/>
  <c r="N25" i="12"/>
  <c r="U25" i="12"/>
  <c r="O26" i="12"/>
  <c r="Q26" i="12" s="1"/>
  <c r="N26" i="12"/>
  <c r="U26" i="12"/>
  <c r="O27" i="12"/>
  <c r="Q27" i="12" s="1"/>
  <c r="N27" i="12"/>
  <c r="U27" i="12"/>
  <c r="O28" i="12"/>
  <c r="Q28" i="12" s="1"/>
  <c r="N28" i="12"/>
  <c r="U28" i="12"/>
  <c r="O29" i="12"/>
  <c r="N29" i="12"/>
  <c r="U29" i="12"/>
  <c r="Q29" i="12" s="1"/>
  <c r="R86" i="29"/>
  <c r="Z86" i="29"/>
  <c r="T105" i="29"/>
  <c r="R105" i="29"/>
  <c r="Z105" i="29"/>
  <c r="R110" i="29"/>
  <c r="Z110" i="29"/>
  <c r="R129" i="29"/>
  <c r="Z129" i="29"/>
  <c r="T152" i="29"/>
  <c r="R152" i="29"/>
  <c r="Z152" i="29"/>
  <c r="T116" i="29"/>
  <c r="R116" i="29"/>
  <c r="Z116" i="29"/>
  <c r="T630" i="29"/>
  <c r="R630" i="29"/>
  <c r="Z630" i="29"/>
  <c r="R679" i="29"/>
  <c r="Z679" i="29"/>
  <c r="Z680" i="29"/>
  <c r="R681" i="29"/>
  <c r="Z681" i="29"/>
  <c r="R682" i="29"/>
  <c r="Z682" i="29"/>
  <c r="T684" i="29"/>
  <c r="R684" i="29"/>
  <c r="Z684" i="29"/>
  <c r="T685" i="29"/>
  <c r="R685" i="29"/>
  <c r="Z685" i="29"/>
  <c r="T686" i="29"/>
  <c r="R686" i="29"/>
  <c r="Z686" i="29"/>
  <c r="T687" i="29"/>
  <c r="R687" i="29"/>
  <c r="Z687" i="29"/>
  <c r="T688" i="29"/>
  <c r="R688" i="29"/>
  <c r="R689" i="29"/>
  <c r="Z689" i="29"/>
  <c r="R690" i="29"/>
  <c r="Z690" i="29"/>
  <c r="R691" i="29"/>
  <c r="Z691" i="29"/>
  <c r="R692" i="29"/>
  <c r="Z692" i="29"/>
  <c r="R693" i="29"/>
  <c r="Z693" i="29"/>
  <c r="R694" i="29"/>
  <c r="Z694" i="29"/>
  <c r="R695" i="29"/>
  <c r="Z695" i="29"/>
  <c r="R696" i="29"/>
  <c r="Z696" i="29"/>
  <c r="R698" i="29"/>
  <c r="Z698" i="29"/>
  <c r="T702" i="29"/>
  <c r="R702" i="29"/>
  <c r="Z702" i="29"/>
  <c r="T705" i="29"/>
  <c r="R705" i="29"/>
  <c r="Z705" i="29"/>
  <c r="R707" i="29"/>
  <c r="Z707" i="29"/>
  <c r="T708" i="29"/>
  <c r="R708" i="29"/>
  <c r="Z708" i="29"/>
  <c r="T709" i="29"/>
  <c r="R709" i="29"/>
  <c r="Z709" i="29"/>
  <c r="R154" i="29"/>
  <c r="Z154" i="29"/>
  <c r="T163" i="29"/>
  <c r="R163" i="29"/>
  <c r="Z163" i="29"/>
  <c r="R179" i="29"/>
  <c r="Z179" i="29"/>
  <c r="T194" i="29"/>
  <c r="R194" i="29"/>
  <c r="Z194" i="29"/>
  <c r="T710" i="29"/>
  <c r="R710" i="29"/>
  <c r="Z710" i="29"/>
  <c r="T712" i="29"/>
  <c r="Z712" i="29"/>
  <c r="T713" i="29"/>
  <c r="Z713" i="29"/>
  <c r="T714" i="29"/>
  <c r="R714" i="29"/>
  <c r="Z714" i="29"/>
  <c r="T775" i="29"/>
  <c r="R775" i="29"/>
  <c r="Z775" i="29"/>
  <c r="T777" i="29"/>
  <c r="R777" i="29"/>
  <c r="Z777" i="29"/>
  <c r="T778" i="29"/>
  <c r="R778" i="29"/>
  <c r="Z778" i="29"/>
  <c r="T779" i="29"/>
  <c r="R779" i="29"/>
  <c r="Z779" i="29"/>
  <c r="T780" i="29"/>
  <c r="R780" i="29"/>
  <c r="Z780" i="29"/>
  <c r="R782" i="29"/>
  <c r="Z782" i="29"/>
  <c r="T783" i="29"/>
  <c r="Z783" i="29"/>
  <c r="T784" i="29"/>
  <c r="R784" i="29"/>
  <c r="Z784" i="29"/>
  <c r="T785" i="29"/>
  <c r="R785" i="29"/>
  <c r="Z785" i="29"/>
  <c r="R786" i="29"/>
  <c r="Z786" i="29"/>
  <c r="T787" i="29"/>
  <c r="R787" i="29"/>
  <c r="Z787" i="29"/>
  <c r="T788" i="29"/>
  <c r="R788" i="29"/>
  <c r="Z788" i="29"/>
  <c r="T789" i="29"/>
  <c r="R789" i="29"/>
  <c r="Z789" i="29"/>
  <c r="T791" i="29"/>
  <c r="R791" i="29"/>
  <c r="Z791" i="29"/>
  <c r="T794" i="29"/>
  <c r="R794" i="29"/>
  <c r="Z794" i="29"/>
  <c r="T795" i="29"/>
  <c r="R795" i="29"/>
  <c r="Z795" i="29"/>
  <c r="R796" i="29"/>
  <c r="Z796" i="29"/>
  <c r="R797" i="29"/>
  <c r="Z797" i="29"/>
  <c r="M799" i="29"/>
  <c r="R799" i="29"/>
  <c r="M800" i="29"/>
  <c r="R800" i="29"/>
  <c r="Z800" i="29"/>
  <c r="M801" i="29"/>
  <c r="R801" i="29"/>
  <c r="Z801" i="29"/>
  <c r="T802" i="29"/>
  <c r="Z802" i="29"/>
  <c r="T803" i="29"/>
  <c r="R803" i="29"/>
  <c r="Z803" i="29"/>
  <c r="R804" i="29"/>
  <c r="Z804" i="29"/>
  <c r="T805" i="29"/>
  <c r="R805" i="29"/>
  <c r="Z805" i="29"/>
  <c r="T806" i="29"/>
  <c r="R806" i="29"/>
  <c r="Z806" i="29"/>
  <c r="O45" i="12"/>
  <c r="U45" i="12"/>
  <c r="U46" i="12" s="1"/>
  <c r="T809" i="29"/>
  <c r="Z809" i="29"/>
  <c r="T813" i="29"/>
  <c r="R813" i="29"/>
  <c r="Z813" i="29"/>
  <c r="T823" i="29"/>
  <c r="R823" i="29"/>
  <c r="Z823" i="29"/>
  <c r="R825" i="29"/>
  <c r="Z825" i="29"/>
  <c r="T826" i="29"/>
  <c r="R826" i="29"/>
  <c r="Z826" i="29"/>
  <c r="T834" i="29"/>
  <c r="R834" i="29"/>
  <c r="Z834" i="29"/>
  <c r="T841" i="29"/>
  <c r="R841" i="29"/>
  <c r="Z841" i="29"/>
  <c r="R842" i="29"/>
  <c r="Z842" i="29"/>
  <c r="T843" i="29"/>
  <c r="R843" i="29"/>
  <c r="Z843" i="29"/>
  <c r="T844" i="29"/>
  <c r="R844" i="29"/>
  <c r="Z844" i="29"/>
  <c r="T845" i="29"/>
  <c r="R845" i="29"/>
  <c r="Z845" i="29"/>
  <c r="T851" i="29"/>
  <c r="R851" i="29"/>
  <c r="Z851" i="29"/>
  <c r="T852" i="29"/>
  <c r="R852" i="29"/>
  <c r="Z852" i="29"/>
  <c r="T853" i="29"/>
  <c r="R853" i="29"/>
  <c r="Z853" i="29"/>
  <c r="T854" i="29"/>
  <c r="R854" i="29"/>
  <c r="Z854" i="29"/>
  <c r="T855" i="29"/>
  <c r="R855" i="29"/>
  <c r="Z855" i="29"/>
  <c r="T859" i="29"/>
  <c r="R859" i="29"/>
  <c r="Z859" i="29"/>
  <c r="T861" i="29"/>
  <c r="R861" i="29"/>
  <c r="Z861" i="29"/>
  <c r="T862" i="29"/>
  <c r="R862" i="29"/>
  <c r="Z862" i="29"/>
  <c r="T863" i="29"/>
  <c r="R863" i="29"/>
  <c r="Z863" i="29"/>
  <c r="T864" i="29"/>
  <c r="R864" i="29"/>
  <c r="Z864" i="29"/>
  <c r="T865" i="29"/>
  <c r="R865" i="29"/>
  <c r="Z865" i="29"/>
  <c r="T866" i="29"/>
  <c r="R866" i="29"/>
  <c r="Z866" i="29"/>
  <c r="T867" i="29"/>
  <c r="R867" i="29"/>
  <c r="Z867" i="29"/>
  <c r="T868" i="29"/>
  <c r="R868" i="29"/>
  <c r="Z868" i="29"/>
  <c r="T870" i="29"/>
  <c r="R870" i="29"/>
  <c r="Z870" i="29"/>
  <c r="T871" i="29"/>
  <c r="R871" i="29"/>
  <c r="Z871" i="29"/>
  <c r="T872" i="29"/>
  <c r="R872" i="29"/>
  <c r="Z872" i="29"/>
  <c r="T877" i="29"/>
  <c r="R877" i="29"/>
  <c r="Z877" i="29"/>
  <c r="T879" i="29"/>
  <c r="R879" i="29"/>
  <c r="Z879" i="29"/>
  <c r="T880" i="29"/>
  <c r="R880" i="29"/>
  <c r="Z880" i="29"/>
  <c r="T881" i="29"/>
  <c r="R881" i="29"/>
  <c r="Z881" i="29"/>
  <c r="T882" i="29"/>
  <c r="R882" i="29"/>
  <c r="Z882" i="29"/>
  <c r="T884" i="29"/>
  <c r="R884" i="29"/>
  <c r="Z884" i="29"/>
  <c r="O50" i="12"/>
  <c r="T885" i="29" s="1"/>
  <c r="N50" i="12"/>
  <c r="R885" i="29" s="1"/>
  <c r="U50" i="12"/>
  <c r="Z885" i="29" s="1"/>
  <c r="T888" i="29"/>
  <c r="R888" i="29"/>
  <c r="Z888" i="29"/>
  <c r="T889" i="29"/>
  <c r="R889" i="29"/>
  <c r="Z889" i="29"/>
  <c r="T892" i="29"/>
  <c r="R892" i="29"/>
  <c r="Z892" i="29"/>
  <c r="O51" i="12"/>
  <c r="N51" i="12"/>
  <c r="U51" i="12"/>
  <c r="O52" i="12"/>
  <c r="Q52" i="12" s="1"/>
  <c r="N52" i="12"/>
  <c r="R265" i="29" s="1"/>
  <c r="U52" i="12"/>
  <c r="Z265" i="29" s="1"/>
  <c r="O53" i="12"/>
  <c r="Q53" i="12" s="1"/>
  <c r="N53" i="12"/>
  <c r="R269" i="29" s="1"/>
  <c r="U53" i="12"/>
  <c r="Z269" i="29" s="1"/>
  <c r="R270" i="29"/>
  <c r="Z270" i="29"/>
  <c r="R271" i="29"/>
  <c r="Z271" i="29"/>
  <c r="R272" i="29"/>
  <c r="Z272" i="29"/>
  <c r="O54" i="12"/>
  <c r="T893" i="29" s="1"/>
  <c r="N54" i="12"/>
  <c r="R893" i="29" s="1"/>
  <c r="U54" i="12"/>
  <c r="Z893" i="29" s="1"/>
  <c r="T894" i="29"/>
  <c r="R894" i="29"/>
  <c r="Z894" i="29"/>
  <c r="O55" i="12"/>
  <c r="T895" i="29" s="1"/>
  <c r="N55" i="12"/>
  <c r="R895" i="29" s="1"/>
  <c r="U55" i="12"/>
  <c r="Z895" i="29" s="1"/>
  <c r="O56" i="12"/>
  <c r="T896" i="29" s="1"/>
  <c r="N56" i="12"/>
  <c r="R896" i="29" s="1"/>
  <c r="U56" i="12"/>
  <c r="Z896" i="29" s="1"/>
  <c r="R899" i="29"/>
  <c r="Z899" i="29"/>
  <c r="T900" i="29"/>
  <c r="R900" i="29"/>
  <c r="Z900" i="29"/>
  <c r="O57" i="12"/>
  <c r="T901" i="29" s="1"/>
  <c r="N57" i="12"/>
  <c r="R901" i="29" s="1"/>
  <c r="U57" i="12"/>
  <c r="Z901" i="29" s="1"/>
  <c r="T903" i="29"/>
  <c r="R903" i="29"/>
  <c r="Z903" i="29"/>
  <c r="T904" i="29"/>
  <c r="R904" i="29"/>
  <c r="Z904" i="29"/>
  <c r="T905" i="29"/>
  <c r="R905" i="29"/>
  <c r="Z905" i="29"/>
  <c r="T906" i="29"/>
  <c r="R906" i="29"/>
  <c r="Z906" i="29"/>
  <c r="T909" i="29"/>
  <c r="R909" i="29"/>
  <c r="Z909" i="29"/>
  <c r="O58" i="12"/>
  <c r="T912" i="29" s="1"/>
  <c r="N58" i="12"/>
  <c r="R912" i="29" s="1"/>
  <c r="U58" i="12"/>
  <c r="Z912" i="29" s="1"/>
  <c r="O59" i="12"/>
  <c r="T913" i="29" s="1"/>
  <c r="N59" i="12"/>
  <c r="R913" i="29" s="1"/>
  <c r="U59" i="12"/>
  <c r="Z913" i="29" s="1"/>
  <c r="O60" i="12"/>
  <c r="T914" i="29" s="1"/>
  <c r="N60" i="12"/>
  <c r="R914" i="29" s="1"/>
  <c r="U60" i="12"/>
  <c r="Z914" i="29" s="1"/>
  <c r="O61" i="12"/>
  <c r="T915" i="29" s="1"/>
  <c r="N61" i="12"/>
  <c r="R915" i="29" s="1"/>
  <c r="U61" i="12"/>
  <c r="Z915" i="29" s="1"/>
  <c r="R917" i="29"/>
  <c r="Z917" i="29"/>
  <c r="T918" i="29"/>
  <c r="R918" i="29"/>
  <c r="Z918" i="29"/>
  <c r="T919" i="29"/>
  <c r="R919" i="29"/>
  <c r="Z919" i="29"/>
  <c r="T920" i="29"/>
  <c r="R920" i="29"/>
  <c r="Z920" i="29"/>
  <c r="T921" i="29"/>
  <c r="R921" i="29"/>
  <c r="Z921" i="29"/>
  <c r="R922" i="29"/>
  <c r="Z922" i="29"/>
  <c r="O62" i="12"/>
  <c r="T923" i="29" s="1"/>
  <c r="N62" i="12"/>
  <c r="R923" i="29" s="1"/>
  <c r="U62" i="12"/>
  <c r="Z923" i="29" s="1"/>
  <c r="T924" i="29"/>
  <c r="R924" i="29"/>
  <c r="Z924" i="29"/>
  <c r="T925" i="29"/>
  <c r="R925" i="29"/>
  <c r="Z925" i="29"/>
  <c r="R926" i="29"/>
  <c r="Z926" i="29"/>
  <c r="O63" i="12"/>
  <c r="Q63" i="12" s="1"/>
  <c r="N63" i="12"/>
  <c r="R927" i="29" s="1"/>
  <c r="U63" i="12"/>
  <c r="Z927" i="29" s="1"/>
  <c r="O64" i="12"/>
  <c r="Q64" i="12" s="1"/>
  <c r="N64" i="12"/>
  <c r="R929" i="29" s="1"/>
  <c r="U64" i="12"/>
  <c r="Z929" i="29" s="1"/>
  <c r="T930" i="29"/>
  <c r="R930" i="29"/>
  <c r="Z930" i="29"/>
  <c r="T931" i="29"/>
  <c r="R931" i="29"/>
  <c r="Z931" i="29"/>
  <c r="R932" i="29"/>
  <c r="Z932" i="29"/>
  <c r="R934" i="29"/>
  <c r="Z934" i="29"/>
  <c r="T935" i="29"/>
  <c r="R935" i="29"/>
  <c r="Z935" i="29"/>
  <c r="R936" i="29"/>
  <c r="Z936" i="29"/>
  <c r="R937" i="29"/>
  <c r="Z937" i="29"/>
  <c r="R938" i="29"/>
  <c r="Z938" i="29"/>
  <c r="R939" i="29"/>
  <c r="Z939" i="29"/>
  <c r="R940" i="29"/>
  <c r="Z940" i="29"/>
  <c r="N65" i="12"/>
  <c r="R941" i="29" s="1"/>
  <c r="U65" i="12"/>
  <c r="Z941" i="29" s="1"/>
  <c r="Y278" i="29"/>
  <c r="Y279" i="29"/>
  <c r="Y280" i="29"/>
  <c r="Y281" i="29"/>
  <c r="Y282" i="29"/>
  <c r="U21" i="12"/>
  <c r="U22" i="12"/>
  <c r="U23" i="12"/>
  <c r="U101" i="12"/>
  <c r="Z989" i="29" s="1"/>
  <c r="F19" i="52"/>
  <c r="O103" i="12"/>
  <c r="O95" i="12"/>
  <c r="R103" i="12"/>
  <c r="R95" i="12"/>
  <c r="N71" i="12"/>
  <c r="N72" i="12"/>
  <c r="N85" i="12"/>
  <c r="N103" i="12"/>
  <c r="N95" i="12"/>
  <c r="N26" i="41"/>
  <c r="N32" i="41"/>
  <c r="N171" i="41"/>
  <c r="N122" i="41"/>
  <c r="N128" i="41"/>
  <c r="N83" i="41"/>
  <c r="N85" i="41"/>
  <c r="N90" i="41"/>
  <c r="T91" i="12"/>
  <c r="Y967" i="29" s="1"/>
  <c r="T92" i="12"/>
  <c r="Y968" i="29" s="1"/>
  <c r="N28" i="41"/>
  <c r="N30" i="41"/>
  <c r="N33" i="41"/>
  <c r="N34" i="41"/>
  <c r="N35" i="41"/>
  <c r="N38" i="41"/>
  <c r="N15" i="41"/>
  <c r="N16" i="41"/>
  <c r="N19" i="41"/>
  <c r="N22" i="41"/>
  <c r="N23" i="41"/>
  <c r="N25" i="41"/>
  <c r="N31" i="41"/>
  <c r="N36" i="41"/>
  <c r="N37" i="41"/>
  <c r="N59" i="41"/>
  <c r="N61" i="41"/>
  <c r="N66" i="41"/>
  <c r="N67" i="41"/>
  <c r="N84" i="41"/>
  <c r="N89" i="41"/>
  <c r="N95" i="41"/>
  <c r="N96" i="41"/>
  <c r="N99" i="41"/>
  <c r="N100" i="41"/>
  <c r="N101" i="41"/>
  <c r="N103" i="41"/>
  <c r="N104" i="41"/>
  <c r="N105" i="41"/>
  <c r="N106" i="41"/>
  <c r="N107" i="41"/>
  <c r="N110" i="41"/>
  <c r="N114" i="41"/>
  <c r="N121" i="41"/>
  <c r="N123" i="41"/>
  <c r="N127" i="41"/>
  <c r="N129" i="41"/>
  <c r="N172" i="41"/>
  <c r="L22" i="2"/>
  <c r="P6" i="2"/>
  <c r="M4" i="41" s="1"/>
  <c r="A10" i="26"/>
  <c r="N23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4" i="18"/>
  <c r="N25" i="18"/>
  <c r="N26" i="18"/>
  <c r="N27" i="18"/>
  <c r="N28" i="18"/>
  <c r="M29" i="18"/>
  <c r="N29" i="18" s="1"/>
  <c r="E28" i="18"/>
  <c r="E29" i="18"/>
  <c r="E64" i="18" s="1"/>
  <c r="B29" i="18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A5" i="18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B27" i="18"/>
  <c r="B26" i="18"/>
  <c r="B25" i="18" s="1"/>
  <c r="B24" i="18" s="1"/>
  <c r="B23" i="18" s="1"/>
  <c r="B22" i="18" s="1"/>
  <c r="B21" i="18" s="1"/>
  <c r="B20" i="18" s="1"/>
  <c r="B19" i="18" s="1"/>
  <c r="B18" i="18" s="1"/>
  <c r="B17" i="18" s="1"/>
  <c r="B16" i="18" s="1"/>
  <c r="B15" i="18" s="1"/>
  <c r="B14" i="18" s="1"/>
  <c r="B13" i="18" s="1"/>
  <c r="B12" i="18" s="1"/>
  <c r="B11" i="18" s="1"/>
  <c r="B10" i="18" s="1"/>
  <c r="B9" i="18" s="1"/>
  <c r="B8" i="18" s="1"/>
  <c r="B7" i="18" s="1"/>
  <c r="B6" i="18" s="1"/>
  <c r="B5" i="18" s="1"/>
  <c r="B4" i="18" s="1"/>
  <c r="N4" i="18"/>
  <c r="O4" i="18" s="1"/>
  <c r="F24" i="2"/>
  <c r="AB1015" i="29"/>
  <c r="AB1017" i="29"/>
  <c r="E44" i="27" s="1"/>
  <c r="AB1019" i="29"/>
  <c r="E46" i="27" s="1"/>
  <c r="AB1021" i="29"/>
  <c r="E48" i="27" s="1"/>
  <c r="AB1023" i="29"/>
  <c r="E50" i="27" s="1"/>
  <c r="AB1025" i="29"/>
  <c r="E53" i="27" s="1"/>
  <c r="AB1027" i="29"/>
  <c r="E56" i="27" s="1"/>
  <c r="AB1029" i="29"/>
  <c r="E55" i="27" s="1"/>
  <c r="AB1032" i="29"/>
  <c r="E60" i="27" s="1"/>
  <c r="AB1034" i="29"/>
  <c r="E65" i="27" s="1"/>
  <c r="AB1036" i="29"/>
  <c r="E66" i="27" s="1"/>
  <c r="AB1038" i="29"/>
  <c r="E62" i="27" s="1"/>
  <c r="A8" i="22"/>
  <c r="A9" i="22" s="1"/>
  <c r="A10" i="22" s="1"/>
  <c r="A11" i="22" s="1"/>
  <c r="A12" i="22" s="1"/>
  <c r="A14" i="22" s="1"/>
  <c r="A13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1" i="22" s="1"/>
  <c r="A30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G58" i="22"/>
  <c r="G41" i="43"/>
  <c r="G42" i="43"/>
  <c r="G38" i="43"/>
  <c r="G37" i="43"/>
  <c r="G57" i="43"/>
  <c r="G58" i="43"/>
  <c r="G59" i="43"/>
  <c r="G60" i="43"/>
  <c r="G47" i="43"/>
  <c r="G48" i="43"/>
  <c r="G49" i="43"/>
  <c r="G50" i="43"/>
  <c r="G51" i="43"/>
  <c r="G52" i="43"/>
  <c r="G53" i="43"/>
  <c r="G54" i="43"/>
  <c r="G39" i="43"/>
  <c r="G40" i="43"/>
  <c r="G43" i="43"/>
  <c r="G44" i="43"/>
  <c r="G32" i="43"/>
  <c r="G33" i="43"/>
  <c r="G34" i="43"/>
  <c r="G12" i="43"/>
  <c r="G13" i="43"/>
  <c r="G14" i="43"/>
  <c r="G15" i="43"/>
  <c r="G16" i="43"/>
  <c r="G17" i="43"/>
  <c r="G18" i="43"/>
  <c r="G19" i="43"/>
  <c r="G20" i="43"/>
  <c r="G21" i="43"/>
  <c r="G22" i="43"/>
  <c r="G23" i="43"/>
  <c r="G24" i="43"/>
  <c r="G25" i="43"/>
  <c r="G26" i="43"/>
  <c r="G27" i="43"/>
  <c r="G28" i="43"/>
  <c r="G29" i="43"/>
  <c r="E8" i="22"/>
  <c r="H8" i="22"/>
  <c r="G9" i="22"/>
  <c r="G10" i="22"/>
  <c r="G11" i="22"/>
  <c r="G20" i="22"/>
  <c r="G22" i="22"/>
  <c r="G45" i="22"/>
  <c r="G46" i="22"/>
  <c r="G49" i="22"/>
  <c r="G52" i="22"/>
  <c r="G53" i="22"/>
  <c r="G54" i="22"/>
  <c r="G55" i="22"/>
  <c r="G59" i="22"/>
  <c r="G60" i="22"/>
  <c r="G61" i="22"/>
  <c r="G62" i="22"/>
  <c r="G63" i="22"/>
  <c r="G64" i="22"/>
  <c r="G66" i="22"/>
  <c r="G67" i="22"/>
  <c r="G68" i="22"/>
  <c r="G69" i="22"/>
  <c r="G70" i="22"/>
  <c r="G71" i="22"/>
  <c r="G72" i="22"/>
  <c r="G73" i="22"/>
  <c r="G74" i="22"/>
  <c r="G75" i="22"/>
  <c r="E52" i="23"/>
  <c r="G52" i="23"/>
  <c r="J8" i="20"/>
  <c r="J10" i="20"/>
  <c r="J12" i="20"/>
  <c r="J14" i="20"/>
  <c r="J16" i="20"/>
  <c r="J18" i="20"/>
  <c r="J20" i="20"/>
  <c r="J22" i="20"/>
  <c r="J24" i="20"/>
  <c r="J26" i="20"/>
  <c r="J28" i="20"/>
  <c r="J31" i="20"/>
  <c r="J33" i="20"/>
  <c r="J35" i="20"/>
  <c r="J37" i="20"/>
  <c r="J39" i="20"/>
  <c r="J41" i="20"/>
  <c r="D29" i="8"/>
  <c r="F29" i="8" s="1"/>
  <c r="G3" i="8"/>
  <c r="D30" i="8"/>
  <c r="F30" i="8" s="1"/>
  <c r="D36" i="8"/>
  <c r="F36" i="8" s="1"/>
  <c r="C63" i="8"/>
  <c r="E63" i="8"/>
  <c r="J63" i="8"/>
  <c r="D17" i="8"/>
  <c r="F17" i="8" s="1"/>
  <c r="C65" i="8"/>
  <c r="E65" i="8"/>
  <c r="J65" i="8"/>
  <c r="C67" i="8"/>
  <c r="E67" i="8"/>
  <c r="J67" i="8"/>
  <c r="D16" i="8"/>
  <c r="F16" i="8" s="1"/>
  <c r="D18" i="8"/>
  <c r="F18" i="8" s="1"/>
  <c r="D26" i="8"/>
  <c r="F26" i="8" s="1"/>
  <c r="D27" i="8"/>
  <c r="F27" i="8" s="1"/>
  <c r="C69" i="8"/>
  <c r="E69" i="8"/>
  <c r="J69" i="8"/>
  <c r="D23" i="8"/>
  <c r="F23" i="8" s="1"/>
  <c r="D24" i="8"/>
  <c r="F24" i="8" s="1"/>
  <c r="D25" i="8"/>
  <c r="F25" i="8" s="1"/>
  <c r="C71" i="8"/>
  <c r="E71" i="8"/>
  <c r="J71" i="8"/>
  <c r="C73" i="8"/>
  <c r="E73" i="8"/>
  <c r="J73" i="8"/>
  <c r="D14" i="8"/>
  <c r="F14" i="8" s="1"/>
  <c r="D15" i="8"/>
  <c r="F15" i="8" s="1"/>
  <c r="D38" i="8"/>
  <c r="F38" i="8" s="1"/>
  <c r="C75" i="8"/>
  <c r="E75" i="8"/>
  <c r="J75" i="8"/>
  <c r="C77" i="8"/>
  <c r="E77" i="8"/>
  <c r="J77" i="8"/>
  <c r="D11" i="8"/>
  <c r="F11" i="8" s="1"/>
  <c r="D12" i="8"/>
  <c r="F12" i="8" s="1"/>
  <c r="D13" i="8"/>
  <c r="F13" i="8" s="1"/>
  <c r="C79" i="8"/>
  <c r="E79" i="8"/>
  <c r="J79" i="8"/>
  <c r="D42" i="8"/>
  <c r="F42" i="8" s="1"/>
  <c r="D43" i="8"/>
  <c r="F43" i="8" s="1"/>
  <c r="D44" i="8"/>
  <c r="F44" i="8" s="1"/>
  <c r="C81" i="8"/>
  <c r="E81" i="8"/>
  <c r="J81" i="8"/>
  <c r="D31" i="8"/>
  <c r="F31" i="8" s="1"/>
  <c r="D32" i="8"/>
  <c r="F32" i="8" s="1"/>
  <c r="D33" i="8"/>
  <c r="F33" i="8" s="1"/>
  <c r="C83" i="8"/>
  <c r="E83" i="8"/>
  <c r="J83" i="8"/>
  <c r="D8" i="8"/>
  <c r="F8" i="8" s="1"/>
  <c r="D10" i="8"/>
  <c r="F10" i="8" s="1"/>
  <c r="D47" i="8"/>
  <c r="F47" i="8" s="1"/>
  <c r="C85" i="8"/>
  <c r="E85" i="8"/>
  <c r="J85" i="8"/>
  <c r="D20" i="8"/>
  <c r="F20" i="8" s="1"/>
  <c r="D21" i="8"/>
  <c r="F21" i="8" s="1"/>
  <c r="D22" i="8"/>
  <c r="F22" i="8" s="1"/>
  <c r="C87" i="8"/>
  <c r="E87" i="8"/>
  <c r="J87" i="8"/>
  <c r="D35" i="8"/>
  <c r="F35" i="8" s="1"/>
  <c r="C89" i="8"/>
  <c r="E89" i="8"/>
  <c r="J89" i="8"/>
  <c r="D41" i="8"/>
  <c r="F41" i="8" s="1"/>
  <c r="C91" i="8"/>
  <c r="E91" i="8"/>
  <c r="J91" i="8"/>
  <c r="D9" i="39"/>
  <c r="E9" i="39" s="1"/>
  <c r="D10" i="39"/>
  <c r="E10" i="39"/>
  <c r="D11" i="39"/>
  <c r="E11" i="39" s="1"/>
  <c r="D12" i="39"/>
  <c r="E12" i="39"/>
  <c r="D13" i="39"/>
  <c r="E13" i="39" s="1"/>
  <c r="D14" i="39"/>
  <c r="E14" i="39"/>
  <c r="D15" i="39"/>
  <c r="E15" i="39" s="1"/>
  <c r="D16" i="39"/>
  <c r="E16" i="39" s="1"/>
  <c r="D17" i="39"/>
  <c r="E17" i="39" s="1"/>
  <c r="D18" i="39"/>
  <c r="E18" i="39"/>
  <c r="D19" i="39"/>
  <c r="E19" i="39" s="1"/>
  <c r="D20" i="39"/>
  <c r="E20" i="39"/>
  <c r="D21" i="39"/>
  <c r="E21" i="39" s="1"/>
  <c r="D22" i="39"/>
  <c r="E22" i="39"/>
  <c r="D23" i="39"/>
  <c r="E23" i="39"/>
  <c r="D24" i="39"/>
  <c r="E24" i="39"/>
  <c r="D25" i="39"/>
  <c r="E25" i="39"/>
  <c r="D26" i="39"/>
  <c r="E26" i="39"/>
  <c r="D27" i="39"/>
  <c r="E27" i="39"/>
  <c r="D28" i="39"/>
  <c r="E28" i="39"/>
  <c r="D29" i="39"/>
  <c r="E29" i="39"/>
  <c r="D30" i="39"/>
  <c r="E30" i="39"/>
  <c r="D31" i="39"/>
  <c r="E31" i="39"/>
  <c r="D32" i="39"/>
  <c r="E32" i="39"/>
  <c r="D33" i="39"/>
  <c r="E33" i="39"/>
  <c r="D34" i="39"/>
  <c r="E34" i="39"/>
  <c r="D35" i="39"/>
  <c r="E35" i="39"/>
  <c r="D36" i="39"/>
  <c r="E36" i="39"/>
  <c r="D37" i="39"/>
  <c r="E37" i="39"/>
  <c r="D38" i="39"/>
  <c r="E38" i="39"/>
  <c r="D39" i="39"/>
  <c r="E39" i="39"/>
  <c r="D40" i="39"/>
  <c r="E40" i="39"/>
  <c r="D41" i="39"/>
  <c r="E41" i="39"/>
  <c r="D42" i="39"/>
  <c r="E42" i="39"/>
  <c r="D43" i="39"/>
  <c r="E43" i="39"/>
  <c r="D44" i="39"/>
  <c r="E44" i="39"/>
  <c r="D45" i="39"/>
  <c r="E45" i="39"/>
  <c r="D46" i="39"/>
  <c r="E46" i="39"/>
  <c r="D47" i="39"/>
  <c r="E47" i="39"/>
  <c r="D48" i="39"/>
  <c r="E48" i="39"/>
  <c r="D49" i="39"/>
  <c r="E49" i="39"/>
  <c r="D50" i="39"/>
  <c r="E50" i="39"/>
  <c r="D51" i="39"/>
  <c r="E51" i="39"/>
  <c r="D52" i="39"/>
  <c r="E52" i="39"/>
  <c r="D53" i="39"/>
  <c r="E53" i="39"/>
  <c r="D54" i="39"/>
  <c r="E54" i="39"/>
  <c r="D55" i="39"/>
  <c r="E55" i="39"/>
  <c r="D56" i="39"/>
  <c r="E56" i="39"/>
  <c r="D57" i="39"/>
  <c r="E57" i="39"/>
  <c r="D58" i="39"/>
  <c r="E58" i="39"/>
  <c r="D59" i="39"/>
  <c r="E59" i="39"/>
  <c r="D60" i="39"/>
  <c r="E60" i="39"/>
  <c r="D61" i="39"/>
  <c r="E61" i="39"/>
  <c r="D62" i="39"/>
  <c r="E62" i="39"/>
  <c r="D63" i="39"/>
  <c r="E63" i="39"/>
  <c r="D64" i="39"/>
  <c r="E64" i="39"/>
  <c r="D65" i="39"/>
  <c r="E65" i="39"/>
  <c r="D66" i="39"/>
  <c r="E66" i="39"/>
  <c r="D67" i="39"/>
  <c r="E67" i="39"/>
  <c r="D68" i="39"/>
  <c r="E68" i="39"/>
  <c r="D69" i="39"/>
  <c r="E69" i="39"/>
  <c r="D70" i="39"/>
  <c r="E70" i="39"/>
  <c r="D71" i="39"/>
  <c r="E71" i="39"/>
  <c r="D72" i="39"/>
  <c r="E72" i="39"/>
  <c r="D73" i="39"/>
  <c r="E73" i="39"/>
  <c r="D74" i="39"/>
  <c r="E74" i="39"/>
  <c r="D75" i="39"/>
  <c r="E75" i="39"/>
  <c r="D76" i="39"/>
  <c r="E76" i="39"/>
  <c r="D77" i="39"/>
  <c r="E77" i="39"/>
  <c r="D78" i="39"/>
  <c r="E78" i="39"/>
  <c r="D79" i="39"/>
  <c r="E79" i="39"/>
  <c r="D80" i="39"/>
  <c r="E80" i="39"/>
  <c r="D81" i="39"/>
  <c r="E81" i="39"/>
  <c r="D82" i="39"/>
  <c r="E82" i="39"/>
  <c r="D83" i="39"/>
  <c r="E83" i="39"/>
  <c r="D84" i="39"/>
  <c r="E84" i="39"/>
  <c r="D85" i="39"/>
  <c r="E85" i="39"/>
  <c r="D86" i="39"/>
  <c r="E86" i="39"/>
  <c r="D87" i="39"/>
  <c r="E87" i="39"/>
  <c r="D88" i="39"/>
  <c r="E88" i="39"/>
  <c r="D89" i="39"/>
  <c r="E89" i="39"/>
  <c r="D90" i="39"/>
  <c r="E90" i="39"/>
  <c r="D91" i="39"/>
  <c r="E91" i="39"/>
  <c r="D92" i="39"/>
  <c r="E92" i="39"/>
  <c r="D93" i="39"/>
  <c r="E93" i="39"/>
  <c r="D94" i="39"/>
  <c r="E94" i="39"/>
  <c r="D95" i="39"/>
  <c r="E95" i="39"/>
  <c r="D96" i="39"/>
  <c r="E96" i="39"/>
  <c r="D97" i="39"/>
  <c r="E97" i="39"/>
  <c r="H97" i="39" s="1"/>
  <c r="F97" i="39" s="1"/>
  <c r="D98" i="39"/>
  <c r="E98" i="39"/>
  <c r="D99" i="39"/>
  <c r="E99" i="39"/>
  <c r="D100" i="39"/>
  <c r="E100" i="39"/>
  <c r="D101" i="39"/>
  <c r="E101" i="39"/>
  <c r="D102" i="39"/>
  <c r="E102" i="39"/>
  <c r="D103" i="39"/>
  <c r="E103" i="39"/>
  <c r="D104" i="39"/>
  <c r="E104" i="39"/>
  <c r="H9" i="39"/>
  <c r="F9" i="39"/>
  <c r="H10" i="39"/>
  <c r="F10" i="39"/>
  <c r="H11" i="39"/>
  <c r="F11" i="39"/>
  <c r="H12" i="39"/>
  <c r="F12" i="39"/>
  <c r="H13" i="39"/>
  <c r="F13" i="39"/>
  <c r="H14" i="39"/>
  <c r="F14" i="39"/>
  <c r="H15" i="39"/>
  <c r="F15" i="39"/>
  <c r="H16" i="39"/>
  <c r="F16" i="39"/>
  <c r="H17" i="39"/>
  <c r="F17" i="39"/>
  <c r="H18" i="39"/>
  <c r="F18" i="39"/>
  <c r="H19" i="39"/>
  <c r="F19" i="39"/>
  <c r="H20" i="39"/>
  <c r="F20" i="39"/>
  <c r="H21" i="39"/>
  <c r="F21" i="39"/>
  <c r="H22" i="39"/>
  <c r="F22" i="39"/>
  <c r="H23" i="39"/>
  <c r="F23" i="39"/>
  <c r="H24" i="39"/>
  <c r="F24" i="39"/>
  <c r="H25" i="39"/>
  <c r="F25" i="39"/>
  <c r="H26" i="39"/>
  <c r="F26" i="39"/>
  <c r="H27" i="39"/>
  <c r="F27" i="39"/>
  <c r="H28" i="39"/>
  <c r="F28" i="39"/>
  <c r="F29" i="39"/>
  <c r="F30" i="39"/>
  <c r="H31" i="39"/>
  <c r="F31" i="39"/>
  <c r="H32" i="39"/>
  <c r="F32" i="39"/>
  <c r="H33" i="39"/>
  <c r="F33" i="39"/>
  <c r="H34" i="39"/>
  <c r="F34" i="39"/>
  <c r="H35" i="39"/>
  <c r="F35" i="39"/>
  <c r="H36" i="39"/>
  <c r="F36" i="39"/>
  <c r="H37" i="39"/>
  <c r="F37" i="39"/>
  <c r="H38" i="39"/>
  <c r="F38" i="39"/>
  <c r="H39" i="39"/>
  <c r="F39" i="39"/>
  <c r="H40" i="39"/>
  <c r="F40" i="39"/>
  <c r="H41" i="39"/>
  <c r="F41" i="39"/>
  <c r="H42" i="39"/>
  <c r="F42" i="39"/>
  <c r="H43" i="39"/>
  <c r="F43" i="39"/>
  <c r="H44" i="39"/>
  <c r="F44" i="39"/>
  <c r="H45" i="39"/>
  <c r="F45" i="39"/>
  <c r="H46" i="39"/>
  <c r="F46" i="39"/>
  <c r="H47" i="39"/>
  <c r="F47" i="39"/>
  <c r="H48" i="39"/>
  <c r="F48" i="39"/>
  <c r="H49" i="39"/>
  <c r="F49" i="39"/>
  <c r="H50" i="39"/>
  <c r="F50" i="39"/>
  <c r="H51" i="39"/>
  <c r="F51" i="39"/>
  <c r="H52" i="39"/>
  <c r="F52" i="39"/>
  <c r="H53" i="39"/>
  <c r="F53" i="39"/>
  <c r="H54" i="39"/>
  <c r="F54" i="39"/>
  <c r="H55" i="39"/>
  <c r="F55" i="39"/>
  <c r="H56" i="39"/>
  <c r="F56" i="39"/>
  <c r="H57" i="39"/>
  <c r="F57" i="39"/>
  <c r="H58" i="39"/>
  <c r="F58" i="39"/>
  <c r="H59" i="39"/>
  <c r="F59" i="39"/>
  <c r="H60" i="39"/>
  <c r="F60" i="39"/>
  <c r="H61" i="39"/>
  <c r="F61" i="39"/>
  <c r="H62" i="39"/>
  <c r="F62" i="39"/>
  <c r="H63" i="39"/>
  <c r="F63" i="39"/>
  <c r="H64" i="39"/>
  <c r="F64" i="39"/>
  <c r="H65" i="39"/>
  <c r="F65" i="39"/>
  <c r="H66" i="39"/>
  <c r="F66" i="39"/>
  <c r="H67" i="39"/>
  <c r="F67" i="39"/>
  <c r="H68" i="39"/>
  <c r="F68" i="39"/>
  <c r="H69" i="39"/>
  <c r="F69" i="39"/>
  <c r="H70" i="39"/>
  <c r="F70" i="39"/>
  <c r="H71" i="39"/>
  <c r="F71" i="39"/>
  <c r="H72" i="39"/>
  <c r="F72" i="39"/>
  <c r="H73" i="39"/>
  <c r="F73" i="39"/>
  <c r="H74" i="39"/>
  <c r="F74" i="39"/>
  <c r="H75" i="39"/>
  <c r="F75" i="39"/>
  <c r="H76" i="39"/>
  <c r="F76" i="39"/>
  <c r="H77" i="39"/>
  <c r="F77" i="39"/>
  <c r="H78" i="39"/>
  <c r="F78" i="39"/>
  <c r="H79" i="39"/>
  <c r="F79" i="39"/>
  <c r="H80" i="39"/>
  <c r="F80" i="39"/>
  <c r="H81" i="39"/>
  <c r="F81" i="39"/>
  <c r="H82" i="39"/>
  <c r="F82" i="39"/>
  <c r="H83" i="39"/>
  <c r="F83" i="39"/>
  <c r="H84" i="39"/>
  <c r="F84" i="39"/>
  <c r="H85" i="39"/>
  <c r="F85" i="39"/>
  <c r="H86" i="39"/>
  <c r="F86" i="39"/>
  <c r="H87" i="39"/>
  <c r="F87" i="39"/>
  <c r="H88" i="39"/>
  <c r="F88" i="39"/>
  <c r="H89" i="39"/>
  <c r="F89" i="39"/>
  <c r="H90" i="39"/>
  <c r="F90" i="39"/>
  <c r="H91" i="39"/>
  <c r="F91" i="39"/>
  <c r="H92" i="39"/>
  <c r="F92" i="39"/>
  <c r="H93" i="39"/>
  <c r="F93" i="39"/>
  <c r="H94" i="39"/>
  <c r="F94" i="39"/>
  <c r="H95" i="39"/>
  <c r="F95" i="39"/>
  <c r="H96" i="39"/>
  <c r="F96" i="39"/>
  <c r="H98" i="39"/>
  <c r="F98" i="39"/>
  <c r="H99" i="39"/>
  <c r="F99" i="39"/>
  <c r="H100" i="39"/>
  <c r="F100" i="39"/>
  <c r="H101" i="39"/>
  <c r="F101" i="39"/>
  <c r="H102" i="39"/>
  <c r="F102" i="39"/>
  <c r="H103" i="39"/>
  <c r="F103" i="39"/>
  <c r="H104" i="39"/>
  <c r="F104" i="39"/>
  <c r="J10" i="40"/>
  <c r="J13" i="40" s="1"/>
  <c r="M113" i="41"/>
  <c r="N14" i="41"/>
  <c r="N17" i="41"/>
  <c r="N18" i="41"/>
  <c r="N20" i="41"/>
  <c r="N21" i="41"/>
  <c r="N24" i="41"/>
  <c r="N27" i="41"/>
  <c r="N43" i="41"/>
  <c r="N44" i="41"/>
  <c r="N45" i="41"/>
  <c r="N46" i="41"/>
  <c r="N47" i="41"/>
  <c r="N48" i="41"/>
  <c r="N50" i="41"/>
  <c r="N51" i="41"/>
  <c r="N53" i="41"/>
  <c r="N54" i="41"/>
  <c r="N55" i="41"/>
  <c r="N56" i="41"/>
  <c r="N57" i="41"/>
  <c r="N58" i="41"/>
  <c r="N60" i="41"/>
  <c r="N62" i="41"/>
  <c r="N63" i="41"/>
  <c r="N64" i="41"/>
  <c r="N65" i="41"/>
  <c r="N68" i="41"/>
  <c r="N69" i="41"/>
  <c r="N70" i="41"/>
  <c r="N71" i="41"/>
  <c r="N72" i="41"/>
  <c r="N76" i="41"/>
  <c r="N77" i="41"/>
  <c r="N82" i="41"/>
  <c r="N86" i="41"/>
  <c r="N88" i="41"/>
  <c r="N97" i="41"/>
  <c r="N98" i="41"/>
  <c r="N102" i="41"/>
  <c r="N108" i="41"/>
  <c r="N109" i="41"/>
  <c r="N111" i="41"/>
  <c r="N119" i="41"/>
  <c r="N120" i="41"/>
  <c r="N124" i="41"/>
  <c r="N125" i="41"/>
  <c r="N164" i="41"/>
  <c r="N166" i="41"/>
  <c r="N167" i="41"/>
  <c r="N168" i="41"/>
  <c r="N169" i="41"/>
  <c r="N170" i="41"/>
  <c r="M165" i="41"/>
  <c r="N153" i="41"/>
  <c r="N154" i="41"/>
  <c r="N155" i="41"/>
  <c r="N156" i="41"/>
  <c r="N157" i="41"/>
  <c r="N159" i="41"/>
  <c r="N141" i="41"/>
  <c r="N142" i="41"/>
  <c r="N143" i="41"/>
  <c r="N144" i="41"/>
  <c r="N145" i="41"/>
  <c r="N146" i="41"/>
  <c r="N147" i="41"/>
  <c r="N148" i="41"/>
  <c r="N134" i="41"/>
  <c r="N135" i="41"/>
  <c r="N136" i="41"/>
  <c r="M71" i="41"/>
  <c r="B1" i="2"/>
  <c r="B1" i="58" s="1"/>
  <c r="D50" i="8"/>
  <c r="F50" i="8" s="1"/>
  <c r="D48" i="8"/>
  <c r="F48" i="8"/>
  <c r="G48" i="8" s="1"/>
  <c r="D46" i="8"/>
  <c r="F46" i="8" s="1"/>
  <c r="D40" i="8"/>
  <c r="F40" i="8"/>
  <c r="G40" i="8" s="1"/>
  <c r="D34" i="8"/>
  <c r="F34" i="8" s="1"/>
  <c r="D9" i="8"/>
  <c r="F9" i="8" s="1"/>
  <c r="G9" i="8" s="1"/>
  <c r="K53" i="8"/>
  <c r="J9" i="39"/>
  <c r="G10" i="39"/>
  <c r="J10" i="39" s="1"/>
  <c r="J11" i="39"/>
  <c r="J12" i="39"/>
  <c r="J13" i="39"/>
  <c r="G14" i="39"/>
  <c r="J14" i="39" s="1"/>
  <c r="G15" i="39"/>
  <c r="J15" i="39" s="1"/>
  <c r="J16" i="39"/>
  <c r="J17" i="39"/>
  <c r="G18" i="39"/>
  <c r="J18" i="39" s="1"/>
  <c r="G19" i="39"/>
  <c r="J19" i="39" s="1"/>
  <c r="J20" i="39"/>
  <c r="G21" i="39"/>
  <c r="K21" i="39" s="1"/>
  <c r="G22" i="39"/>
  <c r="K22" i="39" s="1"/>
  <c r="G23" i="39"/>
  <c r="K23" i="39" s="1"/>
  <c r="G24" i="39"/>
  <c r="K24" i="39" s="1"/>
  <c r="G25" i="39"/>
  <c r="K25" i="39" s="1"/>
  <c r="G26" i="39"/>
  <c r="K26" i="39" s="1"/>
  <c r="G27" i="39"/>
  <c r="K27" i="39" s="1"/>
  <c r="G28" i="39"/>
  <c r="K28" i="39" s="1"/>
  <c r="G29" i="39"/>
  <c r="J29" i="39" s="1"/>
  <c r="G30" i="39"/>
  <c r="J30" i="39" s="1"/>
  <c r="G31" i="39"/>
  <c r="J31" i="39" s="1"/>
  <c r="G32" i="39"/>
  <c r="J32" i="39" s="1"/>
  <c r="G33" i="39"/>
  <c r="J33" i="39" s="1"/>
  <c r="G34" i="39"/>
  <c r="J34" i="39" s="1"/>
  <c r="G35" i="39"/>
  <c r="J35" i="39" s="1"/>
  <c r="G36" i="39"/>
  <c r="J36" i="39" s="1"/>
  <c r="G37" i="39"/>
  <c r="J37" i="39" s="1"/>
  <c r="G38" i="39"/>
  <c r="J38" i="39" s="1"/>
  <c r="G39" i="39"/>
  <c r="J39" i="39" s="1"/>
  <c r="G40" i="39"/>
  <c r="J40" i="39" s="1"/>
  <c r="G41" i="39"/>
  <c r="J41" i="39" s="1"/>
  <c r="G42" i="39"/>
  <c r="J42" i="39" s="1"/>
  <c r="G43" i="39"/>
  <c r="J43" i="39" s="1"/>
  <c r="G44" i="39"/>
  <c r="J44" i="39" s="1"/>
  <c r="G45" i="39"/>
  <c r="J45" i="39" s="1"/>
  <c r="G46" i="39"/>
  <c r="J46" i="39" s="1"/>
  <c r="G47" i="39"/>
  <c r="J47" i="39" s="1"/>
  <c r="G48" i="39"/>
  <c r="J48" i="39" s="1"/>
  <c r="G49" i="39"/>
  <c r="J49" i="39" s="1"/>
  <c r="G50" i="39"/>
  <c r="J50" i="39" s="1"/>
  <c r="G51" i="39"/>
  <c r="J51" i="39" s="1"/>
  <c r="G63" i="39"/>
  <c r="J63" i="39" s="1"/>
  <c r="G68" i="39"/>
  <c r="J68" i="39" s="1"/>
  <c r="G69" i="39"/>
  <c r="J69" i="39" s="1"/>
  <c r="G82" i="39"/>
  <c r="K82" i="39" s="1"/>
  <c r="G83" i="39"/>
  <c r="K83" i="39" s="1"/>
  <c r="G84" i="39"/>
  <c r="K84" i="39" s="1"/>
  <c r="G85" i="39"/>
  <c r="K85" i="39" s="1"/>
  <c r="G87" i="39"/>
  <c r="K87" i="39" s="1"/>
  <c r="G98" i="39"/>
  <c r="K98" i="39" s="1"/>
  <c r="G99" i="39"/>
  <c r="K99" i="39" s="1"/>
  <c r="G100" i="39"/>
  <c r="J100" i="39" s="1"/>
  <c r="G101" i="39"/>
  <c r="J101" i="39" s="1"/>
  <c r="G104" i="39"/>
  <c r="J104" i="39" s="1"/>
  <c r="G51" i="22"/>
  <c r="G50" i="22"/>
  <c r="G48" i="22"/>
  <c r="G47" i="22"/>
  <c r="H13" i="22"/>
  <c r="B2" i="21"/>
  <c r="E2" i="21"/>
  <c r="B3" i="21"/>
  <c r="E3" i="21"/>
  <c r="B4" i="21"/>
  <c r="E4" i="21"/>
  <c r="B5" i="21"/>
  <c r="E5" i="21"/>
  <c r="B6" i="21"/>
  <c r="E6" i="21"/>
  <c r="C9" i="21"/>
  <c r="D9" i="21" s="1"/>
  <c r="E9" i="21" s="1"/>
  <c r="E20" i="21"/>
  <c r="E25" i="21"/>
  <c r="E26" i="21" s="1"/>
  <c r="E27" i="21" s="1"/>
  <c r="E28" i="21" s="1"/>
  <c r="E29" i="21" s="1"/>
  <c r="E30" i="21" s="1"/>
  <c r="E31" i="21" s="1"/>
  <c r="E32" i="21" s="1"/>
  <c r="E33" i="21" s="1"/>
  <c r="E34" i="21" s="1"/>
  <c r="E35" i="21" s="1"/>
  <c r="E36" i="21" s="1"/>
  <c r="E37" i="21" s="1"/>
  <c r="E38" i="21" s="1"/>
  <c r="E39" i="21" s="1"/>
  <c r="E40" i="21" s="1"/>
  <c r="E41" i="21" s="1"/>
  <c r="E42" i="21" s="1"/>
  <c r="E43" i="21" s="1"/>
  <c r="E44" i="21" s="1"/>
  <c r="E45" i="21" s="1"/>
  <c r="E46" i="21" s="1"/>
  <c r="E47" i="21" s="1"/>
  <c r="E48" i="21" s="1"/>
  <c r="E49" i="21" s="1"/>
  <c r="E50" i="21" s="1"/>
  <c r="E51" i="21" s="1"/>
  <c r="E52" i="21" s="1"/>
  <c r="E53" i="21" s="1"/>
  <c r="E103" i="21"/>
  <c r="E104" i="21" s="1"/>
  <c r="E105" i="21" s="1"/>
  <c r="E106" i="21" s="1"/>
  <c r="E107" i="21" s="1"/>
  <c r="E108" i="21" s="1"/>
  <c r="E109" i="21" s="1"/>
  <c r="E110" i="21" s="1"/>
  <c r="E111" i="21" s="1"/>
  <c r="E112" i="21" s="1"/>
  <c r="E113" i="21" s="1"/>
  <c r="E114" i="21" s="1"/>
  <c r="E115" i="21" s="1"/>
  <c r="E116" i="21" s="1"/>
  <c r="E117" i="21" s="1"/>
  <c r="E118" i="21" s="1"/>
  <c r="E119" i="21" s="1"/>
  <c r="E120" i="21" s="1"/>
  <c r="E121" i="21" s="1"/>
  <c r="E122" i="21" s="1"/>
  <c r="E123" i="21" s="1"/>
  <c r="E124" i="21" s="1"/>
  <c r="E125" i="21" s="1"/>
  <c r="E136" i="21"/>
  <c r="E137" i="21" s="1"/>
  <c r="E138" i="21" s="1"/>
  <c r="D163" i="21"/>
  <c r="D171" i="21"/>
  <c r="D178" i="21" s="1"/>
  <c r="D182" i="21" s="1"/>
  <c r="D186" i="21" s="1"/>
  <c r="D190" i="21" s="1"/>
  <c r="D194" i="21" s="1"/>
  <c r="E175" i="21"/>
  <c r="E176" i="21" s="1"/>
  <c r="D216" i="21"/>
  <c r="E233" i="21"/>
  <c r="E234" i="21" s="1"/>
  <c r="E235" i="21" s="1"/>
  <c r="E236" i="21" s="1"/>
  <c r="E237" i="21" s="1"/>
  <c r="E238" i="21" s="1"/>
  <c r="E239" i="21" s="1"/>
  <c r="E240" i="21" s="1"/>
  <c r="E241" i="21" s="1"/>
  <c r="E249" i="21"/>
  <c r="E250" i="21" s="1"/>
  <c r="E251" i="21" s="1"/>
  <c r="E252" i="21" s="1"/>
  <c r="E253" i="21" s="1"/>
  <c r="E254" i="21" s="1"/>
  <c r="E255" i="21" s="1"/>
  <c r="E256" i="21" s="1"/>
  <c r="E257" i="21" s="1"/>
  <c r="E258" i="21" s="1"/>
  <c r="D272" i="21"/>
  <c r="E275" i="21"/>
  <c r="E276" i="21" s="1"/>
  <c r="E277" i="21" s="1"/>
  <c r="E278" i="21" s="1"/>
  <c r="E279" i="21" s="1"/>
  <c r="E280" i="21" s="1"/>
  <c r="E281" i="21" s="1"/>
  <c r="E282" i="21" s="1"/>
  <c r="E283" i="21" s="1"/>
  <c r="E284" i="21" s="1"/>
  <c r="E285" i="21" s="1"/>
  <c r="E286" i="21" s="1"/>
  <c r="E287" i="21" s="1"/>
  <c r="E288" i="21" s="1"/>
  <c r="E289" i="21" s="1"/>
  <c r="E290" i="21" s="1"/>
  <c r="E291" i="21" s="1"/>
  <c r="E292" i="21" s="1"/>
  <c r="E293" i="21" s="1"/>
  <c r="E294" i="21" s="1"/>
  <c r="E295" i="21" s="1"/>
  <c r="E296" i="21" s="1"/>
  <c r="E297" i="21" s="1"/>
  <c r="E298" i="21" s="1"/>
  <c r="E299" i="21" s="1"/>
  <c r="E300" i="21" s="1"/>
  <c r="E301" i="21" s="1"/>
  <c r="E302" i="21" s="1"/>
  <c r="E303" i="21" s="1"/>
  <c r="E304" i="21" s="1"/>
  <c r="E305" i="21" s="1"/>
  <c r="E306" i="21" s="1"/>
  <c r="E307" i="21" s="1"/>
  <c r="E308" i="21" s="1"/>
  <c r="E309" i="21" s="1"/>
  <c r="E310" i="21" s="1"/>
  <c r="E311" i="21" s="1"/>
  <c r="E312" i="21" s="1"/>
  <c r="E313" i="21" s="1"/>
  <c r="E314" i="21" s="1"/>
  <c r="E315" i="21" s="1"/>
  <c r="E316" i="21" s="1"/>
  <c r="E317" i="21" s="1"/>
  <c r="E318" i="21" s="1"/>
  <c r="E319" i="21" s="1"/>
  <c r="E320" i="21" s="1"/>
  <c r="E321" i="21" s="1"/>
  <c r="E322" i="21" s="1"/>
  <c r="E323" i="21" s="1"/>
  <c r="E324" i="21" s="1"/>
  <c r="E329" i="21"/>
  <c r="E330" i="21" s="1"/>
  <c r="E331" i="21" s="1"/>
  <c r="E332" i="21" s="1"/>
  <c r="E333" i="21" s="1"/>
  <c r="E334" i="21" s="1"/>
  <c r="E335" i="21" s="1"/>
  <c r="E336" i="21" s="1"/>
  <c r="E337" i="21" s="1"/>
  <c r="E338" i="21" s="1"/>
  <c r="E339" i="21" s="1"/>
  <c r="E340" i="21" s="1"/>
  <c r="E341" i="21" s="1"/>
  <c r="E342" i="21" s="1"/>
  <c r="E343" i="21" s="1"/>
  <c r="E353" i="21"/>
  <c r="E354" i="21" s="1"/>
  <c r="E355" i="21" s="1"/>
  <c r="E356" i="21" s="1"/>
  <c r="E357" i="21" s="1"/>
  <c r="E358" i="21" s="1"/>
  <c r="E359" i="21" s="1"/>
  <c r="E360" i="21" s="1"/>
  <c r="E361" i="21" s="1"/>
  <c r="E362" i="21" s="1"/>
  <c r="E363" i="21" s="1"/>
  <c r="E364" i="21" s="1"/>
  <c r="E365" i="21" s="1"/>
  <c r="E366" i="21" s="1"/>
  <c r="E367" i="21" s="1"/>
  <c r="E368" i="21" s="1"/>
  <c r="E369" i="21" s="1"/>
  <c r="E370" i="21" s="1"/>
  <c r="E371" i="21" s="1"/>
  <c r="E372" i="21" s="1"/>
  <c r="E373" i="21" s="1"/>
  <c r="E374" i="21" s="1"/>
  <c r="E375" i="21" s="1"/>
  <c r="E376" i="21" s="1"/>
  <c r="E377" i="21" s="1"/>
  <c r="E378" i="21" s="1"/>
  <c r="E379" i="21" s="1"/>
  <c r="E380" i="21" s="1"/>
  <c r="E381" i="21" s="1"/>
  <c r="E382" i="21" s="1"/>
  <c r="E383" i="21" s="1"/>
  <c r="E384" i="21" s="1"/>
  <c r="E385" i="21" s="1"/>
  <c r="E386" i="21" s="1"/>
  <c r="E387" i="21" s="1"/>
  <c r="E388" i="21" s="1"/>
  <c r="E389" i="21" s="1"/>
  <c r="E390" i="21" s="1"/>
  <c r="E391" i="21" s="1"/>
  <c r="E392" i="21" s="1"/>
  <c r="E393" i="21" s="1"/>
  <c r="E394" i="21" s="1"/>
  <c r="E395" i="21" s="1"/>
  <c r="E396" i="21" s="1"/>
  <c r="E397" i="21" s="1"/>
  <c r="E398" i="21" s="1"/>
  <c r="E399" i="21" s="1"/>
  <c r="E400" i="21" s="1"/>
  <c r="E401" i="21" s="1"/>
  <c r="E402" i="21" s="1"/>
  <c r="E403" i="21" s="1"/>
  <c r="E404" i="21" s="1"/>
  <c r="E405" i="21" s="1"/>
  <c r="E406" i="21" s="1"/>
  <c r="E407" i="21" s="1"/>
  <c r="E408" i="21" s="1"/>
  <c r="E409" i="21" s="1"/>
  <c r="E410" i="21" s="1"/>
  <c r="E411" i="21" s="1"/>
  <c r="E412" i="21" s="1"/>
  <c r="E413" i="21" s="1"/>
  <c r="E414" i="21" s="1"/>
  <c r="E415" i="21" s="1"/>
  <c r="E416" i="21" s="1"/>
  <c r="E417" i="21" s="1"/>
  <c r="E418" i="21" s="1"/>
  <c r="E419" i="21" s="1"/>
  <c r="E420" i="21" s="1"/>
  <c r="E421" i="21" s="1"/>
  <c r="E422" i="21" s="1"/>
  <c r="E423" i="21" s="1"/>
  <c r="E424" i="21" s="1"/>
  <c r="E425" i="21" s="1"/>
  <c r="E426" i="21" s="1"/>
  <c r="E427" i="21" s="1"/>
  <c r="E428" i="21" s="1"/>
  <c r="E429" i="21" s="1"/>
  <c r="E430" i="21" s="1"/>
  <c r="E431" i="21" s="1"/>
  <c r="E432" i="21" s="1"/>
  <c r="E433" i="21" s="1"/>
  <c r="E434" i="21" s="1"/>
  <c r="E435" i="21" s="1"/>
  <c r="E436" i="21" s="1"/>
  <c r="E437" i="21" s="1"/>
  <c r="E438" i="21" s="1"/>
  <c r="E439" i="21" s="1"/>
  <c r="E440" i="21" s="1"/>
  <c r="E441" i="21" s="1"/>
  <c r="E442" i="21" s="1"/>
  <c r="E443" i="21" s="1"/>
  <c r="E444" i="21" s="1"/>
  <c r="E445" i="21" s="1"/>
  <c r="E446" i="21" s="1"/>
  <c r="E447" i="21" s="1"/>
  <c r="E448" i="21" s="1"/>
  <c r="E449" i="21" s="1"/>
  <c r="E450" i="21" s="1"/>
  <c r="E455" i="21"/>
  <c r="E456" i="21" s="1"/>
  <c r="E457" i="21" s="1"/>
  <c r="E458" i="21" s="1"/>
  <c r="E459" i="21" s="1"/>
  <c r="E460" i="21" s="1"/>
  <c r="E461" i="21" s="1"/>
  <c r="E462" i="21" s="1"/>
  <c r="E463" i="21" s="1"/>
  <c r="E464" i="21" s="1"/>
  <c r="E465" i="21" s="1"/>
  <c r="E466" i="21" s="1"/>
  <c r="E467" i="21" s="1"/>
  <c r="E468" i="21" s="1"/>
  <c r="E469" i="21" s="1"/>
  <c r="E470" i="21" s="1"/>
  <c r="E471" i="21" s="1"/>
  <c r="E472" i="21" s="1"/>
  <c r="E473" i="21" s="1"/>
  <c r="E474" i="21" s="1"/>
  <c r="E475" i="21" s="1"/>
  <c r="E476" i="21" s="1"/>
  <c r="E477" i="21" s="1"/>
  <c r="E478" i="21" s="1"/>
  <c r="E479" i="21" s="1"/>
  <c r="E480" i="21" s="1"/>
  <c r="E481" i="21" s="1"/>
  <c r="E482" i="21" s="1"/>
  <c r="E483" i="21" s="1"/>
  <c r="E484" i="21" s="1"/>
  <c r="E485" i="21" s="1"/>
  <c r="E486" i="21" s="1"/>
  <c r="E487" i="21" s="1"/>
  <c r="E488" i="21" s="1"/>
  <c r="E489" i="21" s="1"/>
  <c r="E490" i="21" s="1"/>
  <c r="E491" i="21" s="1"/>
  <c r="E492" i="21" s="1"/>
  <c r="E493" i="21" s="1"/>
  <c r="E494" i="21" s="1"/>
  <c r="E495" i="21" s="1"/>
  <c r="E496" i="21" s="1"/>
  <c r="E497" i="21" s="1"/>
  <c r="E498" i="21" s="1"/>
  <c r="E499" i="21" s="1"/>
  <c r="E500" i="21" s="1"/>
  <c r="E501" i="21" s="1"/>
  <c r="E502" i="21" s="1"/>
  <c r="E503" i="21" s="1"/>
  <c r="E504" i="21" s="1"/>
  <c r="E505" i="21" s="1"/>
  <c r="E506" i="21" s="1"/>
  <c r="E507" i="21" s="1"/>
  <c r="E508" i="21" s="1"/>
  <c r="E509" i="21" s="1"/>
  <c r="E510" i="21" s="1"/>
  <c r="E511" i="21" s="1"/>
  <c r="E512" i="21" s="1"/>
  <c r="E513" i="21" s="1"/>
  <c r="E514" i="21" s="1"/>
  <c r="E515" i="21" s="1"/>
  <c r="E516" i="21" s="1"/>
  <c r="E517" i="21" s="1"/>
  <c r="E518" i="21" s="1"/>
  <c r="E519" i="21" s="1"/>
  <c r="E525" i="21"/>
  <c r="E526" i="21" s="1"/>
  <c r="E527" i="21" s="1"/>
  <c r="E528" i="21" s="1"/>
  <c r="E529" i="21" s="1"/>
  <c r="E530" i="21" s="1"/>
  <c r="E531" i="21" s="1"/>
  <c r="E532" i="21" s="1"/>
  <c r="E533" i="21" s="1"/>
  <c r="E534" i="21" s="1"/>
  <c r="E535" i="21" s="1"/>
  <c r="E549" i="21"/>
  <c r="E550" i="21" s="1"/>
  <c r="E551" i="21" s="1"/>
  <c r="E552" i="21" s="1"/>
  <c r="E553" i="21" s="1"/>
  <c r="E554" i="21" s="1"/>
  <c r="E555" i="21" s="1"/>
  <c r="E556" i="21" s="1"/>
  <c r="E557" i="21" s="1"/>
  <c r="E558" i="21" s="1"/>
  <c r="E559" i="21" s="1"/>
  <c r="E560" i="21" s="1"/>
  <c r="E561" i="21" s="1"/>
  <c r="E562" i="21" s="1"/>
  <c r="E563" i="21" s="1"/>
  <c r="E564" i="21" s="1"/>
  <c r="E565" i="21" s="1"/>
  <c r="E566" i="21" s="1"/>
  <c r="E567" i="21" s="1"/>
  <c r="E568" i="21" s="1"/>
  <c r="E569" i="21" s="1"/>
  <c r="E570" i="21" s="1"/>
  <c r="E571" i="21" s="1"/>
  <c r="E572" i="21" s="1"/>
  <c r="E573" i="21" s="1"/>
  <c r="E574" i="21" s="1"/>
  <c r="E575" i="21" s="1"/>
  <c r="E576" i="21" s="1"/>
  <c r="E577" i="21" s="1"/>
  <c r="E578" i="21" s="1"/>
  <c r="E579" i="21" s="1"/>
  <c r="E580" i="21" s="1"/>
  <c r="E581" i="21" s="1"/>
  <c r="E582" i="21" s="1"/>
  <c r="E583" i="21" s="1"/>
  <c r="E584" i="21" s="1"/>
  <c r="E585" i="21" s="1"/>
  <c r="E586" i="21" s="1"/>
  <c r="E587" i="21" s="1"/>
  <c r="E588" i="21" s="1"/>
  <c r="E589" i="21" s="1"/>
  <c r="E590" i="21" s="1"/>
  <c r="E591" i="21" s="1"/>
  <c r="E592" i="21" s="1"/>
  <c r="E593" i="21" s="1"/>
  <c r="E594" i="21" s="1"/>
  <c r="E595" i="21" s="1"/>
  <c r="E596" i="21" s="1"/>
  <c r="E597" i="21" s="1"/>
  <c r="E598" i="21" s="1"/>
  <c r="E599" i="21" s="1"/>
  <c r="E600" i="21" s="1"/>
  <c r="E601" i="21" s="1"/>
  <c r="E602" i="21" s="1"/>
  <c r="E607" i="21"/>
  <c r="E608" i="21" s="1"/>
  <c r="E609" i="21" s="1"/>
  <c r="E610" i="21" s="1"/>
  <c r="E611" i="21" s="1"/>
  <c r="E612" i="21" s="1"/>
  <c r="E613" i="21" s="1"/>
  <c r="E618" i="21"/>
  <c r="E619" i="21" s="1"/>
  <c r="E620" i="21" s="1"/>
  <c r="E625" i="21"/>
  <c r="E626" i="21" s="1"/>
  <c r="E627" i="21" s="1"/>
  <c r="E628" i="21" s="1"/>
  <c r="E629" i="21" s="1"/>
  <c r="E630" i="21" s="1"/>
  <c r="E631" i="21" s="1"/>
  <c r="E632" i="21" s="1"/>
  <c r="E633" i="21" s="1"/>
  <c r="E638" i="21"/>
  <c r="E639" i="21"/>
  <c r="E640" i="21" s="1"/>
  <c r="E641" i="21" s="1"/>
  <c r="E646" i="21"/>
  <c r="E647" i="21"/>
  <c r="E648" i="21" s="1"/>
  <c r="E653" i="21"/>
  <c r="E654" i="21" s="1"/>
  <c r="E655" i="21" s="1"/>
  <c r="E656" i="21" s="1"/>
  <c r="E657" i="21" s="1"/>
  <c r="E658" i="21" s="1"/>
  <c r="E659" i="21"/>
  <c r="E660" i="21" s="1"/>
  <c r="E661" i="21" s="1"/>
  <c r="E662" i="21" s="1"/>
  <c r="E667" i="21"/>
  <c r="E668" i="21" s="1"/>
  <c r="E669" i="21" s="1"/>
  <c r="E670" i="21" s="1"/>
  <c r="E671" i="21" s="1"/>
  <c r="E672" i="21" s="1"/>
  <c r="E673" i="21" s="1"/>
  <c r="E674" i="21" s="1"/>
  <c r="E675" i="21" s="1"/>
  <c r="E676" i="21" s="1"/>
  <c r="E677" i="21" s="1"/>
  <c r="E678" i="21" s="1"/>
  <c r="E679" i="21" s="1"/>
  <c r="E680" i="21" s="1"/>
  <c r="E681" i="21" s="1"/>
  <c r="E682" i="21" s="1"/>
  <c r="E683" i="21" s="1"/>
  <c r="E684" i="21" s="1"/>
  <c r="E685" i="21" s="1"/>
  <c r="E686" i="21" s="1"/>
  <c r="E687" i="21" s="1"/>
  <c r="E688" i="21" s="1"/>
  <c r="E689" i="21" s="1"/>
  <c r="E690" i="21" s="1"/>
  <c r="E691" i="21" s="1"/>
  <c r="E692" i="21" s="1"/>
  <c r="E693" i="21" s="1"/>
  <c r="E694" i="21" s="1"/>
  <c r="E695" i="21" s="1"/>
  <c r="E696" i="21" s="1"/>
  <c r="E697" i="21" s="1"/>
  <c r="E698" i="21" s="1"/>
  <c r="E699" i="21" s="1"/>
  <c r="E700" i="21" s="1"/>
  <c r="E701" i="21" s="1"/>
  <c r="E702" i="21" s="1"/>
  <c r="E703" i="21" s="1"/>
  <c r="E704" i="21" s="1"/>
  <c r="E705" i="21" s="1"/>
  <c r="E706" i="21" s="1"/>
  <c r="E707" i="21" s="1"/>
  <c r="E708" i="21" s="1"/>
  <c r="E709" i="21" s="1"/>
  <c r="E710" i="21" s="1"/>
  <c r="E711" i="21" s="1"/>
  <c r="E712" i="21" s="1"/>
  <c r="E713" i="21" s="1"/>
  <c r="E714" i="21" s="1"/>
  <c r="E715" i="21" s="1"/>
  <c r="E716" i="21" s="1"/>
  <c r="E717" i="21" s="1"/>
  <c r="E718" i="21" s="1"/>
  <c r="E719" i="21" s="1"/>
  <c r="E720" i="21" s="1"/>
  <c r="E721" i="21" s="1"/>
  <c r="E722" i="21" s="1"/>
  <c r="E723" i="21" s="1"/>
  <c r="E724" i="21" s="1"/>
  <c r="E725" i="21" s="1"/>
  <c r="E726" i="21" s="1"/>
  <c r="E727" i="21" s="1"/>
  <c r="E728" i="21" s="1"/>
  <c r="E729" i="21" s="1"/>
  <c r="E730" i="21" s="1"/>
  <c r="E731" i="21" s="1"/>
  <c r="E732" i="21" s="1"/>
  <c r="E733" i="21" s="1"/>
  <c r="E734" i="21" s="1"/>
  <c r="E735" i="21" s="1"/>
  <c r="E736" i="21" s="1"/>
  <c r="E737" i="21" s="1"/>
  <c r="E738" i="21" s="1"/>
  <c r="E739" i="21" s="1"/>
  <c r="E740" i="21" s="1"/>
  <c r="E741" i="21" s="1"/>
  <c r="E742" i="21" s="1"/>
  <c r="E743" i="21" s="1"/>
  <c r="E744" i="21" s="1"/>
  <c r="E745" i="21" s="1"/>
  <c r="E746" i="21" s="1"/>
  <c r="E747" i="21" s="1"/>
  <c r="E748" i="21" s="1"/>
  <c r="E749" i="21" s="1"/>
  <c r="E750" i="21" s="1"/>
  <c r="E751" i="21" s="1"/>
  <c r="E752" i="21" s="1"/>
  <c r="E753" i="21" s="1"/>
  <c r="E754" i="21" s="1"/>
  <c r="E755" i="21" s="1"/>
  <c r="E756" i="21" s="1"/>
  <c r="E763" i="21"/>
  <c r="E764" i="21" s="1"/>
  <c r="E765" i="21" s="1"/>
  <c r="E766" i="21" s="1"/>
  <c r="E767" i="21" s="1"/>
  <c r="E768" i="21" s="1"/>
  <c r="E769" i="21" s="1"/>
  <c r="E770" i="21" s="1"/>
  <c r="E771" i="21" s="1"/>
  <c r="E772" i="21" s="1"/>
  <c r="E773" i="21" s="1"/>
  <c r="E774" i="21" s="1"/>
  <c r="E775" i="21" s="1"/>
  <c r="E776" i="21" s="1"/>
  <c r="E777" i="21" s="1"/>
  <c r="E778" i="21" s="1"/>
  <c r="E779" i="21" s="1"/>
  <c r="E780" i="21" s="1"/>
  <c r="E781" i="21" s="1"/>
  <c r="E782" i="21" s="1"/>
  <c r="E783" i="21" s="1"/>
  <c r="E784" i="21" s="1"/>
  <c r="E785" i="21" s="1"/>
  <c r="E790" i="21"/>
  <c r="E791" i="21" s="1"/>
  <c r="E792" i="21" s="1"/>
  <c r="E793" i="21" s="1"/>
  <c r="E794" i="21" s="1"/>
  <c r="E795" i="21" s="1"/>
  <c r="E796" i="21" s="1"/>
  <c r="E797" i="21" s="1"/>
  <c r="E798" i="21" s="1"/>
  <c r="E799" i="21" s="1"/>
  <c r="E800" i="21" s="1"/>
  <c r="E801" i="21" s="1"/>
  <c r="E802" i="21" s="1"/>
  <c r="E803" i="21" s="1"/>
  <c r="E804" i="21" s="1"/>
  <c r="E805" i="21" s="1"/>
  <c r="E806" i="21" s="1"/>
  <c r="E807" i="21" s="1"/>
  <c r="E808" i="21" s="1"/>
  <c r="E809" i="21" s="1"/>
  <c r="E810" i="21" s="1"/>
  <c r="E811" i="21" s="1"/>
  <c r="E812" i="21" s="1"/>
  <c r="E813" i="21" s="1"/>
  <c r="E814" i="21" s="1"/>
  <c r="E815" i="21" s="1"/>
  <c r="E816" i="21" s="1"/>
  <c r="E817" i="21" s="1"/>
  <c r="E818" i="21" s="1"/>
  <c r="E819" i="21" s="1"/>
  <c r="E820" i="21" s="1"/>
  <c r="E828" i="21"/>
  <c r="E829" i="21" s="1"/>
  <c r="E830" i="21" s="1"/>
  <c r="E831" i="21" s="1"/>
  <c r="E832" i="21" s="1"/>
  <c r="E833" i="21" s="1"/>
  <c r="E834" i="21" s="1"/>
  <c r="E835" i="21" s="1"/>
  <c r="E836" i="21" s="1"/>
  <c r="E837" i="21" s="1"/>
  <c r="E838" i="21" s="1"/>
  <c r="E839" i="21" s="1"/>
  <c r="E844" i="21"/>
  <c r="E845" i="21" s="1"/>
  <c r="E846" i="21" s="1"/>
  <c r="E873" i="21"/>
  <c r="E878" i="21"/>
  <c r="E883" i="21"/>
  <c r="E884" i="21" s="1"/>
  <c r="E885" i="21" s="1"/>
  <c r="E886" i="21" s="1"/>
  <c r="E887" i="21" s="1"/>
  <c r="E888" i="21" s="1"/>
  <c r="E889" i="21" s="1"/>
  <c r="E890" i="21" s="1"/>
  <c r="D913" i="21"/>
  <c r="D916" i="21" s="1"/>
  <c r="D919" i="21" s="1"/>
  <c r="D922" i="21" s="1"/>
  <c r="D925" i="21" s="1"/>
  <c r="D928" i="21" s="1"/>
  <c r="D931" i="21" s="1"/>
  <c r="D934" i="21" s="1"/>
  <c r="D937" i="21" s="1"/>
  <c r="D940" i="21" s="1"/>
  <c r="D943" i="21" s="1"/>
  <c r="D946" i="21" s="1"/>
  <c r="D949" i="21" s="1"/>
  <c r="E952" i="21"/>
  <c r="E953" i="21" s="1"/>
  <c r="E954" i="21"/>
  <c r="E955" i="21" s="1"/>
  <c r="D960" i="21"/>
  <c r="D963" i="21" s="1"/>
  <c r="D966" i="21" s="1"/>
  <c r="D969" i="21" s="1"/>
  <c r="E972" i="21"/>
  <c r="E973" i="21" s="1"/>
  <c r="E974" i="21"/>
  <c r="E975" i="21" s="1"/>
  <c r="E976" i="21" s="1"/>
  <c r="D981" i="21"/>
  <c r="D984" i="21" s="1"/>
  <c r="D987" i="21" s="1"/>
  <c r="D990" i="21" s="1"/>
  <c r="D993" i="21" s="1"/>
  <c r="C9" i="26"/>
  <c r="F9" i="26"/>
  <c r="I9" i="26"/>
  <c r="L9" i="26"/>
  <c r="D50" i="26"/>
  <c r="G50" i="26"/>
  <c r="J50" i="26"/>
  <c r="P50" i="26"/>
  <c r="N10" i="8"/>
  <c r="N11" i="8"/>
  <c r="N12" i="8"/>
  <c r="N13" i="8"/>
  <c r="N14" i="8"/>
  <c r="N15" i="8"/>
  <c r="N16" i="8"/>
  <c r="N17" i="8"/>
  <c r="D19" i="8"/>
  <c r="F19" i="8" s="1"/>
  <c r="D28" i="8"/>
  <c r="F28" i="8" s="1"/>
  <c r="G28" i="8" s="1"/>
  <c r="D37" i="8"/>
  <c r="F37" i="8" s="1"/>
  <c r="D39" i="8"/>
  <c r="F39" i="8"/>
  <c r="G39" i="8" s="1"/>
  <c r="D45" i="8"/>
  <c r="F45" i="8" s="1"/>
  <c r="D49" i="8"/>
  <c r="F49" i="8"/>
  <c r="G49" i="8" s="1"/>
  <c r="D51" i="8"/>
  <c r="F51" i="8" s="1"/>
  <c r="B54" i="8"/>
  <c r="C54" i="8"/>
  <c r="E54" i="8"/>
  <c r="C1" i="23"/>
  <c r="B3" i="22"/>
  <c r="B3" i="23" s="1"/>
  <c r="A7" i="23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D50" i="23"/>
  <c r="D79" i="22" s="1"/>
  <c r="E50" i="23"/>
  <c r="E79" i="22" s="1"/>
  <c r="F50" i="23"/>
  <c r="G50" i="23"/>
  <c r="H50" i="23"/>
  <c r="H79" i="22" s="1"/>
  <c r="I50" i="23"/>
  <c r="I79" i="22" s="1"/>
  <c r="H7" i="22"/>
  <c r="G13" i="22"/>
  <c r="G14" i="22"/>
  <c r="G15" i="22"/>
  <c r="G16" i="22"/>
  <c r="G17" i="22"/>
  <c r="H19" i="22"/>
  <c r="H78" i="22" s="1"/>
  <c r="D78" i="22"/>
  <c r="F78" i="22"/>
  <c r="I78" i="22"/>
  <c r="F79" i="22"/>
  <c r="G79" i="22"/>
  <c r="AB622" i="29"/>
  <c r="AD957" i="29" s="1"/>
  <c r="AD962" i="29" s="1"/>
  <c r="AD964" i="29" s="1"/>
  <c r="W962" i="29" s="1"/>
  <c r="AB623" i="29"/>
  <c r="AB632" i="29"/>
  <c r="AB633" i="29"/>
  <c r="AB634" i="29"/>
  <c r="AB635" i="29"/>
  <c r="AB288" i="29"/>
  <c r="AD619" i="29" s="1"/>
  <c r="AD963" i="29" s="1"/>
  <c r="F19" i="27"/>
  <c r="F20" i="27"/>
  <c r="F21" i="27"/>
  <c r="AB987" i="29"/>
  <c r="E32" i="27" s="1"/>
  <c r="E36" i="28"/>
  <c r="AB1011" i="29"/>
  <c r="E40" i="27" s="1"/>
  <c r="AB1048" i="29"/>
  <c r="F40" i="27" s="1"/>
  <c r="F76" i="27" s="1"/>
  <c r="AB1012" i="29"/>
  <c r="AB1013" i="29"/>
  <c r="AB1049" i="29"/>
  <c r="F41" i="27" s="1"/>
  <c r="AB1014" i="29"/>
  <c r="E42" i="27" s="1"/>
  <c r="AB1050" i="29"/>
  <c r="F42" i="27" s="1"/>
  <c r="AB1016" i="29"/>
  <c r="AB1051" i="29"/>
  <c r="AB1052" i="29"/>
  <c r="AB1053" i="29"/>
  <c r="F44" i="27" s="1"/>
  <c r="AB1018" i="29"/>
  <c r="E45" i="27" s="1"/>
  <c r="AB1054" i="29"/>
  <c r="F45" i="27" s="1"/>
  <c r="AB1055" i="29"/>
  <c r="F46" i="27" s="1"/>
  <c r="AB1020" i="29"/>
  <c r="E47" i="27" s="1"/>
  <c r="AB1056" i="29"/>
  <c r="F47" i="27" s="1"/>
  <c r="AB1057" i="29"/>
  <c r="F48" i="27" s="1"/>
  <c r="AB1022" i="29"/>
  <c r="E49" i="27" s="1"/>
  <c r="AB1058" i="29"/>
  <c r="F49" i="27" s="1"/>
  <c r="AB1059" i="29"/>
  <c r="F50" i="27" s="1"/>
  <c r="AB1060" i="29"/>
  <c r="F51" i="27" s="1"/>
  <c r="AB1061" i="29"/>
  <c r="F53" i="27" s="1"/>
  <c r="AB1026" i="29"/>
  <c r="E54" i="27" s="1"/>
  <c r="AB1062" i="29"/>
  <c r="F54" i="27" s="1"/>
  <c r="AB1065" i="29"/>
  <c r="F55" i="27" s="1"/>
  <c r="AB1063" i="29"/>
  <c r="F56" i="27" s="1"/>
  <c r="AB1028" i="29"/>
  <c r="E57" i="27" s="1"/>
  <c r="AB1064" i="29"/>
  <c r="F57" i="27" s="1"/>
  <c r="AB1030" i="29"/>
  <c r="E58" i="27" s="1"/>
  <c r="AB1066" i="29"/>
  <c r="F58" i="27" s="1"/>
  <c r="AB1031" i="29"/>
  <c r="E59" i="27" s="1"/>
  <c r="AB1067" i="29"/>
  <c r="F59" i="27" s="1"/>
  <c r="AB1068" i="29"/>
  <c r="F60" i="27" s="1"/>
  <c r="AB1075" i="29"/>
  <c r="F62" i="27" s="1"/>
  <c r="AB1037" i="29"/>
  <c r="E63" i="27" s="1"/>
  <c r="AB1074" i="29"/>
  <c r="F63" i="27" s="1"/>
  <c r="AB1035" i="29"/>
  <c r="E64" i="27" s="1"/>
  <c r="AB1072" i="29"/>
  <c r="F64" i="27" s="1"/>
  <c r="AB1071" i="29"/>
  <c r="F65" i="27" s="1"/>
  <c r="AB1073" i="29"/>
  <c r="F66" i="27" s="1"/>
  <c r="AB1033" i="29"/>
  <c r="E67" i="27" s="1"/>
  <c r="AB1070" i="29"/>
  <c r="F67" i="27" s="1"/>
  <c r="AB1040" i="29"/>
  <c r="E69" i="27" s="1"/>
  <c r="AB1077" i="29"/>
  <c r="F69" i="27" s="1"/>
  <c r="AB1041" i="29"/>
  <c r="E70" i="27" s="1"/>
  <c r="AB1078" i="29"/>
  <c r="F70" i="27" s="1"/>
  <c r="H1079" i="29"/>
  <c r="C71" i="27" s="1"/>
  <c r="C70" i="28" s="1"/>
  <c r="AB1079" i="29"/>
  <c r="F71" i="27" s="1"/>
  <c r="AB1043" i="29"/>
  <c r="E72" i="27" s="1"/>
  <c r="AB1080" i="29"/>
  <c r="F72" i="27" s="1"/>
  <c r="AB1044" i="29"/>
  <c r="E73" i="27" s="1"/>
  <c r="AB1081" i="29"/>
  <c r="F73" i="27" s="1"/>
  <c r="E75" i="28"/>
  <c r="E77" i="28" s="1"/>
  <c r="G83" i="27"/>
  <c r="F82" i="28" s="1"/>
  <c r="G84" i="27"/>
  <c r="F83" i="28" s="1"/>
  <c r="G83" i="28" s="1"/>
  <c r="G85" i="27"/>
  <c r="F84" i="28" s="1"/>
  <c r="G84" i="28" s="1"/>
  <c r="E86" i="28"/>
  <c r="G91" i="27"/>
  <c r="F91" i="28" s="1"/>
  <c r="G92" i="27"/>
  <c r="F92" i="28"/>
  <c r="G92" i="28" s="1"/>
  <c r="E93" i="27"/>
  <c r="E96" i="27" s="1"/>
  <c r="F93" i="27"/>
  <c r="F96" i="27" s="1"/>
  <c r="G94" i="27"/>
  <c r="F94" i="28" s="1"/>
  <c r="G94" i="28" s="1"/>
  <c r="E96" i="28"/>
  <c r="G101" i="27"/>
  <c r="F102" i="28"/>
  <c r="G102" i="28" s="1"/>
  <c r="E104" i="28"/>
  <c r="R475" i="29"/>
  <c r="T518" i="29"/>
  <c r="T519" i="29"/>
  <c r="T520" i="29"/>
  <c r="T856" i="29"/>
  <c r="T857" i="29"/>
  <c r="AB1010" i="29"/>
  <c r="AB1039" i="29"/>
  <c r="AB1046" i="29"/>
  <c r="AB1047" i="29"/>
  <c r="E87" i="27"/>
  <c r="F87" i="27"/>
  <c r="F2" i="29"/>
  <c r="F3" i="29"/>
  <c r="F4" i="29"/>
  <c r="A13" i="29"/>
  <c r="E13" i="29"/>
  <c r="G13" i="29"/>
  <c r="H13" i="29"/>
  <c r="I13" i="29"/>
  <c r="J13" i="29"/>
  <c r="K13" i="29"/>
  <c r="L13" i="29"/>
  <c r="M13" i="29"/>
  <c r="N13" i="29"/>
  <c r="O13" i="29"/>
  <c r="P13" i="29"/>
  <c r="Q13" i="29"/>
  <c r="R13" i="29"/>
  <c r="R285" i="29" s="1"/>
  <c r="AE285" i="29" s="1"/>
  <c r="T13" i="29"/>
  <c r="T285" i="29" s="1"/>
  <c r="V13" i="29"/>
  <c r="V285" i="29" s="1"/>
  <c r="X13" i="29"/>
  <c r="Y13" i="29"/>
  <c r="Z13" i="29"/>
  <c r="Z285" i="29" s="1"/>
  <c r="AB13" i="29"/>
  <c r="AD285" i="29" s="1"/>
  <c r="AD13" i="29"/>
  <c r="A14" i="29"/>
  <c r="E14" i="29"/>
  <c r="G14" i="29"/>
  <c r="H14" i="29"/>
  <c r="I14" i="29"/>
  <c r="J14" i="29"/>
  <c r="K14" i="29"/>
  <c r="L14" i="29"/>
  <c r="M14" i="29"/>
  <c r="N14" i="29"/>
  <c r="O14" i="29"/>
  <c r="P14" i="29"/>
  <c r="Q14" i="29"/>
  <c r="R14" i="29"/>
  <c r="T14" i="29"/>
  <c r="V14" i="29"/>
  <c r="X14" i="29"/>
  <c r="Y14" i="29"/>
  <c r="Z14" i="29"/>
  <c r="AB14" i="29"/>
  <c r="AD14" i="29"/>
  <c r="A15" i="29"/>
  <c r="E15" i="29"/>
  <c r="G15" i="29"/>
  <c r="H15" i="29"/>
  <c r="I15" i="29"/>
  <c r="J15" i="29"/>
  <c r="K15" i="29"/>
  <c r="L15" i="29"/>
  <c r="M15" i="29"/>
  <c r="N15" i="29"/>
  <c r="O15" i="29"/>
  <c r="P15" i="29"/>
  <c r="Q15" i="29"/>
  <c r="R15" i="29"/>
  <c r="T15" i="29"/>
  <c r="V15" i="29"/>
  <c r="X15" i="29"/>
  <c r="Y15" i="29"/>
  <c r="Z15" i="29"/>
  <c r="AB15" i="29"/>
  <c r="AD15" i="29"/>
  <c r="A16" i="29"/>
  <c r="E16" i="29"/>
  <c r="G16" i="29"/>
  <c r="H16" i="29"/>
  <c r="I16" i="29"/>
  <c r="J16" i="29"/>
  <c r="K16" i="29"/>
  <c r="L16" i="29"/>
  <c r="M16" i="29"/>
  <c r="N16" i="29"/>
  <c r="O16" i="29"/>
  <c r="P16" i="29"/>
  <c r="Q16" i="29"/>
  <c r="R16" i="29"/>
  <c r="T16" i="29"/>
  <c r="V16" i="29"/>
  <c r="X16" i="29"/>
  <c r="Y16" i="29"/>
  <c r="Z16" i="29"/>
  <c r="AB16" i="29"/>
  <c r="AD16" i="29"/>
  <c r="A17" i="29"/>
  <c r="E17" i="29"/>
  <c r="G17" i="29"/>
  <c r="H17" i="29"/>
  <c r="I17" i="29"/>
  <c r="J17" i="29"/>
  <c r="K17" i="29"/>
  <c r="L17" i="29"/>
  <c r="M17" i="29"/>
  <c r="N17" i="29"/>
  <c r="O17" i="29"/>
  <c r="P17" i="29"/>
  <c r="Q17" i="29"/>
  <c r="R17" i="29"/>
  <c r="T17" i="29"/>
  <c r="V17" i="29"/>
  <c r="X17" i="29"/>
  <c r="Y17" i="29"/>
  <c r="Z17" i="29"/>
  <c r="AB17" i="29"/>
  <c r="AD17" i="29"/>
  <c r="A18" i="29"/>
  <c r="E18" i="29"/>
  <c r="G18" i="29"/>
  <c r="H18" i="29"/>
  <c r="I18" i="29"/>
  <c r="J18" i="29"/>
  <c r="K18" i="29"/>
  <c r="L18" i="29"/>
  <c r="M18" i="29"/>
  <c r="N18" i="29"/>
  <c r="O18" i="29"/>
  <c r="P18" i="29"/>
  <c r="Q18" i="29"/>
  <c r="R18" i="29"/>
  <c r="T18" i="29"/>
  <c r="V18" i="29"/>
  <c r="X18" i="29"/>
  <c r="Y18" i="29"/>
  <c r="Z18" i="29"/>
  <c r="AB18" i="29"/>
  <c r="AD18" i="29"/>
  <c r="A19" i="29"/>
  <c r="E19" i="29"/>
  <c r="G19" i="29"/>
  <c r="H19" i="29"/>
  <c r="I19" i="29"/>
  <c r="J19" i="29"/>
  <c r="K19" i="29"/>
  <c r="L19" i="29"/>
  <c r="M19" i="29"/>
  <c r="N19" i="29"/>
  <c r="O19" i="29"/>
  <c r="P19" i="29"/>
  <c r="Q19" i="29"/>
  <c r="R19" i="29"/>
  <c r="T19" i="29"/>
  <c r="V19" i="29"/>
  <c r="X19" i="29"/>
  <c r="Y19" i="29"/>
  <c r="Z19" i="29"/>
  <c r="AB19" i="29"/>
  <c r="AD19" i="29"/>
  <c r="A20" i="29"/>
  <c r="E20" i="29"/>
  <c r="G20" i="29"/>
  <c r="H20" i="29"/>
  <c r="I20" i="29"/>
  <c r="J20" i="29"/>
  <c r="K20" i="29"/>
  <c r="L20" i="29"/>
  <c r="M20" i="29"/>
  <c r="N20" i="29"/>
  <c r="O20" i="29"/>
  <c r="P20" i="29"/>
  <c r="Q20" i="29"/>
  <c r="R20" i="29"/>
  <c r="T20" i="29"/>
  <c r="V20" i="29"/>
  <c r="X20" i="29"/>
  <c r="Y20" i="29"/>
  <c r="Z20" i="29"/>
  <c r="AB20" i="29"/>
  <c r="AD20" i="29"/>
  <c r="A21" i="29"/>
  <c r="E21" i="29"/>
  <c r="G21" i="29"/>
  <c r="H21" i="29"/>
  <c r="I21" i="29"/>
  <c r="J21" i="29"/>
  <c r="K21" i="29"/>
  <c r="L21" i="29"/>
  <c r="M21" i="29"/>
  <c r="N21" i="29"/>
  <c r="O21" i="29"/>
  <c r="P21" i="29"/>
  <c r="Q21" i="29"/>
  <c r="R21" i="29"/>
  <c r="T21" i="29"/>
  <c r="V21" i="29"/>
  <c r="X21" i="29"/>
  <c r="Y21" i="29"/>
  <c r="Z21" i="29"/>
  <c r="AB21" i="29"/>
  <c r="AD21" i="29"/>
  <c r="A22" i="29"/>
  <c r="E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T22" i="29"/>
  <c r="V22" i="29"/>
  <c r="X22" i="29"/>
  <c r="Y22" i="29"/>
  <c r="Z22" i="29"/>
  <c r="AB22" i="29"/>
  <c r="AD22" i="29"/>
  <c r="A23" i="29"/>
  <c r="E23" i="29"/>
  <c r="G23" i="29"/>
  <c r="H23" i="29"/>
  <c r="I23" i="29"/>
  <c r="J23" i="29"/>
  <c r="K23" i="29"/>
  <c r="L23" i="29"/>
  <c r="M23" i="29"/>
  <c r="N23" i="29"/>
  <c r="O23" i="29"/>
  <c r="P23" i="29"/>
  <c r="Q23" i="29"/>
  <c r="R23" i="29"/>
  <c r="T23" i="29"/>
  <c r="V23" i="29"/>
  <c r="X23" i="29"/>
  <c r="Y23" i="29"/>
  <c r="Z23" i="29"/>
  <c r="AB23" i="29"/>
  <c r="AD23" i="29"/>
  <c r="A24" i="29"/>
  <c r="E24" i="29"/>
  <c r="G24" i="29"/>
  <c r="H24" i="29"/>
  <c r="I24" i="29"/>
  <c r="J24" i="29"/>
  <c r="K24" i="29"/>
  <c r="L24" i="29"/>
  <c r="M24" i="29"/>
  <c r="N24" i="29"/>
  <c r="O24" i="29"/>
  <c r="P24" i="29"/>
  <c r="Q24" i="29"/>
  <c r="R24" i="29"/>
  <c r="T24" i="29"/>
  <c r="V24" i="29"/>
  <c r="X24" i="29"/>
  <c r="Y24" i="29"/>
  <c r="Z24" i="29"/>
  <c r="AB24" i="29"/>
  <c r="AD24" i="29"/>
  <c r="A25" i="29"/>
  <c r="E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T25" i="29"/>
  <c r="V25" i="29"/>
  <c r="X25" i="29"/>
  <c r="Y25" i="29"/>
  <c r="Z25" i="29"/>
  <c r="AB25" i="29"/>
  <c r="AD25" i="29"/>
  <c r="A26" i="29"/>
  <c r="E26" i="29"/>
  <c r="G26" i="29"/>
  <c r="H26" i="29"/>
  <c r="I26" i="29"/>
  <c r="J26" i="29"/>
  <c r="K26" i="29"/>
  <c r="L26" i="29"/>
  <c r="M26" i="29"/>
  <c r="N26" i="29"/>
  <c r="O26" i="29"/>
  <c r="P26" i="29"/>
  <c r="Q26" i="29"/>
  <c r="R26" i="29"/>
  <c r="T26" i="29"/>
  <c r="V26" i="29"/>
  <c r="X26" i="29"/>
  <c r="Y26" i="29"/>
  <c r="Z26" i="29"/>
  <c r="AB26" i="29"/>
  <c r="AD26" i="29"/>
  <c r="A27" i="29"/>
  <c r="E27" i="29"/>
  <c r="G27" i="29"/>
  <c r="H27" i="29"/>
  <c r="I27" i="29"/>
  <c r="J27" i="29"/>
  <c r="K27" i="29"/>
  <c r="L27" i="29"/>
  <c r="M27" i="29"/>
  <c r="N27" i="29"/>
  <c r="O27" i="29"/>
  <c r="P27" i="29"/>
  <c r="Q27" i="29"/>
  <c r="R27" i="29"/>
  <c r="T27" i="29"/>
  <c r="V27" i="29"/>
  <c r="X27" i="29"/>
  <c r="Y27" i="29"/>
  <c r="Z27" i="29"/>
  <c r="AB27" i="29"/>
  <c r="AD27" i="29"/>
  <c r="A28" i="29"/>
  <c r="E28" i="29"/>
  <c r="G28" i="29"/>
  <c r="H28" i="29"/>
  <c r="I28" i="29"/>
  <c r="J28" i="29"/>
  <c r="K28" i="29"/>
  <c r="L28" i="29"/>
  <c r="M28" i="29"/>
  <c r="N28" i="29"/>
  <c r="O28" i="29"/>
  <c r="P28" i="29"/>
  <c r="Q28" i="29"/>
  <c r="R28" i="29"/>
  <c r="T28" i="29"/>
  <c r="V28" i="29"/>
  <c r="X28" i="29"/>
  <c r="Y28" i="29"/>
  <c r="Z28" i="29"/>
  <c r="AB28" i="29"/>
  <c r="AD28" i="29"/>
  <c r="A29" i="29"/>
  <c r="E29" i="29"/>
  <c r="G29" i="29"/>
  <c r="H29" i="29"/>
  <c r="I29" i="29"/>
  <c r="J29" i="29"/>
  <c r="K29" i="29"/>
  <c r="L29" i="29"/>
  <c r="M29" i="29"/>
  <c r="N29" i="29"/>
  <c r="O29" i="29"/>
  <c r="P29" i="29"/>
  <c r="Q29" i="29"/>
  <c r="R29" i="29"/>
  <c r="T29" i="29"/>
  <c r="V29" i="29"/>
  <c r="X29" i="29"/>
  <c r="Y29" i="29"/>
  <c r="Z29" i="29"/>
  <c r="AB29" i="29"/>
  <c r="AD29" i="29"/>
  <c r="A30" i="29"/>
  <c r="E30" i="29"/>
  <c r="G30" i="29"/>
  <c r="H30" i="29"/>
  <c r="I30" i="29"/>
  <c r="J30" i="29"/>
  <c r="K30" i="29"/>
  <c r="L30" i="29"/>
  <c r="M30" i="29"/>
  <c r="N30" i="29"/>
  <c r="O30" i="29"/>
  <c r="P30" i="29"/>
  <c r="Q30" i="29"/>
  <c r="R30" i="29"/>
  <c r="T30" i="29"/>
  <c r="V30" i="29"/>
  <c r="X30" i="29"/>
  <c r="Y30" i="29"/>
  <c r="Z30" i="29"/>
  <c r="AB30" i="29"/>
  <c r="AD30" i="29"/>
  <c r="A31" i="29"/>
  <c r="E31" i="29"/>
  <c r="G31" i="29"/>
  <c r="H31" i="29"/>
  <c r="I31" i="29"/>
  <c r="J31" i="29"/>
  <c r="K31" i="29"/>
  <c r="L31" i="29"/>
  <c r="M31" i="29"/>
  <c r="N31" i="29"/>
  <c r="O31" i="29"/>
  <c r="P31" i="29"/>
  <c r="Q31" i="29"/>
  <c r="R31" i="29"/>
  <c r="T31" i="29"/>
  <c r="V31" i="29"/>
  <c r="X31" i="29"/>
  <c r="Y31" i="29"/>
  <c r="Z31" i="29"/>
  <c r="AB31" i="29"/>
  <c r="AD31" i="29"/>
  <c r="A32" i="29"/>
  <c r="E32" i="29"/>
  <c r="G32" i="29"/>
  <c r="H32" i="29"/>
  <c r="I32" i="29"/>
  <c r="J32" i="29"/>
  <c r="K32" i="29"/>
  <c r="L32" i="29"/>
  <c r="M32" i="29"/>
  <c r="N32" i="29"/>
  <c r="O32" i="29"/>
  <c r="P32" i="29"/>
  <c r="Q32" i="29"/>
  <c r="R32" i="29"/>
  <c r="T32" i="29"/>
  <c r="V32" i="29"/>
  <c r="X32" i="29"/>
  <c r="Y32" i="29"/>
  <c r="Z32" i="29"/>
  <c r="AB32" i="29"/>
  <c r="AD32" i="29"/>
  <c r="A33" i="29"/>
  <c r="E33" i="29"/>
  <c r="G33" i="29"/>
  <c r="H33" i="29"/>
  <c r="I33" i="29"/>
  <c r="J33" i="29"/>
  <c r="K33" i="29"/>
  <c r="L33" i="29"/>
  <c r="M33" i="29"/>
  <c r="N33" i="29"/>
  <c r="O33" i="29"/>
  <c r="P33" i="29"/>
  <c r="Q33" i="29"/>
  <c r="R33" i="29"/>
  <c r="T33" i="29"/>
  <c r="V33" i="29"/>
  <c r="X33" i="29"/>
  <c r="Y33" i="29"/>
  <c r="Z33" i="29"/>
  <c r="AB33" i="29"/>
  <c r="AD33" i="29"/>
  <c r="A34" i="29"/>
  <c r="E34" i="29"/>
  <c r="G34" i="29"/>
  <c r="H34" i="29"/>
  <c r="I34" i="29"/>
  <c r="J34" i="29"/>
  <c r="K34" i="29"/>
  <c r="L34" i="29"/>
  <c r="M34" i="29"/>
  <c r="N34" i="29"/>
  <c r="O34" i="29"/>
  <c r="P34" i="29"/>
  <c r="Q34" i="29"/>
  <c r="R34" i="29"/>
  <c r="T34" i="29"/>
  <c r="V34" i="29"/>
  <c r="X34" i="29"/>
  <c r="Y34" i="29"/>
  <c r="Z34" i="29"/>
  <c r="AB34" i="29"/>
  <c r="AD34" i="29"/>
  <c r="A35" i="29"/>
  <c r="E35" i="29"/>
  <c r="G35" i="29"/>
  <c r="H35" i="29"/>
  <c r="I35" i="29"/>
  <c r="J35" i="29"/>
  <c r="K35" i="29"/>
  <c r="L35" i="29"/>
  <c r="M35" i="29"/>
  <c r="N35" i="29"/>
  <c r="O35" i="29"/>
  <c r="P35" i="29"/>
  <c r="Q35" i="29"/>
  <c r="R35" i="29"/>
  <c r="T35" i="29"/>
  <c r="V35" i="29"/>
  <c r="X35" i="29"/>
  <c r="Y35" i="29"/>
  <c r="Z35" i="29"/>
  <c r="AB35" i="29"/>
  <c r="AD35" i="29"/>
  <c r="A36" i="29"/>
  <c r="E36" i="29"/>
  <c r="G36" i="29"/>
  <c r="H36" i="29"/>
  <c r="I36" i="29"/>
  <c r="J36" i="29"/>
  <c r="K36" i="29"/>
  <c r="L36" i="29"/>
  <c r="M36" i="29"/>
  <c r="N36" i="29"/>
  <c r="O36" i="29"/>
  <c r="P36" i="29"/>
  <c r="Q36" i="29"/>
  <c r="R36" i="29"/>
  <c r="T36" i="29"/>
  <c r="V36" i="29"/>
  <c r="X36" i="29"/>
  <c r="Y36" i="29"/>
  <c r="Z36" i="29"/>
  <c r="AB36" i="29"/>
  <c r="AD36" i="29"/>
  <c r="A37" i="29"/>
  <c r="E37" i="29"/>
  <c r="G37" i="29"/>
  <c r="H37" i="29"/>
  <c r="I37" i="29"/>
  <c r="J37" i="29"/>
  <c r="K37" i="29"/>
  <c r="L37" i="29"/>
  <c r="M37" i="29"/>
  <c r="N37" i="29"/>
  <c r="O37" i="29"/>
  <c r="P37" i="29"/>
  <c r="Q37" i="29"/>
  <c r="R37" i="29"/>
  <c r="T37" i="29"/>
  <c r="V37" i="29"/>
  <c r="X37" i="29"/>
  <c r="Y37" i="29"/>
  <c r="Z37" i="29"/>
  <c r="AB37" i="29"/>
  <c r="AD37" i="29"/>
  <c r="A38" i="29"/>
  <c r="E38" i="29"/>
  <c r="G38" i="29"/>
  <c r="H38" i="29"/>
  <c r="I38" i="29"/>
  <c r="J38" i="29"/>
  <c r="K38" i="29"/>
  <c r="L38" i="29"/>
  <c r="M38" i="29"/>
  <c r="N38" i="29"/>
  <c r="O38" i="29"/>
  <c r="P38" i="29"/>
  <c r="Q38" i="29"/>
  <c r="R38" i="29"/>
  <c r="T38" i="29"/>
  <c r="V38" i="29"/>
  <c r="X38" i="29"/>
  <c r="Y38" i="29"/>
  <c r="Z38" i="29"/>
  <c r="AB38" i="29"/>
  <c r="AD38" i="29"/>
  <c r="A39" i="29"/>
  <c r="E39" i="29"/>
  <c r="G39" i="29"/>
  <c r="H39" i="29"/>
  <c r="I39" i="29"/>
  <c r="J39" i="29"/>
  <c r="K39" i="29"/>
  <c r="L39" i="29"/>
  <c r="M39" i="29"/>
  <c r="N39" i="29"/>
  <c r="O39" i="29"/>
  <c r="P39" i="29"/>
  <c r="Q39" i="29"/>
  <c r="R39" i="29"/>
  <c r="T39" i="29"/>
  <c r="V39" i="29"/>
  <c r="X39" i="29"/>
  <c r="Y39" i="29"/>
  <c r="Z39" i="29"/>
  <c r="AB39" i="29"/>
  <c r="AD39" i="29"/>
  <c r="A40" i="29"/>
  <c r="E40" i="29"/>
  <c r="G40" i="29"/>
  <c r="H40" i="29"/>
  <c r="I40" i="29"/>
  <c r="J40" i="29"/>
  <c r="K40" i="29"/>
  <c r="L40" i="29"/>
  <c r="M40" i="29"/>
  <c r="N40" i="29"/>
  <c r="O40" i="29"/>
  <c r="P40" i="29"/>
  <c r="Q40" i="29"/>
  <c r="R40" i="29"/>
  <c r="T40" i="29"/>
  <c r="V40" i="29"/>
  <c r="X40" i="29"/>
  <c r="Y40" i="29"/>
  <c r="Z40" i="29"/>
  <c r="AB40" i="29"/>
  <c r="AD40" i="29"/>
  <c r="A41" i="29"/>
  <c r="E41" i="29"/>
  <c r="G41" i="29"/>
  <c r="H41" i="29"/>
  <c r="I41" i="29"/>
  <c r="J41" i="29"/>
  <c r="K41" i="29"/>
  <c r="L41" i="29"/>
  <c r="M41" i="29"/>
  <c r="N41" i="29"/>
  <c r="O41" i="29"/>
  <c r="P41" i="29"/>
  <c r="Q41" i="29"/>
  <c r="R41" i="29"/>
  <c r="T41" i="29"/>
  <c r="V41" i="29"/>
  <c r="X41" i="29"/>
  <c r="Y41" i="29"/>
  <c r="Z41" i="29"/>
  <c r="AB41" i="29"/>
  <c r="AD41" i="29"/>
  <c r="A42" i="29"/>
  <c r="E42" i="29"/>
  <c r="G42" i="29"/>
  <c r="H42" i="29"/>
  <c r="I42" i="29"/>
  <c r="J42" i="29"/>
  <c r="K42" i="29"/>
  <c r="L42" i="29"/>
  <c r="M42" i="29"/>
  <c r="N42" i="29"/>
  <c r="O42" i="29"/>
  <c r="P42" i="29"/>
  <c r="Q42" i="29"/>
  <c r="R42" i="29"/>
  <c r="T42" i="29"/>
  <c r="V42" i="29"/>
  <c r="X42" i="29"/>
  <c r="Y42" i="29"/>
  <c r="Z42" i="29"/>
  <c r="AB42" i="29"/>
  <c r="AD42" i="29"/>
  <c r="A43" i="29"/>
  <c r="E43" i="29"/>
  <c r="G43" i="29"/>
  <c r="H43" i="29"/>
  <c r="I43" i="29"/>
  <c r="J43" i="29"/>
  <c r="K43" i="29"/>
  <c r="L43" i="29"/>
  <c r="M43" i="29"/>
  <c r="N43" i="29"/>
  <c r="O43" i="29"/>
  <c r="P43" i="29"/>
  <c r="Q43" i="29"/>
  <c r="R43" i="29"/>
  <c r="T43" i="29"/>
  <c r="V43" i="29"/>
  <c r="X43" i="29"/>
  <c r="Y43" i="29"/>
  <c r="Z43" i="29"/>
  <c r="AB43" i="29"/>
  <c r="AD43" i="29"/>
  <c r="A44" i="29"/>
  <c r="E44" i="29"/>
  <c r="G44" i="29"/>
  <c r="H44" i="29"/>
  <c r="I44" i="29"/>
  <c r="J44" i="29"/>
  <c r="K44" i="29"/>
  <c r="L44" i="29"/>
  <c r="M44" i="29"/>
  <c r="N44" i="29"/>
  <c r="O44" i="29"/>
  <c r="P44" i="29"/>
  <c r="Q44" i="29"/>
  <c r="R44" i="29"/>
  <c r="T44" i="29"/>
  <c r="V44" i="29"/>
  <c r="X44" i="29"/>
  <c r="Y44" i="29"/>
  <c r="Z44" i="29"/>
  <c r="AB44" i="29"/>
  <c r="AD44" i="29"/>
  <c r="A45" i="29"/>
  <c r="E45" i="29"/>
  <c r="G45" i="29"/>
  <c r="H45" i="29"/>
  <c r="I45" i="29"/>
  <c r="J45" i="29"/>
  <c r="K45" i="29"/>
  <c r="L45" i="29"/>
  <c r="M45" i="29"/>
  <c r="N45" i="29"/>
  <c r="O45" i="29"/>
  <c r="P45" i="29"/>
  <c r="Q45" i="29"/>
  <c r="R45" i="29"/>
  <c r="T45" i="29"/>
  <c r="V45" i="29"/>
  <c r="X45" i="29"/>
  <c r="Y45" i="29"/>
  <c r="Z45" i="29"/>
  <c r="AB45" i="29"/>
  <c r="AD45" i="29"/>
  <c r="A46" i="29"/>
  <c r="E46" i="29"/>
  <c r="G46" i="29"/>
  <c r="H46" i="29"/>
  <c r="I46" i="29"/>
  <c r="J46" i="29"/>
  <c r="K46" i="29"/>
  <c r="L46" i="29"/>
  <c r="M46" i="29"/>
  <c r="N46" i="29"/>
  <c r="O46" i="29"/>
  <c r="P46" i="29"/>
  <c r="Q46" i="29"/>
  <c r="R46" i="29"/>
  <c r="T46" i="29"/>
  <c r="V46" i="29"/>
  <c r="X46" i="29"/>
  <c r="Y46" i="29"/>
  <c r="Z46" i="29"/>
  <c r="AB46" i="29"/>
  <c r="AD46" i="29"/>
  <c r="A47" i="29"/>
  <c r="E47" i="29"/>
  <c r="G47" i="29"/>
  <c r="H47" i="29"/>
  <c r="I47" i="29"/>
  <c r="J47" i="29"/>
  <c r="K47" i="29"/>
  <c r="L47" i="29"/>
  <c r="M47" i="29"/>
  <c r="N47" i="29"/>
  <c r="O47" i="29"/>
  <c r="P47" i="29"/>
  <c r="Q47" i="29"/>
  <c r="R47" i="29"/>
  <c r="T47" i="29"/>
  <c r="V47" i="29"/>
  <c r="X47" i="29"/>
  <c r="Y47" i="29"/>
  <c r="Z47" i="29"/>
  <c r="AB47" i="29"/>
  <c r="AD47" i="29"/>
  <c r="A48" i="29"/>
  <c r="E48" i="29"/>
  <c r="G48" i="29"/>
  <c r="H48" i="29"/>
  <c r="I48" i="29"/>
  <c r="J48" i="29"/>
  <c r="K48" i="29"/>
  <c r="L48" i="29"/>
  <c r="M48" i="29"/>
  <c r="N48" i="29"/>
  <c r="O48" i="29"/>
  <c r="P48" i="29"/>
  <c r="Q48" i="29"/>
  <c r="R48" i="29"/>
  <c r="T48" i="29"/>
  <c r="V48" i="29"/>
  <c r="X48" i="29"/>
  <c r="Y48" i="29"/>
  <c r="Z48" i="29"/>
  <c r="AB48" i="29"/>
  <c r="AD48" i="29"/>
  <c r="A49" i="29"/>
  <c r="E49" i="29"/>
  <c r="G49" i="29"/>
  <c r="H49" i="29"/>
  <c r="I49" i="29"/>
  <c r="J49" i="29"/>
  <c r="K49" i="29"/>
  <c r="L49" i="29"/>
  <c r="M49" i="29"/>
  <c r="N49" i="29"/>
  <c r="O49" i="29"/>
  <c r="P49" i="29"/>
  <c r="Q49" i="29"/>
  <c r="R49" i="29"/>
  <c r="T49" i="29"/>
  <c r="V49" i="29"/>
  <c r="X49" i="29"/>
  <c r="Y49" i="29"/>
  <c r="Z49" i="29"/>
  <c r="AB49" i="29"/>
  <c r="AD49" i="29"/>
  <c r="A50" i="29"/>
  <c r="E50" i="29"/>
  <c r="G50" i="29"/>
  <c r="H50" i="29"/>
  <c r="I50" i="29"/>
  <c r="J50" i="29"/>
  <c r="K50" i="29"/>
  <c r="L50" i="29"/>
  <c r="M50" i="29"/>
  <c r="N50" i="29"/>
  <c r="O50" i="29"/>
  <c r="P50" i="29"/>
  <c r="Q50" i="29"/>
  <c r="R50" i="29"/>
  <c r="T50" i="29"/>
  <c r="V50" i="29"/>
  <c r="X50" i="29"/>
  <c r="Y50" i="29"/>
  <c r="Z50" i="29"/>
  <c r="AB50" i="29"/>
  <c r="AD50" i="29"/>
  <c r="A51" i="29"/>
  <c r="E51" i="29"/>
  <c r="G51" i="29"/>
  <c r="H51" i="29"/>
  <c r="I51" i="29"/>
  <c r="J51" i="29"/>
  <c r="K51" i="29"/>
  <c r="L51" i="29"/>
  <c r="M51" i="29"/>
  <c r="N51" i="29"/>
  <c r="O51" i="29"/>
  <c r="P51" i="29"/>
  <c r="Q51" i="29"/>
  <c r="R51" i="29"/>
  <c r="T51" i="29"/>
  <c r="V51" i="29"/>
  <c r="X51" i="29"/>
  <c r="Y51" i="29"/>
  <c r="Z51" i="29"/>
  <c r="AB51" i="29"/>
  <c r="AD51" i="29"/>
  <c r="A52" i="29"/>
  <c r="E52" i="29"/>
  <c r="G52" i="29"/>
  <c r="H52" i="29"/>
  <c r="I52" i="29"/>
  <c r="J52" i="29"/>
  <c r="K52" i="29"/>
  <c r="L52" i="29"/>
  <c r="M52" i="29"/>
  <c r="N52" i="29"/>
  <c r="O52" i="29"/>
  <c r="P52" i="29"/>
  <c r="Q52" i="29"/>
  <c r="R52" i="29"/>
  <c r="T52" i="29"/>
  <c r="V52" i="29"/>
  <c r="X52" i="29"/>
  <c r="Y52" i="29"/>
  <c r="Z52" i="29"/>
  <c r="AB52" i="29"/>
  <c r="AD52" i="29"/>
  <c r="A53" i="29"/>
  <c r="E53" i="29"/>
  <c r="G53" i="29"/>
  <c r="H53" i="29"/>
  <c r="I53" i="29"/>
  <c r="J53" i="29"/>
  <c r="K53" i="29"/>
  <c r="L53" i="29"/>
  <c r="M53" i="29"/>
  <c r="N53" i="29"/>
  <c r="O53" i="29"/>
  <c r="P53" i="29"/>
  <c r="Q53" i="29"/>
  <c r="R53" i="29"/>
  <c r="T53" i="29"/>
  <c r="V53" i="29"/>
  <c r="X53" i="29"/>
  <c r="Y53" i="29"/>
  <c r="Z53" i="29"/>
  <c r="AB53" i="29"/>
  <c r="AD53" i="29"/>
  <c r="A54" i="29"/>
  <c r="E54" i="29"/>
  <c r="G54" i="29"/>
  <c r="H54" i="29"/>
  <c r="I54" i="29"/>
  <c r="J54" i="29"/>
  <c r="K54" i="29"/>
  <c r="L54" i="29"/>
  <c r="M54" i="29"/>
  <c r="N54" i="29"/>
  <c r="O54" i="29"/>
  <c r="P54" i="29"/>
  <c r="Q54" i="29"/>
  <c r="R54" i="29"/>
  <c r="T54" i="29"/>
  <c r="V54" i="29"/>
  <c r="X54" i="29"/>
  <c r="Y54" i="29"/>
  <c r="Z54" i="29"/>
  <c r="AB54" i="29"/>
  <c r="AD54" i="29"/>
  <c r="A55" i="29"/>
  <c r="E55" i="29"/>
  <c r="G55" i="29"/>
  <c r="H55" i="29"/>
  <c r="I55" i="29"/>
  <c r="J55" i="29"/>
  <c r="K55" i="29"/>
  <c r="L55" i="29"/>
  <c r="M55" i="29"/>
  <c r="N55" i="29"/>
  <c r="O55" i="29"/>
  <c r="P55" i="29"/>
  <c r="Q55" i="29"/>
  <c r="R55" i="29"/>
  <c r="T55" i="29"/>
  <c r="V55" i="29"/>
  <c r="X55" i="29"/>
  <c r="Y55" i="29"/>
  <c r="Z55" i="29"/>
  <c r="AB55" i="29"/>
  <c r="AD55" i="29"/>
  <c r="A56" i="29"/>
  <c r="E56" i="29"/>
  <c r="G56" i="29"/>
  <c r="H56" i="29"/>
  <c r="I56" i="29"/>
  <c r="J56" i="29"/>
  <c r="K56" i="29"/>
  <c r="L56" i="29"/>
  <c r="M56" i="29"/>
  <c r="N56" i="29"/>
  <c r="O56" i="29"/>
  <c r="P56" i="29"/>
  <c r="Q56" i="29"/>
  <c r="R56" i="29"/>
  <c r="T56" i="29"/>
  <c r="V56" i="29"/>
  <c r="X56" i="29"/>
  <c r="Y56" i="29"/>
  <c r="Z56" i="29"/>
  <c r="AB56" i="29"/>
  <c r="AD56" i="29"/>
  <c r="A57" i="29"/>
  <c r="E57" i="29"/>
  <c r="G57" i="29"/>
  <c r="H57" i="29"/>
  <c r="I57" i="29"/>
  <c r="J57" i="29"/>
  <c r="K57" i="29"/>
  <c r="L57" i="29"/>
  <c r="M57" i="29"/>
  <c r="N57" i="29"/>
  <c r="O57" i="29"/>
  <c r="P57" i="29"/>
  <c r="Q57" i="29"/>
  <c r="R57" i="29"/>
  <c r="T57" i="29"/>
  <c r="V57" i="29"/>
  <c r="X57" i="29"/>
  <c r="Y57" i="29"/>
  <c r="Z57" i="29"/>
  <c r="AB57" i="29"/>
  <c r="AD57" i="29"/>
  <c r="A58" i="29"/>
  <c r="E58" i="29"/>
  <c r="G58" i="29"/>
  <c r="H58" i="29"/>
  <c r="I58" i="29"/>
  <c r="J58" i="29"/>
  <c r="K58" i="29"/>
  <c r="L58" i="29"/>
  <c r="M58" i="29"/>
  <c r="N58" i="29"/>
  <c r="O58" i="29"/>
  <c r="P58" i="29"/>
  <c r="Q58" i="29"/>
  <c r="R58" i="29"/>
  <c r="T58" i="29"/>
  <c r="V58" i="29"/>
  <c r="X58" i="29"/>
  <c r="Y58" i="29"/>
  <c r="Z58" i="29"/>
  <c r="AB58" i="29"/>
  <c r="AD58" i="29"/>
  <c r="A59" i="29"/>
  <c r="E59" i="29"/>
  <c r="G59" i="29"/>
  <c r="H59" i="29"/>
  <c r="I59" i="29"/>
  <c r="J59" i="29"/>
  <c r="K59" i="29"/>
  <c r="L59" i="29"/>
  <c r="M59" i="29"/>
  <c r="N59" i="29"/>
  <c r="O59" i="29"/>
  <c r="P59" i="29"/>
  <c r="Q59" i="29"/>
  <c r="R59" i="29"/>
  <c r="T59" i="29"/>
  <c r="V59" i="29"/>
  <c r="X59" i="29"/>
  <c r="Y59" i="29"/>
  <c r="Z59" i="29"/>
  <c r="AB59" i="29"/>
  <c r="AD59" i="29"/>
  <c r="A60" i="29"/>
  <c r="E60" i="29"/>
  <c r="G60" i="29"/>
  <c r="H60" i="29"/>
  <c r="I60" i="29"/>
  <c r="J60" i="29"/>
  <c r="K60" i="29"/>
  <c r="L60" i="29"/>
  <c r="M60" i="29"/>
  <c r="N60" i="29"/>
  <c r="O60" i="29"/>
  <c r="P60" i="29"/>
  <c r="Q60" i="29"/>
  <c r="R60" i="29"/>
  <c r="T60" i="29"/>
  <c r="V60" i="29"/>
  <c r="X60" i="29"/>
  <c r="Y60" i="29"/>
  <c r="Z60" i="29"/>
  <c r="AB60" i="29"/>
  <c r="AD60" i="29"/>
  <c r="A61" i="29"/>
  <c r="E61" i="29"/>
  <c r="G61" i="29"/>
  <c r="H61" i="29"/>
  <c r="I61" i="29"/>
  <c r="J61" i="29"/>
  <c r="K61" i="29"/>
  <c r="L61" i="29"/>
  <c r="M61" i="29"/>
  <c r="N61" i="29"/>
  <c r="O61" i="29"/>
  <c r="P61" i="29"/>
  <c r="Q61" i="29"/>
  <c r="R61" i="29"/>
  <c r="T61" i="29"/>
  <c r="V61" i="29"/>
  <c r="X61" i="29"/>
  <c r="Y61" i="29"/>
  <c r="Z61" i="29"/>
  <c r="AB61" i="29"/>
  <c r="AD61" i="29"/>
  <c r="A62" i="29"/>
  <c r="E62" i="29"/>
  <c r="G62" i="29"/>
  <c r="H62" i="29"/>
  <c r="I62" i="29"/>
  <c r="J62" i="29"/>
  <c r="K62" i="29"/>
  <c r="L62" i="29"/>
  <c r="M62" i="29"/>
  <c r="N62" i="29"/>
  <c r="O62" i="29"/>
  <c r="P62" i="29"/>
  <c r="Q62" i="29"/>
  <c r="R62" i="29"/>
  <c r="T62" i="29"/>
  <c r="V62" i="29"/>
  <c r="X62" i="29"/>
  <c r="Y62" i="29"/>
  <c r="Z62" i="29"/>
  <c r="AB62" i="29"/>
  <c r="AD62" i="29"/>
  <c r="A63" i="29"/>
  <c r="E63" i="29"/>
  <c r="G63" i="29"/>
  <c r="H63" i="29"/>
  <c r="I63" i="29"/>
  <c r="J63" i="29"/>
  <c r="K63" i="29"/>
  <c r="L63" i="29"/>
  <c r="M63" i="29"/>
  <c r="N63" i="29"/>
  <c r="O63" i="29"/>
  <c r="P63" i="29"/>
  <c r="Q63" i="29"/>
  <c r="R63" i="29"/>
  <c r="T63" i="29"/>
  <c r="V63" i="29"/>
  <c r="X63" i="29"/>
  <c r="Y63" i="29"/>
  <c r="Z63" i="29"/>
  <c r="AB63" i="29"/>
  <c r="AD63" i="29"/>
  <c r="A64" i="29"/>
  <c r="E64" i="29"/>
  <c r="G64" i="29"/>
  <c r="H64" i="29"/>
  <c r="I64" i="29"/>
  <c r="J64" i="29"/>
  <c r="K64" i="29"/>
  <c r="L64" i="29"/>
  <c r="M64" i="29"/>
  <c r="N64" i="29"/>
  <c r="O64" i="29"/>
  <c r="P64" i="29"/>
  <c r="Q64" i="29"/>
  <c r="R64" i="29"/>
  <c r="T64" i="29"/>
  <c r="V64" i="29"/>
  <c r="X64" i="29"/>
  <c r="Y64" i="29"/>
  <c r="Z64" i="29"/>
  <c r="AB64" i="29"/>
  <c r="AD64" i="29"/>
  <c r="A65" i="29"/>
  <c r="E65" i="29"/>
  <c r="G65" i="29"/>
  <c r="H65" i="29"/>
  <c r="I65" i="29"/>
  <c r="J65" i="29"/>
  <c r="K65" i="29"/>
  <c r="L65" i="29"/>
  <c r="M65" i="29"/>
  <c r="N65" i="29"/>
  <c r="O65" i="29"/>
  <c r="P65" i="29"/>
  <c r="Q65" i="29"/>
  <c r="R65" i="29"/>
  <c r="T65" i="29"/>
  <c r="V65" i="29"/>
  <c r="X65" i="29"/>
  <c r="Y65" i="29"/>
  <c r="Z65" i="29"/>
  <c r="AB65" i="29"/>
  <c r="AD65" i="29"/>
  <c r="A66" i="29"/>
  <c r="E66" i="29"/>
  <c r="G66" i="29"/>
  <c r="H66" i="29"/>
  <c r="I66" i="29"/>
  <c r="J66" i="29"/>
  <c r="K66" i="29"/>
  <c r="L66" i="29"/>
  <c r="M66" i="29"/>
  <c r="N66" i="29"/>
  <c r="O66" i="29"/>
  <c r="P66" i="29"/>
  <c r="Q66" i="29"/>
  <c r="R66" i="29"/>
  <c r="T66" i="29"/>
  <c r="V66" i="29"/>
  <c r="X66" i="29"/>
  <c r="Y66" i="29"/>
  <c r="Z66" i="29"/>
  <c r="AB66" i="29"/>
  <c r="AD66" i="29"/>
  <c r="A67" i="29"/>
  <c r="E67" i="29"/>
  <c r="G67" i="29"/>
  <c r="H67" i="29"/>
  <c r="I67" i="29"/>
  <c r="J67" i="29"/>
  <c r="K67" i="29"/>
  <c r="L67" i="29"/>
  <c r="M67" i="29"/>
  <c r="N67" i="29"/>
  <c r="O67" i="29"/>
  <c r="P67" i="29"/>
  <c r="Q67" i="29"/>
  <c r="R67" i="29"/>
  <c r="T67" i="29"/>
  <c r="V67" i="29"/>
  <c r="X67" i="29"/>
  <c r="Y67" i="29"/>
  <c r="Z67" i="29"/>
  <c r="AB67" i="29"/>
  <c r="AD67" i="29"/>
  <c r="A68" i="29"/>
  <c r="E68" i="29"/>
  <c r="G68" i="29"/>
  <c r="H68" i="29"/>
  <c r="I68" i="29"/>
  <c r="J68" i="29"/>
  <c r="K68" i="29"/>
  <c r="L68" i="29"/>
  <c r="M68" i="29"/>
  <c r="N68" i="29"/>
  <c r="O68" i="29"/>
  <c r="P68" i="29"/>
  <c r="Q68" i="29"/>
  <c r="R68" i="29"/>
  <c r="T68" i="29"/>
  <c r="V68" i="29"/>
  <c r="X68" i="29"/>
  <c r="Y68" i="29"/>
  <c r="Z68" i="29"/>
  <c r="AB68" i="29"/>
  <c r="AD68" i="29"/>
  <c r="A69" i="29"/>
  <c r="E69" i="29"/>
  <c r="G69" i="29"/>
  <c r="H69" i="29"/>
  <c r="I69" i="29"/>
  <c r="J69" i="29"/>
  <c r="K69" i="29"/>
  <c r="L69" i="29"/>
  <c r="M69" i="29"/>
  <c r="N69" i="29"/>
  <c r="O69" i="29"/>
  <c r="P69" i="29"/>
  <c r="Q69" i="29"/>
  <c r="R69" i="29"/>
  <c r="T69" i="29"/>
  <c r="V69" i="29"/>
  <c r="X69" i="29"/>
  <c r="Y69" i="29"/>
  <c r="Z69" i="29"/>
  <c r="AB69" i="29"/>
  <c r="AD69" i="29"/>
  <c r="A70" i="29"/>
  <c r="E70" i="29"/>
  <c r="G70" i="29"/>
  <c r="H70" i="29"/>
  <c r="I70" i="29"/>
  <c r="J70" i="29"/>
  <c r="K70" i="29"/>
  <c r="L70" i="29"/>
  <c r="M70" i="29"/>
  <c r="N70" i="29"/>
  <c r="O70" i="29"/>
  <c r="P70" i="29"/>
  <c r="Q70" i="29"/>
  <c r="R70" i="29"/>
  <c r="T70" i="29"/>
  <c r="V70" i="29"/>
  <c r="X70" i="29"/>
  <c r="Y70" i="29"/>
  <c r="Z70" i="29"/>
  <c r="AB70" i="29"/>
  <c r="AD70" i="29"/>
  <c r="A71" i="29"/>
  <c r="E71" i="29"/>
  <c r="G71" i="29"/>
  <c r="H71" i="29"/>
  <c r="I71" i="29"/>
  <c r="J71" i="29"/>
  <c r="K71" i="29"/>
  <c r="L71" i="29"/>
  <c r="M71" i="29"/>
  <c r="N71" i="29"/>
  <c r="O71" i="29"/>
  <c r="P71" i="29"/>
  <c r="Q71" i="29"/>
  <c r="R71" i="29"/>
  <c r="T71" i="29"/>
  <c r="V71" i="29"/>
  <c r="X71" i="29"/>
  <c r="Y71" i="29"/>
  <c r="Z71" i="29"/>
  <c r="AB71" i="29"/>
  <c r="AD71" i="29"/>
  <c r="A72" i="29"/>
  <c r="E72" i="29"/>
  <c r="G72" i="29"/>
  <c r="H72" i="29"/>
  <c r="I72" i="29"/>
  <c r="J72" i="29"/>
  <c r="K72" i="29"/>
  <c r="L72" i="29"/>
  <c r="M72" i="29"/>
  <c r="N72" i="29"/>
  <c r="O72" i="29"/>
  <c r="P72" i="29"/>
  <c r="Q72" i="29"/>
  <c r="R72" i="29"/>
  <c r="T72" i="29"/>
  <c r="V72" i="29"/>
  <c r="X72" i="29"/>
  <c r="Y72" i="29"/>
  <c r="Z72" i="29"/>
  <c r="AB72" i="29"/>
  <c r="AD72" i="29"/>
  <c r="A73" i="29"/>
  <c r="E73" i="29"/>
  <c r="G73" i="29"/>
  <c r="H73" i="29"/>
  <c r="I73" i="29"/>
  <c r="J73" i="29"/>
  <c r="K73" i="29"/>
  <c r="L73" i="29"/>
  <c r="M73" i="29"/>
  <c r="N73" i="29"/>
  <c r="O73" i="29"/>
  <c r="P73" i="29"/>
  <c r="Q73" i="29"/>
  <c r="R73" i="29"/>
  <c r="T73" i="29"/>
  <c r="V73" i="29"/>
  <c r="X73" i="29"/>
  <c r="Y73" i="29"/>
  <c r="Z73" i="29"/>
  <c r="AB73" i="29"/>
  <c r="AD73" i="29"/>
  <c r="A74" i="29"/>
  <c r="E74" i="29"/>
  <c r="G74" i="29"/>
  <c r="H74" i="29"/>
  <c r="I74" i="29"/>
  <c r="J74" i="29"/>
  <c r="K74" i="29"/>
  <c r="L74" i="29"/>
  <c r="M74" i="29"/>
  <c r="N74" i="29"/>
  <c r="O74" i="29"/>
  <c r="P74" i="29"/>
  <c r="Q74" i="29"/>
  <c r="R74" i="29"/>
  <c r="T74" i="29"/>
  <c r="V74" i="29"/>
  <c r="X74" i="29"/>
  <c r="Y74" i="29"/>
  <c r="Z74" i="29"/>
  <c r="AB74" i="29"/>
  <c r="AD74" i="29"/>
  <c r="A75" i="29"/>
  <c r="E75" i="29"/>
  <c r="G75" i="29"/>
  <c r="H75" i="29"/>
  <c r="I75" i="29"/>
  <c r="J75" i="29"/>
  <c r="K75" i="29"/>
  <c r="L75" i="29"/>
  <c r="M75" i="29"/>
  <c r="N75" i="29"/>
  <c r="O75" i="29"/>
  <c r="P75" i="29"/>
  <c r="Q75" i="29"/>
  <c r="R75" i="29"/>
  <c r="T75" i="29"/>
  <c r="V75" i="29"/>
  <c r="X75" i="29"/>
  <c r="Y75" i="29"/>
  <c r="Z75" i="29"/>
  <c r="AB75" i="29"/>
  <c r="AD75" i="29"/>
  <c r="A76" i="29"/>
  <c r="E76" i="29"/>
  <c r="G76" i="29"/>
  <c r="H76" i="29"/>
  <c r="I76" i="29"/>
  <c r="J76" i="29"/>
  <c r="K76" i="29"/>
  <c r="L76" i="29"/>
  <c r="M76" i="29"/>
  <c r="N76" i="29"/>
  <c r="O76" i="29"/>
  <c r="P76" i="29"/>
  <c r="Q76" i="29"/>
  <c r="R76" i="29"/>
  <c r="T76" i="29"/>
  <c r="V76" i="29"/>
  <c r="X76" i="29"/>
  <c r="Y76" i="29"/>
  <c r="Z76" i="29"/>
  <c r="AB76" i="29"/>
  <c r="AD76" i="29"/>
  <c r="A77" i="29"/>
  <c r="E77" i="29"/>
  <c r="G77" i="29"/>
  <c r="H77" i="29"/>
  <c r="I77" i="29"/>
  <c r="J77" i="29"/>
  <c r="K77" i="29"/>
  <c r="L77" i="29"/>
  <c r="M77" i="29"/>
  <c r="N77" i="29"/>
  <c r="O77" i="29"/>
  <c r="P77" i="29"/>
  <c r="Q77" i="29"/>
  <c r="R77" i="29"/>
  <c r="T77" i="29"/>
  <c r="V77" i="29"/>
  <c r="X77" i="29"/>
  <c r="Y77" i="29"/>
  <c r="Z77" i="29"/>
  <c r="AB77" i="29"/>
  <c r="AD77" i="29"/>
  <c r="A78" i="29"/>
  <c r="E78" i="29"/>
  <c r="G78" i="29"/>
  <c r="H78" i="29"/>
  <c r="I78" i="29"/>
  <c r="J78" i="29"/>
  <c r="K78" i="29"/>
  <c r="L78" i="29"/>
  <c r="M78" i="29"/>
  <c r="N78" i="29"/>
  <c r="O78" i="29"/>
  <c r="P78" i="29"/>
  <c r="Q78" i="29"/>
  <c r="R78" i="29"/>
  <c r="T78" i="29"/>
  <c r="V78" i="29"/>
  <c r="X78" i="29"/>
  <c r="Y78" i="29"/>
  <c r="Z78" i="29"/>
  <c r="AB78" i="29"/>
  <c r="AD78" i="29"/>
  <c r="A79" i="29"/>
  <c r="E79" i="29"/>
  <c r="G79" i="29"/>
  <c r="H79" i="29"/>
  <c r="I79" i="29"/>
  <c r="J79" i="29"/>
  <c r="K79" i="29"/>
  <c r="L79" i="29"/>
  <c r="M79" i="29"/>
  <c r="N79" i="29"/>
  <c r="O79" i="29"/>
  <c r="P79" i="29"/>
  <c r="Q79" i="29"/>
  <c r="R79" i="29"/>
  <c r="T79" i="29"/>
  <c r="V79" i="29"/>
  <c r="X79" i="29"/>
  <c r="Y79" i="29"/>
  <c r="Z79" i="29"/>
  <c r="AB79" i="29"/>
  <c r="AD79" i="29"/>
  <c r="A80" i="29"/>
  <c r="E80" i="29"/>
  <c r="G80" i="29"/>
  <c r="H80" i="29"/>
  <c r="I80" i="29"/>
  <c r="J80" i="29"/>
  <c r="K80" i="29"/>
  <c r="L80" i="29"/>
  <c r="M80" i="29"/>
  <c r="N80" i="29"/>
  <c r="O80" i="29"/>
  <c r="P80" i="29"/>
  <c r="Q80" i="29"/>
  <c r="R80" i="29"/>
  <c r="T80" i="29"/>
  <c r="V80" i="29"/>
  <c r="X80" i="29"/>
  <c r="Y80" i="29"/>
  <c r="Z80" i="29"/>
  <c r="AB80" i="29"/>
  <c r="AD80" i="29"/>
  <c r="A81" i="29"/>
  <c r="E81" i="29"/>
  <c r="G81" i="29"/>
  <c r="H81" i="29"/>
  <c r="I81" i="29"/>
  <c r="J81" i="29"/>
  <c r="K81" i="29"/>
  <c r="L81" i="29"/>
  <c r="M81" i="29"/>
  <c r="N81" i="29"/>
  <c r="O81" i="29"/>
  <c r="P81" i="29"/>
  <c r="Q81" i="29"/>
  <c r="R81" i="29"/>
  <c r="T81" i="29"/>
  <c r="V81" i="29"/>
  <c r="X81" i="29"/>
  <c r="Y81" i="29"/>
  <c r="Z81" i="29"/>
  <c r="AB81" i="29"/>
  <c r="AD81" i="29"/>
  <c r="A82" i="29"/>
  <c r="E82" i="29"/>
  <c r="G82" i="29"/>
  <c r="H82" i="29"/>
  <c r="I82" i="29"/>
  <c r="J82" i="29"/>
  <c r="K82" i="29"/>
  <c r="L82" i="29"/>
  <c r="M82" i="29"/>
  <c r="N82" i="29"/>
  <c r="O82" i="29"/>
  <c r="P82" i="29"/>
  <c r="Q82" i="29"/>
  <c r="R82" i="29"/>
  <c r="T82" i="29"/>
  <c r="V82" i="29"/>
  <c r="X82" i="29"/>
  <c r="Y82" i="29"/>
  <c r="Z82" i="29"/>
  <c r="AB82" i="29"/>
  <c r="AD82" i="29"/>
  <c r="A83" i="29"/>
  <c r="E83" i="29"/>
  <c r="G83" i="29"/>
  <c r="H83" i="29"/>
  <c r="I83" i="29"/>
  <c r="J83" i="29"/>
  <c r="K83" i="29"/>
  <c r="L83" i="29"/>
  <c r="M83" i="29"/>
  <c r="N83" i="29"/>
  <c r="O83" i="29"/>
  <c r="P83" i="29"/>
  <c r="Q83" i="29"/>
  <c r="R83" i="29"/>
  <c r="T83" i="29"/>
  <c r="V83" i="29"/>
  <c r="X83" i="29"/>
  <c r="Y83" i="29"/>
  <c r="Z83" i="29"/>
  <c r="AB83" i="29"/>
  <c r="AD83" i="29"/>
  <c r="A84" i="29"/>
  <c r="E84" i="29"/>
  <c r="G84" i="29"/>
  <c r="H84" i="29"/>
  <c r="I84" i="29"/>
  <c r="J84" i="29"/>
  <c r="K84" i="29"/>
  <c r="L84" i="29"/>
  <c r="M84" i="29"/>
  <c r="N84" i="29"/>
  <c r="O84" i="29"/>
  <c r="P84" i="29"/>
  <c r="Q84" i="29"/>
  <c r="R84" i="29"/>
  <c r="T84" i="29"/>
  <c r="V84" i="29"/>
  <c r="X84" i="29"/>
  <c r="Y84" i="29"/>
  <c r="Z84" i="29"/>
  <c r="AB84" i="29"/>
  <c r="AD84" i="29"/>
  <c r="A85" i="29"/>
  <c r="G85" i="29"/>
  <c r="H85" i="29"/>
  <c r="I85" i="29"/>
  <c r="J85" i="29"/>
  <c r="K85" i="29"/>
  <c r="L85" i="29"/>
  <c r="M85" i="29"/>
  <c r="N85" i="29"/>
  <c r="P85" i="29"/>
  <c r="R85" i="29"/>
  <c r="T85" i="29"/>
  <c r="Z85" i="29"/>
  <c r="AD85" i="29"/>
  <c r="A86" i="29"/>
  <c r="G86" i="29"/>
  <c r="H86" i="29"/>
  <c r="I86" i="29"/>
  <c r="J86" i="29"/>
  <c r="K86" i="29"/>
  <c r="L86" i="29"/>
  <c r="M86" i="29"/>
  <c r="N86" i="29"/>
  <c r="AD86" i="29"/>
  <c r="A87" i="29"/>
  <c r="E87" i="29"/>
  <c r="G87" i="29"/>
  <c r="H87" i="29"/>
  <c r="I87" i="29"/>
  <c r="J87" i="29"/>
  <c r="K87" i="29"/>
  <c r="L87" i="29"/>
  <c r="M87" i="29"/>
  <c r="N87" i="29"/>
  <c r="O87" i="29"/>
  <c r="P87" i="29"/>
  <c r="Q87" i="29"/>
  <c r="R87" i="29"/>
  <c r="T87" i="29"/>
  <c r="V87" i="29"/>
  <c r="X87" i="29"/>
  <c r="Y87" i="29"/>
  <c r="Z87" i="29"/>
  <c r="AB87" i="29"/>
  <c r="AD87" i="29"/>
  <c r="A88" i="29"/>
  <c r="E88" i="29"/>
  <c r="G88" i="29"/>
  <c r="H88" i="29"/>
  <c r="I88" i="29"/>
  <c r="J88" i="29"/>
  <c r="K88" i="29"/>
  <c r="L88" i="29"/>
  <c r="M88" i="29"/>
  <c r="N88" i="29"/>
  <c r="O88" i="29"/>
  <c r="P88" i="29"/>
  <c r="Q88" i="29"/>
  <c r="R88" i="29"/>
  <c r="T88" i="29"/>
  <c r="V88" i="29"/>
  <c r="X88" i="29"/>
  <c r="Y88" i="29"/>
  <c r="Z88" i="29"/>
  <c r="AB88" i="29"/>
  <c r="AD88" i="29"/>
  <c r="A89" i="29"/>
  <c r="E89" i="29"/>
  <c r="G89" i="29"/>
  <c r="H89" i="29"/>
  <c r="I89" i="29"/>
  <c r="J89" i="29"/>
  <c r="K89" i="29"/>
  <c r="L89" i="29"/>
  <c r="M89" i="29"/>
  <c r="N89" i="29"/>
  <c r="O89" i="29"/>
  <c r="P89" i="29"/>
  <c r="Q89" i="29"/>
  <c r="R89" i="29"/>
  <c r="T89" i="29"/>
  <c r="V89" i="29"/>
  <c r="X89" i="29"/>
  <c r="Y89" i="29"/>
  <c r="Z89" i="29"/>
  <c r="AB89" i="29"/>
  <c r="AD89" i="29"/>
  <c r="A90" i="29"/>
  <c r="E90" i="29"/>
  <c r="G90" i="29"/>
  <c r="H90" i="29"/>
  <c r="I90" i="29"/>
  <c r="J90" i="29"/>
  <c r="K90" i="29"/>
  <c r="L90" i="29"/>
  <c r="M90" i="29"/>
  <c r="N90" i="29"/>
  <c r="O90" i="29"/>
  <c r="P90" i="29"/>
  <c r="Q90" i="29"/>
  <c r="R90" i="29"/>
  <c r="T90" i="29"/>
  <c r="V90" i="29"/>
  <c r="X90" i="29"/>
  <c r="Y90" i="29"/>
  <c r="Z90" i="29"/>
  <c r="AB90" i="29"/>
  <c r="AD90" i="29"/>
  <c r="A91" i="29"/>
  <c r="E91" i="29"/>
  <c r="G91" i="29"/>
  <c r="H91" i="29"/>
  <c r="I91" i="29"/>
  <c r="J91" i="29"/>
  <c r="K91" i="29"/>
  <c r="L91" i="29"/>
  <c r="M91" i="29"/>
  <c r="N91" i="29"/>
  <c r="O91" i="29"/>
  <c r="P91" i="29"/>
  <c r="Q91" i="29"/>
  <c r="R91" i="29"/>
  <c r="T91" i="29"/>
  <c r="V91" i="29"/>
  <c r="X91" i="29"/>
  <c r="Y91" i="29"/>
  <c r="Z91" i="29"/>
  <c r="AB91" i="29"/>
  <c r="AD91" i="29"/>
  <c r="A92" i="29"/>
  <c r="E92" i="29"/>
  <c r="G92" i="29"/>
  <c r="H92" i="29"/>
  <c r="I92" i="29"/>
  <c r="J92" i="29"/>
  <c r="K92" i="29"/>
  <c r="L92" i="29"/>
  <c r="M92" i="29"/>
  <c r="N92" i="29"/>
  <c r="O92" i="29"/>
  <c r="P92" i="29"/>
  <c r="Q92" i="29"/>
  <c r="R92" i="29"/>
  <c r="T92" i="29"/>
  <c r="V92" i="29"/>
  <c r="X92" i="29"/>
  <c r="Y92" i="29"/>
  <c r="Z92" i="29"/>
  <c r="AB92" i="29"/>
  <c r="AD92" i="29"/>
  <c r="A93" i="29"/>
  <c r="E93" i="29"/>
  <c r="G93" i="29"/>
  <c r="H93" i="29"/>
  <c r="I93" i="29"/>
  <c r="J93" i="29"/>
  <c r="K93" i="29"/>
  <c r="L93" i="29"/>
  <c r="M93" i="29"/>
  <c r="N93" i="29"/>
  <c r="O93" i="29"/>
  <c r="P93" i="29"/>
  <c r="Q93" i="29"/>
  <c r="R93" i="29"/>
  <c r="T93" i="29"/>
  <c r="V93" i="29"/>
  <c r="X93" i="29"/>
  <c r="Y93" i="29"/>
  <c r="Z93" i="29"/>
  <c r="AB93" i="29"/>
  <c r="AD93" i="29"/>
  <c r="A94" i="29"/>
  <c r="E94" i="29"/>
  <c r="G94" i="29"/>
  <c r="H94" i="29"/>
  <c r="I94" i="29"/>
  <c r="J94" i="29"/>
  <c r="K94" i="29"/>
  <c r="L94" i="29"/>
  <c r="M94" i="29"/>
  <c r="N94" i="29"/>
  <c r="O94" i="29"/>
  <c r="P94" i="29"/>
  <c r="Q94" i="29"/>
  <c r="R94" i="29"/>
  <c r="T94" i="29"/>
  <c r="V94" i="29"/>
  <c r="X94" i="29"/>
  <c r="Y94" i="29"/>
  <c r="Z94" i="29"/>
  <c r="AB94" i="29"/>
  <c r="AD94" i="29"/>
  <c r="A95" i="29"/>
  <c r="E95" i="29"/>
  <c r="G95" i="29"/>
  <c r="H95" i="29"/>
  <c r="I95" i="29"/>
  <c r="J95" i="29"/>
  <c r="K95" i="29"/>
  <c r="L95" i="29"/>
  <c r="M95" i="29"/>
  <c r="N95" i="29"/>
  <c r="O95" i="29"/>
  <c r="P95" i="29"/>
  <c r="Q95" i="29"/>
  <c r="R95" i="29"/>
  <c r="T95" i="29"/>
  <c r="V95" i="29"/>
  <c r="X95" i="29"/>
  <c r="Y95" i="29"/>
  <c r="Z95" i="29"/>
  <c r="AB95" i="29"/>
  <c r="AD95" i="29"/>
  <c r="A96" i="29"/>
  <c r="E96" i="29"/>
  <c r="G96" i="29"/>
  <c r="H96" i="29"/>
  <c r="I96" i="29"/>
  <c r="J96" i="29"/>
  <c r="K96" i="29"/>
  <c r="L96" i="29"/>
  <c r="M96" i="29"/>
  <c r="N96" i="29"/>
  <c r="O96" i="29"/>
  <c r="P96" i="29"/>
  <c r="Q96" i="29"/>
  <c r="R96" i="29"/>
  <c r="T96" i="29"/>
  <c r="V96" i="29"/>
  <c r="X96" i="29"/>
  <c r="Y96" i="29"/>
  <c r="Z96" i="29"/>
  <c r="AB96" i="29"/>
  <c r="AD96" i="29"/>
  <c r="A97" i="29"/>
  <c r="E97" i="29"/>
  <c r="G97" i="29"/>
  <c r="H97" i="29"/>
  <c r="I97" i="29"/>
  <c r="J97" i="29"/>
  <c r="K97" i="29"/>
  <c r="L97" i="29"/>
  <c r="M97" i="29"/>
  <c r="N97" i="29"/>
  <c r="O97" i="29"/>
  <c r="P97" i="29"/>
  <c r="Q97" i="29"/>
  <c r="R97" i="29"/>
  <c r="T97" i="29"/>
  <c r="V97" i="29"/>
  <c r="X97" i="29"/>
  <c r="Y97" i="29"/>
  <c r="Z97" i="29"/>
  <c r="AB97" i="29"/>
  <c r="AD97" i="29"/>
  <c r="A98" i="29"/>
  <c r="E98" i="29"/>
  <c r="G98" i="29"/>
  <c r="H98" i="29"/>
  <c r="I98" i="29"/>
  <c r="J98" i="29"/>
  <c r="K98" i="29"/>
  <c r="L98" i="29"/>
  <c r="M98" i="29"/>
  <c r="N98" i="29"/>
  <c r="O98" i="29"/>
  <c r="P98" i="29"/>
  <c r="Q98" i="29"/>
  <c r="R98" i="29"/>
  <c r="T98" i="29"/>
  <c r="V98" i="29"/>
  <c r="X98" i="29"/>
  <c r="Y98" i="29"/>
  <c r="Z98" i="29"/>
  <c r="AB98" i="29"/>
  <c r="AD98" i="29"/>
  <c r="A99" i="29"/>
  <c r="E99" i="29"/>
  <c r="G99" i="29"/>
  <c r="H99" i="29"/>
  <c r="I99" i="29"/>
  <c r="J99" i="29"/>
  <c r="K99" i="29"/>
  <c r="L99" i="29"/>
  <c r="M99" i="29"/>
  <c r="N99" i="29"/>
  <c r="O99" i="29"/>
  <c r="P99" i="29"/>
  <c r="Q99" i="29"/>
  <c r="R99" i="29"/>
  <c r="T99" i="29"/>
  <c r="V99" i="29"/>
  <c r="X99" i="29"/>
  <c r="Y99" i="29"/>
  <c r="Z99" i="29"/>
  <c r="AB99" i="29"/>
  <c r="AD99" i="29"/>
  <c r="A100" i="29"/>
  <c r="E100" i="29"/>
  <c r="G100" i="29"/>
  <c r="H100" i="29"/>
  <c r="I100" i="29"/>
  <c r="J100" i="29"/>
  <c r="K100" i="29"/>
  <c r="L100" i="29"/>
  <c r="M100" i="29"/>
  <c r="N100" i="29"/>
  <c r="O100" i="29"/>
  <c r="P100" i="29"/>
  <c r="Q100" i="29"/>
  <c r="R100" i="29"/>
  <c r="T100" i="29"/>
  <c r="V100" i="29"/>
  <c r="X100" i="29"/>
  <c r="Y100" i="29"/>
  <c r="Z100" i="29"/>
  <c r="AB100" i="29"/>
  <c r="AD100" i="29"/>
  <c r="A101" i="29"/>
  <c r="E101" i="29"/>
  <c r="G101" i="29"/>
  <c r="H101" i="29"/>
  <c r="I101" i="29"/>
  <c r="J101" i="29"/>
  <c r="K101" i="29"/>
  <c r="L101" i="29"/>
  <c r="M101" i="29"/>
  <c r="N101" i="29"/>
  <c r="O101" i="29"/>
  <c r="P101" i="29"/>
  <c r="Q101" i="29"/>
  <c r="R101" i="29"/>
  <c r="T101" i="29"/>
  <c r="V101" i="29"/>
  <c r="X101" i="29"/>
  <c r="Y101" i="29"/>
  <c r="Z101" i="29"/>
  <c r="AB101" i="29"/>
  <c r="AD101" i="29"/>
  <c r="A102" i="29"/>
  <c r="E102" i="29"/>
  <c r="G102" i="29"/>
  <c r="H102" i="29"/>
  <c r="I102" i="29"/>
  <c r="J102" i="29"/>
  <c r="K102" i="29"/>
  <c r="L102" i="29"/>
  <c r="M102" i="29"/>
  <c r="N102" i="29"/>
  <c r="O102" i="29"/>
  <c r="P102" i="29"/>
  <c r="Q102" i="29"/>
  <c r="R102" i="29"/>
  <c r="T102" i="29"/>
  <c r="V102" i="29"/>
  <c r="X102" i="29"/>
  <c r="Y102" i="29"/>
  <c r="Z102" i="29"/>
  <c r="AB102" i="29"/>
  <c r="AD102" i="29"/>
  <c r="A103" i="29"/>
  <c r="E103" i="29"/>
  <c r="G103" i="29"/>
  <c r="H103" i="29"/>
  <c r="I103" i="29"/>
  <c r="J103" i="29"/>
  <c r="K103" i="29"/>
  <c r="L103" i="29"/>
  <c r="M103" i="29"/>
  <c r="N103" i="29"/>
  <c r="O103" i="29"/>
  <c r="P103" i="29"/>
  <c r="Q103" i="29"/>
  <c r="R103" i="29"/>
  <c r="T103" i="29"/>
  <c r="V103" i="29"/>
  <c r="X103" i="29"/>
  <c r="Y103" i="29"/>
  <c r="Z103" i="29"/>
  <c r="AB103" i="29"/>
  <c r="AD103" i="29"/>
  <c r="A104" i="29"/>
  <c r="E104" i="29"/>
  <c r="G104" i="29"/>
  <c r="H104" i="29"/>
  <c r="I104" i="29"/>
  <c r="J104" i="29"/>
  <c r="K104" i="29"/>
  <c r="L104" i="29"/>
  <c r="M104" i="29"/>
  <c r="N104" i="29"/>
  <c r="O104" i="29"/>
  <c r="P104" i="29"/>
  <c r="Q104" i="29"/>
  <c r="R104" i="29"/>
  <c r="T104" i="29"/>
  <c r="V104" i="29"/>
  <c r="X104" i="29"/>
  <c r="Y104" i="29"/>
  <c r="Z104" i="29"/>
  <c r="AB104" i="29"/>
  <c r="AD104" i="29"/>
  <c r="A105" i="29"/>
  <c r="G105" i="29"/>
  <c r="H105" i="29"/>
  <c r="I105" i="29"/>
  <c r="J105" i="29"/>
  <c r="K105" i="29"/>
  <c r="L105" i="29"/>
  <c r="M105" i="29"/>
  <c r="N105" i="29"/>
  <c r="AD105" i="29"/>
  <c r="A106" i="29"/>
  <c r="E106" i="29"/>
  <c r="G106" i="29"/>
  <c r="H106" i="29"/>
  <c r="I106" i="29"/>
  <c r="J106" i="29"/>
  <c r="K106" i="29"/>
  <c r="L106" i="29"/>
  <c r="M106" i="29"/>
  <c r="N106" i="29"/>
  <c r="O106" i="29"/>
  <c r="P106" i="29"/>
  <c r="Q106" i="29"/>
  <c r="R106" i="29"/>
  <c r="T106" i="29"/>
  <c r="V106" i="29"/>
  <c r="X106" i="29"/>
  <c r="Y106" i="29"/>
  <c r="Z106" i="29"/>
  <c r="AB106" i="29"/>
  <c r="AD106" i="29"/>
  <c r="A107" i="29"/>
  <c r="E107" i="29"/>
  <c r="G107" i="29"/>
  <c r="H107" i="29"/>
  <c r="I107" i="29"/>
  <c r="J107" i="29"/>
  <c r="K107" i="29"/>
  <c r="L107" i="29"/>
  <c r="M107" i="29"/>
  <c r="N107" i="29"/>
  <c r="O107" i="29"/>
  <c r="P107" i="29"/>
  <c r="Q107" i="29"/>
  <c r="R107" i="29"/>
  <c r="T107" i="29"/>
  <c r="V107" i="29"/>
  <c r="X107" i="29"/>
  <c r="Y107" i="29"/>
  <c r="Z107" i="29"/>
  <c r="AB107" i="29"/>
  <c r="AD107" i="29"/>
  <c r="A108" i="29"/>
  <c r="E108" i="29"/>
  <c r="G108" i="29"/>
  <c r="H108" i="29"/>
  <c r="I108" i="29"/>
  <c r="J108" i="29"/>
  <c r="K108" i="29"/>
  <c r="L108" i="29"/>
  <c r="M108" i="29"/>
  <c r="N108" i="29"/>
  <c r="O108" i="29"/>
  <c r="P108" i="29"/>
  <c r="Q108" i="29"/>
  <c r="R108" i="29"/>
  <c r="T108" i="29"/>
  <c r="V108" i="29"/>
  <c r="X108" i="29"/>
  <c r="Y108" i="29"/>
  <c r="Z108" i="29"/>
  <c r="AB108" i="29"/>
  <c r="AD108" i="29"/>
  <c r="A109" i="29"/>
  <c r="E109" i="29"/>
  <c r="G109" i="29"/>
  <c r="H109" i="29"/>
  <c r="I109" i="29"/>
  <c r="J109" i="29"/>
  <c r="K109" i="29"/>
  <c r="L109" i="29"/>
  <c r="M109" i="29"/>
  <c r="N109" i="29"/>
  <c r="O109" i="29"/>
  <c r="P109" i="29"/>
  <c r="Q109" i="29"/>
  <c r="R109" i="29"/>
  <c r="T109" i="29"/>
  <c r="V109" i="29"/>
  <c r="X109" i="29"/>
  <c r="Y109" i="29"/>
  <c r="Z109" i="29"/>
  <c r="AB109" i="29"/>
  <c r="AD109" i="29"/>
  <c r="A110" i="29"/>
  <c r="G110" i="29"/>
  <c r="H110" i="29"/>
  <c r="I110" i="29"/>
  <c r="J110" i="29"/>
  <c r="K110" i="29"/>
  <c r="L110" i="29"/>
  <c r="M110" i="29"/>
  <c r="N110" i="29"/>
  <c r="AD110" i="29"/>
  <c r="A111" i="29"/>
  <c r="E111" i="29"/>
  <c r="G111" i="29"/>
  <c r="H111" i="29"/>
  <c r="I111" i="29"/>
  <c r="J111" i="29"/>
  <c r="K111" i="29"/>
  <c r="L111" i="29"/>
  <c r="M111" i="29"/>
  <c r="N111" i="29"/>
  <c r="O111" i="29"/>
  <c r="P111" i="29"/>
  <c r="Q111" i="29"/>
  <c r="R111" i="29"/>
  <c r="T111" i="29"/>
  <c r="V111" i="29"/>
  <c r="X111" i="29"/>
  <c r="Y111" i="29"/>
  <c r="Z111" i="29"/>
  <c r="AB111" i="29"/>
  <c r="AD111" i="29"/>
  <c r="A112" i="29"/>
  <c r="E112" i="29"/>
  <c r="G112" i="29"/>
  <c r="H112" i="29"/>
  <c r="I112" i="29"/>
  <c r="J112" i="29"/>
  <c r="K112" i="29"/>
  <c r="L112" i="29"/>
  <c r="M112" i="29"/>
  <c r="N112" i="29"/>
  <c r="O112" i="29"/>
  <c r="P112" i="29"/>
  <c r="Q112" i="29"/>
  <c r="R112" i="29"/>
  <c r="T112" i="29"/>
  <c r="V112" i="29"/>
  <c r="X112" i="29"/>
  <c r="Y112" i="29"/>
  <c r="Z112" i="29"/>
  <c r="AB112" i="29"/>
  <c r="AD112" i="29"/>
  <c r="A113" i="29"/>
  <c r="E113" i="29"/>
  <c r="G113" i="29"/>
  <c r="H113" i="29"/>
  <c r="I113" i="29"/>
  <c r="J113" i="29"/>
  <c r="K113" i="29"/>
  <c r="L113" i="29"/>
  <c r="M113" i="29"/>
  <c r="N113" i="29"/>
  <c r="O113" i="29"/>
  <c r="P113" i="29"/>
  <c r="Q113" i="29"/>
  <c r="R113" i="29"/>
  <c r="T113" i="29"/>
  <c r="V113" i="29"/>
  <c r="X113" i="29"/>
  <c r="Y113" i="29"/>
  <c r="Z113" i="29"/>
  <c r="AB113" i="29"/>
  <c r="AD113" i="29"/>
  <c r="A114" i="29"/>
  <c r="E114" i="29"/>
  <c r="G114" i="29"/>
  <c r="H114" i="29"/>
  <c r="I114" i="29"/>
  <c r="J114" i="29"/>
  <c r="K114" i="29"/>
  <c r="L114" i="29"/>
  <c r="M114" i="29"/>
  <c r="N114" i="29"/>
  <c r="O114" i="29"/>
  <c r="P114" i="29"/>
  <c r="Q114" i="29"/>
  <c r="R114" i="29"/>
  <c r="T114" i="29"/>
  <c r="V114" i="29"/>
  <c r="X114" i="29"/>
  <c r="Y114" i="29"/>
  <c r="Z114" i="29"/>
  <c r="AB114" i="29"/>
  <c r="AD114" i="29"/>
  <c r="A115" i="29"/>
  <c r="E115" i="29"/>
  <c r="G115" i="29"/>
  <c r="H115" i="29"/>
  <c r="I115" i="29"/>
  <c r="J115" i="29"/>
  <c r="K115" i="29"/>
  <c r="L115" i="29"/>
  <c r="M115" i="29"/>
  <c r="N115" i="29"/>
  <c r="O115" i="29"/>
  <c r="P115" i="29"/>
  <c r="Q115" i="29"/>
  <c r="R115" i="29"/>
  <c r="T115" i="29"/>
  <c r="V115" i="29"/>
  <c r="X115" i="29"/>
  <c r="Y115" i="29"/>
  <c r="Z115" i="29"/>
  <c r="AB115" i="29"/>
  <c r="AD115" i="29"/>
  <c r="A116" i="29"/>
  <c r="G116" i="29"/>
  <c r="H116" i="29"/>
  <c r="I116" i="29"/>
  <c r="J116" i="29"/>
  <c r="K116" i="29"/>
  <c r="L116" i="29"/>
  <c r="M116" i="29"/>
  <c r="N116" i="29"/>
  <c r="AD116" i="29"/>
  <c r="A117" i="29"/>
  <c r="E117" i="29"/>
  <c r="G117" i="29"/>
  <c r="H117" i="29"/>
  <c r="I117" i="29"/>
  <c r="J117" i="29"/>
  <c r="K117" i="29"/>
  <c r="L117" i="29"/>
  <c r="M117" i="29"/>
  <c r="N117" i="29"/>
  <c r="O117" i="29"/>
  <c r="P117" i="29"/>
  <c r="Q117" i="29"/>
  <c r="R117" i="29"/>
  <c r="T117" i="29"/>
  <c r="V117" i="29"/>
  <c r="X117" i="29"/>
  <c r="Y117" i="29"/>
  <c r="Z117" i="29"/>
  <c r="AB117" i="29"/>
  <c r="AD117" i="29"/>
  <c r="A118" i="29"/>
  <c r="E118" i="29"/>
  <c r="G118" i="29"/>
  <c r="H118" i="29"/>
  <c r="I118" i="29"/>
  <c r="J118" i="29"/>
  <c r="K118" i="29"/>
  <c r="L118" i="29"/>
  <c r="M118" i="29"/>
  <c r="N118" i="29"/>
  <c r="O118" i="29"/>
  <c r="P118" i="29"/>
  <c r="Q118" i="29"/>
  <c r="R118" i="29"/>
  <c r="T118" i="29"/>
  <c r="V118" i="29"/>
  <c r="X118" i="29"/>
  <c r="Y118" i="29"/>
  <c r="Z118" i="29"/>
  <c r="AB118" i="29"/>
  <c r="AD118" i="29"/>
  <c r="A119" i="29"/>
  <c r="E119" i="29"/>
  <c r="G119" i="29"/>
  <c r="H119" i="29"/>
  <c r="I119" i="29"/>
  <c r="J119" i="29"/>
  <c r="K119" i="29"/>
  <c r="L119" i="29"/>
  <c r="M119" i="29"/>
  <c r="N119" i="29"/>
  <c r="O119" i="29"/>
  <c r="P119" i="29"/>
  <c r="Q119" i="29"/>
  <c r="R119" i="29"/>
  <c r="T119" i="29"/>
  <c r="V119" i="29"/>
  <c r="X119" i="29"/>
  <c r="Y119" i="29"/>
  <c r="Z119" i="29"/>
  <c r="AB119" i="29"/>
  <c r="AD119" i="29"/>
  <c r="A120" i="29"/>
  <c r="E120" i="29"/>
  <c r="G120" i="29"/>
  <c r="H120" i="29"/>
  <c r="I120" i="29"/>
  <c r="J120" i="29"/>
  <c r="K120" i="29"/>
  <c r="L120" i="29"/>
  <c r="M120" i="29"/>
  <c r="N120" i="29"/>
  <c r="O120" i="29"/>
  <c r="P120" i="29"/>
  <c r="Q120" i="29"/>
  <c r="R120" i="29"/>
  <c r="T120" i="29"/>
  <c r="V120" i="29"/>
  <c r="X120" i="29"/>
  <c r="Y120" i="29"/>
  <c r="Z120" i="29"/>
  <c r="AB120" i="29"/>
  <c r="AD120" i="29"/>
  <c r="A121" i="29"/>
  <c r="E121" i="29"/>
  <c r="G121" i="29"/>
  <c r="H121" i="29"/>
  <c r="I121" i="29"/>
  <c r="J121" i="29"/>
  <c r="K121" i="29"/>
  <c r="L121" i="29"/>
  <c r="M121" i="29"/>
  <c r="N121" i="29"/>
  <c r="O121" i="29"/>
  <c r="P121" i="29"/>
  <c r="Q121" i="29"/>
  <c r="R121" i="29"/>
  <c r="T121" i="29"/>
  <c r="V121" i="29"/>
  <c r="X121" i="29"/>
  <c r="Y121" i="29"/>
  <c r="Z121" i="29"/>
  <c r="AB121" i="29"/>
  <c r="AD121" i="29"/>
  <c r="A122" i="29"/>
  <c r="E122" i="29"/>
  <c r="G122" i="29"/>
  <c r="H122" i="29"/>
  <c r="I122" i="29"/>
  <c r="J122" i="29"/>
  <c r="K122" i="29"/>
  <c r="L122" i="29"/>
  <c r="M122" i="29"/>
  <c r="N122" i="29"/>
  <c r="O122" i="29"/>
  <c r="P122" i="29"/>
  <c r="Q122" i="29"/>
  <c r="R122" i="29"/>
  <c r="T122" i="29"/>
  <c r="V122" i="29"/>
  <c r="X122" i="29"/>
  <c r="Y122" i="29"/>
  <c r="Z122" i="29"/>
  <c r="AB122" i="29"/>
  <c r="AD122" i="29"/>
  <c r="A123" i="29"/>
  <c r="E123" i="29"/>
  <c r="G123" i="29"/>
  <c r="H123" i="29"/>
  <c r="I123" i="29"/>
  <c r="J123" i="29"/>
  <c r="K123" i="29"/>
  <c r="L123" i="29"/>
  <c r="M123" i="29"/>
  <c r="N123" i="29"/>
  <c r="O123" i="29"/>
  <c r="P123" i="29"/>
  <c r="Q123" i="29"/>
  <c r="R123" i="29"/>
  <c r="T123" i="29"/>
  <c r="V123" i="29"/>
  <c r="X123" i="29"/>
  <c r="Y123" i="29"/>
  <c r="Z123" i="29"/>
  <c r="AB123" i="29"/>
  <c r="AD123" i="29"/>
  <c r="A124" i="29"/>
  <c r="E124" i="29"/>
  <c r="G124" i="29"/>
  <c r="H124" i="29"/>
  <c r="I124" i="29"/>
  <c r="J124" i="29"/>
  <c r="K124" i="29"/>
  <c r="L124" i="29"/>
  <c r="M124" i="29"/>
  <c r="N124" i="29"/>
  <c r="O124" i="29"/>
  <c r="P124" i="29"/>
  <c r="Q124" i="29"/>
  <c r="R124" i="29"/>
  <c r="T124" i="29"/>
  <c r="V124" i="29"/>
  <c r="X124" i="29"/>
  <c r="Y124" i="29"/>
  <c r="Z124" i="29"/>
  <c r="AB124" i="29"/>
  <c r="AD124" i="29"/>
  <c r="A125" i="29"/>
  <c r="E125" i="29"/>
  <c r="G125" i="29"/>
  <c r="H125" i="29"/>
  <c r="I125" i="29"/>
  <c r="J125" i="29"/>
  <c r="K125" i="29"/>
  <c r="L125" i="29"/>
  <c r="M125" i="29"/>
  <c r="N125" i="29"/>
  <c r="O125" i="29"/>
  <c r="P125" i="29"/>
  <c r="Q125" i="29"/>
  <c r="R125" i="29"/>
  <c r="T125" i="29"/>
  <c r="V125" i="29"/>
  <c r="X125" i="29"/>
  <c r="Y125" i="29"/>
  <c r="Z125" i="29"/>
  <c r="AB125" i="29"/>
  <c r="AD125" i="29"/>
  <c r="A126" i="29"/>
  <c r="E126" i="29"/>
  <c r="G126" i="29"/>
  <c r="H126" i="29"/>
  <c r="I126" i="29"/>
  <c r="J126" i="29"/>
  <c r="K126" i="29"/>
  <c r="L126" i="29"/>
  <c r="M126" i="29"/>
  <c r="N126" i="29"/>
  <c r="O126" i="29"/>
  <c r="P126" i="29"/>
  <c r="Q126" i="29"/>
  <c r="R126" i="29"/>
  <c r="T126" i="29"/>
  <c r="V126" i="29"/>
  <c r="X126" i="29"/>
  <c r="Y126" i="29"/>
  <c r="Z126" i="29"/>
  <c r="AB126" i="29"/>
  <c r="AD126" i="29"/>
  <c r="A127" i="29"/>
  <c r="E127" i="29"/>
  <c r="G127" i="29"/>
  <c r="H127" i="29"/>
  <c r="I127" i="29"/>
  <c r="J127" i="29"/>
  <c r="K127" i="29"/>
  <c r="L127" i="29"/>
  <c r="M127" i="29"/>
  <c r="N127" i="29"/>
  <c r="O127" i="29"/>
  <c r="P127" i="29"/>
  <c r="Q127" i="29"/>
  <c r="R127" i="29"/>
  <c r="T127" i="29"/>
  <c r="V127" i="29"/>
  <c r="X127" i="29"/>
  <c r="Y127" i="29"/>
  <c r="Z127" i="29"/>
  <c r="AB127" i="29"/>
  <c r="AD127" i="29"/>
  <c r="A128" i="29"/>
  <c r="E128" i="29"/>
  <c r="G128" i="29"/>
  <c r="H128" i="29"/>
  <c r="I128" i="29"/>
  <c r="J128" i="29"/>
  <c r="K128" i="29"/>
  <c r="L128" i="29"/>
  <c r="M128" i="29"/>
  <c r="N128" i="29"/>
  <c r="O128" i="29"/>
  <c r="P128" i="29"/>
  <c r="Q128" i="29"/>
  <c r="R128" i="29"/>
  <c r="T128" i="29"/>
  <c r="V128" i="29"/>
  <c r="X128" i="29"/>
  <c r="Y128" i="29"/>
  <c r="Z128" i="29"/>
  <c r="AB128" i="29"/>
  <c r="AD128" i="29"/>
  <c r="A129" i="29"/>
  <c r="G129" i="29"/>
  <c r="H129" i="29"/>
  <c r="I129" i="29"/>
  <c r="J129" i="29"/>
  <c r="K129" i="29"/>
  <c r="L129" i="29"/>
  <c r="M129" i="29"/>
  <c r="N129" i="29"/>
  <c r="AD129" i="29"/>
  <c r="A130" i="29"/>
  <c r="G130" i="29"/>
  <c r="H130" i="29"/>
  <c r="I130" i="29"/>
  <c r="J130" i="29"/>
  <c r="K130" i="29"/>
  <c r="L130" i="29"/>
  <c r="M130" i="29"/>
  <c r="N130" i="29"/>
  <c r="P130" i="29"/>
  <c r="R130" i="29"/>
  <c r="T130" i="29"/>
  <c r="Z130" i="29"/>
  <c r="AD130" i="29"/>
  <c r="A131" i="29"/>
  <c r="E131" i="29"/>
  <c r="G131" i="29"/>
  <c r="H131" i="29"/>
  <c r="I131" i="29"/>
  <c r="J131" i="29"/>
  <c r="K131" i="29"/>
  <c r="L131" i="29"/>
  <c r="M131" i="29"/>
  <c r="N131" i="29"/>
  <c r="O131" i="29"/>
  <c r="P131" i="29"/>
  <c r="Q131" i="29"/>
  <c r="R131" i="29"/>
  <c r="T131" i="29"/>
  <c r="V131" i="29"/>
  <c r="X131" i="29"/>
  <c r="Y131" i="29"/>
  <c r="Z131" i="29"/>
  <c r="AB131" i="29"/>
  <c r="AD131" i="29"/>
  <c r="A132" i="29"/>
  <c r="E132" i="29"/>
  <c r="G132" i="29"/>
  <c r="H132" i="29"/>
  <c r="I132" i="29"/>
  <c r="J132" i="29"/>
  <c r="K132" i="29"/>
  <c r="L132" i="29"/>
  <c r="M132" i="29"/>
  <c r="N132" i="29"/>
  <c r="O132" i="29"/>
  <c r="P132" i="29"/>
  <c r="Q132" i="29"/>
  <c r="R132" i="29"/>
  <c r="T132" i="29"/>
  <c r="V132" i="29"/>
  <c r="X132" i="29"/>
  <c r="Y132" i="29"/>
  <c r="Z132" i="29"/>
  <c r="AB132" i="29"/>
  <c r="AD132" i="29"/>
  <c r="A133" i="29"/>
  <c r="E133" i="29"/>
  <c r="G133" i="29"/>
  <c r="H133" i="29"/>
  <c r="I133" i="29"/>
  <c r="J133" i="29"/>
  <c r="K133" i="29"/>
  <c r="L133" i="29"/>
  <c r="M133" i="29"/>
  <c r="N133" i="29"/>
  <c r="O133" i="29"/>
  <c r="P133" i="29"/>
  <c r="Q133" i="29"/>
  <c r="R133" i="29"/>
  <c r="T133" i="29"/>
  <c r="V133" i="29"/>
  <c r="X133" i="29"/>
  <c r="Y133" i="29"/>
  <c r="Z133" i="29"/>
  <c r="AB133" i="29"/>
  <c r="AD133" i="29"/>
  <c r="A134" i="29"/>
  <c r="E134" i="29"/>
  <c r="G134" i="29"/>
  <c r="H134" i="29"/>
  <c r="I134" i="29"/>
  <c r="J134" i="29"/>
  <c r="K134" i="29"/>
  <c r="L134" i="29"/>
  <c r="M134" i="29"/>
  <c r="N134" i="29"/>
  <c r="O134" i="29"/>
  <c r="P134" i="29"/>
  <c r="Q134" i="29"/>
  <c r="R134" i="29"/>
  <c r="T134" i="29"/>
  <c r="V134" i="29"/>
  <c r="X134" i="29"/>
  <c r="Y134" i="29"/>
  <c r="Z134" i="29"/>
  <c r="AB134" i="29"/>
  <c r="AD134" i="29"/>
  <c r="A135" i="29"/>
  <c r="E135" i="29"/>
  <c r="G135" i="29"/>
  <c r="H135" i="29"/>
  <c r="I135" i="29"/>
  <c r="J135" i="29"/>
  <c r="K135" i="29"/>
  <c r="L135" i="29"/>
  <c r="M135" i="29"/>
  <c r="N135" i="29"/>
  <c r="O135" i="29"/>
  <c r="P135" i="29"/>
  <c r="Q135" i="29"/>
  <c r="R135" i="29"/>
  <c r="T135" i="29"/>
  <c r="V135" i="29"/>
  <c r="X135" i="29"/>
  <c r="Y135" i="29"/>
  <c r="Z135" i="29"/>
  <c r="AB135" i="29"/>
  <c r="AD135" i="29"/>
  <c r="A136" i="29"/>
  <c r="E136" i="29"/>
  <c r="G136" i="29"/>
  <c r="H136" i="29"/>
  <c r="I136" i="29"/>
  <c r="J136" i="29"/>
  <c r="K136" i="29"/>
  <c r="L136" i="29"/>
  <c r="M136" i="29"/>
  <c r="N136" i="29"/>
  <c r="O136" i="29"/>
  <c r="P136" i="29"/>
  <c r="Q136" i="29"/>
  <c r="R136" i="29"/>
  <c r="T136" i="29"/>
  <c r="V136" i="29"/>
  <c r="X136" i="29"/>
  <c r="Y136" i="29"/>
  <c r="Z136" i="29"/>
  <c r="AB136" i="29"/>
  <c r="AD136" i="29"/>
  <c r="A137" i="29"/>
  <c r="E137" i="29"/>
  <c r="G137" i="29"/>
  <c r="H137" i="29"/>
  <c r="I137" i="29"/>
  <c r="J137" i="29"/>
  <c r="K137" i="29"/>
  <c r="L137" i="29"/>
  <c r="M137" i="29"/>
  <c r="N137" i="29"/>
  <c r="O137" i="29"/>
  <c r="P137" i="29"/>
  <c r="Q137" i="29"/>
  <c r="R137" i="29"/>
  <c r="T137" i="29"/>
  <c r="V137" i="29"/>
  <c r="X137" i="29"/>
  <c r="Y137" i="29"/>
  <c r="Z137" i="29"/>
  <c r="AB137" i="29"/>
  <c r="AD137" i="29"/>
  <c r="A138" i="29"/>
  <c r="E138" i="29"/>
  <c r="G138" i="29"/>
  <c r="H138" i="29"/>
  <c r="I138" i="29"/>
  <c r="J138" i="29"/>
  <c r="K138" i="29"/>
  <c r="L138" i="29"/>
  <c r="M138" i="29"/>
  <c r="N138" i="29"/>
  <c r="O138" i="29"/>
  <c r="P138" i="29"/>
  <c r="Q138" i="29"/>
  <c r="R138" i="29"/>
  <c r="T138" i="29"/>
  <c r="V138" i="29"/>
  <c r="X138" i="29"/>
  <c r="Y138" i="29"/>
  <c r="Z138" i="29"/>
  <c r="AB138" i="29"/>
  <c r="AD138" i="29"/>
  <c r="A139" i="29"/>
  <c r="E139" i="29"/>
  <c r="G139" i="29"/>
  <c r="H139" i="29"/>
  <c r="I139" i="29"/>
  <c r="J139" i="29"/>
  <c r="K139" i="29"/>
  <c r="L139" i="29"/>
  <c r="M139" i="29"/>
  <c r="N139" i="29"/>
  <c r="O139" i="29"/>
  <c r="P139" i="29"/>
  <c r="Q139" i="29"/>
  <c r="R139" i="29"/>
  <c r="T139" i="29"/>
  <c r="V139" i="29"/>
  <c r="X139" i="29"/>
  <c r="Y139" i="29"/>
  <c r="Z139" i="29"/>
  <c r="AB139" i="29"/>
  <c r="AD139" i="29"/>
  <c r="A140" i="29"/>
  <c r="E140" i="29"/>
  <c r="G140" i="29"/>
  <c r="H140" i="29"/>
  <c r="I140" i="29"/>
  <c r="J140" i="29"/>
  <c r="K140" i="29"/>
  <c r="L140" i="29"/>
  <c r="M140" i="29"/>
  <c r="N140" i="29"/>
  <c r="O140" i="29"/>
  <c r="P140" i="29"/>
  <c r="Q140" i="29"/>
  <c r="R140" i="29"/>
  <c r="T140" i="29"/>
  <c r="V140" i="29"/>
  <c r="X140" i="29"/>
  <c r="Y140" i="29"/>
  <c r="Z140" i="29"/>
  <c r="AB140" i="29"/>
  <c r="AD140" i="29"/>
  <c r="A141" i="29"/>
  <c r="E141" i="29"/>
  <c r="G141" i="29"/>
  <c r="H141" i="29"/>
  <c r="I141" i="29"/>
  <c r="J141" i="29"/>
  <c r="K141" i="29"/>
  <c r="L141" i="29"/>
  <c r="M141" i="29"/>
  <c r="N141" i="29"/>
  <c r="O141" i="29"/>
  <c r="P141" i="29"/>
  <c r="Q141" i="29"/>
  <c r="R141" i="29"/>
  <c r="T141" i="29"/>
  <c r="V141" i="29"/>
  <c r="X141" i="29"/>
  <c r="Y141" i="29"/>
  <c r="Z141" i="29"/>
  <c r="AB141" i="29"/>
  <c r="AD141" i="29"/>
  <c r="A142" i="29"/>
  <c r="E142" i="29"/>
  <c r="G142" i="29"/>
  <c r="H142" i="29"/>
  <c r="I142" i="29"/>
  <c r="J142" i="29"/>
  <c r="K142" i="29"/>
  <c r="L142" i="29"/>
  <c r="M142" i="29"/>
  <c r="N142" i="29"/>
  <c r="O142" i="29"/>
  <c r="P142" i="29"/>
  <c r="Q142" i="29"/>
  <c r="R142" i="29"/>
  <c r="T142" i="29"/>
  <c r="V142" i="29"/>
  <c r="X142" i="29"/>
  <c r="Y142" i="29"/>
  <c r="Z142" i="29"/>
  <c r="AB142" i="29"/>
  <c r="AD142" i="29"/>
  <c r="A143" i="29"/>
  <c r="E143" i="29"/>
  <c r="G143" i="29"/>
  <c r="H143" i="29"/>
  <c r="I143" i="29"/>
  <c r="J143" i="29"/>
  <c r="K143" i="29"/>
  <c r="L143" i="29"/>
  <c r="M143" i="29"/>
  <c r="N143" i="29"/>
  <c r="O143" i="29"/>
  <c r="P143" i="29"/>
  <c r="Q143" i="29"/>
  <c r="R143" i="29"/>
  <c r="T143" i="29"/>
  <c r="V143" i="29"/>
  <c r="X143" i="29"/>
  <c r="Y143" i="29"/>
  <c r="Z143" i="29"/>
  <c r="AB143" i="29"/>
  <c r="AD143" i="29"/>
  <c r="A144" i="29"/>
  <c r="G144" i="29"/>
  <c r="H144" i="29"/>
  <c r="I144" i="29"/>
  <c r="J144" i="29"/>
  <c r="K144" i="29"/>
  <c r="L144" i="29"/>
  <c r="M144" i="29"/>
  <c r="N144" i="29"/>
  <c r="P144" i="29"/>
  <c r="R144" i="29"/>
  <c r="T144" i="29"/>
  <c r="Z144" i="29"/>
  <c r="AD144" i="29"/>
  <c r="A145" i="29"/>
  <c r="E145" i="29"/>
  <c r="G145" i="29"/>
  <c r="H145" i="29"/>
  <c r="I145" i="29"/>
  <c r="J145" i="29"/>
  <c r="K145" i="29"/>
  <c r="L145" i="29"/>
  <c r="M145" i="29"/>
  <c r="N145" i="29"/>
  <c r="O145" i="29"/>
  <c r="P145" i="29"/>
  <c r="Q145" i="29"/>
  <c r="R145" i="29"/>
  <c r="T145" i="29"/>
  <c r="V145" i="29"/>
  <c r="X145" i="29"/>
  <c r="Y145" i="29"/>
  <c r="Z145" i="29"/>
  <c r="AB145" i="29"/>
  <c r="AD145" i="29"/>
  <c r="A146" i="29"/>
  <c r="E146" i="29"/>
  <c r="G146" i="29"/>
  <c r="H146" i="29"/>
  <c r="I146" i="29"/>
  <c r="J146" i="29"/>
  <c r="K146" i="29"/>
  <c r="L146" i="29"/>
  <c r="M146" i="29"/>
  <c r="N146" i="29"/>
  <c r="O146" i="29"/>
  <c r="P146" i="29"/>
  <c r="Q146" i="29"/>
  <c r="R146" i="29"/>
  <c r="T146" i="29"/>
  <c r="V146" i="29"/>
  <c r="X146" i="29"/>
  <c r="Y146" i="29"/>
  <c r="Z146" i="29"/>
  <c r="AB146" i="29"/>
  <c r="AD146" i="29"/>
  <c r="A147" i="29"/>
  <c r="E147" i="29"/>
  <c r="G147" i="29"/>
  <c r="H147" i="29"/>
  <c r="I147" i="29"/>
  <c r="J147" i="29"/>
  <c r="K147" i="29"/>
  <c r="L147" i="29"/>
  <c r="M147" i="29"/>
  <c r="N147" i="29"/>
  <c r="O147" i="29"/>
  <c r="P147" i="29"/>
  <c r="Q147" i="29"/>
  <c r="R147" i="29"/>
  <c r="T147" i="29"/>
  <c r="V147" i="29"/>
  <c r="X147" i="29"/>
  <c r="Y147" i="29"/>
  <c r="Z147" i="29"/>
  <c r="AB147" i="29"/>
  <c r="AD147" i="29"/>
  <c r="A148" i="29"/>
  <c r="G148" i="29"/>
  <c r="H148" i="29"/>
  <c r="I148" i="29"/>
  <c r="J148" i="29"/>
  <c r="K148" i="29"/>
  <c r="L148" i="29"/>
  <c r="M148" i="29"/>
  <c r="N148" i="29"/>
  <c r="P148" i="29"/>
  <c r="R148" i="29"/>
  <c r="T148" i="29"/>
  <c r="Z148" i="29"/>
  <c r="AD148" i="29"/>
  <c r="A149" i="29"/>
  <c r="G149" i="29"/>
  <c r="H149" i="29"/>
  <c r="I149" i="29"/>
  <c r="J149" i="29"/>
  <c r="K149" i="29"/>
  <c r="L149" i="29"/>
  <c r="M149" i="29"/>
  <c r="N149" i="29"/>
  <c r="R149" i="29"/>
  <c r="T149" i="29"/>
  <c r="Z149" i="29"/>
  <c r="AD149" i="29"/>
  <c r="A150" i="29"/>
  <c r="E150" i="29"/>
  <c r="G150" i="29"/>
  <c r="H150" i="29"/>
  <c r="I150" i="29"/>
  <c r="J150" i="29"/>
  <c r="K150" i="29"/>
  <c r="L150" i="29"/>
  <c r="M150" i="29"/>
  <c r="N150" i="29"/>
  <c r="O150" i="29"/>
  <c r="P150" i="29"/>
  <c r="Q150" i="29"/>
  <c r="R150" i="29"/>
  <c r="T150" i="29"/>
  <c r="V150" i="29"/>
  <c r="X150" i="29"/>
  <c r="Y150" i="29"/>
  <c r="Z150" i="29"/>
  <c r="AB150" i="29"/>
  <c r="AD150" i="29"/>
  <c r="A151" i="29"/>
  <c r="E151" i="29"/>
  <c r="G151" i="29"/>
  <c r="H151" i="29"/>
  <c r="I151" i="29"/>
  <c r="J151" i="29"/>
  <c r="K151" i="29"/>
  <c r="L151" i="29"/>
  <c r="M151" i="29"/>
  <c r="N151" i="29"/>
  <c r="O151" i="29"/>
  <c r="P151" i="29"/>
  <c r="Q151" i="29"/>
  <c r="R151" i="29"/>
  <c r="T151" i="29"/>
  <c r="V151" i="29"/>
  <c r="X151" i="29"/>
  <c r="Y151" i="29"/>
  <c r="Z151" i="29"/>
  <c r="AB151" i="29"/>
  <c r="AD151" i="29"/>
  <c r="A152" i="29"/>
  <c r="G152" i="29"/>
  <c r="H152" i="29"/>
  <c r="I152" i="29"/>
  <c r="J152" i="29"/>
  <c r="K152" i="29"/>
  <c r="L152" i="29"/>
  <c r="M152" i="29"/>
  <c r="N152" i="29"/>
  <c r="AD152" i="29"/>
  <c r="A153" i="29"/>
  <c r="E153" i="29"/>
  <c r="G153" i="29"/>
  <c r="H153" i="29"/>
  <c r="I153" i="29"/>
  <c r="J153" i="29"/>
  <c r="K153" i="29"/>
  <c r="L153" i="29"/>
  <c r="M153" i="29"/>
  <c r="N153" i="29"/>
  <c r="O153" i="29"/>
  <c r="P153" i="29"/>
  <c r="Q153" i="29"/>
  <c r="R153" i="29"/>
  <c r="T153" i="29"/>
  <c r="V153" i="29"/>
  <c r="X153" i="29"/>
  <c r="Y153" i="29"/>
  <c r="Z153" i="29"/>
  <c r="AB153" i="29"/>
  <c r="AD153" i="29"/>
  <c r="A154" i="29"/>
  <c r="G154" i="29"/>
  <c r="H154" i="29"/>
  <c r="I154" i="29"/>
  <c r="J154" i="29"/>
  <c r="K154" i="29"/>
  <c r="L154" i="29"/>
  <c r="M154" i="29"/>
  <c r="N154" i="29"/>
  <c r="AD154" i="29"/>
  <c r="A155" i="29"/>
  <c r="E155" i="29"/>
  <c r="G155" i="29"/>
  <c r="H155" i="29"/>
  <c r="I155" i="29"/>
  <c r="J155" i="29"/>
  <c r="K155" i="29"/>
  <c r="L155" i="29"/>
  <c r="M155" i="29"/>
  <c r="N155" i="29"/>
  <c r="O155" i="29"/>
  <c r="P155" i="29"/>
  <c r="Q155" i="29"/>
  <c r="R155" i="29"/>
  <c r="T155" i="29"/>
  <c r="V155" i="29"/>
  <c r="X155" i="29"/>
  <c r="Y155" i="29"/>
  <c r="Z155" i="29"/>
  <c r="AB155" i="29"/>
  <c r="AD155" i="29"/>
  <c r="A156" i="29"/>
  <c r="E156" i="29"/>
  <c r="G156" i="29"/>
  <c r="H156" i="29"/>
  <c r="I156" i="29"/>
  <c r="J156" i="29"/>
  <c r="K156" i="29"/>
  <c r="L156" i="29"/>
  <c r="M156" i="29"/>
  <c r="N156" i="29"/>
  <c r="O156" i="29"/>
  <c r="P156" i="29"/>
  <c r="Q156" i="29"/>
  <c r="R156" i="29"/>
  <c r="T156" i="29"/>
  <c r="V156" i="29"/>
  <c r="X156" i="29"/>
  <c r="Y156" i="29"/>
  <c r="Z156" i="29"/>
  <c r="AB156" i="29"/>
  <c r="AD156" i="29"/>
  <c r="A157" i="29"/>
  <c r="E157" i="29"/>
  <c r="G157" i="29"/>
  <c r="H157" i="29"/>
  <c r="I157" i="29"/>
  <c r="J157" i="29"/>
  <c r="K157" i="29"/>
  <c r="L157" i="29"/>
  <c r="M157" i="29"/>
  <c r="N157" i="29"/>
  <c r="O157" i="29"/>
  <c r="P157" i="29"/>
  <c r="Q157" i="29"/>
  <c r="R157" i="29"/>
  <c r="T157" i="29"/>
  <c r="V157" i="29"/>
  <c r="X157" i="29"/>
  <c r="Y157" i="29"/>
  <c r="Z157" i="29"/>
  <c r="AB157" i="29"/>
  <c r="AD157" i="29"/>
  <c r="A158" i="29"/>
  <c r="E158" i="29"/>
  <c r="G158" i="29"/>
  <c r="H158" i="29"/>
  <c r="I158" i="29"/>
  <c r="J158" i="29"/>
  <c r="K158" i="29"/>
  <c r="L158" i="29"/>
  <c r="M158" i="29"/>
  <c r="N158" i="29"/>
  <c r="O158" i="29"/>
  <c r="P158" i="29"/>
  <c r="Q158" i="29"/>
  <c r="R158" i="29"/>
  <c r="T158" i="29"/>
  <c r="V158" i="29"/>
  <c r="X158" i="29"/>
  <c r="Y158" i="29"/>
  <c r="Z158" i="29"/>
  <c r="AB158" i="29"/>
  <c r="AD158" i="29"/>
  <c r="A159" i="29"/>
  <c r="E159" i="29"/>
  <c r="G159" i="29"/>
  <c r="H159" i="29"/>
  <c r="I159" i="29"/>
  <c r="J159" i="29"/>
  <c r="K159" i="29"/>
  <c r="L159" i="29"/>
  <c r="M159" i="29"/>
  <c r="N159" i="29"/>
  <c r="O159" i="29"/>
  <c r="P159" i="29"/>
  <c r="Q159" i="29"/>
  <c r="R159" i="29"/>
  <c r="T159" i="29"/>
  <c r="V159" i="29"/>
  <c r="X159" i="29"/>
  <c r="Y159" i="29"/>
  <c r="Z159" i="29"/>
  <c r="AB159" i="29"/>
  <c r="AD159" i="29"/>
  <c r="A160" i="29"/>
  <c r="E160" i="29"/>
  <c r="G160" i="29"/>
  <c r="H160" i="29"/>
  <c r="I160" i="29"/>
  <c r="J160" i="29"/>
  <c r="K160" i="29"/>
  <c r="L160" i="29"/>
  <c r="M160" i="29"/>
  <c r="N160" i="29"/>
  <c r="O160" i="29"/>
  <c r="P160" i="29"/>
  <c r="Q160" i="29"/>
  <c r="R160" i="29"/>
  <c r="T160" i="29"/>
  <c r="V160" i="29"/>
  <c r="X160" i="29"/>
  <c r="Y160" i="29"/>
  <c r="Z160" i="29"/>
  <c r="AB160" i="29"/>
  <c r="AD160" i="29"/>
  <c r="A161" i="29"/>
  <c r="E161" i="29"/>
  <c r="G161" i="29"/>
  <c r="H161" i="29"/>
  <c r="I161" i="29"/>
  <c r="J161" i="29"/>
  <c r="K161" i="29"/>
  <c r="L161" i="29"/>
  <c r="M161" i="29"/>
  <c r="N161" i="29"/>
  <c r="O161" i="29"/>
  <c r="P161" i="29"/>
  <c r="Q161" i="29"/>
  <c r="R161" i="29"/>
  <c r="T161" i="29"/>
  <c r="V161" i="29"/>
  <c r="X161" i="29"/>
  <c r="Y161" i="29"/>
  <c r="Z161" i="29"/>
  <c r="AB161" i="29"/>
  <c r="AD161" i="29"/>
  <c r="A162" i="29"/>
  <c r="E162" i="29"/>
  <c r="G162" i="29"/>
  <c r="H162" i="29"/>
  <c r="I162" i="29"/>
  <c r="J162" i="29"/>
  <c r="K162" i="29"/>
  <c r="L162" i="29"/>
  <c r="M162" i="29"/>
  <c r="N162" i="29"/>
  <c r="O162" i="29"/>
  <c r="P162" i="29"/>
  <c r="Q162" i="29"/>
  <c r="R162" i="29"/>
  <c r="T162" i="29"/>
  <c r="V162" i="29"/>
  <c r="X162" i="29"/>
  <c r="Y162" i="29"/>
  <c r="Z162" i="29"/>
  <c r="AB162" i="29"/>
  <c r="AD162" i="29"/>
  <c r="A163" i="29"/>
  <c r="G163" i="29"/>
  <c r="H163" i="29"/>
  <c r="I163" i="29"/>
  <c r="J163" i="29"/>
  <c r="K163" i="29"/>
  <c r="L163" i="29"/>
  <c r="M163" i="29"/>
  <c r="N163" i="29"/>
  <c r="AD163" i="29"/>
  <c r="A164" i="29"/>
  <c r="E164" i="29"/>
  <c r="G164" i="29"/>
  <c r="H164" i="29"/>
  <c r="I164" i="29"/>
  <c r="J164" i="29"/>
  <c r="K164" i="29"/>
  <c r="L164" i="29"/>
  <c r="M164" i="29"/>
  <c r="N164" i="29"/>
  <c r="O164" i="29"/>
  <c r="P164" i="29"/>
  <c r="Q164" i="29"/>
  <c r="R164" i="29"/>
  <c r="T164" i="29"/>
  <c r="V164" i="29"/>
  <c r="X164" i="29"/>
  <c r="Y164" i="29"/>
  <c r="Z164" i="29"/>
  <c r="AB164" i="29"/>
  <c r="AD164" i="29"/>
  <c r="A165" i="29"/>
  <c r="E165" i="29"/>
  <c r="G165" i="29"/>
  <c r="H165" i="29"/>
  <c r="I165" i="29"/>
  <c r="J165" i="29"/>
  <c r="K165" i="29"/>
  <c r="L165" i="29"/>
  <c r="M165" i="29"/>
  <c r="N165" i="29"/>
  <c r="O165" i="29"/>
  <c r="P165" i="29"/>
  <c r="Q165" i="29"/>
  <c r="R165" i="29"/>
  <c r="T165" i="29"/>
  <c r="V165" i="29"/>
  <c r="X165" i="29"/>
  <c r="Y165" i="29"/>
  <c r="Z165" i="29"/>
  <c r="AB165" i="29"/>
  <c r="AD165" i="29"/>
  <c r="A166" i="29"/>
  <c r="E166" i="29"/>
  <c r="G166" i="29"/>
  <c r="H166" i="29"/>
  <c r="I166" i="29"/>
  <c r="J166" i="29"/>
  <c r="K166" i="29"/>
  <c r="L166" i="29"/>
  <c r="M166" i="29"/>
  <c r="N166" i="29"/>
  <c r="O166" i="29"/>
  <c r="P166" i="29"/>
  <c r="Q166" i="29"/>
  <c r="R166" i="29"/>
  <c r="T166" i="29"/>
  <c r="V166" i="29"/>
  <c r="X166" i="29"/>
  <c r="Y166" i="29"/>
  <c r="Z166" i="29"/>
  <c r="AB166" i="29"/>
  <c r="AD166" i="29"/>
  <c r="A167" i="29"/>
  <c r="E167" i="29"/>
  <c r="G167" i="29"/>
  <c r="H167" i="29"/>
  <c r="I167" i="29"/>
  <c r="J167" i="29"/>
  <c r="K167" i="29"/>
  <c r="L167" i="29"/>
  <c r="M167" i="29"/>
  <c r="N167" i="29"/>
  <c r="O167" i="29"/>
  <c r="P167" i="29"/>
  <c r="Q167" i="29"/>
  <c r="R167" i="29"/>
  <c r="T167" i="29"/>
  <c r="V167" i="29"/>
  <c r="X167" i="29"/>
  <c r="Y167" i="29"/>
  <c r="Z167" i="29"/>
  <c r="AB167" i="29"/>
  <c r="AD167" i="29"/>
  <c r="A168" i="29"/>
  <c r="E168" i="29"/>
  <c r="G168" i="29"/>
  <c r="H168" i="29"/>
  <c r="I168" i="29"/>
  <c r="J168" i="29"/>
  <c r="K168" i="29"/>
  <c r="L168" i="29"/>
  <c r="M168" i="29"/>
  <c r="N168" i="29"/>
  <c r="O168" i="29"/>
  <c r="P168" i="29"/>
  <c r="Q168" i="29"/>
  <c r="R168" i="29"/>
  <c r="T168" i="29"/>
  <c r="V168" i="29"/>
  <c r="X168" i="29"/>
  <c r="Y168" i="29"/>
  <c r="Z168" i="29"/>
  <c r="AB168" i="29"/>
  <c r="AD168" i="29"/>
  <c r="A169" i="29"/>
  <c r="E169" i="29"/>
  <c r="G169" i="29"/>
  <c r="H169" i="29"/>
  <c r="I169" i="29"/>
  <c r="J169" i="29"/>
  <c r="K169" i="29"/>
  <c r="L169" i="29"/>
  <c r="M169" i="29"/>
  <c r="N169" i="29"/>
  <c r="O169" i="29"/>
  <c r="P169" i="29"/>
  <c r="Q169" i="29"/>
  <c r="R169" i="29"/>
  <c r="T169" i="29"/>
  <c r="V169" i="29"/>
  <c r="X169" i="29"/>
  <c r="Y169" i="29"/>
  <c r="Z169" i="29"/>
  <c r="AB169" i="29"/>
  <c r="AD169" i="29"/>
  <c r="A170" i="29"/>
  <c r="E170" i="29"/>
  <c r="G170" i="29"/>
  <c r="H170" i="29"/>
  <c r="I170" i="29"/>
  <c r="J170" i="29"/>
  <c r="K170" i="29"/>
  <c r="L170" i="29"/>
  <c r="M170" i="29"/>
  <c r="N170" i="29"/>
  <c r="O170" i="29"/>
  <c r="P170" i="29"/>
  <c r="Q170" i="29"/>
  <c r="R170" i="29"/>
  <c r="T170" i="29"/>
  <c r="V170" i="29"/>
  <c r="X170" i="29"/>
  <c r="Y170" i="29"/>
  <c r="Z170" i="29"/>
  <c r="AB170" i="29"/>
  <c r="AD170" i="29"/>
  <c r="A171" i="29"/>
  <c r="G171" i="29"/>
  <c r="H171" i="29"/>
  <c r="I171" i="29"/>
  <c r="J171" i="29"/>
  <c r="K171" i="29"/>
  <c r="L171" i="29"/>
  <c r="M171" i="29"/>
  <c r="N171" i="29"/>
  <c r="P171" i="29"/>
  <c r="R171" i="29"/>
  <c r="T171" i="29"/>
  <c r="Z171" i="29"/>
  <c r="AD171" i="29"/>
  <c r="A172" i="29"/>
  <c r="E172" i="29"/>
  <c r="G172" i="29"/>
  <c r="H172" i="29"/>
  <c r="I172" i="29"/>
  <c r="J172" i="29"/>
  <c r="K172" i="29"/>
  <c r="L172" i="29"/>
  <c r="M172" i="29"/>
  <c r="N172" i="29"/>
  <c r="O172" i="29"/>
  <c r="P172" i="29"/>
  <c r="Q172" i="29"/>
  <c r="R172" i="29"/>
  <c r="T172" i="29"/>
  <c r="V172" i="29"/>
  <c r="X172" i="29"/>
  <c r="Y172" i="29"/>
  <c r="Z172" i="29"/>
  <c r="AB172" i="29"/>
  <c r="AD172" i="29"/>
  <c r="A173" i="29"/>
  <c r="E173" i="29"/>
  <c r="G173" i="29"/>
  <c r="H173" i="29"/>
  <c r="I173" i="29"/>
  <c r="J173" i="29"/>
  <c r="K173" i="29"/>
  <c r="L173" i="29"/>
  <c r="M173" i="29"/>
  <c r="N173" i="29"/>
  <c r="O173" i="29"/>
  <c r="P173" i="29"/>
  <c r="Q173" i="29"/>
  <c r="R173" i="29"/>
  <c r="T173" i="29"/>
  <c r="V173" i="29"/>
  <c r="X173" i="29"/>
  <c r="Y173" i="29"/>
  <c r="Z173" i="29"/>
  <c r="AB173" i="29"/>
  <c r="AD173" i="29"/>
  <c r="A174" i="29"/>
  <c r="E174" i="29"/>
  <c r="G174" i="29"/>
  <c r="H174" i="29"/>
  <c r="I174" i="29"/>
  <c r="J174" i="29"/>
  <c r="K174" i="29"/>
  <c r="L174" i="29"/>
  <c r="M174" i="29"/>
  <c r="N174" i="29"/>
  <c r="O174" i="29"/>
  <c r="P174" i="29"/>
  <c r="Q174" i="29"/>
  <c r="R174" i="29"/>
  <c r="T174" i="29"/>
  <c r="V174" i="29"/>
  <c r="X174" i="29"/>
  <c r="Y174" i="29"/>
  <c r="Z174" i="29"/>
  <c r="AB174" i="29"/>
  <c r="AD174" i="29"/>
  <c r="A175" i="29"/>
  <c r="E175" i="29"/>
  <c r="G175" i="29"/>
  <c r="H175" i="29"/>
  <c r="I175" i="29"/>
  <c r="J175" i="29"/>
  <c r="K175" i="29"/>
  <c r="L175" i="29"/>
  <c r="M175" i="29"/>
  <c r="N175" i="29"/>
  <c r="O175" i="29"/>
  <c r="P175" i="29"/>
  <c r="Q175" i="29"/>
  <c r="R175" i="29"/>
  <c r="T175" i="29"/>
  <c r="V175" i="29"/>
  <c r="X175" i="29"/>
  <c r="Y175" i="29"/>
  <c r="Z175" i="29"/>
  <c r="AB175" i="29"/>
  <c r="AD175" i="29"/>
  <c r="A176" i="29"/>
  <c r="E176" i="29"/>
  <c r="G176" i="29"/>
  <c r="H176" i="29"/>
  <c r="I176" i="29"/>
  <c r="J176" i="29"/>
  <c r="K176" i="29"/>
  <c r="L176" i="29"/>
  <c r="M176" i="29"/>
  <c r="N176" i="29"/>
  <c r="O176" i="29"/>
  <c r="P176" i="29"/>
  <c r="Q176" i="29"/>
  <c r="R176" i="29"/>
  <c r="T176" i="29"/>
  <c r="V176" i="29"/>
  <c r="X176" i="29"/>
  <c r="Y176" i="29"/>
  <c r="Z176" i="29"/>
  <c r="AB176" i="29"/>
  <c r="AD176" i="29"/>
  <c r="A177" i="29"/>
  <c r="E177" i="29"/>
  <c r="G177" i="29"/>
  <c r="H177" i="29"/>
  <c r="I177" i="29"/>
  <c r="J177" i="29"/>
  <c r="K177" i="29"/>
  <c r="L177" i="29"/>
  <c r="M177" i="29"/>
  <c r="N177" i="29"/>
  <c r="O177" i="29"/>
  <c r="P177" i="29"/>
  <c r="Q177" i="29"/>
  <c r="R177" i="29"/>
  <c r="T177" i="29"/>
  <c r="V177" i="29"/>
  <c r="X177" i="29"/>
  <c r="Y177" i="29"/>
  <c r="Z177" i="29"/>
  <c r="AB177" i="29"/>
  <c r="AD177" i="29"/>
  <c r="A178" i="29"/>
  <c r="E178" i="29"/>
  <c r="G178" i="29"/>
  <c r="H178" i="29"/>
  <c r="I178" i="29"/>
  <c r="J178" i="29"/>
  <c r="K178" i="29"/>
  <c r="L178" i="29"/>
  <c r="M178" i="29"/>
  <c r="N178" i="29"/>
  <c r="O178" i="29"/>
  <c r="P178" i="29"/>
  <c r="Q178" i="29"/>
  <c r="R178" i="29"/>
  <c r="T178" i="29"/>
  <c r="V178" i="29"/>
  <c r="X178" i="29"/>
  <c r="Y178" i="29"/>
  <c r="Z178" i="29"/>
  <c r="AB178" i="29"/>
  <c r="AD178" i="29"/>
  <c r="A179" i="29"/>
  <c r="G179" i="29"/>
  <c r="H179" i="29"/>
  <c r="I179" i="29"/>
  <c r="J179" i="29"/>
  <c r="K179" i="29"/>
  <c r="L179" i="29"/>
  <c r="M179" i="29"/>
  <c r="N179" i="29"/>
  <c r="AD179" i="29"/>
  <c r="A180" i="29"/>
  <c r="G180" i="29"/>
  <c r="H180" i="29"/>
  <c r="I180" i="29"/>
  <c r="J180" i="29"/>
  <c r="K180" i="29"/>
  <c r="L180" i="29"/>
  <c r="M180" i="29"/>
  <c r="N180" i="29"/>
  <c r="P180" i="29"/>
  <c r="R180" i="29"/>
  <c r="T180" i="29"/>
  <c r="Z180" i="29"/>
  <c r="AD180" i="29"/>
  <c r="A181" i="29"/>
  <c r="E181" i="29"/>
  <c r="G181" i="29"/>
  <c r="H181" i="29"/>
  <c r="I181" i="29"/>
  <c r="J181" i="29"/>
  <c r="K181" i="29"/>
  <c r="L181" i="29"/>
  <c r="M181" i="29"/>
  <c r="N181" i="29"/>
  <c r="O181" i="29"/>
  <c r="P181" i="29"/>
  <c r="Q181" i="29"/>
  <c r="R181" i="29"/>
  <c r="T181" i="29"/>
  <c r="V181" i="29"/>
  <c r="X181" i="29"/>
  <c r="Y181" i="29"/>
  <c r="Z181" i="29"/>
  <c r="AB181" i="29"/>
  <c r="AD181" i="29"/>
  <c r="A182" i="29"/>
  <c r="G182" i="29"/>
  <c r="H182" i="29"/>
  <c r="I182" i="29"/>
  <c r="J182" i="29"/>
  <c r="K182" i="29"/>
  <c r="L182" i="29"/>
  <c r="M182" i="29"/>
  <c r="N182" i="29"/>
  <c r="P182" i="29"/>
  <c r="R182" i="29"/>
  <c r="T182" i="29"/>
  <c r="Z182" i="29"/>
  <c r="AD182" i="29"/>
  <c r="A183" i="29"/>
  <c r="G183" i="29"/>
  <c r="H183" i="29"/>
  <c r="I183" i="29"/>
  <c r="J183" i="29"/>
  <c r="K183" i="29"/>
  <c r="L183" i="29"/>
  <c r="M183" i="29"/>
  <c r="N183" i="29"/>
  <c r="P183" i="29"/>
  <c r="R183" i="29"/>
  <c r="T183" i="29"/>
  <c r="Z183" i="29"/>
  <c r="AD183" i="29"/>
  <c r="A184" i="29"/>
  <c r="E184" i="29"/>
  <c r="G184" i="29"/>
  <c r="H184" i="29"/>
  <c r="I184" i="29"/>
  <c r="J184" i="29"/>
  <c r="K184" i="29"/>
  <c r="L184" i="29"/>
  <c r="M184" i="29"/>
  <c r="N184" i="29"/>
  <c r="O184" i="29"/>
  <c r="P184" i="29"/>
  <c r="Q184" i="29"/>
  <c r="R184" i="29"/>
  <c r="T184" i="29"/>
  <c r="V184" i="29"/>
  <c r="X184" i="29"/>
  <c r="Y184" i="29"/>
  <c r="Z184" i="29"/>
  <c r="AB184" i="29"/>
  <c r="AD184" i="29"/>
  <c r="A185" i="29"/>
  <c r="E185" i="29"/>
  <c r="G185" i="29"/>
  <c r="H185" i="29"/>
  <c r="I185" i="29"/>
  <c r="J185" i="29"/>
  <c r="K185" i="29"/>
  <c r="L185" i="29"/>
  <c r="M185" i="29"/>
  <c r="N185" i="29"/>
  <c r="O185" i="29"/>
  <c r="P185" i="29"/>
  <c r="Q185" i="29"/>
  <c r="R185" i="29"/>
  <c r="T185" i="29"/>
  <c r="V185" i="29"/>
  <c r="X185" i="29"/>
  <c r="Y185" i="29"/>
  <c r="Z185" i="29"/>
  <c r="AB185" i="29"/>
  <c r="AD185" i="29"/>
  <c r="A186" i="29"/>
  <c r="E186" i="29"/>
  <c r="G186" i="29"/>
  <c r="H186" i="29"/>
  <c r="I186" i="29"/>
  <c r="J186" i="29"/>
  <c r="K186" i="29"/>
  <c r="L186" i="29"/>
  <c r="M186" i="29"/>
  <c r="N186" i="29"/>
  <c r="O186" i="29"/>
  <c r="P186" i="29"/>
  <c r="Q186" i="29"/>
  <c r="R186" i="29"/>
  <c r="T186" i="29"/>
  <c r="V186" i="29"/>
  <c r="X186" i="29"/>
  <c r="Y186" i="29"/>
  <c r="Z186" i="29"/>
  <c r="AB186" i="29"/>
  <c r="AD186" i="29"/>
  <c r="A187" i="29"/>
  <c r="G187" i="29"/>
  <c r="H187" i="29"/>
  <c r="I187" i="29"/>
  <c r="J187" i="29"/>
  <c r="K187" i="29"/>
  <c r="L187" i="29"/>
  <c r="M187" i="29"/>
  <c r="N187" i="29"/>
  <c r="P187" i="29"/>
  <c r="R187" i="29"/>
  <c r="T187" i="29"/>
  <c r="Z187" i="29"/>
  <c r="AD187" i="29"/>
  <c r="A188" i="29"/>
  <c r="E188" i="29"/>
  <c r="G188" i="29"/>
  <c r="H188" i="29"/>
  <c r="I188" i="29"/>
  <c r="J188" i="29"/>
  <c r="K188" i="29"/>
  <c r="L188" i="29"/>
  <c r="M188" i="29"/>
  <c r="N188" i="29"/>
  <c r="O188" i="29"/>
  <c r="P188" i="29"/>
  <c r="Q188" i="29"/>
  <c r="R188" i="29"/>
  <c r="T188" i="29"/>
  <c r="V188" i="29"/>
  <c r="X188" i="29"/>
  <c r="Y188" i="29"/>
  <c r="Z188" i="29"/>
  <c r="AB188" i="29"/>
  <c r="AD188" i="29"/>
  <c r="A189" i="29"/>
  <c r="E189" i="29"/>
  <c r="G189" i="29"/>
  <c r="H189" i="29"/>
  <c r="I189" i="29"/>
  <c r="J189" i="29"/>
  <c r="K189" i="29"/>
  <c r="L189" i="29"/>
  <c r="M189" i="29"/>
  <c r="N189" i="29"/>
  <c r="O189" i="29"/>
  <c r="P189" i="29"/>
  <c r="Q189" i="29"/>
  <c r="R189" i="29"/>
  <c r="T189" i="29"/>
  <c r="V189" i="29"/>
  <c r="X189" i="29"/>
  <c r="Y189" i="29"/>
  <c r="Z189" i="29"/>
  <c r="AB189" i="29"/>
  <c r="AD189" i="29"/>
  <c r="A190" i="29"/>
  <c r="E190" i="29"/>
  <c r="G190" i="29"/>
  <c r="H190" i="29"/>
  <c r="I190" i="29"/>
  <c r="J190" i="29"/>
  <c r="K190" i="29"/>
  <c r="L190" i="29"/>
  <c r="M190" i="29"/>
  <c r="N190" i="29"/>
  <c r="O190" i="29"/>
  <c r="P190" i="29"/>
  <c r="Q190" i="29"/>
  <c r="R190" i="29"/>
  <c r="T190" i="29"/>
  <c r="V190" i="29"/>
  <c r="X190" i="29"/>
  <c r="Y190" i="29"/>
  <c r="Z190" i="29"/>
  <c r="AB190" i="29"/>
  <c r="AD190" i="29"/>
  <c r="A191" i="29"/>
  <c r="E191" i="29"/>
  <c r="G191" i="29"/>
  <c r="H191" i="29"/>
  <c r="I191" i="29"/>
  <c r="J191" i="29"/>
  <c r="K191" i="29"/>
  <c r="L191" i="29"/>
  <c r="M191" i="29"/>
  <c r="N191" i="29"/>
  <c r="O191" i="29"/>
  <c r="P191" i="29"/>
  <c r="Q191" i="29"/>
  <c r="R191" i="29"/>
  <c r="T191" i="29"/>
  <c r="V191" i="29"/>
  <c r="X191" i="29"/>
  <c r="Y191" i="29"/>
  <c r="Z191" i="29"/>
  <c r="AB191" i="29"/>
  <c r="AD191" i="29"/>
  <c r="A192" i="29"/>
  <c r="G192" i="29"/>
  <c r="H192" i="29"/>
  <c r="I192" i="29"/>
  <c r="J192" i="29"/>
  <c r="K192" i="29"/>
  <c r="L192" i="29"/>
  <c r="M192" i="29"/>
  <c r="N192" i="29"/>
  <c r="P192" i="29"/>
  <c r="R192" i="29"/>
  <c r="T192" i="29"/>
  <c r="Z192" i="29"/>
  <c r="AD192" i="29"/>
  <c r="A193" i="29"/>
  <c r="E193" i="29"/>
  <c r="G193" i="29"/>
  <c r="H193" i="29"/>
  <c r="I193" i="29"/>
  <c r="J193" i="29"/>
  <c r="K193" i="29"/>
  <c r="L193" i="29"/>
  <c r="M193" i="29"/>
  <c r="N193" i="29"/>
  <c r="O193" i="29"/>
  <c r="P193" i="29"/>
  <c r="Q193" i="29"/>
  <c r="R193" i="29"/>
  <c r="T193" i="29"/>
  <c r="V193" i="29"/>
  <c r="X193" i="29"/>
  <c r="Y193" i="29"/>
  <c r="Z193" i="29"/>
  <c r="AB193" i="29"/>
  <c r="AD193" i="29"/>
  <c r="A194" i="29"/>
  <c r="G194" i="29"/>
  <c r="H194" i="29"/>
  <c r="I194" i="29"/>
  <c r="J194" i="29"/>
  <c r="K194" i="29"/>
  <c r="L194" i="29"/>
  <c r="M194" i="29"/>
  <c r="N194" i="29"/>
  <c r="AD194" i="29"/>
  <c r="A195" i="29"/>
  <c r="E195" i="29"/>
  <c r="G195" i="29"/>
  <c r="H195" i="29"/>
  <c r="I195" i="29"/>
  <c r="J195" i="29"/>
  <c r="K195" i="29"/>
  <c r="L195" i="29"/>
  <c r="M195" i="29"/>
  <c r="N195" i="29"/>
  <c r="O195" i="29"/>
  <c r="P195" i="29"/>
  <c r="Q195" i="29"/>
  <c r="R195" i="29"/>
  <c r="T195" i="29"/>
  <c r="V195" i="29"/>
  <c r="X195" i="29"/>
  <c r="Y195" i="29"/>
  <c r="Z195" i="29"/>
  <c r="AB195" i="29"/>
  <c r="AD195" i="29"/>
  <c r="A196" i="29"/>
  <c r="E196" i="29"/>
  <c r="G196" i="29"/>
  <c r="H196" i="29"/>
  <c r="I196" i="29"/>
  <c r="J196" i="29"/>
  <c r="K196" i="29"/>
  <c r="L196" i="29"/>
  <c r="M196" i="29"/>
  <c r="N196" i="29"/>
  <c r="O196" i="29"/>
  <c r="P196" i="29"/>
  <c r="Q196" i="29"/>
  <c r="R196" i="29"/>
  <c r="T196" i="29"/>
  <c r="V196" i="29"/>
  <c r="X196" i="29"/>
  <c r="Y196" i="29"/>
  <c r="Z196" i="29"/>
  <c r="AB196" i="29"/>
  <c r="AD196" i="29"/>
  <c r="A197" i="29"/>
  <c r="E197" i="29"/>
  <c r="G197" i="29"/>
  <c r="H197" i="29"/>
  <c r="I197" i="29"/>
  <c r="J197" i="29"/>
  <c r="K197" i="29"/>
  <c r="L197" i="29"/>
  <c r="M197" i="29"/>
  <c r="N197" i="29"/>
  <c r="O197" i="29"/>
  <c r="P197" i="29"/>
  <c r="Q197" i="29"/>
  <c r="R197" i="29"/>
  <c r="T197" i="29"/>
  <c r="V197" i="29"/>
  <c r="X197" i="29"/>
  <c r="Y197" i="29"/>
  <c r="Z197" i="29"/>
  <c r="AB197" i="29"/>
  <c r="AD197" i="29"/>
  <c r="A198" i="29"/>
  <c r="E198" i="29"/>
  <c r="G198" i="29"/>
  <c r="H198" i="29"/>
  <c r="I198" i="29"/>
  <c r="J198" i="29"/>
  <c r="K198" i="29"/>
  <c r="L198" i="29"/>
  <c r="M198" i="29"/>
  <c r="N198" i="29"/>
  <c r="O198" i="29"/>
  <c r="P198" i="29"/>
  <c r="Q198" i="29"/>
  <c r="R198" i="29"/>
  <c r="T198" i="29"/>
  <c r="V198" i="29"/>
  <c r="X198" i="29"/>
  <c r="Y198" i="29"/>
  <c r="Z198" i="29"/>
  <c r="AB198" i="29"/>
  <c r="AD198" i="29"/>
  <c r="A199" i="29"/>
  <c r="E199" i="29"/>
  <c r="G199" i="29"/>
  <c r="H199" i="29"/>
  <c r="I199" i="29"/>
  <c r="J199" i="29"/>
  <c r="K199" i="29"/>
  <c r="L199" i="29"/>
  <c r="M199" i="29"/>
  <c r="N199" i="29"/>
  <c r="O199" i="29"/>
  <c r="P199" i="29"/>
  <c r="Q199" i="29"/>
  <c r="R199" i="29"/>
  <c r="T199" i="29"/>
  <c r="V199" i="29"/>
  <c r="X199" i="29"/>
  <c r="Y199" i="29"/>
  <c r="Z199" i="29"/>
  <c r="AB199" i="29"/>
  <c r="AD199" i="29"/>
  <c r="A200" i="29"/>
  <c r="E200" i="29"/>
  <c r="G200" i="29"/>
  <c r="H200" i="29"/>
  <c r="I200" i="29"/>
  <c r="J200" i="29"/>
  <c r="K200" i="29"/>
  <c r="L200" i="29"/>
  <c r="M200" i="29"/>
  <c r="N200" i="29"/>
  <c r="O200" i="29"/>
  <c r="P200" i="29"/>
  <c r="Q200" i="29"/>
  <c r="R200" i="29"/>
  <c r="T200" i="29"/>
  <c r="V200" i="29"/>
  <c r="X200" i="29"/>
  <c r="Y200" i="29"/>
  <c r="Z200" i="29"/>
  <c r="AB200" i="29"/>
  <c r="AD200" i="29"/>
  <c r="A201" i="29"/>
  <c r="E201" i="29"/>
  <c r="G201" i="29"/>
  <c r="H201" i="29"/>
  <c r="I201" i="29"/>
  <c r="J201" i="29"/>
  <c r="K201" i="29"/>
  <c r="L201" i="29"/>
  <c r="M201" i="29"/>
  <c r="N201" i="29"/>
  <c r="O201" i="29"/>
  <c r="P201" i="29"/>
  <c r="Q201" i="29"/>
  <c r="R201" i="29"/>
  <c r="T201" i="29"/>
  <c r="V201" i="29"/>
  <c r="X201" i="29"/>
  <c r="Y201" i="29"/>
  <c r="Z201" i="29"/>
  <c r="AB201" i="29"/>
  <c r="AD201" i="29"/>
  <c r="A202" i="29"/>
  <c r="E202" i="29"/>
  <c r="G202" i="29"/>
  <c r="H202" i="29"/>
  <c r="I202" i="29"/>
  <c r="J202" i="29"/>
  <c r="K202" i="29"/>
  <c r="L202" i="29"/>
  <c r="M202" i="29"/>
  <c r="N202" i="29"/>
  <c r="O202" i="29"/>
  <c r="P202" i="29"/>
  <c r="Q202" i="29"/>
  <c r="R202" i="29"/>
  <c r="T202" i="29"/>
  <c r="V202" i="29"/>
  <c r="X202" i="29"/>
  <c r="Y202" i="29"/>
  <c r="Z202" i="29"/>
  <c r="AB202" i="29"/>
  <c r="AD202" i="29"/>
  <c r="A203" i="29"/>
  <c r="E203" i="29"/>
  <c r="G203" i="29"/>
  <c r="H203" i="29"/>
  <c r="I203" i="29"/>
  <c r="J203" i="29"/>
  <c r="K203" i="29"/>
  <c r="L203" i="29"/>
  <c r="M203" i="29"/>
  <c r="N203" i="29"/>
  <c r="O203" i="29"/>
  <c r="P203" i="29"/>
  <c r="Q203" i="29"/>
  <c r="R203" i="29"/>
  <c r="T203" i="29"/>
  <c r="V203" i="29"/>
  <c r="X203" i="29"/>
  <c r="Y203" i="29"/>
  <c r="Z203" i="29"/>
  <c r="AB203" i="29"/>
  <c r="AD203" i="29"/>
  <c r="A204" i="29"/>
  <c r="E204" i="29"/>
  <c r="G204" i="29"/>
  <c r="H204" i="29"/>
  <c r="I204" i="29"/>
  <c r="J204" i="29"/>
  <c r="K204" i="29"/>
  <c r="L204" i="29"/>
  <c r="M204" i="29"/>
  <c r="N204" i="29"/>
  <c r="O204" i="29"/>
  <c r="P204" i="29"/>
  <c r="Q204" i="29"/>
  <c r="R204" i="29"/>
  <c r="T204" i="29"/>
  <c r="V204" i="29"/>
  <c r="X204" i="29"/>
  <c r="Y204" i="29"/>
  <c r="Z204" i="29"/>
  <c r="AB204" i="29"/>
  <c r="AD204" i="29"/>
  <c r="A205" i="29"/>
  <c r="E205" i="29"/>
  <c r="G205" i="29"/>
  <c r="H205" i="29"/>
  <c r="I205" i="29"/>
  <c r="J205" i="29"/>
  <c r="K205" i="29"/>
  <c r="L205" i="29"/>
  <c r="M205" i="29"/>
  <c r="N205" i="29"/>
  <c r="O205" i="29"/>
  <c r="P205" i="29"/>
  <c r="Q205" i="29"/>
  <c r="R205" i="29"/>
  <c r="T205" i="29"/>
  <c r="V205" i="29"/>
  <c r="X205" i="29"/>
  <c r="Y205" i="29"/>
  <c r="Z205" i="29"/>
  <c r="AB205" i="29"/>
  <c r="AD205" i="29"/>
  <c r="A206" i="29"/>
  <c r="E206" i="29"/>
  <c r="G206" i="29"/>
  <c r="H206" i="29"/>
  <c r="I206" i="29"/>
  <c r="J206" i="29"/>
  <c r="K206" i="29"/>
  <c r="L206" i="29"/>
  <c r="M206" i="29"/>
  <c r="N206" i="29"/>
  <c r="O206" i="29"/>
  <c r="P206" i="29"/>
  <c r="Q206" i="29"/>
  <c r="R206" i="29"/>
  <c r="T206" i="29"/>
  <c r="V206" i="29"/>
  <c r="X206" i="29"/>
  <c r="Y206" i="29"/>
  <c r="Z206" i="29"/>
  <c r="AB206" i="29"/>
  <c r="AD206" i="29"/>
  <c r="A207" i="29"/>
  <c r="G207" i="29"/>
  <c r="H207" i="29"/>
  <c r="I207" i="29"/>
  <c r="J207" i="29"/>
  <c r="K207" i="29"/>
  <c r="L207" i="29"/>
  <c r="M207" i="29"/>
  <c r="N207" i="29"/>
  <c r="P207" i="29"/>
  <c r="R207" i="29"/>
  <c r="T207" i="29"/>
  <c r="Z207" i="29"/>
  <c r="AD207" i="29"/>
  <c r="A208" i="29"/>
  <c r="E208" i="29"/>
  <c r="G208" i="29"/>
  <c r="H208" i="29"/>
  <c r="I208" i="29"/>
  <c r="J208" i="29"/>
  <c r="K208" i="29"/>
  <c r="L208" i="29"/>
  <c r="M208" i="29"/>
  <c r="N208" i="29"/>
  <c r="O208" i="29"/>
  <c r="P208" i="29"/>
  <c r="Q208" i="29"/>
  <c r="R208" i="29"/>
  <c r="T208" i="29"/>
  <c r="V208" i="29"/>
  <c r="X208" i="29"/>
  <c r="Y208" i="29"/>
  <c r="Z208" i="29"/>
  <c r="AB208" i="29"/>
  <c r="AD208" i="29"/>
  <c r="A209" i="29"/>
  <c r="E209" i="29"/>
  <c r="G209" i="29"/>
  <c r="H209" i="29"/>
  <c r="I209" i="29"/>
  <c r="J209" i="29"/>
  <c r="K209" i="29"/>
  <c r="L209" i="29"/>
  <c r="M209" i="29"/>
  <c r="N209" i="29"/>
  <c r="O209" i="29"/>
  <c r="P209" i="29"/>
  <c r="Q209" i="29"/>
  <c r="R209" i="29"/>
  <c r="T209" i="29"/>
  <c r="V209" i="29"/>
  <c r="X209" i="29"/>
  <c r="Y209" i="29"/>
  <c r="Z209" i="29"/>
  <c r="AB209" i="29"/>
  <c r="AD209" i="29"/>
  <c r="A210" i="29"/>
  <c r="E210" i="29"/>
  <c r="G210" i="29"/>
  <c r="H210" i="29"/>
  <c r="I210" i="29"/>
  <c r="J210" i="29"/>
  <c r="K210" i="29"/>
  <c r="L210" i="29"/>
  <c r="M210" i="29"/>
  <c r="N210" i="29"/>
  <c r="O210" i="29"/>
  <c r="P210" i="29"/>
  <c r="Q210" i="29"/>
  <c r="R210" i="29"/>
  <c r="T210" i="29"/>
  <c r="V210" i="29"/>
  <c r="X210" i="29"/>
  <c r="Y210" i="29"/>
  <c r="Z210" i="29"/>
  <c r="AB210" i="29"/>
  <c r="AD210" i="29"/>
  <c r="A211" i="29"/>
  <c r="E211" i="29"/>
  <c r="G211" i="29"/>
  <c r="H211" i="29"/>
  <c r="I211" i="29"/>
  <c r="J211" i="29"/>
  <c r="K211" i="29"/>
  <c r="L211" i="29"/>
  <c r="M211" i="29"/>
  <c r="N211" i="29"/>
  <c r="O211" i="29"/>
  <c r="P211" i="29"/>
  <c r="Q211" i="29"/>
  <c r="R211" i="29"/>
  <c r="T211" i="29"/>
  <c r="V211" i="29"/>
  <c r="X211" i="29"/>
  <c r="Y211" i="29"/>
  <c r="Z211" i="29"/>
  <c r="AB211" i="29"/>
  <c r="AD211" i="29"/>
  <c r="A212" i="29"/>
  <c r="E212" i="29"/>
  <c r="G212" i="29"/>
  <c r="H212" i="29"/>
  <c r="I212" i="29"/>
  <c r="J212" i="29"/>
  <c r="K212" i="29"/>
  <c r="L212" i="29"/>
  <c r="M212" i="29"/>
  <c r="N212" i="29"/>
  <c r="O212" i="29"/>
  <c r="P212" i="29"/>
  <c r="Q212" i="29"/>
  <c r="R212" i="29"/>
  <c r="T212" i="29"/>
  <c r="V212" i="29"/>
  <c r="X212" i="29"/>
  <c r="Y212" i="29"/>
  <c r="Z212" i="29"/>
  <c r="AB212" i="29"/>
  <c r="AD212" i="29"/>
  <c r="A213" i="29"/>
  <c r="E213" i="29"/>
  <c r="G213" i="29"/>
  <c r="H213" i="29"/>
  <c r="I213" i="29"/>
  <c r="J213" i="29"/>
  <c r="K213" i="29"/>
  <c r="L213" i="29"/>
  <c r="M213" i="29"/>
  <c r="N213" i="29"/>
  <c r="O213" i="29"/>
  <c r="P213" i="29"/>
  <c r="Q213" i="29"/>
  <c r="R213" i="29"/>
  <c r="T213" i="29"/>
  <c r="V213" i="29"/>
  <c r="X213" i="29"/>
  <c r="Y213" i="29"/>
  <c r="Z213" i="29"/>
  <c r="AB213" i="29"/>
  <c r="AD213" i="29"/>
  <c r="A214" i="29"/>
  <c r="E214" i="29"/>
  <c r="H214" i="29"/>
  <c r="I214" i="29"/>
  <c r="J214" i="29"/>
  <c r="K214" i="29"/>
  <c r="L214" i="29"/>
  <c r="R214" i="29"/>
  <c r="T214" i="29"/>
  <c r="V214" i="29"/>
  <c r="Z214" i="29"/>
  <c r="AB214" i="29"/>
  <c r="AD214" i="29"/>
  <c r="A215" i="29"/>
  <c r="E215" i="29"/>
  <c r="H215" i="29"/>
  <c r="I215" i="29"/>
  <c r="J215" i="29"/>
  <c r="K215" i="29"/>
  <c r="L215" i="29"/>
  <c r="R215" i="29"/>
  <c r="T215" i="29"/>
  <c r="V215" i="29"/>
  <c r="Z215" i="29"/>
  <c r="AB215" i="29"/>
  <c r="AD215" i="29"/>
  <c r="A216" i="29"/>
  <c r="E216" i="29"/>
  <c r="G216" i="29"/>
  <c r="H216" i="29"/>
  <c r="I216" i="29"/>
  <c r="J216" i="29"/>
  <c r="K216" i="29"/>
  <c r="L216" i="29"/>
  <c r="M216" i="29"/>
  <c r="N216" i="29"/>
  <c r="O216" i="29"/>
  <c r="P216" i="29"/>
  <c r="Q216" i="29"/>
  <c r="R216" i="29"/>
  <c r="T216" i="29"/>
  <c r="V216" i="29"/>
  <c r="X216" i="29"/>
  <c r="Y216" i="29"/>
  <c r="Z216" i="29"/>
  <c r="AB216" i="29"/>
  <c r="AD216" i="29"/>
  <c r="A217" i="29"/>
  <c r="E217" i="29"/>
  <c r="G217" i="29"/>
  <c r="H217" i="29"/>
  <c r="I217" i="29"/>
  <c r="J217" i="29"/>
  <c r="K217" i="29"/>
  <c r="L217" i="29"/>
  <c r="M217" i="29"/>
  <c r="N217" i="29"/>
  <c r="O217" i="29"/>
  <c r="P217" i="29"/>
  <c r="Q217" i="29"/>
  <c r="R217" i="29"/>
  <c r="T217" i="29"/>
  <c r="V217" i="29"/>
  <c r="X217" i="29"/>
  <c r="Y217" i="29"/>
  <c r="Z217" i="29"/>
  <c r="AB217" i="29"/>
  <c r="AD217" i="29"/>
  <c r="A218" i="29"/>
  <c r="E218" i="29"/>
  <c r="G218" i="29"/>
  <c r="H218" i="29"/>
  <c r="I218" i="29"/>
  <c r="J218" i="29"/>
  <c r="K218" i="29"/>
  <c r="L218" i="29"/>
  <c r="M218" i="29"/>
  <c r="N218" i="29"/>
  <c r="O218" i="29"/>
  <c r="P218" i="29"/>
  <c r="Q218" i="29"/>
  <c r="R218" i="29"/>
  <c r="T218" i="29"/>
  <c r="V218" i="29"/>
  <c r="X218" i="29"/>
  <c r="Y218" i="29"/>
  <c r="Z218" i="29"/>
  <c r="AB218" i="29"/>
  <c r="AD218" i="29"/>
  <c r="A219" i="29"/>
  <c r="E219" i="29"/>
  <c r="G219" i="29"/>
  <c r="H219" i="29"/>
  <c r="I219" i="29"/>
  <c r="J219" i="29"/>
  <c r="K219" i="29"/>
  <c r="L219" i="29"/>
  <c r="M219" i="29"/>
  <c r="N219" i="29"/>
  <c r="O219" i="29"/>
  <c r="P219" i="29"/>
  <c r="Q219" i="29"/>
  <c r="R219" i="29"/>
  <c r="T219" i="29"/>
  <c r="V219" i="29"/>
  <c r="X219" i="29"/>
  <c r="Y219" i="29"/>
  <c r="Z219" i="29"/>
  <c r="AB219" i="29"/>
  <c r="AD219" i="29"/>
  <c r="A220" i="29"/>
  <c r="E220" i="29"/>
  <c r="G220" i="29"/>
  <c r="H220" i="29"/>
  <c r="I220" i="29"/>
  <c r="J220" i="29"/>
  <c r="K220" i="29"/>
  <c r="L220" i="29"/>
  <c r="M220" i="29"/>
  <c r="N220" i="29"/>
  <c r="O220" i="29"/>
  <c r="P220" i="29"/>
  <c r="Q220" i="29"/>
  <c r="R220" i="29"/>
  <c r="T220" i="29"/>
  <c r="V220" i="29"/>
  <c r="X220" i="29"/>
  <c r="Y220" i="29"/>
  <c r="Z220" i="29"/>
  <c r="AB220" i="29"/>
  <c r="AD220" i="29"/>
  <c r="A221" i="29"/>
  <c r="E221" i="29"/>
  <c r="G221" i="29"/>
  <c r="H221" i="29"/>
  <c r="I221" i="29"/>
  <c r="J221" i="29"/>
  <c r="K221" i="29"/>
  <c r="L221" i="29"/>
  <c r="M221" i="29"/>
  <c r="N221" i="29"/>
  <c r="O221" i="29"/>
  <c r="P221" i="29"/>
  <c r="Q221" i="29"/>
  <c r="R221" i="29"/>
  <c r="T221" i="29"/>
  <c r="V221" i="29"/>
  <c r="X221" i="29"/>
  <c r="Y221" i="29"/>
  <c r="Z221" i="29"/>
  <c r="AB221" i="29"/>
  <c r="AD221" i="29"/>
  <c r="A222" i="29"/>
  <c r="E222" i="29"/>
  <c r="G222" i="29"/>
  <c r="H222" i="29"/>
  <c r="I222" i="29"/>
  <c r="J222" i="29"/>
  <c r="K222" i="29"/>
  <c r="L222" i="29"/>
  <c r="M222" i="29"/>
  <c r="N222" i="29"/>
  <c r="O222" i="29"/>
  <c r="P222" i="29"/>
  <c r="Q222" i="29"/>
  <c r="R222" i="29"/>
  <c r="T222" i="29"/>
  <c r="V222" i="29"/>
  <c r="X222" i="29"/>
  <c r="Y222" i="29"/>
  <c r="Z222" i="29"/>
  <c r="AB222" i="29"/>
  <c r="AD222" i="29"/>
  <c r="A223" i="29"/>
  <c r="E223" i="29"/>
  <c r="G223" i="29"/>
  <c r="H223" i="29"/>
  <c r="I223" i="29"/>
  <c r="J223" i="29"/>
  <c r="K223" i="29"/>
  <c r="L223" i="29"/>
  <c r="M223" i="29"/>
  <c r="N223" i="29"/>
  <c r="O223" i="29"/>
  <c r="P223" i="29"/>
  <c r="Q223" i="29"/>
  <c r="R223" i="29"/>
  <c r="T223" i="29"/>
  <c r="V223" i="29"/>
  <c r="X223" i="29"/>
  <c r="Y223" i="29"/>
  <c r="Z223" i="29"/>
  <c r="AB223" i="29"/>
  <c r="AD223" i="29"/>
  <c r="A224" i="29"/>
  <c r="E224" i="29"/>
  <c r="G224" i="29"/>
  <c r="H224" i="29"/>
  <c r="I224" i="29"/>
  <c r="J224" i="29"/>
  <c r="K224" i="29"/>
  <c r="L224" i="29"/>
  <c r="M224" i="29"/>
  <c r="N224" i="29"/>
  <c r="O224" i="29"/>
  <c r="P224" i="29"/>
  <c r="Q224" i="29"/>
  <c r="R224" i="29"/>
  <c r="T224" i="29"/>
  <c r="V224" i="29"/>
  <c r="X224" i="29"/>
  <c r="Y224" i="29"/>
  <c r="Z224" i="29"/>
  <c r="AB224" i="29"/>
  <c r="AD224" i="29"/>
  <c r="A225" i="29"/>
  <c r="E225" i="29"/>
  <c r="G225" i="29"/>
  <c r="H225" i="29"/>
  <c r="I225" i="29"/>
  <c r="J225" i="29"/>
  <c r="K225" i="29"/>
  <c r="L225" i="29"/>
  <c r="M225" i="29"/>
  <c r="N225" i="29"/>
  <c r="O225" i="29"/>
  <c r="P225" i="29"/>
  <c r="Q225" i="29"/>
  <c r="R225" i="29"/>
  <c r="T225" i="29"/>
  <c r="V225" i="29"/>
  <c r="X225" i="29"/>
  <c r="Y225" i="29"/>
  <c r="Z225" i="29"/>
  <c r="AB225" i="29"/>
  <c r="AD225" i="29"/>
  <c r="A226" i="29"/>
  <c r="G226" i="29"/>
  <c r="H226" i="29"/>
  <c r="I226" i="29"/>
  <c r="J226" i="29"/>
  <c r="K226" i="29"/>
  <c r="L226" i="29"/>
  <c r="M226" i="29"/>
  <c r="N226" i="29"/>
  <c r="P226" i="29"/>
  <c r="R226" i="29"/>
  <c r="T226" i="29"/>
  <c r="Z226" i="29"/>
  <c r="AD226" i="29"/>
  <c r="A227" i="29"/>
  <c r="E227" i="29"/>
  <c r="G227" i="29"/>
  <c r="H227" i="29"/>
  <c r="I227" i="29"/>
  <c r="J227" i="29"/>
  <c r="K227" i="29"/>
  <c r="L227" i="29"/>
  <c r="M227" i="29"/>
  <c r="N227" i="29"/>
  <c r="O227" i="29"/>
  <c r="P227" i="29"/>
  <c r="Q227" i="29"/>
  <c r="R227" i="29"/>
  <c r="T227" i="29"/>
  <c r="V227" i="29"/>
  <c r="X227" i="29"/>
  <c r="Y227" i="29"/>
  <c r="Z227" i="29"/>
  <c r="AB227" i="29"/>
  <c r="AD227" i="29"/>
  <c r="A228" i="29"/>
  <c r="E228" i="29"/>
  <c r="G228" i="29"/>
  <c r="H228" i="29"/>
  <c r="I228" i="29"/>
  <c r="J228" i="29"/>
  <c r="K228" i="29"/>
  <c r="L228" i="29"/>
  <c r="M228" i="29"/>
  <c r="N228" i="29"/>
  <c r="O228" i="29"/>
  <c r="P228" i="29"/>
  <c r="Q228" i="29"/>
  <c r="R228" i="29"/>
  <c r="T228" i="29"/>
  <c r="V228" i="29"/>
  <c r="X228" i="29"/>
  <c r="Y228" i="29"/>
  <c r="Z228" i="29"/>
  <c r="AB228" i="29"/>
  <c r="AD228" i="29"/>
  <c r="A229" i="29"/>
  <c r="E229" i="29"/>
  <c r="G229" i="29"/>
  <c r="H229" i="29"/>
  <c r="I229" i="29"/>
  <c r="J229" i="29"/>
  <c r="K229" i="29"/>
  <c r="L229" i="29"/>
  <c r="M229" i="29"/>
  <c r="N229" i="29"/>
  <c r="O229" i="29"/>
  <c r="P229" i="29"/>
  <c r="Q229" i="29"/>
  <c r="R229" i="29"/>
  <c r="T229" i="29"/>
  <c r="V229" i="29"/>
  <c r="X229" i="29"/>
  <c r="Y229" i="29"/>
  <c r="Z229" i="29"/>
  <c r="AB229" i="29"/>
  <c r="AD229" i="29"/>
  <c r="A230" i="29"/>
  <c r="E230" i="29"/>
  <c r="G230" i="29"/>
  <c r="H230" i="29"/>
  <c r="I230" i="29"/>
  <c r="J230" i="29"/>
  <c r="K230" i="29"/>
  <c r="L230" i="29"/>
  <c r="M230" i="29"/>
  <c r="N230" i="29"/>
  <c r="O230" i="29"/>
  <c r="P230" i="29"/>
  <c r="Q230" i="29"/>
  <c r="R230" i="29"/>
  <c r="T230" i="29"/>
  <c r="V230" i="29"/>
  <c r="X230" i="29"/>
  <c r="Y230" i="29"/>
  <c r="Z230" i="29"/>
  <c r="AB230" i="29"/>
  <c r="AD230" i="29"/>
  <c r="A231" i="29"/>
  <c r="E231" i="29"/>
  <c r="G231" i="29"/>
  <c r="H231" i="29"/>
  <c r="I231" i="29"/>
  <c r="J231" i="29"/>
  <c r="K231" i="29"/>
  <c r="L231" i="29"/>
  <c r="M231" i="29"/>
  <c r="N231" i="29"/>
  <c r="O231" i="29"/>
  <c r="P231" i="29"/>
  <c r="Q231" i="29"/>
  <c r="R231" i="29"/>
  <c r="T231" i="29"/>
  <c r="V231" i="29"/>
  <c r="X231" i="29"/>
  <c r="Y231" i="29"/>
  <c r="Z231" i="29"/>
  <c r="AB231" i="29"/>
  <c r="AD231" i="29"/>
  <c r="A232" i="29"/>
  <c r="E232" i="29"/>
  <c r="G232" i="29"/>
  <c r="H232" i="29"/>
  <c r="I232" i="29"/>
  <c r="J232" i="29"/>
  <c r="K232" i="29"/>
  <c r="L232" i="29"/>
  <c r="M232" i="29"/>
  <c r="N232" i="29"/>
  <c r="O232" i="29"/>
  <c r="P232" i="29"/>
  <c r="Q232" i="29"/>
  <c r="R232" i="29"/>
  <c r="T232" i="29"/>
  <c r="V232" i="29"/>
  <c r="X232" i="29"/>
  <c r="Y232" i="29"/>
  <c r="Z232" i="29"/>
  <c r="AB232" i="29"/>
  <c r="AD232" i="29"/>
  <c r="A233" i="29"/>
  <c r="E233" i="29"/>
  <c r="G233" i="29"/>
  <c r="H233" i="29"/>
  <c r="I233" i="29"/>
  <c r="J233" i="29"/>
  <c r="K233" i="29"/>
  <c r="L233" i="29"/>
  <c r="M233" i="29"/>
  <c r="N233" i="29"/>
  <c r="O233" i="29"/>
  <c r="P233" i="29"/>
  <c r="Q233" i="29"/>
  <c r="R233" i="29"/>
  <c r="T233" i="29"/>
  <c r="V233" i="29"/>
  <c r="X233" i="29"/>
  <c r="Y233" i="29"/>
  <c r="Z233" i="29"/>
  <c r="AB233" i="29"/>
  <c r="AD233" i="29"/>
  <c r="A234" i="29"/>
  <c r="E234" i="29"/>
  <c r="G234" i="29"/>
  <c r="H234" i="29"/>
  <c r="I234" i="29"/>
  <c r="J234" i="29"/>
  <c r="K234" i="29"/>
  <c r="L234" i="29"/>
  <c r="M234" i="29"/>
  <c r="N234" i="29"/>
  <c r="O234" i="29"/>
  <c r="P234" i="29"/>
  <c r="Q234" i="29"/>
  <c r="R234" i="29"/>
  <c r="T234" i="29"/>
  <c r="V234" i="29"/>
  <c r="X234" i="29"/>
  <c r="Y234" i="29"/>
  <c r="Z234" i="29"/>
  <c r="AB234" i="29"/>
  <c r="AD234" i="29"/>
  <c r="A235" i="29"/>
  <c r="E235" i="29"/>
  <c r="G235" i="29"/>
  <c r="H235" i="29"/>
  <c r="I235" i="29"/>
  <c r="J235" i="29"/>
  <c r="K235" i="29"/>
  <c r="L235" i="29"/>
  <c r="M235" i="29"/>
  <c r="N235" i="29"/>
  <c r="O235" i="29"/>
  <c r="P235" i="29"/>
  <c r="Q235" i="29"/>
  <c r="R235" i="29"/>
  <c r="T235" i="29"/>
  <c r="V235" i="29"/>
  <c r="X235" i="29"/>
  <c r="Y235" i="29"/>
  <c r="Z235" i="29"/>
  <c r="AB235" i="29"/>
  <c r="AD235" i="29"/>
  <c r="A236" i="29"/>
  <c r="E236" i="29"/>
  <c r="G236" i="29"/>
  <c r="H236" i="29"/>
  <c r="I236" i="29"/>
  <c r="J236" i="29"/>
  <c r="K236" i="29"/>
  <c r="L236" i="29"/>
  <c r="M236" i="29"/>
  <c r="N236" i="29"/>
  <c r="O236" i="29"/>
  <c r="P236" i="29"/>
  <c r="Q236" i="29"/>
  <c r="R236" i="29"/>
  <c r="T236" i="29"/>
  <c r="V236" i="29"/>
  <c r="X236" i="29"/>
  <c r="Y236" i="29"/>
  <c r="Z236" i="29"/>
  <c r="AB236" i="29"/>
  <c r="AD236" i="29"/>
  <c r="A237" i="29"/>
  <c r="E237" i="29"/>
  <c r="G237" i="29"/>
  <c r="H237" i="29"/>
  <c r="I237" i="29"/>
  <c r="J237" i="29"/>
  <c r="K237" i="29"/>
  <c r="L237" i="29"/>
  <c r="M237" i="29"/>
  <c r="N237" i="29"/>
  <c r="O237" i="29"/>
  <c r="P237" i="29"/>
  <c r="Q237" i="29"/>
  <c r="R237" i="29"/>
  <c r="T237" i="29"/>
  <c r="V237" i="29"/>
  <c r="X237" i="29"/>
  <c r="Y237" i="29"/>
  <c r="Z237" i="29"/>
  <c r="AB237" i="29"/>
  <c r="AD237" i="29"/>
  <c r="A238" i="29"/>
  <c r="E238" i="29"/>
  <c r="G238" i="29"/>
  <c r="H238" i="29"/>
  <c r="I238" i="29"/>
  <c r="J238" i="29"/>
  <c r="K238" i="29"/>
  <c r="L238" i="29"/>
  <c r="M238" i="29"/>
  <c r="N238" i="29"/>
  <c r="O238" i="29"/>
  <c r="P238" i="29"/>
  <c r="Q238" i="29"/>
  <c r="R238" i="29"/>
  <c r="T238" i="29"/>
  <c r="V238" i="29"/>
  <c r="X238" i="29"/>
  <c r="Y238" i="29"/>
  <c r="Z238" i="29"/>
  <c r="AB238" i="29"/>
  <c r="AD238" i="29"/>
  <c r="A239" i="29"/>
  <c r="E239" i="29"/>
  <c r="G239" i="29"/>
  <c r="H239" i="29"/>
  <c r="I239" i="29"/>
  <c r="J239" i="29"/>
  <c r="K239" i="29"/>
  <c r="L239" i="29"/>
  <c r="M239" i="29"/>
  <c r="N239" i="29"/>
  <c r="O239" i="29"/>
  <c r="P239" i="29"/>
  <c r="Q239" i="29"/>
  <c r="R239" i="29"/>
  <c r="T239" i="29"/>
  <c r="V239" i="29"/>
  <c r="X239" i="29"/>
  <c r="Y239" i="29"/>
  <c r="Z239" i="29"/>
  <c r="AB239" i="29"/>
  <c r="AD239" i="29"/>
  <c r="A240" i="29"/>
  <c r="E240" i="29"/>
  <c r="G240" i="29"/>
  <c r="H240" i="29"/>
  <c r="I240" i="29"/>
  <c r="J240" i="29"/>
  <c r="K240" i="29"/>
  <c r="L240" i="29"/>
  <c r="M240" i="29"/>
  <c r="N240" i="29"/>
  <c r="O240" i="29"/>
  <c r="P240" i="29"/>
  <c r="Q240" i="29"/>
  <c r="R240" i="29"/>
  <c r="T240" i="29"/>
  <c r="V240" i="29"/>
  <c r="X240" i="29"/>
  <c r="Y240" i="29"/>
  <c r="Z240" i="29"/>
  <c r="AB240" i="29"/>
  <c r="AD240" i="29"/>
  <c r="A241" i="29"/>
  <c r="E241" i="29"/>
  <c r="G241" i="29"/>
  <c r="H241" i="29"/>
  <c r="I241" i="29"/>
  <c r="J241" i="29"/>
  <c r="K241" i="29"/>
  <c r="L241" i="29"/>
  <c r="M241" i="29"/>
  <c r="N241" i="29"/>
  <c r="O241" i="29"/>
  <c r="P241" i="29"/>
  <c r="Q241" i="29"/>
  <c r="R241" i="29"/>
  <c r="T241" i="29"/>
  <c r="V241" i="29"/>
  <c r="X241" i="29"/>
  <c r="Y241" i="29"/>
  <c r="Z241" i="29"/>
  <c r="AB241" i="29"/>
  <c r="AD241" i="29"/>
  <c r="A242" i="29"/>
  <c r="E242" i="29"/>
  <c r="G242" i="29"/>
  <c r="H242" i="29"/>
  <c r="I242" i="29"/>
  <c r="J242" i="29"/>
  <c r="K242" i="29"/>
  <c r="L242" i="29"/>
  <c r="M242" i="29"/>
  <c r="N242" i="29"/>
  <c r="O242" i="29"/>
  <c r="P242" i="29"/>
  <c r="Q242" i="29"/>
  <c r="R242" i="29"/>
  <c r="T242" i="29"/>
  <c r="V242" i="29"/>
  <c r="X242" i="29"/>
  <c r="Y242" i="29"/>
  <c r="Z242" i="29"/>
  <c r="AB242" i="29"/>
  <c r="AD242" i="29"/>
  <c r="A243" i="29"/>
  <c r="E243" i="29"/>
  <c r="G243" i="29"/>
  <c r="H243" i="29"/>
  <c r="I243" i="29"/>
  <c r="J243" i="29"/>
  <c r="K243" i="29"/>
  <c r="L243" i="29"/>
  <c r="M243" i="29"/>
  <c r="N243" i="29"/>
  <c r="O243" i="29"/>
  <c r="P243" i="29"/>
  <c r="Q243" i="29"/>
  <c r="R243" i="29"/>
  <c r="T243" i="29"/>
  <c r="V243" i="29"/>
  <c r="X243" i="29"/>
  <c r="Y243" i="29"/>
  <c r="Z243" i="29"/>
  <c r="AB243" i="29"/>
  <c r="AD243" i="29"/>
  <c r="A244" i="29"/>
  <c r="E244" i="29"/>
  <c r="G244" i="29"/>
  <c r="H244" i="29"/>
  <c r="I244" i="29"/>
  <c r="J244" i="29"/>
  <c r="K244" i="29"/>
  <c r="L244" i="29"/>
  <c r="M244" i="29"/>
  <c r="N244" i="29"/>
  <c r="O244" i="29"/>
  <c r="P244" i="29"/>
  <c r="Q244" i="29"/>
  <c r="R244" i="29"/>
  <c r="T244" i="29"/>
  <c r="V244" i="29"/>
  <c r="X244" i="29"/>
  <c r="Y244" i="29"/>
  <c r="Z244" i="29"/>
  <c r="AB244" i="29"/>
  <c r="AD244" i="29"/>
  <c r="A245" i="29"/>
  <c r="E245" i="29"/>
  <c r="G245" i="29"/>
  <c r="H245" i="29"/>
  <c r="I245" i="29"/>
  <c r="J245" i="29"/>
  <c r="K245" i="29"/>
  <c r="L245" i="29"/>
  <c r="M245" i="29"/>
  <c r="N245" i="29"/>
  <c r="O245" i="29"/>
  <c r="P245" i="29"/>
  <c r="Q245" i="29"/>
  <c r="R245" i="29"/>
  <c r="T245" i="29"/>
  <c r="V245" i="29"/>
  <c r="X245" i="29"/>
  <c r="Y245" i="29"/>
  <c r="Z245" i="29"/>
  <c r="AB245" i="29"/>
  <c r="AD245" i="29"/>
  <c r="A246" i="29"/>
  <c r="E246" i="29"/>
  <c r="G246" i="29"/>
  <c r="H246" i="29"/>
  <c r="I246" i="29"/>
  <c r="J246" i="29"/>
  <c r="K246" i="29"/>
  <c r="L246" i="29"/>
  <c r="M246" i="29"/>
  <c r="N246" i="29"/>
  <c r="O246" i="29"/>
  <c r="P246" i="29"/>
  <c r="Q246" i="29"/>
  <c r="R246" i="29"/>
  <c r="T246" i="29"/>
  <c r="V246" i="29"/>
  <c r="X246" i="29"/>
  <c r="Y246" i="29"/>
  <c r="Z246" i="29"/>
  <c r="AB246" i="29"/>
  <c r="AD246" i="29"/>
  <c r="A247" i="29"/>
  <c r="E247" i="29"/>
  <c r="G247" i="29"/>
  <c r="H247" i="29"/>
  <c r="I247" i="29"/>
  <c r="J247" i="29"/>
  <c r="K247" i="29"/>
  <c r="L247" i="29"/>
  <c r="M247" i="29"/>
  <c r="N247" i="29"/>
  <c r="O247" i="29"/>
  <c r="P247" i="29"/>
  <c r="Q247" i="29"/>
  <c r="R247" i="29"/>
  <c r="T247" i="29"/>
  <c r="V247" i="29"/>
  <c r="X247" i="29"/>
  <c r="Y247" i="29"/>
  <c r="Z247" i="29"/>
  <c r="AB247" i="29"/>
  <c r="AD247" i="29"/>
  <c r="A248" i="29"/>
  <c r="E248" i="29"/>
  <c r="G248" i="29"/>
  <c r="H248" i="29"/>
  <c r="I248" i="29"/>
  <c r="J248" i="29"/>
  <c r="K248" i="29"/>
  <c r="L248" i="29"/>
  <c r="M248" i="29"/>
  <c r="N248" i="29"/>
  <c r="O248" i="29"/>
  <c r="P248" i="29"/>
  <c r="Q248" i="29"/>
  <c r="R248" i="29"/>
  <c r="T248" i="29"/>
  <c r="V248" i="29"/>
  <c r="X248" i="29"/>
  <c r="Y248" i="29"/>
  <c r="Z248" i="29"/>
  <c r="AB248" i="29"/>
  <c r="AD248" i="29"/>
  <c r="A249" i="29"/>
  <c r="E249" i="29"/>
  <c r="G249" i="29"/>
  <c r="H249" i="29"/>
  <c r="I249" i="29"/>
  <c r="J249" i="29"/>
  <c r="K249" i="29"/>
  <c r="L249" i="29"/>
  <c r="M249" i="29"/>
  <c r="N249" i="29"/>
  <c r="O249" i="29"/>
  <c r="P249" i="29"/>
  <c r="Q249" i="29"/>
  <c r="R249" i="29"/>
  <c r="T249" i="29"/>
  <c r="V249" i="29"/>
  <c r="X249" i="29"/>
  <c r="Y249" i="29"/>
  <c r="Z249" i="29"/>
  <c r="AB249" i="29"/>
  <c r="AD249" i="29"/>
  <c r="A250" i="29"/>
  <c r="E250" i="29"/>
  <c r="G250" i="29"/>
  <c r="H250" i="29"/>
  <c r="I250" i="29"/>
  <c r="J250" i="29"/>
  <c r="K250" i="29"/>
  <c r="L250" i="29"/>
  <c r="M250" i="29"/>
  <c r="N250" i="29"/>
  <c r="O250" i="29"/>
  <c r="P250" i="29"/>
  <c r="Q250" i="29"/>
  <c r="R250" i="29"/>
  <c r="T250" i="29"/>
  <c r="V250" i="29"/>
  <c r="X250" i="29"/>
  <c r="Y250" i="29"/>
  <c r="Z250" i="29"/>
  <c r="AB250" i="29"/>
  <c r="AD250" i="29"/>
  <c r="A251" i="29"/>
  <c r="E251" i="29"/>
  <c r="G251" i="29"/>
  <c r="H251" i="29"/>
  <c r="I251" i="29"/>
  <c r="J251" i="29"/>
  <c r="K251" i="29"/>
  <c r="L251" i="29"/>
  <c r="M251" i="29"/>
  <c r="N251" i="29"/>
  <c r="O251" i="29"/>
  <c r="P251" i="29"/>
  <c r="Q251" i="29"/>
  <c r="R251" i="29"/>
  <c r="T251" i="29"/>
  <c r="V251" i="29"/>
  <c r="X251" i="29"/>
  <c r="Y251" i="29"/>
  <c r="Z251" i="29"/>
  <c r="AB251" i="29"/>
  <c r="AD251" i="29"/>
  <c r="A252" i="29"/>
  <c r="E252" i="29"/>
  <c r="G252" i="29"/>
  <c r="H252" i="29"/>
  <c r="I252" i="29"/>
  <c r="J252" i="29"/>
  <c r="K252" i="29"/>
  <c r="L252" i="29"/>
  <c r="M252" i="29"/>
  <c r="N252" i="29"/>
  <c r="O252" i="29"/>
  <c r="P252" i="29"/>
  <c r="Q252" i="29"/>
  <c r="R252" i="29"/>
  <c r="T252" i="29"/>
  <c r="V252" i="29"/>
  <c r="X252" i="29"/>
  <c r="Y252" i="29"/>
  <c r="Z252" i="29"/>
  <c r="AB252" i="29"/>
  <c r="AD252" i="29"/>
  <c r="A253" i="29"/>
  <c r="E253" i="29"/>
  <c r="G253" i="29"/>
  <c r="H253" i="29"/>
  <c r="I253" i="29"/>
  <c r="J253" i="29"/>
  <c r="K253" i="29"/>
  <c r="L253" i="29"/>
  <c r="M253" i="29"/>
  <c r="N253" i="29"/>
  <c r="O253" i="29"/>
  <c r="P253" i="29"/>
  <c r="Q253" i="29"/>
  <c r="R253" i="29"/>
  <c r="T253" i="29"/>
  <c r="V253" i="29"/>
  <c r="X253" i="29"/>
  <c r="Y253" i="29"/>
  <c r="Z253" i="29"/>
  <c r="AB253" i="29"/>
  <c r="AD253" i="29"/>
  <c r="A254" i="29"/>
  <c r="E254" i="29"/>
  <c r="G254" i="29"/>
  <c r="H254" i="29"/>
  <c r="I254" i="29"/>
  <c r="J254" i="29"/>
  <c r="K254" i="29"/>
  <c r="L254" i="29"/>
  <c r="M254" i="29"/>
  <c r="N254" i="29"/>
  <c r="O254" i="29"/>
  <c r="P254" i="29"/>
  <c r="Q254" i="29"/>
  <c r="R254" i="29"/>
  <c r="T254" i="29"/>
  <c r="V254" i="29"/>
  <c r="X254" i="29"/>
  <c r="Y254" i="29"/>
  <c r="Z254" i="29"/>
  <c r="AB254" i="29"/>
  <c r="AD254" i="29"/>
  <c r="A255" i="29"/>
  <c r="E255" i="29"/>
  <c r="G255" i="29"/>
  <c r="H255" i="29"/>
  <c r="I255" i="29"/>
  <c r="J255" i="29"/>
  <c r="K255" i="29"/>
  <c r="L255" i="29"/>
  <c r="M255" i="29"/>
  <c r="N255" i="29"/>
  <c r="O255" i="29"/>
  <c r="P255" i="29"/>
  <c r="Q255" i="29"/>
  <c r="R255" i="29"/>
  <c r="T255" i="29"/>
  <c r="V255" i="29"/>
  <c r="X255" i="29"/>
  <c r="Y255" i="29"/>
  <c r="Z255" i="29"/>
  <c r="AB255" i="29"/>
  <c r="AD255" i="29"/>
  <c r="A256" i="29"/>
  <c r="E256" i="29"/>
  <c r="G256" i="29"/>
  <c r="H256" i="29"/>
  <c r="I256" i="29"/>
  <c r="J256" i="29"/>
  <c r="K256" i="29"/>
  <c r="L256" i="29"/>
  <c r="M256" i="29"/>
  <c r="N256" i="29"/>
  <c r="O256" i="29"/>
  <c r="P256" i="29"/>
  <c r="Q256" i="29"/>
  <c r="R256" i="29"/>
  <c r="T256" i="29"/>
  <c r="V256" i="29"/>
  <c r="X256" i="29"/>
  <c r="Y256" i="29"/>
  <c r="Z256" i="29"/>
  <c r="AB256" i="29"/>
  <c r="AD256" i="29"/>
  <c r="A257" i="29"/>
  <c r="E257" i="29"/>
  <c r="G257" i="29"/>
  <c r="H257" i="29"/>
  <c r="I257" i="29"/>
  <c r="J257" i="29"/>
  <c r="K257" i="29"/>
  <c r="L257" i="29"/>
  <c r="M257" i="29"/>
  <c r="N257" i="29"/>
  <c r="O257" i="29"/>
  <c r="P257" i="29"/>
  <c r="Q257" i="29"/>
  <c r="R257" i="29"/>
  <c r="T257" i="29"/>
  <c r="V257" i="29"/>
  <c r="X257" i="29"/>
  <c r="Y257" i="29"/>
  <c r="Z257" i="29"/>
  <c r="AB257" i="29"/>
  <c r="AD257" i="29"/>
  <c r="A258" i="29"/>
  <c r="E258" i="29"/>
  <c r="G258" i="29"/>
  <c r="H258" i="29"/>
  <c r="I258" i="29"/>
  <c r="J258" i="29"/>
  <c r="K258" i="29"/>
  <c r="L258" i="29"/>
  <c r="M258" i="29"/>
  <c r="N258" i="29"/>
  <c r="O258" i="29"/>
  <c r="P258" i="29"/>
  <c r="Q258" i="29"/>
  <c r="R258" i="29"/>
  <c r="T258" i="29"/>
  <c r="V258" i="29"/>
  <c r="X258" i="29"/>
  <c r="Y258" i="29"/>
  <c r="Z258" i="29"/>
  <c r="AB258" i="29"/>
  <c r="AD258" i="29"/>
  <c r="A259" i="29"/>
  <c r="E259" i="29"/>
  <c r="G259" i="29"/>
  <c r="H259" i="29"/>
  <c r="I259" i="29"/>
  <c r="J259" i="29"/>
  <c r="K259" i="29"/>
  <c r="L259" i="29"/>
  <c r="M259" i="29"/>
  <c r="N259" i="29"/>
  <c r="O259" i="29"/>
  <c r="P259" i="29"/>
  <c r="Q259" i="29"/>
  <c r="R259" i="29"/>
  <c r="T259" i="29"/>
  <c r="V259" i="29"/>
  <c r="X259" i="29"/>
  <c r="Y259" i="29"/>
  <c r="Z259" i="29"/>
  <c r="AB259" i="29"/>
  <c r="AD259" i="29"/>
  <c r="A260" i="29"/>
  <c r="E260" i="29"/>
  <c r="G260" i="29"/>
  <c r="H260" i="29"/>
  <c r="I260" i="29"/>
  <c r="J260" i="29"/>
  <c r="K260" i="29"/>
  <c r="L260" i="29"/>
  <c r="M260" i="29"/>
  <c r="N260" i="29"/>
  <c r="O260" i="29"/>
  <c r="P260" i="29"/>
  <c r="Q260" i="29"/>
  <c r="R260" i="29"/>
  <c r="T260" i="29"/>
  <c r="V260" i="29"/>
  <c r="X260" i="29"/>
  <c r="Y260" i="29"/>
  <c r="Z260" i="29"/>
  <c r="AB260" i="29"/>
  <c r="AD260" i="29"/>
  <c r="A261" i="29"/>
  <c r="E261" i="29"/>
  <c r="G261" i="29"/>
  <c r="H261" i="29"/>
  <c r="I261" i="29"/>
  <c r="J261" i="29"/>
  <c r="K261" i="29"/>
  <c r="L261" i="29"/>
  <c r="M261" i="29"/>
  <c r="N261" i="29"/>
  <c r="O261" i="29"/>
  <c r="P261" i="29"/>
  <c r="Q261" i="29"/>
  <c r="R261" i="29"/>
  <c r="T261" i="29"/>
  <c r="V261" i="29"/>
  <c r="X261" i="29"/>
  <c r="Y261" i="29"/>
  <c r="Z261" i="29"/>
  <c r="AB261" i="29"/>
  <c r="AD261" i="29"/>
  <c r="A262" i="29"/>
  <c r="E262" i="29"/>
  <c r="G262" i="29"/>
  <c r="H262" i="29"/>
  <c r="I262" i="29"/>
  <c r="J262" i="29"/>
  <c r="K262" i="29"/>
  <c r="L262" i="29"/>
  <c r="M262" i="29"/>
  <c r="N262" i="29"/>
  <c r="O262" i="29"/>
  <c r="P262" i="29"/>
  <c r="Q262" i="29"/>
  <c r="R262" i="29"/>
  <c r="T262" i="29"/>
  <c r="V262" i="29"/>
  <c r="X262" i="29"/>
  <c r="Y262" i="29"/>
  <c r="Z262" i="29"/>
  <c r="AB262" i="29"/>
  <c r="AD262" i="29"/>
  <c r="A263" i="29"/>
  <c r="E263" i="29"/>
  <c r="G263" i="29"/>
  <c r="H263" i="29"/>
  <c r="I263" i="29"/>
  <c r="J263" i="29"/>
  <c r="K263" i="29"/>
  <c r="L263" i="29"/>
  <c r="M263" i="29"/>
  <c r="N263" i="29"/>
  <c r="O263" i="29"/>
  <c r="P263" i="29"/>
  <c r="Q263" i="29"/>
  <c r="R263" i="29"/>
  <c r="T263" i="29"/>
  <c r="V263" i="29"/>
  <c r="X263" i="29"/>
  <c r="Y263" i="29"/>
  <c r="Z263" i="29"/>
  <c r="AB263" i="29"/>
  <c r="AD263" i="29"/>
  <c r="A264" i="29"/>
  <c r="E264" i="29"/>
  <c r="G264" i="29"/>
  <c r="H264" i="29"/>
  <c r="I264" i="29"/>
  <c r="J264" i="29"/>
  <c r="K264" i="29"/>
  <c r="L264" i="29"/>
  <c r="M264" i="29"/>
  <c r="N264" i="29"/>
  <c r="O264" i="29"/>
  <c r="P264" i="29"/>
  <c r="Q264" i="29"/>
  <c r="R264" i="29"/>
  <c r="T264" i="29"/>
  <c r="V264" i="29"/>
  <c r="X264" i="29"/>
  <c r="Y264" i="29"/>
  <c r="Z264" i="29"/>
  <c r="AB264" i="29"/>
  <c r="AD264" i="29"/>
  <c r="A265" i="29"/>
  <c r="G265" i="29"/>
  <c r="H265" i="29"/>
  <c r="I265" i="29"/>
  <c r="J265" i="29"/>
  <c r="K265" i="29"/>
  <c r="L265" i="29"/>
  <c r="M265" i="29"/>
  <c r="N265" i="29"/>
  <c r="O265" i="29"/>
  <c r="P265" i="29"/>
  <c r="Q265" i="29"/>
  <c r="X265" i="29"/>
  <c r="Y265" i="29"/>
  <c r="AD265" i="29"/>
  <c r="A266" i="29"/>
  <c r="E266" i="29"/>
  <c r="G266" i="29"/>
  <c r="H266" i="29"/>
  <c r="I266" i="29"/>
  <c r="J266" i="29"/>
  <c r="K266" i="29"/>
  <c r="L266" i="29"/>
  <c r="M266" i="29"/>
  <c r="N266" i="29"/>
  <c r="O266" i="29"/>
  <c r="P266" i="29"/>
  <c r="Q266" i="29"/>
  <c r="R266" i="29"/>
  <c r="T266" i="29"/>
  <c r="V266" i="29"/>
  <c r="X266" i="29"/>
  <c r="Y266" i="29"/>
  <c r="Z266" i="29"/>
  <c r="AB266" i="29"/>
  <c r="AD266" i="29"/>
  <c r="A267" i="29"/>
  <c r="E267" i="29"/>
  <c r="G267" i="29"/>
  <c r="H267" i="29"/>
  <c r="I267" i="29"/>
  <c r="J267" i="29"/>
  <c r="K267" i="29"/>
  <c r="L267" i="29"/>
  <c r="M267" i="29"/>
  <c r="N267" i="29"/>
  <c r="O267" i="29"/>
  <c r="P267" i="29"/>
  <c r="Q267" i="29"/>
  <c r="R267" i="29"/>
  <c r="T267" i="29"/>
  <c r="V267" i="29"/>
  <c r="X267" i="29"/>
  <c r="Y267" i="29"/>
  <c r="Z267" i="29"/>
  <c r="AB267" i="29"/>
  <c r="AD267" i="29"/>
  <c r="A268" i="29"/>
  <c r="E268" i="29"/>
  <c r="G268" i="29"/>
  <c r="H268" i="29"/>
  <c r="I268" i="29"/>
  <c r="J268" i="29"/>
  <c r="K268" i="29"/>
  <c r="L268" i="29"/>
  <c r="M268" i="29"/>
  <c r="N268" i="29"/>
  <c r="O268" i="29"/>
  <c r="P268" i="29"/>
  <c r="Q268" i="29"/>
  <c r="R268" i="29"/>
  <c r="T268" i="29"/>
  <c r="V268" i="29"/>
  <c r="X268" i="29"/>
  <c r="Y268" i="29"/>
  <c r="Z268" i="29"/>
  <c r="AB268" i="29"/>
  <c r="AD268" i="29"/>
  <c r="A269" i="29"/>
  <c r="G269" i="29"/>
  <c r="H269" i="29"/>
  <c r="I269" i="29"/>
  <c r="J269" i="29"/>
  <c r="K269" i="29"/>
  <c r="L269" i="29"/>
  <c r="M269" i="29"/>
  <c r="N269" i="29"/>
  <c r="O269" i="29"/>
  <c r="P269" i="29"/>
  <c r="Q269" i="29"/>
  <c r="X269" i="29"/>
  <c r="Y269" i="29"/>
  <c r="AD269" i="29"/>
  <c r="A270" i="29"/>
  <c r="G270" i="29"/>
  <c r="H270" i="29"/>
  <c r="I270" i="29"/>
  <c r="J270" i="29"/>
  <c r="K270" i="29"/>
  <c r="L270" i="29"/>
  <c r="M270" i="29"/>
  <c r="N270" i="29"/>
  <c r="O270" i="29"/>
  <c r="P270" i="29"/>
  <c r="Q270" i="29"/>
  <c r="X270" i="29"/>
  <c r="Y270" i="29"/>
  <c r="AD270" i="29"/>
  <c r="A271" i="29"/>
  <c r="G271" i="29"/>
  <c r="H271" i="29"/>
  <c r="I271" i="29"/>
  <c r="J271" i="29"/>
  <c r="K271" i="29"/>
  <c r="L271" i="29"/>
  <c r="M271" i="29"/>
  <c r="N271" i="29"/>
  <c r="O271" i="29"/>
  <c r="P271" i="29"/>
  <c r="Q271" i="29"/>
  <c r="X271" i="29"/>
  <c r="Y271" i="29"/>
  <c r="AD271" i="29"/>
  <c r="A272" i="29"/>
  <c r="G272" i="29"/>
  <c r="H272" i="29"/>
  <c r="I272" i="29"/>
  <c r="J272" i="29"/>
  <c r="K272" i="29"/>
  <c r="L272" i="29"/>
  <c r="M272" i="29"/>
  <c r="N272" i="29"/>
  <c r="O272" i="29"/>
  <c r="P272" i="29"/>
  <c r="Q272" i="29"/>
  <c r="X272" i="29"/>
  <c r="Y272" i="29"/>
  <c r="AD272" i="29"/>
  <c r="A273" i="29"/>
  <c r="E273" i="29"/>
  <c r="G273" i="29"/>
  <c r="H273" i="29"/>
  <c r="I273" i="29"/>
  <c r="J273" i="29"/>
  <c r="K273" i="29"/>
  <c r="L273" i="29"/>
  <c r="M273" i="29"/>
  <c r="N273" i="29"/>
  <c r="O273" i="29"/>
  <c r="P273" i="29"/>
  <c r="Q273" i="29"/>
  <c r="R273" i="29"/>
  <c r="T273" i="29"/>
  <c r="V273" i="29"/>
  <c r="X273" i="29"/>
  <c r="Y273" i="29"/>
  <c r="Z273" i="29"/>
  <c r="AB273" i="29"/>
  <c r="AD273" i="29"/>
  <c r="A274" i="29"/>
  <c r="E274" i="29"/>
  <c r="G274" i="29"/>
  <c r="H274" i="29"/>
  <c r="I274" i="29"/>
  <c r="J274" i="29"/>
  <c r="K274" i="29"/>
  <c r="L274" i="29"/>
  <c r="M274" i="29"/>
  <c r="N274" i="29"/>
  <c r="O274" i="29"/>
  <c r="P274" i="29"/>
  <c r="Q274" i="29"/>
  <c r="R274" i="29"/>
  <c r="T274" i="29"/>
  <c r="V274" i="29"/>
  <c r="X274" i="29"/>
  <c r="Y274" i="29"/>
  <c r="Z274" i="29"/>
  <c r="AB274" i="29"/>
  <c r="AD274" i="29"/>
  <c r="A275" i="29"/>
  <c r="G275" i="29"/>
  <c r="H275" i="29"/>
  <c r="I275" i="29"/>
  <c r="J275" i="29"/>
  <c r="K275" i="29"/>
  <c r="L275" i="29"/>
  <c r="M275" i="29"/>
  <c r="P275" i="29"/>
  <c r="R275" i="29"/>
  <c r="T275" i="29"/>
  <c r="V275" i="29"/>
  <c r="Y275" i="29"/>
  <c r="Z275" i="29"/>
  <c r="AD275" i="29"/>
  <c r="A276" i="29"/>
  <c r="G276" i="29"/>
  <c r="H276" i="29"/>
  <c r="I276" i="29"/>
  <c r="J276" i="29"/>
  <c r="K276" i="29"/>
  <c r="L276" i="29"/>
  <c r="M276" i="29"/>
  <c r="R276" i="29"/>
  <c r="T276" i="29"/>
  <c r="V276" i="29"/>
  <c r="Y276" i="29"/>
  <c r="Z276" i="29"/>
  <c r="AD276" i="29"/>
  <c r="A277" i="29"/>
  <c r="G277" i="29"/>
  <c r="H277" i="29"/>
  <c r="I277" i="29"/>
  <c r="J277" i="29"/>
  <c r="K277" i="29"/>
  <c r="L277" i="29"/>
  <c r="M277" i="29"/>
  <c r="N277" i="29"/>
  <c r="O277" i="29"/>
  <c r="P277" i="29"/>
  <c r="Q277" i="29"/>
  <c r="R277" i="29"/>
  <c r="T277" i="29"/>
  <c r="V277" i="29"/>
  <c r="X277" i="29"/>
  <c r="Z277" i="29"/>
  <c r="AD277" i="29"/>
  <c r="A278" i="29"/>
  <c r="G278" i="29"/>
  <c r="H278" i="29"/>
  <c r="I278" i="29"/>
  <c r="J278" i="29"/>
  <c r="K278" i="29"/>
  <c r="L278" i="29"/>
  <c r="M278" i="29"/>
  <c r="R278" i="29"/>
  <c r="T278" i="29"/>
  <c r="V278" i="29"/>
  <c r="Z278" i="29"/>
  <c r="AD278" i="29"/>
  <c r="A279" i="29"/>
  <c r="G279" i="29"/>
  <c r="H279" i="29"/>
  <c r="I279" i="29"/>
  <c r="J279" i="29"/>
  <c r="K279" i="29"/>
  <c r="L279" i="29"/>
  <c r="M279" i="29"/>
  <c r="R279" i="29"/>
  <c r="T279" i="29"/>
  <c r="V279" i="29"/>
  <c r="Z279" i="29"/>
  <c r="AD279" i="29"/>
  <c r="A280" i="29"/>
  <c r="G280" i="29"/>
  <c r="H280" i="29"/>
  <c r="I280" i="29"/>
  <c r="J280" i="29"/>
  <c r="K280" i="29"/>
  <c r="L280" i="29"/>
  <c r="M280" i="29"/>
  <c r="R280" i="29"/>
  <c r="T280" i="29"/>
  <c r="V280" i="29"/>
  <c r="Z280" i="29"/>
  <c r="AD280" i="29"/>
  <c r="A281" i="29"/>
  <c r="G281" i="29"/>
  <c r="H281" i="29"/>
  <c r="I281" i="29"/>
  <c r="J281" i="29"/>
  <c r="K281" i="29"/>
  <c r="L281" i="29"/>
  <c r="M281" i="29"/>
  <c r="R281" i="29"/>
  <c r="T281" i="29"/>
  <c r="V281" i="29"/>
  <c r="Z281" i="29"/>
  <c r="AD281" i="29"/>
  <c r="A282" i="29"/>
  <c r="G282" i="29"/>
  <c r="H282" i="29"/>
  <c r="I282" i="29"/>
  <c r="J282" i="29"/>
  <c r="K282" i="29"/>
  <c r="L282" i="29"/>
  <c r="M282" i="29"/>
  <c r="R282" i="29"/>
  <c r="T282" i="29"/>
  <c r="V282" i="29"/>
  <c r="Z282" i="29"/>
  <c r="AD282" i="29"/>
  <c r="A283" i="29"/>
  <c r="G283" i="29"/>
  <c r="H283" i="29"/>
  <c r="I283" i="29"/>
  <c r="J283" i="29"/>
  <c r="K283" i="29"/>
  <c r="L283" i="29"/>
  <c r="M283" i="29"/>
  <c r="R283" i="29"/>
  <c r="T283" i="29"/>
  <c r="V283" i="29"/>
  <c r="Y283" i="29"/>
  <c r="Z283" i="29"/>
  <c r="AD283" i="29"/>
  <c r="A284" i="29"/>
  <c r="G284" i="29"/>
  <c r="H284" i="29"/>
  <c r="I284" i="29"/>
  <c r="J284" i="29"/>
  <c r="K284" i="29"/>
  <c r="L284" i="29"/>
  <c r="M284" i="29"/>
  <c r="N284" i="29"/>
  <c r="O284" i="29"/>
  <c r="P284" i="29"/>
  <c r="Q284" i="29"/>
  <c r="R284" i="29"/>
  <c r="T284" i="29"/>
  <c r="V284" i="29"/>
  <c r="X284" i="29"/>
  <c r="Y284" i="29"/>
  <c r="Z284" i="29"/>
  <c r="AB284" i="29"/>
  <c r="AD284" i="29"/>
  <c r="A288" i="29"/>
  <c r="E288" i="29"/>
  <c r="G288" i="29"/>
  <c r="H288" i="29"/>
  <c r="I288" i="29"/>
  <c r="J288" i="29"/>
  <c r="K288" i="29"/>
  <c r="L288" i="29"/>
  <c r="M288" i="29"/>
  <c r="N288" i="29"/>
  <c r="O288" i="29"/>
  <c r="P288" i="29"/>
  <c r="Q288" i="29"/>
  <c r="R288" i="29"/>
  <c r="R619" i="29" s="1"/>
  <c r="AE619" i="29" s="1"/>
  <c r="T288" i="29"/>
  <c r="T619" i="29" s="1"/>
  <c r="V288" i="29"/>
  <c r="V619" i="29" s="1"/>
  <c r="X288" i="29"/>
  <c r="Y288" i="29"/>
  <c r="Z288" i="29"/>
  <c r="Z619" i="29" s="1"/>
  <c r="AD288" i="29"/>
  <c r="A289" i="29"/>
  <c r="E289" i="29"/>
  <c r="G289" i="29"/>
  <c r="H289" i="29"/>
  <c r="I289" i="29"/>
  <c r="J289" i="29"/>
  <c r="K289" i="29"/>
  <c r="L289" i="29"/>
  <c r="M289" i="29"/>
  <c r="N289" i="29"/>
  <c r="O289" i="29"/>
  <c r="P289" i="29"/>
  <c r="Q289" i="29"/>
  <c r="R289" i="29"/>
  <c r="T289" i="29"/>
  <c r="V289" i="29"/>
  <c r="X289" i="29"/>
  <c r="Y289" i="29"/>
  <c r="Z289" i="29"/>
  <c r="AB289" i="29"/>
  <c r="AD289" i="29"/>
  <c r="A290" i="29"/>
  <c r="E290" i="29"/>
  <c r="G290" i="29"/>
  <c r="H290" i="29"/>
  <c r="I290" i="29"/>
  <c r="J290" i="29"/>
  <c r="K290" i="29"/>
  <c r="L290" i="29"/>
  <c r="M290" i="29"/>
  <c r="N290" i="29"/>
  <c r="O290" i="29"/>
  <c r="P290" i="29"/>
  <c r="Q290" i="29"/>
  <c r="R290" i="29"/>
  <c r="T290" i="29"/>
  <c r="V290" i="29"/>
  <c r="X290" i="29"/>
  <c r="Y290" i="29"/>
  <c r="Z290" i="29"/>
  <c r="AB290" i="29"/>
  <c r="AD290" i="29"/>
  <c r="A291" i="29"/>
  <c r="E291" i="29"/>
  <c r="G291" i="29"/>
  <c r="H291" i="29"/>
  <c r="I291" i="29"/>
  <c r="J291" i="29"/>
  <c r="K291" i="29"/>
  <c r="L291" i="29"/>
  <c r="M291" i="29"/>
  <c r="N291" i="29"/>
  <c r="O291" i="29"/>
  <c r="P291" i="29"/>
  <c r="Q291" i="29"/>
  <c r="R291" i="29"/>
  <c r="T291" i="29"/>
  <c r="V291" i="29"/>
  <c r="X291" i="29"/>
  <c r="Y291" i="29"/>
  <c r="Z291" i="29"/>
  <c r="AB291" i="29"/>
  <c r="AD291" i="29"/>
  <c r="A292" i="29"/>
  <c r="E292" i="29"/>
  <c r="G292" i="29"/>
  <c r="H292" i="29"/>
  <c r="I292" i="29"/>
  <c r="J292" i="29"/>
  <c r="K292" i="29"/>
  <c r="L292" i="29"/>
  <c r="M292" i="29"/>
  <c r="N292" i="29"/>
  <c r="O292" i="29"/>
  <c r="P292" i="29"/>
  <c r="Q292" i="29"/>
  <c r="R292" i="29"/>
  <c r="T292" i="29"/>
  <c r="V292" i="29"/>
  <c r="X292" i="29"/>
  <c r="Y292" i="29"/>
  <c r="Z292" i="29"/>
  <c r="AB292" i="29"/>
  <c r="AD292" i="29"/>
  <c r="A293" i="29"/>
  <c r="E293" i="29"/>
  <c r="G293" i="29"/>
  <c r="H293" i="29"/>
  <c r="I293" i="29"/>
  <c r="J293" i="29"/>
  <c r="K293" i="29"/>
  <c r="L293" i="29"/>
  <c r="M293" i="29"/>
  <c r="N293" i="29"/>
  <c r="O293" i="29"/>
  <c r="P293" i="29"/>
  <c r="Q293" i="29"/>
  <c r="R293" i="29"/>
  <c r="T293" i="29"/>
  <c r="V293" i="29"/>
  <c r="X293" i="29"/>
  <c r="Y293" i="29"/>
  <c r="Z293" i="29"/>
  <c r="AB293" i="29"/>
  <c r="AD293" i="29"/>
  <c r="A294" i="29"/>
  <c r="E294" i="29"/>
  <c r="G294" i="29"/>
  <c r="H294" i="29"/>
  <c r="I294" i="29"/>
  <c r="J294" i="29"/>
  <c r="K294" i="29"/>
  <c r="L294" i="29"/>
  <c r="M294" i="29"/>
  <c r="N294" i="29"/>
  <c r="O294" i="29"/>
  <c r="P294" i="29"/>
  <c r="Q294" i="29"/>
  <c r="R294" i="29"/>
  <c r="T294" i="29"/>
  <c r="V294" i="29"/>
  <c r="X294" i="29"/>
  <c r="Y294" i="29"/>
  <c r="Z294" i="29"/>
  <c r="AB294" i="29"/>
  <c r="AD294" i="29"/>
  <c r="A295" i="29"/>
  <c r="E295" i="29"/>
  <c r="G295" i="29"/>
  <c r="H295" i="29"/>
  <c r="I295" i="29"/>
  <c r="J295" i="29"/>
  <c r="K295" i="29"/>
  <c r="L295" i="29"/>
  <c r="M295" i="29"/>
  <c r="N295" i="29"/>
  <c r="O295" i="29"/>
  <c r="P295" i="29"/>
  <c r="Q295" i="29"/>
  <c r="R295" i="29"/>
  <c r="T295" i="29"/>
  <c r="V295" i="29"/>
  <c r="X295" i="29"/>
  <c r="Y295" i="29"/>
  <c r="Z295" i="29"/>
  <c r="AB295" i="29"/>
  <c r="AD295" i="29"/>
  <c r="A296" i="29"/>
  <c r="E296" i="29"/>
  <c r="G296" i="29"/>
  <c r="H296" i="29"/>
  <c r="I296" i="29"/>
  <c r="J296" i="29"/>
  <c r="K296" i="29"/>
  <c r="L296" i="29"/>
  <c r="M296" i="29"/>
  <c r="N296" i="29"/>
  <c r="O296" i="29"/>
  <c r="P296" i="29"/>
  <c r="Q296" i="29"/>
  <c r="R296" i="29"/>
  <c r="T296" i="29"/>
  <c r="V296" i="29"/>
  <c r="X296" i="29"/>
  <c r="Y296" i="29"/>
  <c r="Z296" i="29"/>
  <c r="AB296" i="29"/>
  <c r="AD296" i="29"/>
  <c r="A297" i="29"/>
  <c r="E297" i="29"/>
  <c r="G297" i="29"/>
  <c r="H297" i="29"/>
  <c r="I297" i="29"/>
  <c r="J297" i="29"/>
  <c r="K297" i="29"/>
  <c r="L297" i="29"/>
  <c r="M297" i="29"/>
  <c r="N297" i="29"/>
  <c r="O297" i="29"/>
  <c r="P297" i="29"/>
  <c r="Q297" i="29"/>
  <c r="R297" i="29"/>
  <c r="T297" i="29"/>
  <c r="V297" i="29"/>
  <c r="X297" i="29"/>
  <c r="Y297" i="29"/>
  <c r="Z297" i="29"/>
  <c r="AB297" i="29"/>
  <c r="AD297" i="29"/>
  <c r="A298" i="29"/>
  <c r="E298" i="29"/>
  <c r="G298" i="29"/>
  <c r="H298" i="29"/>
  <c r="I298" i="29"/>
  <c r="J298" i="29"/>
  <c r="K298" i="29"/>
  <c r="L298" i="29"/>
  <c r="M298" i="29"/>
  <c r="N298" i="29"/>
  <c r="O298" i="29"/>
  <c r="P298" i="29"/>
  <c r="Q298" i="29"/>
  <c r="R298" i="29"/>
  <c r="T298" i="29"/>
  <c r="V298" i="29"/>
  <c r="X298" i="29"/>
  <c r="Y298" i="29"/>
  <c r="Z298" i="29"/>
  <c r="AB298" i="29"/>
  <c r="AD298" i="29"/>
  <c r="A299" i="29"/>
  <c r="E299" i="29"/>
  <c r="G299" i="29"/>
  <c r="H299" i="29"/>
  <c r="I299" i="29"/>
  <c r="J299" i="29"/>
  <c r="K299" i="29"/>
  <c r="L299" i="29"/>
  <c r="M299" i="29"/>
  <c r="N299" i="29"/>
  <c r="O299" i="29"/>
  <c r="P299" i="29"/>
  <c r="Q299" i="29"/>
  <c r="R299" i="29"/>
  <c r="T299" i="29"/>
  <c r="V299" i="29"/>
  <c r="X299" i="29"/>
  <c r="Y299" i="29"/>
  <c r="Z299" i="29"/>
  <c r="AB299" i="29"/>
  <c r="AD299" i="29"/>
  <c r="A300" i="29"/>
  <c r="E300" i="29"/>
  <c r="G300" i="29"/>
  <c r="H300" i="29"/>
  <c r="I300" i="29"/>
  <c r="J300" i="29"/>
  <c r="K300" i="29"/>
  <c r="L300" i="29"/>
  <c r="M300" i="29"/>
  <c r="N300" i="29"/>
  <c r="O300" i="29"/>
  <c r="P300" i="29"/>
  <c r="Q300" i="29"/>
  <c r="R300" i="29"/>
  <c r="T300" i="29"/>
  <c r="V300" i="29"/>
  <c r="X300" i="29"/>
  <c r="Y300" i="29"/>
  <c r="Z300" i="29"/>
  <c r="AB300" i="29"/>
  <c r="AD300" i="29"/>
  <c r="A301" i="29"/>
  <c r="E301" i="29"/>
  <c r="G301" i="29"/>
  <c r="H301" i="29"/>
  <c r="I301" i="29"/>
  <c r="J301" i="29"/>
  <c r="K301" i="29"/>
  <c r="L301" i="29"/>
  <c r="M301" i="29"/>
  <c r="N301" i="29"/>
  <c r="O301" i="29"/>
  <c r="P301" i="29"/>
  <c r="Q301" i="29"/>
  <c r="R301" i="29"/>
  <c r="T301" i="29"/>
  <c r="V301" i="29"/>
  <c r="X301" i="29"/>
  <c r="Y301" i="29"/>
  <c r="Z301" i="29"/>
  <c r="AB301" i="29"/>
  <c r="AD301" i="29"/>
  <c r="A302" i="29"/>
  <c r="E302" i="29"/>
  <c r="G302" i="29"/>
  <c r="H302" i="29"/>
  <c r="I302" i="29"/>
  <c r="J302" i="29"/>
  <c r="K302" i="29"/>
  <c r="L302" i="29"/>
  <c r="M302" i="29"/>
  <c r="N302" i="29"/>
  <c r="O302" i="29"/>
  <c r="P302" i="29"/>
  <c r="Q302" i="29"/>
  <c r="R302" i="29"/>
  <c r="T302" i="29"/>
  <c r="V302" i="29"/>
  <c r="X302" i="29"/>
  <c r="Y302" i="29"/>
  <c r="Z302" i="29"/>
  <c r="AB302" i="29"/>
  <c r="AD302" i="29"/>
  <c r="A303" i="29"/>
  <c r="E303" i="29"/>
  <c r="G303" i="29"/>
  <c r="H303" i="29"/>
  <c r="I303" i="29"/>
  <c r="J303" i="29"/>
  <c r="K303" i="29"/>
  <c r="L303" i="29"/>
  <c r="M303" i="29"/>
  <c r="N303" i="29"/>
  <c r="O303" i="29"/>
  <c r="P303" i="29"/>
  <c r="Q303" i="29"/>
  <c r="R303" i="29"/>
  <c r="T303" i="29"/>
  <c r="V303" i="29"/>
  <c r="X303" i="29"/>
  <c r="Y303" i="29"/>
  <c r="Z303" i="29"/>
  <c r="AB303" i="29"/>
  <c r="AD303" i="29"/>
  <c r="A304" i="29"/>
  <c r="E304" i="29"/>
  <c r="G304" i="29"/>
  <c r="H304" i="29"/>
  <c r="I304" i="29"/>
  <c r="J304" i="29"/>
  <c r="K304" i="29"/>
  <c r="L304" i="29"/>
  <c r="M304" i="29"/>
  <c r="N304" i="29"/>
  <c r="O304" i="29"/>
  <c r="P304" i="29"/>
  <c r="Q304" i="29"/>
  <c r="R304" i="29"/>
  <c r="T304" i="29"/>
  <c r="V304" i="29"/>
  <c r="X304" i="29"/>
  <c r="Y304" i="29"/>
  <c r="Z304" i="29"/>
  <c r="AB304" i="29"/>
  <c r="AD304" i="29"/>
  <c r="A305" i="29"/>
  <c r="E305" i="29"/>
  <c r="G305" i="29"/>
  <c r="H305" i="29"/>
  <c r="I305" i="29"/>
  <c r="J305" i="29"/>
  <c r="K305" i="29"/>
  <c r="L305" i="29"/>
  <c r="M305" i="29"/>
  <c r="N305" i="29"/>
  <c r="O305" i="29"/>
  <c r="P305" i="29"/>
  <c r="Q305" i="29"/>
  <c r="R305" i="29"/>
  <c r="T305" i="29"/>
  <c r="V305" i="29"/>
  <c r="X305" i="29"/>
  <c r="Y305" i="29"/>
  <c r="Z305" i="29"/>
  <c r="AB305" i="29"/>
  <c r="AD305" i="29"/>
  <c r="A306" i="29"/>
  <c r="E306" i="29"/>
  <c r="G306" i="29"/>
  <c r="H306" i="29"/>
  <c r="I306" i="29"/>
  <c r="J306" i="29"/>
  <c r="K306" i="29"/>
  <c r="L306" i="29"/>
  <c r="M306" i="29"/>
  <c r="N306" i="29"/>
  <c r="O306" i="29"/>
  <c r="P306" i="29"/>
  <c r="Q306" i="29"/>
  <c r="R306" i="29"/>
  <c r="T306" i="29"/>
  <c r="V306" i="29"/>
  <c r="X306" i="29"/>
  <c r="Y306" i="29"/>
  <c r="Z306" i="29"/>
  <c r="AB306" i="29"/>
  <c r="AD306" i="29"/>
  <c r="A307" i="29"/>
  <c r="E307" i="29"/>
  <c r="G307" i="29"/>
  <c r="H307" i="29"/>
  <c r="I307" i="29"/>
  <c r="J307" i="29"/>
  <c r="K307" i="29"/>
  <c r="L307" i="29"/>
  <c r="M307" i="29"/>
  <c r="N307" i="29"/>
  <c r="O307" i="29"/>
  <c r="P307" i="29"/>
  <c r="Q307" i="29"/>
  <c r="R307" i="29"/>
  <c r="T307" i="29"/>
  <c r="V307" i="29"/>
  <c r="X307" i="29"/>
  <c r="Y307" i="29"/>
  <c r="Z307" i="29"/>
  <c r="AB307" i="29"/>
  <c r="AD307" i="29"/>
  <c r="A308" i="29"/>
  <c r="E308" i="29"/>
  <c r="G308" i="29"/>
  <c r="H308" i="29"/>
  <c r="I308" i="29"/>
  <c r="J308" i="29"/>
  <c r="K308" i="29"/>
  <c r="L308" i="29"/>
  <c r="M308" i="29"/>
  <c r="N308" i="29"/>
  <c r="O308" i="29"/>
  <c r="P308" i="29"/>
  <c r="Q308" i="29"/>
  <c r="R308" i="29"/>
  <c r="T308" i="29"/>
  <c r="V308" i="29"/>
  <c r="X308" i="29"/>
  <c r="Y308" i="29"/>
  <c r="Z308" i="29"/>
  <c r="AB308" i="29"/>
  <c r="AD308" i="29"/>
  <c r="A309" i="29"/>
  <c r="E309" i="29"/>
  <c r="G309" i="29"/>
  <c r="H309" i="29"/>
  <c r="I309" i="29"/>
  <c r="J309" i="29"/>
  <c r="K309" i="29"/>
  <c r="L309" i="29"/>
  <c r="M309" i="29"/>
  <c r="N309" i="29"/>
  <c r="O309" i="29"/>
  <c r="P309" i="29"/>
  <c r="Q309" i="29"/>
  <c r="R309" i="29"/>
  <c r="T309" i="29"/>
  <c r="V309" i="29"/>
  <c r="X309" i="29"/>
  <c r="Y309" i="29"/>
  <c r="Z309" i="29"/>
  <c r="AB309" i="29"/>
  <c r="AD309" i="29"/>
  <c r="A310" i="29"/>
  <c r="E310" i="29"/>
  <c r="G310" i="29"/>
  <c r="H310" i="29"/>
  <c r="I310" i="29"/>
  <c r="J310" i="29"/>
  <c r="K310" i="29"/>
  <c r="L310" i="29"/>
  <c r="M310" i="29"/>
  <c r="N310" i="29"/>
  <c r="O310" i="29"/>
  <c r="P310" i="29"/>
  <c r="Q310" i="29"/>
  <c r="R310" i="29"/>
  <c r="T310" i="29"/>
  <c r="V310" i="29"/>
  <c r="X310" i="29"/>
  <c r="Y310" i="29"/>
  <c r="Z310" i="29"/>
  <c r="AB310" i="29"/>
  <c r="AD310" i="29"/>
  <c r="A311" i="29"/>
  <c r="E311" i="29"/>
  <c r="G311" i="29"/>
  <c r="H311" i="29"/>
  <c r="I311" i="29"/>
  <c r="J311" i="29"/>
  <c r="K311" i="29"/>
  <c r="L311" i="29"/>
  <c r="M311" i="29"/>
  <c r="N311" i="29"/>
  <c r="O311" i="29"/>
  <c r="P311" i="29"/>
  <c r="Q311" i="29"/>
  <c r="R311" i="29"/>
  <c r="T311" i="29"/>
  <c r="V311" i="29"/>
  <c r="X311" i="29"/>
  <c r="Y311" i="29"/>
  <c r="Z311" i="29"/>
  <c r="AB311" i="29"/>
  <c r="AD311" i="29"/>
  <c r="A312" i="29"/>
  <c r="E312" i="29"/>
  <c r="G312" i="29"/>
  <c r="H312" i="29"/>
  <c r="I312" i="29"/>
  <c r="J312" i="29"/>
  <c r="K312" i="29"/>
  <c r="L312" i="29"/>
  <c r="M312" i="29"/>
  <c r="N312" i="29"/>
  <c r="O312" i="29"/>
  <c r="P312" i="29"/>
  <c r="Q312" i="29"/>
  <c r="R312" i="29"/>
  <c r="T312" i="29"/>
  <c r="V312" i="29"/>
  <c r="X312" i="29"/>
  <c r="Y312" i="29"/>
  <c r="Z312" i="29"/>
  <c r="AB312" i="29"/>
  <c r="AD312" i="29"/>
  <c r="A313" i="29"/>
  <c r="E313" i="29"/>
  <c r="G313" i="29"/>
  <c r="H313" i="29"/>
  <c r="I313" i="29"/>
  <c r="J313" i="29"/>
  <c r="K313" i="29"/>
  <c r="L313" i="29"/>
  <c r="M313" i="29"/>
  <c r="N313" i="29"/>
  <c r="O313" i="29"/>
  <c r="P313" i="29"/>
  <c r="Q313" i="29"/>
  <c r="R313" i="29"/>
  <c r="T313" i="29"/>
  <c r="V313" i="29"/>
  <c r="X313" i="29"/>
  <c r="Y313" i="29"/>
  <c r="Z313" i="29"/>
  <c r="AB313" i="29"/>
  <c r="AD313" i="29"/>
  <c r="A314" i="29"/>
  <c r="E314" i="29"/>
  <c r="G314" i="29"/>
  <c r="H314" i="29"/>
  <c r="I314" i="29"/>
  <c r="J314" i="29"/>
  <c r="K314" i="29"/>
  <c r="L314" i="29"/>
  <c r="M314" i="29"/>
  <c r="N314" i="29"/>
  <c r="O314" i="29"/>
  <c r="P314" i="29"/>
  <c r="Q314" i="29"/>
  <c r="R314" i="29"/>
  <c r="T314" i="29"/>
  <c r="V314" i="29"/>
  <c r="X314" i="29"/>
  <c r="Y314" i="29"/>
  <c r="Z314" i="29"/>
  <c r="AB314" i="29"/>
  <c r="AD314" i="29"/>
  <c r="A315" i="29"/>
  <c r="E315" i="29"/>
  <c r="G315" i="29"/>
  <c r="H315" i="29"/>
  <c r="I315" i="29"/>
  <c r="J315" i="29"/>
  <c r="K315" i="29"/>
  <c r="L315" i="29"/>
  <c r="M315" i="29"/>
  <c r="N315" i="29"/>
  <c r="O315" i="29"/>
  <c r="P315" i="29"/>
  <c r="Q315" i="29"/>
  <c r="R315" i="29"/>
  <c r="T315" i="29"/>
  <c r="V315" i="29"/>
  <c r="X315" i="29"/>
  <c r="Y315" i="29"/>
  <c r="Z315" i="29"/>
  <c r="AB315" i="29"/>
  <c r="AD315" i="29"/>
  <c r="A316" i="29"/>
  <c r="E316" i="29"/>
  <c r="G316" i="29"/>
  <c r="H316" i="29"/>
  <c r="I316" i="29"/>
  <c r="J316" i="29"/>
  <c r="K316" i="29"/>
  <c r="L316" i="29"/>
  <c r="M316" i="29"/>
  <c r="N316" i="29"/>
  <c r="O316" i="29"/>
  <c r="P316" i="29"/>
  <c r="Q316" i="29"/>
  <c r="R316" i="29"/>
  <c r="T316" i="29"/>
  <c r="V316" i="29"/>
  <c r="X316" i="29"/>
  <c r="Y316" i="29"/>
  <c r="Z316" i="29"/>
  <c r="AB316" i="29"/>
  <c r="AD316" i="29"/>
  <c r="A317" i="29"/>
  <c r="E317" i="29"/>
  <c r="G317" i="29"/>
  <c r="H317" i="29"/>
  <c r="I317" i="29"/>
  <c r="J317" i="29"/>
  <c r="K317" i="29"/>
  <c r="L317" i="29"/>
  <c r="M317" i="29"/>
  <c r="N317" i="29"/>
  <c r="O317" i="29"/>
  <c r="P317" i="29"/>
  <c r="Q317" i="29"/>
  <c r="R317" i="29"/>
  <c r="T317" i="29"/>
  <c r="V317" i="29"/>
  <c r="X317" i="29"/>
  <c r="Y317" i="29"/>
  <c r="Z317" i="29"/>
  <c r="AB317" i="29"/>
  <c r="AD317" i="29"/>
  <c r="A318" i="29"/>
  <c r="E318" i="29"/>
  <c r="G318" i="29"/>
  <c r="H318" i="29"/>
  <c r="I318" i="29"/>
  <c r="J318" i="29"/>
  <c r="K318" i="29"/>
  <c r="L318" i="29"/>
  <c r="M318" i="29"/>
  <c r="N318" i="29"/>
  <c r="O318" i="29"/>
  <c r="P318" i="29"/>
  <c r="Q318" i="29"/>
  <c r="R318" i="29"/>
  <c r="T318" i="29"/>
  <c r="V318" i="29"/>
  <c r="X318" i="29"/>
  <c r="Y318" i="29"/>
  <c r="Z318" i="29"/>
  <c r="AB318" i="29"/>
  <c r="AD318" i="29"/>
  <c r="A319" i="29"/>
  <c r="E319" i="29"/>
  <c r="G319" i="29"/>
  <c r="H319" i="29"/>
  <c r="I319" i="29"/>
  <c r="J319" i="29"/>
  <c r="K319" i="29"/>
  <c r="L319" i="29"/>
  <c r="M319" i="29"/>
  <c r="N319" i="29"/>
  <c r="O319" i="29"/>
  <c r="P319" i="29"/>
  <c r="Q319" i="29"/>
  <c r="R319" i="29"/>
  <c r="T319" i="29"/>
  <c r="V319" i="29"/>
  <c r="X319" i="29"/>
  <c r="Y319" i="29"/>
  <c r="Z319" i="29"/>
  <c r="AB319" i="29"/>
  <c r="AD319" i="29"/>
  <c r="A320" i="29"/>
  <c r="E320" i="29"/>
  <c r="G320" i="29"/>
  <c r="H320" i="29"/>
  <c r="I320" i="29"/>
  <c r="J320" i="29"/>
  <c r="K320" i="29"/>
  <c r="L320" i="29"/>
  <c r="M320" i="29"/>
  <c r="N320" i="29"/>
  <c r="O320" i="29"/>
  <c r="P320" i="29"/>
  <c r="Q320" i="29"/>
  <c r="R320" i="29"/>
  <c r="T320" i="29"/>
  <c r="V320" i="29"/>
  <c r="X320" i="29"/>
  <c r="Y320" i="29"/>
  <c r="Z320" i="29"/>
  <c r="AB320" i="29"/>
  <c r="AD320" i="29"/>
  <c r="A321" i="29"/>
  <c r="E321" i="29"/>
  <c r="G321" i="29"/>
  <c r="H321" i="29"/>
  <c r="I321" i="29"/>
  <c r="J321" i="29"/>
  <c r="K321" i="29"/>
  <c r="L321" i="29"/>
  <c r="M321" i="29"/>
  <c r="N321" i="29"/>
  <c r="O321" i="29"/>
  <c r="P321" i="29"/>
  <c r="Q321" i="29"/>
  <c r="R321" i="29"/>
  <c r="T321" i="29"/>
  <c r="V321" i="29"/>
  <c r="X321" i="29"/>
  <c r="Y321" i="29"/>
  <c r="Z321" i="29"/>
  <c r="AB321" i="29"/>
  <c r="AD321" i="29"/>
  <c r="A322" i="29"/>
  <c r="E322" i="29"/>
  <c r="G322" i="29"/>
  <c r="H322" i="29"/>
  <c r="I322" i="29"/>
  <c r="J322" i="29"/>
  <c r="K322" i="29"/>
  <c r="L322" i="29"/>
  <c r="M322" i="29"/>
  <c r="N322" i="29"/>
  <c r="O322" i="29"/>
  <c r="P322" i="29"/>
  <c r="Q322" i="29"/>
  <c r="R322" i="29"/>
  <c r="T322" i="29"/>
  <c r="V322" i="29"/>
  <c r="X322" i="29"/>
  <c r="Y322" i="29"/>
  <c r="Z322" i="29"/>
  <c r="AB322" i="29"/>
  <c r="AD322" i="29"/>
  <c r="A323" i="29"/>
  <c r="E323" i="29"/>
  <c r="G323" i="29"/>
  <c r="H323" i="29"/>
  <c r="I323" i="29"/>
  <c r="J323" i="29"/>
  <c r="K323" i="29"/>
  <c r="L323" i="29"/>
  <c r="M323" i="29"/>
  <c r="N323" i="29"/>
  <c r="O323" i="29"/>
  <c r="P323" i="29"/>
  <c r="Q323" i="29"/>
  <c r="R323" i="29"/>
  <c r="T323" i="29"/>
  <c r="V323" i="29"/>
  <c r="X323" i="29"/>
  <c r="Y323" i="29"/>
  <c r="Z323" i="29"/>
  <c r="AB323" i="29"/>
  <c r="AD323" i="29"/>
  <c r="A324" i="29"/>
  <c r="E324" i="29"/>
  <c r="G324" i="29"/>
  <c r="H324" i="29"/>
  <c r="I324" i="29"/>
  <c r="J324" i="29"/>
  <c r="K324" i="29"/>
  <c r="L324" i="29"/>
  <c r="M324" i="29"/>
  <c r="N324" i="29"/>
  <c r="O324" i="29"/>
  <c r="P324" i="29"/>
  <c r="Q324" i="29"/>
  <c r="R324" i="29"/>
  <c r="T324" i="29"/>
  <c r="V324" i="29"/>
  <c r="X324" i="29"/>
  <c r="Y324" i="29"/>
  <c r="Z324" i="29"/>
  <c r="AB324" i="29"/>
  <c r="AD324" i="29"/>
  <c r="A325" i="29"/>
  <c r="E325" i="29"/>
  <c r="G325" i="29"/>
  <c r="H325" i="29"/>
  <c r="I325" i="29"/>
  <c r="J325" i="29"/>
  <c r="K325" i="29"/>
  <c r="L325" i="29"/>
  <c r="M325" i="29"/>
  <c r="N325" i="29"/>
  <c r="O325" i="29"/>
  <c r="P325" i="29"/>
  <c r="Q325" i="29"/>
  <c r="R325" i="29"/>
  <c r="T325" i="29"/>
  <c r="V325" i="29"/>
  <c r="X325" i="29"/>
  <c r="Y325" i="29"/>
  <c r="Z325" i="29"/>
  <c r="AB325" i="29"/>
  <c r="AD325" i="29"/>
  <c r="A326" i="29"/>
  <c r="E326" i="29"/>
  <c r="G326" i="29"/>
  <c r="H326" i="29"/>
  <c r="I326" i="29"/>
  <c r="J326" i="29"/>
  <c r="K326" i="29"/>
  <c r="L326" i="29"/>
  <c r="M326" i="29"/>
  <c r="N326" i="29"/>
  <c r="O326" i="29"/>
  <c r="P326" i="29"/>
  <c r="Q326" i="29"/>
  <c r="R326" i="29"/>
  <c r="T326" i="29"/>
  <c r="V326" i="29"/>
  <c r="X326" i="29"/>
  <c r="Y326" i="29"/>
  <c r="Z326" i="29"/>
  <c r="AB326" i="29"/>
  <c r="AD326" i="29"/>
  <c r="A327" i="29"/>
  <c r="E327" i="29"/>
  <c r="G327" i="29"/>
  <c r="H327" i="29"/>
  <c r="I327" i="29"/>
  <c r="J327" i="29"/>
  <c r="K327" i="29"/>
  <c r="L327" i="29"/>
  <c r="M327" i="29"/>
  <c r="N327" i="29"/>
  <c r="O327" i="29"/>
  <c r="P327" i="29"/>
  <c r="Q327" i="29"/>
  <c r="R327" i="29"/>
  <c r="T327" i="29"/>
  <c r="V327" i="29"/>
  <c r="X327" i="29"/>
  <c r="Y327" i="29"/>
  <c r="Z327" i="29"/>
  <c r="AB327" i="29"/>
  <c r="AD327" i="29"/>
  <c r="A328" i="29"/>
  <c r="E328" i="29"/>
  <c r="G328" i="29"/>
  <c r="H328" i="29"/>
  <c r="I328" i="29"/>
  <c r="J328" i="29"/>
  <c r="K328" i="29"/>
  <c r="L328" i="29"/>
  <c r="M328" i="29"/>
  <c r="N328" i="29"/>
  <c r="O328" i="29"/>
  <c r="P328" i="29"/>
  <c r="Q328" i="29"/>
  <c r="R328" i="29"/>
  <c r="T328" i="29"/>
  <c r="V328" i="29"/>
  <c r="X328" i="29"/>
  <c r="Y328" i="29"/>
  <c r="Z328" i="29"/>
  <c r="AB328" i="29"/>
  <c r="AD328" i="29"/>
  <c r="A329" i="29"/>
  <c r="E329" i="29"/>
  <c r="G329" i="29"/>
  <c r="H329" i="29"/>
  <c r="I329" i="29"/>
  <c r="J329" i="29"/>
  <c r="K329" i="29"/>
  <c r="L329" i="29"/>
  <c r="M329" i="29"/>
  <c r="N329" i="29"/>
  <c r="O329" i="29"/>
  <c r="P329" i="29"/>
  <c r="Q329" i="29"/>
  <c r="R329" i="29"/>
  <c r="T329" i="29"/>
  <c r="V329" i="29"/>
  <c r="X329" i="29"/>
  <c r="Y329" i="29"/>
  <c r="Z329" i="29"/>
  <c r="AB329" i="29"/>
  <c r="AD329" i="29"/>
  <c r="A330" i="29"/>
  <c r="E330" i="29"/>
  <c r="G330" i="29"/>
  <c r="H330" i="29"/>
  <c r="I330" i="29"/>
  <c r="J330" i="29"/>
  <c r="K330" i="29"/>
  <c r="L330" i="29"/>
  <c r="M330" i="29"/>
  <c r="N330" i="29"/>
  <c r="O330" i="29"/>
  <c r="P330" i="29"/>
  <c r="Q330" i="29"/>
  <c r="R330" i="29"/>
  <c r="T330" i="29"/>
  <c r="V330" i="29"/>
  <c r="X330" i="29"/>
  <c r="Y330" i="29"/>
  <c r="Z330" i="29"/>
  <c r="AB330" i="29"/>
  <c r="AD330" i="29"/>
  <c r="A331" i="29"/>
  <c r="E331" i="29"/>
  <c r="G331" i="29"/>
  <c r="H331" i="29"/>
  <c r="I331" i="29"/>
  <c r="J331" i="29"/>
  <c r="K331" i="29"/>
  <c r="L331" i="29"/>
  <c r="M331" i="29"/>
  <c r="N331" i="29"/>
  <c r="O331" i="29"/>
  <c r="P331" i="29"/>
  <c r="Q331" i="29"/>
  <c r="R331" i="29"/>
  <c r="T331" i="29"/>
  <c r="V331" i="29"/>
  <c r="X331" i="29"/>
  <c r="Y331" i="29"/>
  <c r="Z331" i="29"/>
  <c r="AB331" i="29"/>
  <c r="AD331" i="29"/>
  <c r="A332" i="29"/>
  <c r="E332" i="29"/>
  <c r="G332" i="29"/>
  <c r="H332" i="29"/>
  <c r="I332" i="29"/>
  <c r="J332" i="29"/>
  <c r="K332" i="29"/>
  <c r="L332" i="29"/>
  <c r="M332" i="29"/>
  <c r="N332" i="29"/>
  <c r="O332" i="29"/>
  <c r="P332" i="29"/>
  <c r="Q332" i="29"/>
  <c r="R332" i="29"/>
  <c r="T332" i="29"/>
  <c r="V332" i="29"/>
  <c r="X332" i="29"/>
  <c r="Y332" i="29"/>
  <c r="Z332" i="29"/>
  <c r="AB332" i="29"/>
  <c r="AD332" i="29"/>
  <c r="A333" i="29"/>
  <c r="E333" i="29"/>
  <c r="G333" i="29"/>
  <c r="H333" i="29"/>
  <c r="I333" i="29"/>
  <c r="J333" i="29"/>
  <c r="K333" i="29"/>
  <c r="L333" i="29"/>
  <c r="M333" i="29"/>
  <c r="N333" i="29"/>
  <c r="O333" i="29"/>
  <c r="P333" i="29"/>
  <c r="Q333" i="29"/>
  <c r="R333" i="29"/>
  <c r="T333" i="29"/>
  <c r="V333" i="29"/>
  <c r="X333" i="29"/>
  <c r="Y333" i="29"/>
  <c r="Z333" i="29"/>
  <c r="AB333" i="29"/>
  <c r="AD333" i="29"/>
  <c r="A334" i="29"/>
  <c r="E334" i="29"/>
  <c r="G334" i="29"/>
  <c r="H334" i="29"/>
  <c r="I334" i="29"/>
  <c r="J334" i="29"/>
  <c r="K334" i="29"/>
  <c r="L334" i="29"/>
  <c r="M334" i="29"/>
  <c r="N334" i="29"/>
  <c r="O334" i="29"/>
  <c r="P334" i="29"/>
  <c r="Q334" i="29"/>
  <c r="R334" i="29"/>
  <c r="T334" i="29"/>
  <c r="V334" i="29"/>
  <c r="X334" i="29"/>
  <c r="Y334" i="29"/>
  <c r="Z334" i="29"/>
  <c r="AB334" i="29"/>
  <c r="AD334" i="29"/>
  <c r="A335" i="29"/>
  <c r="E335" i="29"/>
  <c r="G335" i="29"/>
  <c r="H335" i="29"/>
  <c r="I335" i="29"/>
  <c r="J335" i="29"/>
  <c r="K335" i="29"/>
  <c r="L335" i="29"/>
  <c r="M335" i="29"/>
  <c r="N335" i="29"/>
  <c r="O335" i="29"/>
  <c r="P335" i="29"/>
  <c r="Q335" i="29"/>
  <c r="R335" i="29"/>
  <c r="T335" i="29"/>
  <c r="V335" i="29"/>
  <c r="X335" i="29"/>
  <c r="Y335" i="29"/>
  <c r="Z335" i="29"/>
  <c r="AB335" i="29"/>
  <c r="AD335" i="29"/>
  <c r="A336" i="29"/>
  <c r="E336" i="29"/>
  <c r="G336" i="29"/>
  <c r="H336" i="29"/>
  <c r="I336" i="29"/>
  <c r="J336" i="29"/>
  <c r="K336" i="29"/>
  <c r="L336" i="29"/>
  <c r="M336" i="29"/>
  <c r="N336" i="29"/>
  <c r="O336" i="29"/>
  <c r="P336" i="29"/>
  <c r="Q336" i="29"/>
  <c r="R336" i="29"/>
  <c r="T336" i="29"/>
  <c r="V336" i="29"/>
  <c r="X336" i="29"/>
  <c r="Y336" i="29"/>
  <c r="Z336" i="29"/>
  <c r="AB336" i="29"/>
  <c r="AD336" i="29"/>
  <c r="A337" i="29"/>
  <c r="E337" i="29"/>
  <c r="G337" i="29"/>
  <c r="H337" i="29"/>
  <c r="I337" i="29"/>
  <c r="J337" i="29"/>
  <c r="K337" i="29"/>
  <c r="L337" i="29"/>
  <c r="M337" i="29"/>
  <c r="N337" i="29"/>
  <c r="O337" i="29"/>
  <c r="P337" i="29"/>
  <c r="Q337" i="29"/>
  <c r="R337" i="29"/>
  <c r="T337" i="29"/>
  <c r="V337" i="29"/>
  <c r="X337" i="29"/>
  <c r="Y337" i="29"/>
  <c r="Z337" i="29"/>
  <c r="AB337" i="29"/>
  <c r="AD337" i="29"/>
  <c r="A338" i="29"/>
  <c r="E338" i="29"/>
  <c r="G338" i="29"/>
  <c r="H338" i="29"/>
  <c r="I338" i="29"/>
  <c r="J338" i="29"/>
  <c r="K338" i="29"/>
  <c r="L338" i="29"/>
  <c r="M338" i="29"/>
  <c r="N338" i="29"/>
  <c r="O338" i="29"/>
  <c r="P338" i="29"/>
  <c r="Q338" i="29"/>
  <c r="R338" i="29"/>
  <c r="T338" i="29"/>
  <c r="V338" i="29"/>
  <c r="X338" i="29"/>
  <c r="Y338" i="29"/>
  <c r="Z338" i="29"/>
  <c r="AB338" i="29"/>
  <c r="AD338" i="29"/>
  <c r="A339" i="29"/>
  <c r="E339" i="29"/>
  <c r="G339" i="29"/>
  <c r="H339" i="29"/>
  <c r="I339" i="29"/>
  <c r="J339" i="29"/>
  <c r="K339" i="29"/>
  <c r="L339" i="29"/>
  <c r="M339" i="29"/>
  <c r="N339" i="29"/>
  <c r="O339" i="29"/>
  <c r="P339" i="29"/>
  <c r="Q339" i="29"/>
  <c r="R339" i="29"/>
  <c r="T339" i="29"/>
  <c r="V339" i="29"/>
  <c r="X339" i="29"/>
  <c r="Y339" i="29"/>
  <c r="Z339" i="29"/>
  <c r="AB339" i="29"/>
  <c r="AD339" i="29"/>
  <c r="A340" i="29"/>
  <c r="E340" i="29"/>
  <c r="G340" i="29"/>
  <c r="H340" i="29"/>
  <c r="I340" i="29"/>
  <c r="J340" i="29"/>
  <c r="K340" i="29"/>
  <c r="L340" i="29"/>
  <c r="M340" i="29"/>
  <c r="N340" i="29"/>
  <c r="O340" i="29"/>
  <c r="P340" i="29"/>
  <c r="Q340" i="29"/>
  <c r="R340" i="29"/>
  <c r="T340" i="29"/>
  <c r="V340" i="29"/>
  <c r="X340" i="29"/>
  <c r="Y340" i="29"/>
  <c r="Z340" i="29"/>
  <c r="AB340" i="29"/>
  <c r="AD340" i="29"/>
  <c r="A341" i="29"/>
  <c r="E341" i="29"/>
  <c r="G341" i="29"/>
  <c r="H341" i="29"/>
  <c r="I341" i="29"/>
  <c r="J341" i="29"/>
  <c r="K341" i="29"/>
  <c r="L341" i="29"/>
  <c r="M341" i="29"/>
  <c r="N341" i="29"/>
  <c r="O341" i="29"/>
  <c r="P341" i="29"/>
  <c r="Q341" i="29"/>
  <c r="R341" i="29"/>
  <c r="T341" i="29"/>
  <c r="V341" i="29"/>
  <c r="X341" i="29"/>
  <c r="Y341" i="29"/>
  <c r="Z341" i="29"/>
  <c r="AB341" i="29"/>
  <c r="AD341" i="29"/>
  <c r="A342" i="29"/>
  <c r="E342" i="29"/>
  <c r="G342" i="29"/>
  <c r="H342" i="29"/>
  <c r="I342" i="29"/>
  <c r="J342" i="29"/>
  <c r="K342" i="29"/>
  <c r="L342" i="29"/>
  <c r="M342" i="29"/>
  <c r="N342" i="29"/>
  <c r="O342" i="29"/>
  <c r="P342" i="29"/>
  <c r="Q342" i="29"/>
  <c r="R342" i="29"/>
  <c r="T342" i="29"/>
  <c r="V342" i="29"/>
  <c r="X342" i="29"/>
  <c r="Y342" i="29"/>
  <c r="Z342" i="29"/>
  <c r="AB342" i="29"/>
  <c r="AD342" i="29"/>
  <c r="A343" i="29"/>
  <c r="E343" i="29"/>
  <c r="G343" i="29"/>
  <c r="H343" i="29"/>
  <c r="I343" i="29"/>
  <c r="J343" i="29"/>
  <c r="K343" i="29"/>
  <c r="L343" i="29"/>
  <c r="M343" i="29"/>
  <c r="N343" i="29"/>
  <c r="O343" i="29"/>
  <c r="P343" i="29"/>
  <c r="Q343" i="29"/>
  <c r="R343" i="29"/>
  <c r="T343" i="29"/>
  <c r="V343" i="29"/>
  <c r="X343" i="29"/>
  <c r="Y343" i="29"/>
  <c r="Z343" i="29"/>
  <c r="AB343" i="29"/>
  <c r="AD343" i="29"/>
  <c r="A344" i="29"/>
  <c r="E344" i="29"/>
  <c r="G344" i="29"/>
  <c r="H344" i="29"/>
  <c r="I344" i="29"/>
  <c r="J344" i="29"/>
  <c r="K344" i="29"/>
  <c r="L344" i="29"/>
  <c r="M344" i="29"/>
  <c r="N344" i="29"/>
  <c r="O344" i="29"/>
  <c r="P344" i="29"/>
  <c r="Q344" i="29"/>
  <c r="R344" i="29"/>
  <c r="T344" i="29"/>
  <c r="V344" i="29"/>
  <c r="X344" i="29"/>
  <c r="Y344" i="29"/>
  <c r="Z344" i="29"/>
  <c r="AB344" i="29"/>
  <c r="AD344" i="29"/>
  <c r="A345" i="29"/>
  <c r="E345" i="29"/>
  <c r="G345" i="29"/>
  <c r="H345" i="29"/>
  <c r="I345" i="29"/>
  <c r="J345" i="29"/>
  <c r="K345" i="29"/>
  <c r="L345" i="29"/>
  <c r="M345" i="29"/>
  <c r="N345" i="29"/>
  <c r="O345" i="29"/>
  <c r="P345" i="29"/>
  <c r="Q345" i="29"/>
  <c r="R345" i="29"/>
  <c r="T345" i="29"/>
  <c r="V345" i="29"/>
  <c r="X345" i="29"/>
  <c r="Y345" i="29"/>
  <c r="Z345" i="29"/>
  <c r="AB345" i="29"/>
  <c r="AD345" i="29"/>
  <c r="A346" i="29"/>
  <c r="E346" i="29"/>
  <c r="G346" i="29"/>
  <c r="H346" i="29"/>
  <c r="I346" i="29"/>
  <c r="J346" i="29"/>
  <c r="K346" i="29"/>
  <c r="L346" i="29"/>
  <c r="M346" i="29"/>
  <c r="N346" i="29"/>
  <c r="O346" i="29"/>
  <c r="P346" i="29"/>
  <c r="Q346" i="29"/>
  <c r="R346" i="29"/>
  <c r="T346" i="29"/>
  <c r="V346" i="29"/>
  <c r="X346" i="29"/>
  <c r="Y346" i="29"/>
  <c r="Z346" i="29"/>
  <c r="AB346" i="29"/>
  <c r="AD346" i="29"/>
  <c r="A347" i="29"/>
  <c r="E347" i="29"/>
  <c r="G347" i="29"/>
  <c r="H347" i="29"/>
  <c r="I347" i="29"/>
  <c r="J347" i="29"/>
  <c r="K347" i="29"/>
  <c r="L347" i="29"/>
  <c r="M347" i="29"/>
  <c r="N347" i="29"/>
  <c r="O347" i="29"/>
  <c r="P347" i="29"/>
  <c r="Q347" i="29"/>
  <c r="R347" i="29"/>
  <c r="T347" i="29"/>
  <c r="V347" i="29"/>
  <c r="X347" i="29"/>
  <c r="Y347" i="29"/>
  <c r="Z347" i="29"/>
  <c r="AB347" i="29"/>
  <c r="AD347" i="29"/>
  <c r="A348" i="29"/>
  <c r="E348" i="29"/>
  <c r="G348" i="29"/>
  <c r="H348" i="29"/>
  <c r="I348" i="29"/>
  <c r="J348" i="29"/>
  <c r="K348" i="29"/>
  <c r="L348" i="29"/>
  <c r="M348" i="29"/>
  <c r="N348" i="29"/>
  <c r="O348" i="29"/>
  <c r="P348" i="29"/>
  <c r="Q348" i="29"/>
  <c r="R348" i="29"/>
  <c r="T348" i="29"/>
  <c r="V348" i="29"/>
  <c r="X348" i="29"/>
  <c r="Y348" i="29"/>
  <c r="Z348" i="29"/>
  <c r="AB348" i="29"/>
  <c r="AD348" i="29"/>
  <c r="A349" i="29"/>
  <c r="E349" i="29"/>
  <c r="G349" i="29"/>
  <c r="H349" i="29"/>
  <c r="I349" i="29"/>
  <c r="J349" i="29"/>
  <c r="K349" i="29"/>
  <c r="L349" i="29"/>
  <c r="M349" i="29"/>
  <c r="N349" i="29"/>
  <c r="O349" i="29"/>
  <c r="P349" i="29"/>
  <c r="Q349" i="29"/>
  <c r="R349" i="29"/>
  <c r="T349" i="29"/>
  <c r="V349" i="29"/>
  <c r="X349" i="29"/>
  <c r="Y349" i="29"/>
  <c r="Z349" i="29"/>
  <c r="AB349" i="29"/>
  <c r="AD349" i="29"/>
  <c r="A350" i="29"/>
  <c r="E350" i="29"/>
  <c r="G350" i="29"/>
  <c r="H350" i="29"/>
  <c r="I350" i="29"/>
  <c r="J350" i="29"/>
  <c r="K350" i="29"/>
  <c r="L350" i="29"/>
  <c r="M350" i="29"/>
  <c r="N350" i="29"/>
  <c r="O350" i="29"/>
  <c r="P350" i="29"/>
  <c r="Q350" i="29"/>
  <c r="R350" i="29"/>
  <c r="T350" i="29"/>
  <c r="V350" i="29"/>
  <c r="X350" i="29"/>
  <c r="Y350" i="29"/>
  <c r="Z350" i="29"/>
  <c r="AB350" i="29"/>
  <c r="AD350" i="29"/>
  <c r="A351" i="29"/>
  <c r="E351" i="29"/>
  <c r="G351" i="29"/>
  <c r="H351" i="29"/>
  <c r="I351" i="29"/>
  <c r="J351" i="29"/>
  <c r="K351" i="29"/>
  <c r="L351" i="29"/>
  <c r="M351" i="29"/>
  <c r="N351" i="29"/>
  <c r="O351" i="29"/>
  <c r="P351" i="29"/>
  <c r="Q351" i="29"/>
  <c r="R351" i="29"/>
  <c r="T351" i="29"/>
  <c r="V351" i="29"/>
  <c r="X351" i="29"/>
  <c r="Y351" i="29"/>
  <c r="Z351" i="29"/>
  <c r="AB351" i="29"/>
  <c r="AD351" i="29"/>
  <c r="A352" i="29"/>
  <c r="E352" i="29"/>
  <c r="G352" i="29"/>
  <c r="H352" i="29"/>
  <c r="I352" i="29"/>
  <c r="J352" i="29"/>
  <c r="K352" i="29"/>
  <c r="L352" i="29"/>
  <c r="M352" i="29"/>
  <c r="N352" i="29"/>
  <c r="O352" i="29"/>
  <c r="P352" i="29"/>
  <c r="Q352" i="29"/>
  <c r="R352" i="29"/>
  <c r="T352" i="29"/>
  <c r="V352" i="29"/>
  <c r="X352" i="29"/>
  <c r="Y352" i="29"/>
  <c r="Z352" i="29"/>
  <c r="AB352" i="29"/>
  <c r="AD352" i="29"/>
  <c r="A353" i="29"/>
  <c r="E353" i="29"/>
  <c r="G353" i="29"/>
  <c r="H353" i="29"/>
  <c r="I353" i="29"/>
  <c r="J353" i="29"/>
  <c r="K353" i="29"/>
  <c r="L353" i="29"/>
  <c r="M353" i="29"/>
  <c r="N353" i="29"/>
  <c r="O353" i="29"/>
  <c r="P353" i="29"/>
  <c r="Q353" i="29"/>
  <c r="R353" i="29"/>
  <c r="T353" i="29"/>
  <c r="V353" i="29"/>
  <c r="X353" i="29"/>
  <c r="Y353" i="29"/>
  <c r="Z353" i="29"/>
  <c r="AB353" i="29"/>
  <c r="AD353" i="29"/>
  <c r="A354" i="29"/>
  <c r="E354" i="29"/>
  <c r="G354" i="29"/>
  <c r="H354" i="29"/>
  <c r="I354" i="29"/>
  <c r="J354" i="29"/>
  <c r="K354" i="29"/>
  <c r="L354" i="29"/>
  <c r="M354" i="29"/>
  <c r="N354" i="29"/>
  <c r="O354" i="29"/>
  <c r="P354" i="29"/>
  <c r="Q354" i="29"/>
  <c r="R354" i="29"/>
  <c r="T354" i="29"/>
  <c r="V354" i="29"/>
  <c r="X354" i="29"/>
  <c r="Y354" i="29"/>
  <c r="Z354" i="29"/>
  <c r="AB354" i="29"/>
  <c r="AD354" i="29"/>
  <c r="A355" i="29"/>
  <c r="E355" i="29"/>
  <c r="G355" i="29"/>
  <c r="H355" i="29"/>
  <c r="I355" i="29"/>
  <c r="J355" i="29"/>
  <c r="K355" i="29"/>
  <c r="L355" i="29"/>
  <c r="M355" i="29"/>
  <c r="N355" i="29"/>
  <c r="O355" i="29"/>
  <c r="P355" i="29"/>
  <c r="Q355" i="29"/>
  <c r="R355" i="29"/>
  <c r="T355" i="29"/>
  <c r="V355" i="29"/>
  <c r="X355" i="29"/>
  <c r="Y355" i="29"/>
  <c r="Z355" i="29"/>
  <c r="AB355" i="29"/>
  <c r="AD355" i="29"/>
  <c r="A356" i="29"/>
  <c r="E356" i="29"/>
  <c r="G356" i="29"/>
  <c r="H356" i="29"/>
  <c r="I356" i="29"/>
  <c r="J356" i="29"/>
  <c r="K356" i="29"/>
  <c r="L356" i="29"/>
  <c r="M356" i="29"/>
  <c r="N356" i="29"/>
  <c r="O356" i="29"/>
  <c r="P356" i="29"/>
  <c r="Q356" i="29"/>
  <c r="R356" i="29"/>
  <c r="T356" i="29"/>
  <c r="V356" i="29"/>
  <c r="X356" i="29"/>
  <c r="Y356" i="29"/>
  <c r="Z356" i="29"/>
  <c r="AB356" i="29"/>
  <c r="AD356" i="29"/>
  <c r="A357" i="29"/>
  <c r="E357" i="29"/>
  <c r="G357" i="29"/>
  <c r="H357" i="29"/>
  <c r="I357" i="29"/>
  <c r="J357" i="29"/>
  <c r="K357" i="29"/>
  <c r="L357" i="29"/>
  <c r="M357" i="29"/>
  <c r="N357" i="29"/>
  <c r="O357" i="29"/>
  <c r="P357" i="29"/>
  <c r="Q357" i="29"/>
  <c r="R357" i="29"/>
  <c r="T357" i="29"/>
  <c r="V357" i="29"/>
  <c r="X357" i="29"/>
  <c r="Y357" i="29"/>
  <c r="Z357" i="29"/>
  <c r="AB357" i="29"/>
  <c r="AD357" i="29"/>
  <c r="A358" i="29"/>
  <c r="E358" i="29"/>
  <c r="G358" i="29"/>
  <c r="H358" i="29"/>
  <c r="I358" i="29"/>
  <c r="J358" i="29"/>
  <c r="K358" i="29"/>
  <c r="L358" i="29"/>
  <c r="M358" i="29"/>
  <c r="N358" i="29"/>
  <c r="O358" i="29"/>
  <c r="P358" i="29"/>
  <c r="Q358" i="29"/>
  <c r="R358" i="29"/>
  <c r="T358" i="29"/>
  <c r="V358" i="29"/>
  <c r="X358" i="29"/>
  <c r="Y358" i="29"/>
  <c r="Z358" i="29"/>
  <c r="AB358" i="29"/>
  <c r="AD358" i="29"/>
  <c r="A359" i="29"/>
  <c r="E359" i="29"/>
  <c r="G359" i="29"/>
  <c r="H359" i="29"/>
  <c r="I359" i="29"/>
  <c r="J359" i="29"/>
  <c r="K359" i="29"/>
  <c r="L359" i="29"/>
  <c r="M359" i="29"/>
  <c r="N359" i="29"/>
  <c r="O359" i="29"/>
  <c r="P359" i="29"/>
  <c r="Q359" i="29"/>
  <c r="R359" i="29"/>
  <c r="T359" i="29"/>
  <c r="V359" i="29"/>
  <c r="X359" i="29"/>
  <c r="Y359" i="29"/>
  <c r="Z359" i="29"/>
  <c r="AB359" i="29"/>
  <c r="AD359" i="29"/>
  <c r="A360" i="29"/>
  <c r="E360" i="29"/>
  <c r="G360" i="29"/>
  <c r="H360" i="29"/>
  <c r="I360" i="29"/>
  <c r="J360" i="29"/>
  <c r="K360" i="29"/>
  <c r="L360" i="29"/>
  <c r="M360" i="29"/>
  <c r="N360" i="29"/>
  <c r="O360" i="29"/>
  <c r="P360" i="29"/>
  <c r="Q360" i="29"/>
  <c r="R360" i="29"/>
  <c r="T360" i="29"/>
  <c r="V360" i="29"/>
  <c r="X360" i="29"/>
  <c r="Y360" i="29"/>
  <c r="Z360" i="29"/>
  <c r="AB360" i="29"/>
  <c r="AD360" i="29"/>
  <c r="A361" i="29"/>
  <c r="E361" i="29"/>
  <c r="G361" i="29"/>
  <c r="H361" i="29"/>
  <c r="I361" i="29"/>
  <c r="J361" i="29"/>
  <c r="K361" i="29"/>
  <c r="L361" i="29"/>
  <c r="M361" i="29"/>
  <c r="N361" i="29"/>
  <c r="O361" i="29"/>
  <c r="P361" i="29"/>
  <c r="Q361" i="29"/>
  <c r="R361" i="29"/>
  <c r="T361" i="29"/>
  <c r="V361" i="29"/>
  <c r="X361" i="29"/>
  <c r="Y361" i="29"/>
  <c r="Z361" i="29"/>
  <c r="AB361" i="29"/>
  <c r="AD361" i="29"/>
  <c r="A362" i="29"/>
  <c r="E362" i="29"/>
  <c r="G362" i="29"/>
  <c r="H362" i="29"/>
  <c r="I362" i="29"/>
  <c r="J362" i="29"/>
  <c r="K362" i="29"/>
  <c r="L362" i="29"/>
  <c r="M362" i="29"/>
  <c r="N362" i="29"/>
  <c r="O362" i="29"/>
  <c r="P362" i="29"/>
  <c r="Q362" i="29"/>
  <c r="R362" i="29"/>
  <c r="T362" i="29"/>
  <c r="V362" i="29"/>
  <c r="X362" i="29"/>
  <c r="Y362" i="29"/>
  <c r="Z362" i="29"/>
  <c r="AB362" i="29"/>
  <c r="AD362" i="29"/>
  <c r="A363" i="29"/>
  <c r="E363" i="29"/>
  <c r="G363" i="29"/>
  <c r="H363" i="29"/>
  <c r="I363" i="29"/>
  <c r="J363" i="29"/>
  <c r="K363" i="29"/>
  <c r="L363" i="29"/>
  <c r="M363" i="29"/>
  <c r="N363" i="29"/>
  <c r="O363" i="29"/>
  <c r="P363" i="29"/>
  <c r="Q363" i="29"/>
  <c r="R363" i="29"/>
  <c r="T363" i="29"/>
  <c r="V363" i="29"/>
  <c r="X363" i="29"/>
  <c r="Y363" i="29"/>
  <c r="Z363" i="29"/>
  <c r="AB363" i="29"/>
  <c r="AD363" i="29"/>
  <c r="A364" i="29"/>
  <c r="E364" i="29"/>
  <c r="G364" i="29"/>
  <c r="H364" i="29"/>
  <c r="I364" i="29"/>
  <c r="J364" i="29"/>
  <c r="K364" i="29"/>
  <c r="L364" i="29"/>
  <c r="M364" i="29"/>
  <c r="N364" i="29"/>
  <c r="O364" i="29"/>
  <c r="P364" i="29"/>
  <c r="Q364" i="29"/>
  <c r="R364" i="29"/>
  <c r="T364" i="29"/>
  <c r="V364" i="29"/>
  <c r="X364" i="29"/>
  <c r="Y364" i="29"/>
  <c r="Z364" i="29"/>
  <c r="AB364" i="29"/>
  <c r="AD364" i="29"/>
  <c r="A365" i="29"/>
  <c r="E365" i="29"/>
  <c r="G365" i="29"/>
  <c r="H365" i="29"/>
  <c r="I365" i="29"/>
  <c r="J365" i="29"/>
  <c r="K365" i="29"/>
  <c r="L365" i="29"/>
  <c r="M365" i="29"/>
  <c r="N365" i="29"/>
  <c r="O365" i="29"/>
  <c r="P365" i="29"/>
  <c r="Q365" i="29"/>
  <c r="R365" i="29"/>
  <c r="T365" i="29"/>
  <c r="V365" i="29"/>
  <c r="X365" i="29"/>
  <c r="Y365" i="29"/>
  <c r="Z365" i="29"/>
  <c r="AB365" i="29"/>
  <c r="AD365" i="29"/>
  <c r="A366" i="29"/>
  <c r="E366" i="29"/>
  <c r="G366" i="29"/>
  <c r="H366" i="29"/>
  <c r="I366" i="29"/>
  <c r="J366" i="29"/>
  <c r="K366" i="29"/>
  <c r="L366" i="29"/>
  <c r="M366" i="29"/>
  <c r="N366" i="29"/>
  <c r="O366" i="29"/>
  <c r="P366" i="29"/>
  <c r="Q366" i="29"/>
  <c r="R366" i="29"/>
  <c r="T366" i="29"/>
  <c r="V366" i="29"/>
  <c r="X366" i="29"/>
  <c r="Y366" i="29"/>
  <c r="Z366" i="29"/>
  <c r="AB366" i="29"/>
  <c r="AD366" i="29"/>
  <c r="A367" i="29"/>
  <c r="E367" i="29"/>
  <c r="G367" i="29"/>
  <c r="H367" i="29"/>
  <c r="I367" i="29"/>
  <c r="J367" i="29"/>
  <c r="K367" i="29"/>
  <c r="L367" i="29"/>
  <c r="M367" i="29"/>
  <c r="N367" i="29"/>
  <c r="O367" i="29"/>
  <c r="P367" i="29"/>
  <c r="Q367" i="29"/>
  <c r="R367" i="29"/>
  <c r="T367" i="29"/>
  <c r="V367" i="29"/>
  <c r="X367" i="29"/>
  <c r="Y367" i="29"/>
  <c r="Z367" i="29"/>
  <c r="AB367" i="29"/>
  <c r="AD367" i="29"/>
  <c r="A368" i="29"/>
  <c r="E368" i="29"/>
  <c r="G368" i="29"/>
  <c r="H368" i="29"/>
  <c r="I368" i="29"/>
  <c r="J368" i="29"/>
  <c r="K368" i="29"/>
  <c r="L368" i="29"/>
  <c r="M368" i="29"/>
  <c r="N368" i="29"/>
  <c r="O368" i="29"/>
  <c r="P368" i="29"/>
  <c r="Q368" i="29"/>
  <c r="R368" i="29"/>
  <c r="T368" i="29"/>
  <c r="V368" i="29"/>
  <c r="X368" i="29"/>
  <c r="Y368" i="29"/>
  <c r="Z368" i="29"/>
  <c r="AB368" i="29"/>
  <c r="AD368" i="29"/>
  <c r="A369" i="29"/>
  <c r="E369" i="29"/>
  <c r="G369" i="29"/>
  <c r="H369" i="29"/>
  <c r="I369" i="29"/>
  <c r="J369" i="29"/>
  <c r="K369" i="29"/>
  <c r="L369" i="29"/>
  <c r="M369" i="29"/>
  <c r="N369" i="29"/>
  <c r="O369" i="29"/>
  <c r="P369" i="29"/>
  <c r="Q369" i="29"/>
  <c r="R369" i="29"/>
  <c r="T369" i="29"/>
  <c r="V369" i="29"/>
  <c r="X369" i="29"/>
  <c r="Y369" i="29"/>
  <c r="Z369" i="29"/>
  <c r="AB369" i="29"/>
  <c r="AD369" i="29"/>
  <c r="A370" i="29"/>
  <c r="E370" i="29"/>
  <c r="G370" i="29"/>
  <c r="H370" i="29"/>
  <c r="I370" i="29"/>
  <c r="J370" i="29"/>
  <c r="K370" i="29"/>
  <c r="L370" i="29"/>
  <c r="M370" i="29"/>
  <c r="N370" i="29"/>
  <c r="O370" i="29"/>
  <c r="P370" i="29"/>
  <c r="Q370" i="29"/>
  <c r="R370" i="29"/>
  <c r="T370" i="29"/>
  <c r="V370" i="29"/>
  <c r="X370" i="29"/>
  <c r="Y370" i="29"/>
  <c r="Z370" i="29"/>
  <c r="AB370" i="29"/>
  <c r="AD370" i="29"/>
  <c r="A371" i="29"/>
  <c r="E371" i="29"/>
  <c r="G371" i="29"/>
  <c r="H371" i="29"/>
  <c r="I371" i="29"/>
  <c r="J371" i="29"/>
  <c r="K371" i="29"/>
  <c r="L371" i="29"/>
  <c r="M371" i="29"/>
  <c r="N371" i="29"/>
  <c r="O371" i="29"/>
  <c r="P371" i="29"/>
  <c r="Q371" i="29"/>
  <c r="R371" i="29"/>
  <c r="T371" i="29"/>
  <c r="V371" i="29"/>
  <c r="X371" i="29"/>
  <c r="Y371" i="29"/>
  <c r="Z371" i="29"/>
  <c r="AB371" i="29"/>
  <c r="AD371" i="29"/>
  <c r="A372" i="29"/>
  <c r="E372" i="29"/>
  <c r="G372" i="29"/>
  <c r="H372" i="29"/>
  <c r="I372" i="29"/>
  <c r="J372" i="29"/>
  <c r="K372" i="29"/>
  <c r="L372" i="29"/>
  <c r="M372" i="29"/>
  <c r="N372" i="29"/>
  <c r="O372" i="29"/>
  <c r="P372" i="29"/>
  <c r="Q372" i="29"/>
  <c r="R372" i="29"/>
  <c r="T372" i="29"/>
  <c r="V372" i="29"/>
  <c r="X372" i="29"/>
  <c r="Y372" i="29"/>
  <c r="Z372" i="29"/>
  <c r="AB372" i="29"/>
  <c r="AD372" i="29"/>
  <c r="A373" i="29"/>
  <c r="E373" i="29"/>
  <c r="G373" i="29"/>
  <c r="H373" i="29"/>
  <c r="I373" i="29"/>
  <c r="J373" i="29"/>
  <c r="K373" i="29"/>
  <c r="L373" i="29"/>
  <c r="M373" i="29"/>
  <c r="N373" i="29"/>
  <c r="O373" i="29"/>
  <c r="P373" i="29"/>
  <c r="Q373" i="29"/>
  <c r="R373" i="29"/>
  <c r="T373" i="29"/>
  <c r="V373" i="29"/>
  <c r="X373" i="29"/>
  <c r="Y373" i="29"/>
  <c r="Z373" i="29"/>
  <c r="AB373" i="29"/>
  <c r="AD373" i="29"/>
  <c r="A374" i="29"/>
  <c r="E374" i="29"/>
  <c r="G374" i="29"/>
  <c r="H374" i="29"/>
  <c r="I374" i="29"/>
  <c r="J374" i="29"/>
  <c r="K374" i="29"/>
  <c r="L374" i="29"/>
  <c r="M374" i="29"/>
  <c r="N374" i="29"/>
  <c r="O374" i="29"/>
  <c r="P374" i="29"/>
  <c r="Q374" i="29"/>
  <c r="R374" i="29"/>
  <c r="T374" i="29"/>
  <c r="V374" i="29"/>
  <c r="X374" i="29"/>
  <c r="Y374" i="29"/>
  <c r="Z374" i="29"/>
  <c r="AB374" i="29"/>
  <c r="AD374" i="29"/>
  <c r="A375" i="29"/>
  <c r="E375" i="29"/>
  <c r="G375" i="29"/>
  <c r="H375" i="29"/>
  <c r="I375" i="29"/>
  <c r="J375" i="29"/>
  <c r="K375" i="29"/>
  <c r="L375" i="29"/>
  <c r="M375" i="29"/>
  <c r="N375" i="29"/>
  <c r="O375" i="29"/>
  <c r="P375" i="29"/>
  <c r="Q375" i="29"/>
  <c r="R375" i="29"/>
  <c r="T375" i="29"/>
  <c r="V375" i="29"/>
  <c r="X375" i="29"/>
  <c r="Y375" i="29"/>
  <c r="Z375" i="29"/>
  <c r="AB375" i="29"/>
  <c r="AD375" i="29"/>
  <c r="A376" i="29"/>
  <c r="E376" i="29"/>
  <c r="G376" i="29"/>
  <c r="H376" i="29"/>
  <c r="I376" i="29"/>
  <c r="J376" i="29"/>
  <c r="K376" i="29"/>
  <c r="L376" i="29"/>
  <c r="M376" i="29"/>
  <c r="N376" i="29"/>
  <c r="O376" i="29"/>
  <c r="P376" i="29"/>
  <c r="Q376" i="29"/>
  <c r="R376" i="29"/>
  <c r="T376" i="29"/>
  <c r="V376" i="29"/>
  <c r="X376" i="29"/>
  <c r="Y376" i="29"/>
  <c r="Z376" i="29"/>
  <c r="AB376" i="29"/>
  <c r="AD376" i="29"/>
  <c r="A377" i="29"/>
  <c r="E377" i="29"/>
  <c r="G377" i="29"/>
  <c r="H377" i="29"/>
  <c r="I377" i="29"/>
  <c r="J377" i="29"/>
  <c r="K377" i="29"/>
  <c r="L377" i="29"/>
  <c r="M377" i="29"/>
  <c r="N377" i="29"/>
  <c r="O377" i="29"/>
  <c r="P377" i="29"/>
  <c r="Q377" i="29"/>
  <c r="R377" i="29"/>
  <c r="T377" i="29"/>
  <c r="V377" i="29"/>
  <c r="X377" i="29"/>
  <c r="Y377" i="29"/>
  <c r="Z377" i="29"/>
  <c r="AB377" i="29"/>
  <c r="AD377" i="29"/>
  <c r="A378" i="29"/>
  <c r="E378" i="29"/>
  <c r="G378" i="29"/>
  <c r="H378" i="29"/>
  <c r="I378" i="29"/>
  <c r="J378" i="29"/>
  <c r="K378" i="29"/>
  <c r="L378" i="29"/>
  <c r="M378" i="29"/>
  <c r="N378" i="29"/>
  <c r="O378" i="29"/>
  <c r="P378" i="29"/>
  <c r="Q378" i="29"/>
  <c r="R378" i="29"/>
  <c r="T378" i="29"/>
  <c r="V378" i="29"/>
  <c r="X378" i="29"/>
  <c r="Y378" i="29"/>
  <c r="Z378" i="29"/>
  <c r="AB378" i="29"/>
  <c r="AD378" i="29"/>
  <c r="A379" i="29"/>
  <c r="E379" i="29"/>
  <c r="G379" i="29"/>
  <c r="H379" i="29"/>
  <c r="I379" i="29"/>
  <c r="J379" i="29"/>
  <c r="K379" i="29"/>
  <c r="L379" i="29"/>
  <c r="M379" i="29"/>
  <c r="N379" i="29"/>
  <c r="O379" i="29"/>
  <c r="P379" i="29"/>
  <c r="Q379" i="29"/>
  <c r="R379" i="29"/>
  <c r="T379" i="29"/>
  <c r="V379" i="29"/>
  <c r="X379" i="29"/>
  <c r="Y379" i="29"/>
  <c r="Z379" i="29"/>
  <c r="AB379" i="29"/>
  <c r="AD379" i="29"/>
  <c r="A380" i="29"/>
  <c r="E380" i="29"/>
  <c r="G380" i="29"/>
  <c r="H380" i="29"/>
  <c r="I380" i="29"/>
  <c r="J380" i="29"/>
  <c r="K380" i="29"/>
  <c r="L380" i="29"/>
  <c r="M380" i="29"/>
  <c r="N380" i="29"/>
  <c r="O380" i="29"/>
  <c r="P380" i="29"/>
  <c r="Q380" i="29"/>
  <c r="R380" i="29"/>
  <c r="T380" i="29"/>
  <c r="V380" i="29"/>
  <c r="X380" i="29"/>
  <c r="Y380" i="29"/>
  <c r="Z380" i="29"/>
  <c r="AB380" i="29"/>
  <c r="AD380" i="29"/>
  <c r="A381" i="29"/>
  <c r="E381" i="29"/>
  <c r="G381" i="29"/>
  <c r="H381" i="29"/>
  <c r="I381" i="29"/>
  <c r="J381" i="29"/>
  <c r="K381" i="29"/>
  <c r="L381" i="29"/>
  <c r="M381" i="29"/>
  <c r="N381" i="29"/>
  <c r="O381" i="29"/>
  <c r="P381" i="29"/>
  <c r="Q381" i="29"/>
  <c r="R381" i="29"/>
  <c r="T381" i="29"/>
  <c r="V381" i="29"/>
  <c r="X381" i="29"/>
  <c r="Y381" i="29"/>
  <c r="Z381" i="29"/>
  <c r="AB381" i="29"/>
  <c r="AD381" i="29"/>
  <c r="A382" i="29"/>
  <c r="E382" i="29"/>
  <c r="G382" i="29"/>
  <c r="H382" i="29"/>
  <c r="I382" i="29"/>
  <c r="J382" i="29"/>
  <c r="K382" i="29"/>
  <c r="L382" i="29"/>
  <c r="M382" i="29"/>
  <c r="N382" i="29"/>
  <c r="O382" i="29"/>
  <c r="P382" i="29"/>
  <c r="Q382" i="29"/>
  <c r="R382" i="29"/>
  <c r="T382" i="29"/>
  <c r="V382" i="29"/>
  <c r="X382" i="29"/>
  <c r="Y382" i="29"/>
  <c r="Z382" i="29"/>
  <c r="AB382" i="29"/>
  <c r="AD382" i="29"/>
  <c r="A383" i="29"/>
  <c r="E383" i="29"/>
  <c r="G383" i="29"/>
  <c r="H383" i="29"/>
  <c r="I383" i="29"/>
  <c r="J383" i="29"/>
  <c r="K383" i="29"/>
  <c r="L383" i="29"/>
  <c r="M383" i="29"/>
  <c r="N383" i="29"/>
  <c r="O383" i="29"/>
  <c r="P383" i="29"/>
  <c r="Q383" i="29"/>
  <c r="R383" i="29"/>
  <c r="T383" i="29"/>
  <c r="V383" i="29"/>
  <c r="X383" i="29"/>
  <c r="Y383" i="29"/>
  <c r="Z383" i="29"/>
  <c r="AB383" i="29"/>
  <c r="AD383" i="29"/>
  <c r="A384" i="29"/>
  <c r="E384" i="29"/>
  <c r="G384" i="29"/>
  <c r="H384" i="29"/>
  <c r="I384" i="29"/>
  <c r="J384" i="29"/>
  <c r="K384" i="29"/>
  <c r="L384" i="29"/>
  <c r="M384" i="29"/>
  <c r="N384" i="29"/>
  <c r="O384" i="29"/>
  <c r="P384" i="29"/>
  <c r="Q384" i="29"/>
  <c r="R384" i="29"/>
  <c r="T384" i="29"/>
  <c r="V384" i="29"/>
  <c r="X384" i="29"/>
  <c r="Y384" i="29"/>
  <c r="Z384" i="29"/>
  <c r="AB384" i="29"/>
  <c r="AD384" i="29"/>
  <c r="A385" i="29"/>
  <c r="E385" i="29"/>
  <c r="G385" i="29"/>
  <c r="H385" i="29"/>
  <c r="I385" i="29"/>
  <c r="J385" i="29"/>
  <c r="K385" i="29"/>
  <c r="L385" i="29"/>
  <c r="M385" i="29"/>
  <c r="N385" i="29"/>
  <c r="O385" i="29"/>
  <c r="P385" i="29"/>
  <c r="Q385" i="29"/>
  <c r="R385" i="29"/>
  <c r="T385" i="29"/>
  <c r="V385" i="29"/>
  <c r="X385" i="29"/>
  <c r="Y385" i="29"/>
  <c r="Z385" i="29"/>
  <c r="AB385" i="29"/>
  <c r="AD385" i="29"/>
  <c r="A386" i="29"/>
  <c r="E386" i="29"/>
  <c r="G386" i="29"/>
  <c r="H386" i="29"/>
  <c r="I386" i="29"/>
  <c r="J386" i="29"/>
  <c r="K386" i="29"/>
  <c r="L386" i="29"/>
  <c r="M386" i="29"/>
  <c r="N386" i="29"/>
  <c r="O386" i="29"/>
  <c r="P386" i="29"/>
  <c r="Q386" i="29"/>
  <c r="R386" i="29"/>
  <c r="T386" i="29"/>
  <c r="V386" i="29"/>
  <c r="X386" i="29"/>
  <c r="Y386" i="29"/>
  <c r="Z386" i="29"/>
  <c r="AB386" i="29"/>
  <c r="AD386" i="29"/>
  <c r="A387" i="29"/>
  <c r="E387" i="29"/>
  <c r="G387" i="29"/>
  <c r="H387" i="29"/>
  <c r="I387" i="29"/>
  <c r="J387" i="29"/>
  <c r="K387" i="29"/>
  <c r="L387" i="29"/>
  <c r="M387" i="29"/>
  <c r="N387" i="29"/>
  <c r="O387" i="29"/>
  <c r="P387" i="29"/>
  <c r="Q387" i="29"/>
  <c r="R387" i="29"/>
  <c r="T387" i="29"/>
  <c r="V387" i="29"/>
  <c r="X387" i="29"/>
  <c r="Y387" i="29"/>
  <c r="Z387" i="29"/>
  <c r="AB387" i="29"/>
  <c r="AD387" i="29"/>
  <c r="A388" i="29"/>
  <c r="E388" i="29"/>
  <c r="G388" i="29"/>
  <c r="H388" i="29"/>
  <c r="I388" i="29"/>
  <c r="J388" i="29"/>
  <c r="K388" i="29"/>
  <c r="L388" i="29"/>
  <c r="M388" i="29"/>
  <c r="N388" i="29"/>
  <c r="O388" i="29"/>
  <c r="P388" i="29"/>
  <c r="Q388" i="29"/>
  <c r="R388" i="29"/>
  <c r="T388" i="29"/>
  <c r="V388" i="29"/>
  <c r="X388" i="29"/>
  <c r="Y388" i="29"/>
  <c r="Z388" i="29"/>
  <c r="AB388" i="29"/>
  <c r="AD388" i="29"/>
  <c r="A389" i="29"/>
  <c r="E389" i="29"/>
  <c r="G389" i="29"/>
  <c r="H389" i="29"/>
  <c r="I389" i="29"/>
  <c r="J389" i="29"/>
  <c r="K389" i="29"/>
  <c r="L389" i="29"/>
  <c r="M389" i="29"/>
  <c r="N389" i="29"/>
  <c r="O389" i="29"/>
  <c r="P389" i="29"/>
  <c r="Q389" i="29"/>
  <c r="R389" i="29"/>
  <c r="T389" i="29"/>
  <c r="V389" i="29"/>
  <c r="X389" i="29"/>
  <c r="Y389" i="29"/>
  <c r="Z389" i="29"/>
  <c r="AB389" i="29"/>
  <c r="AD389" i="29"/>
  <c r="A390" i="29"/>
  <c r="E390" i="29"/>
  <c r="G390" i="29"/>
  <c r="H390" i="29"/>
  <c r="I390" i="29"/>
  <c r="J390" i="29"/>
  <c r="K390" i="29"/>
  <c r="L390" i="29"/>
  <c r="M390" i="29"/>
  <c r="N390" i="29"/>
  <c r="O390" i="29"/>
  <c r="P390" i="29"/>
  <c r="Q390" i="29"/>
  <c r="R390" i="29"/>
  <c r="T390" i="29"/>
  <c r="V390" i="29"/>
  <c r="X390" i="29"/>
  <c r="Y390" i="29"/>
  <c r="Z390" i="29"/>
  <c r="AB390" i="29"/>
  <c r="AD390" i="29"/>
  <c r="A391" i="29"/>
  <c r="E391" i="29"/>
  <c r="G391" i="29"/>
  <c r="H391" i="29"/>
  <c r="I391" i="29"/>
  <c r="J391" i="29"/>
  <c r="K391" i="29"/>
  <c r="L391" i="29"/>
  <c r="M391" i="29"/>
  <c r="N391" i="29"/>
  <c r="O391" i="29"/>
  <c r="P391" i="29"/>
  <c r="Q391" i="29"/>
  <c r="R391" i="29"/>
  <c r="T391" i="29"/>
  <c r="V391" i="29"/>
  <c r="X391" i="29"/>
  <c r="Y391" i="29"/>
  <c r="Z391" i="29"/>
  <c r="AB391" i="29"/>
  <c r="AD391" i="29"/>
  <c r="A392" i="29"/>
  <c r="E392" i="29"/>
  <c r="G392" i="29"/>
  <c r="H392" i="29"/>
  <c r="I392" i="29"/>
  <c r="J392" i="29"/>
  <c r="K392" i="29"/>
  <c r="L392" i="29"/>
  <c r="M392" i="29"/>
  <c r="N392" i="29"/>
  <c r="O392" i="29"/>
  <c r="P392" i="29"/>
  <c r="Q392" i="29"/>
  <c r="R392" i="29"/>
  <c r="T392" i="29"/>
  <c r="V392" i="29"/>
  <c r="X392" i="29"/>
  <c r="Y392" i="29"/>
  <c r="Z392" i="29"/>
  <c r="AB392" i="29"/>
  <c r="AD392" i="29"/>
  <c r="A393" i="29"/>
  <c r="E393" i="29"/>
  <c r="G393" i="29"/>
  <c r="H393" i="29"/>
  <c r="I393" i="29"/>
  <c r="J393" i="29"/>
  <c r="K393" i="29"/>
  <c r="L393" i="29"/>
  <c r="M393" i="29"/>
  <c r="N393" i="29"/>
  <c r="O393" i="29"/>
  <c r="P393" i="29"/>
  <c r="Q393" i="29"/>
  <c r="R393" i="29"/>
  <c r="T393" i="29"/>
  <c r="V393" i="29"/>
  <c r="X393" i="29"/>
  <c r="Y393" i="29"/>
  <c r="Z393" i="29"/>
  <c r="AB393" i="29"/>
  <c r="AD393" i="29"/>
  <c r="A394" i="29"/>
  <c r="E394" i="29"/>
  <c r="G394" i="29"/>
  <c r="H394" i="29"/>
  <c r="I394" i="29"/>
  <c r="J394" i="29"/>
  <c r="K394" i="29"/>
  <c r="L394" i="29"/>
  <c r="M394" i="29"/>
  <c r="N394" i="29"/>
  <c r="O394" i="29"/>
  <c r="P394" i="29"/>
  <c r="Q394" i="29"/>
  <c r="R394" i="29"/>
  <c r="T394" i="29"/>
  <c r="V394" i="29"/>
  <c r="X394" i="29"/>
  <c r="Y394" i="29"/>
  <c r="Z394" i="29"/>
  <c r="AB394" i="29"/>
  <c r="AD394" i="29"/>
  <c r="A395" i="29"/>
  <c r="E395" i="29"/>
  <c r="G395" i="29"/>
  <c r="H395" i="29"/>
  <c r="I395" i="29"/>
  <c r="J395" i="29"/>
  <c r="K395" i="29"/>
  <c r="L395" i="29"/>
  <c r="M395" i="29"/>
  <c r="N395" i="29"/>
  <c r="O395" i="29"/>
  <c r="P395" i="29"/>
  <c r="Q395" i="29"/>
  <c r="R395" i="29"/>
  <c r="T395" i="29"/>
  <c r="V395" i="29"/>
  <c r="X395" i="29"/>
  <c r="Y395" i="29"/>
  <c r="Z395" i="29"/>
  <c r="AB395" i="29"/>
  <c r="AD395" i="29"/>
  <c r="A396" i="29"/>
  <c r="E396" i="29"/>
  <c r="G396" i="29"/>
  <c r="H396" i="29"/>
  <c r="I396" i="29"/>
  <c r="J396" i="29"/>
  <c r="K396" i="29"/>
  <c r="L396" i="29"/>
  <c r="M396" i="29"/>
  <c r="N396" i="29"/>
  <c r="O396" i="29"/>
  <c r="P396" i="29"/>
  <c r="Q396" i="29"/>
  <c r="R396" i="29"/>
  <c r="T396" i="29"/>
  <c r="V396" i="29"/>
  <c r="X396" i="29"/>
  <c r="Y396" i="29"/>
  <c r="Z396" i="29"/>
  <c r="AB396" i="29"/>
  <c r="AD396" i="29"/>
  <c r="A397" i="29"/>
  <c r="E397" i="29"/>
  <c r="G397" i="29"/>
  <c r="H397" i="29"/>
  <c r="I397" i="29"/>
  <c r="J397" i="29"/>
  <c r="K397" i="29"/>
  <c r="L397" i="29"/>
  <c r="M397" i="29"/>
  <c r="N397" i="29"/>
  <c r="O397" i="29"/>
  <c r="P397" i="29"/>
  <c r="Q397" i="29"/>
  <c r="R397" i="29"/>
  <c r="T397" i="29"/>
  <c r="V397" i="29"/>
  <c r="X397" i="29"/>
  <c r="Y397" i="29"/>
  <c r="Z397" i="29"/>
  <c r="AB397" i="29"/>
  <c r="AD397" i="29"/>
  <c r="A398" i="29"/>
  <c r="E398" i="29"/>
  <c r="G398" i="29"/>
  <c r="H398" i="29"/>
  <c r="I398" i="29"/>
  <c r="J398" i="29"/>
  <c r="K398" i="29"/>
  <c r="L398" i="29"/>
  <c r="M398" i="29"/>
  <c r="N398" i="29"/>
  <c r="O398" i="29"/>
  <c r="P398" i="29"/>
  <c r="Q398" i="29"/>
  <c r="R398" i="29"/>
  <c r="T398" i="29"/>
  <c r="V398" i="29"/>
  <c r="X398" i="29"/>
  <c r="Y398" i="29"/>
  <c r="Z398" i="29"/>
  <c r="AB398" i="29"/>
  <c r="AD398" i="29"/>
  <c r="A399" i="29"/>
  <c r="E399" i="29"/>
  <c r="G399" i="29"/>
  <c r="H399" i="29"/>
  <c r="I399" i="29"/>
  <c r="J399" i="29"/>
  <c r="K399" i="29"/>
  <c r="L399" i="29"/>
  <c r="M399" i="29"/>
  <c r="N399" i="29"/>
  <c r="O399" i="29"/>
  <c r="P399" i="29"/>
  <c r="Q399" i="29"/>
  <c r="R399" i="29"/>
  <c r="T399" i="29"/>
  <c r="V399" i="29"/>
  <c r="X399" i="29"/>
  <c r="Y399" i="29"/>
  <c r="Z399" i="29"/>
  <c r="AB399" i="29"/>
  <c r="AD399" i="29"/>
  <c r="A400" i="29"/>
  <c r="E400" i="29"/>
  <c r="G400" i="29"/>
  <c r="H400" i="29"/>
  <c r="I400" i="29"/>
  <c r="J400" i="29"/>
  <c r="K400" i="29"/>
  <c r="L400" i="29"/>
  <c r="M400" i="29"/>
  <c r="N400" i="29"/>
  <c r="O400" i="29"/>
  <c r="P400" i="29"/>
  <c r="Q400" i="29"/>
  <c r="R400" i="29"/>
  <c r="T400" i="29"/>
  <c r="V400" i="29"/>
  <c r="X400" i="29"/>
  <c r="Y400" i="29"/>
  <c r="Z400" i="29"/>
  <c r="AB400" i="29"/>
  <c r="AD400" i="29"/>
  <c r="A401" i="29"/>
  <c r="E401" i="29"/>
  <c r="G401" i="29"/>
  <c r="H401" i="29"/>
  <c r="I401" i="29"/>
  <c r="J401" i="29"/>
  <c r="K401" i="29"/>
  <c r="L401" i="29"/>
  <c r="M401" i="29"/>
  <c r="N401" i="29"/>
  <c r="O401" i="29"/>
  <c r="P401" i="29"/>
  <c r="Q401" i="29"/>
  <c r="R401" i="29"/>
  <c r="T401" i="29"/>
  <c r="V401" i="29"/>
  <c r="X401" i="29"/>
  <c r="Y401" i="29"/>
  <c r="Z401" i="29"/>
  <c r="AB401" i="29"/>
  <c r="AD401" i="29"/>
  <c r="A402" i="29"/>
  <c r="E402" i="29"/>
  <c r="G402" i="29"/>
  <c r="H402" i="29"/>
  <c r="I402" i="29"/>
  <c r="J402" i="29"/>
  <c r="K402" i="29"/>
  <c r="L402" i="29"/>
  <c r="M402" i="29"/>
  <c r="N402" i="29"/>
  <c r="O402" i="29"/>
  <c r="P402" i="29"/>
  <c r="Q402" i="29"/>
  <c r="R402" i="29"/>
  <c r="T402" i="29"/>
  <c r="V402" i="29"/>
  <c r="X402" i="29"/>
  <c r="Y402" i="29"/>
  <c r="Z402" i="29"/>
  <c r="AB402" i="29"/>
  <c r="AD402" i="29"/>
  <c r="A403" i="29"/>
  <c r="E403" i="29"/>
  <c r="G403" i="29"/>
  <c r="H403" i="29"/>
  <c r="I403" i="29"/>
  <c r="J403" i="29"/>
  <c r="K403" i="29"/>
  <c r="L403" i="29"/>
  <c r="M403" i="29"/>
  <c r="N403" i="29"/>
  <c r="O403" i="29"/>
  <c r="P403" i="29"/>
  <c r="Q403" i="29"/>
  <c r="R403" i="29"/>
  <c r="T403" i="29"/>
  <c r="V403" i="29"/>
  <c r="X403" i="29"/>
  <c r="Y403" i="29"/>
  <c r="Z403" i="29"/>
  <c r="AB403" i="29"/>
  <c r="AD403" i="29"/>
  <c r="A404" i="29"/>
  <c r="E404" i="29"/>
  <c r="G404" i="29"/>
  <c r="H404" i="29"/>
  <c r="I404" i="29"/>
  <c r="J404" i="29"/>
  <c r="K404" i="29"/>
  <c r="L404" i="29"/>
  <c r="M404" i="29"/>
  <c r="N404" i="29"/>
  <c r="O404" i="29"/>
  <c r="P404" i="29"/>
  <c r="Q404" i="29"/>
  <c r="R404" i="29"/>
  <c r="T404" i="29"/>
  <c r="V404" i="29"/>
  <c r="X404" i="29"/>
  <c r="Y404" i="29"/>
  <c r="Z404" i="29"/>
  <c r="AB404" i="29"/>
  <c r="AD404" i="29"/>
  <c r="A405" i="29"/>
  <c r="E405" i="29"/>
  <c r="G405" i="29"/>
  <c r="H405" i="29"/>
  <c r="I405" i="29"/>
  <c r="J405" i="29"/>
  <c r="K405" i="29"/>
  <c r="L405" i="29"/>
  <c r="M405" i="29"/>
  <c r="N405" i="29"/>
  <c r="O405" i="29"/>
  <c r="P405" i="29"/>
  <c r="Q405" i="29"/>
  <c r="R405" i="29"/>
  <c r="T405" i="29"/>
  <c r="V405" i="29"/>
  <c r="X405" i="29"/>
  <c r="Y405" i="29"/>
  <c r="Z405" i="29"/>
  <c r="AB405" i="29"/>
  <c r="AD405" i="29"/>
  <c r="A406" i="29"/>
  <c r="E406" i="29"/>
  <c r="G406" i="29"/>
  <c r="H406" i="29"/>
  <c r="I406" i="29"/>
  <c r="J406" i="29"/>
  <c r="K406" i="29"/>
  <c r="L406" i="29"/>
  <c r="M406" i="29"/>
  <c r="N406" i="29"/>
  <c r="O406" i="29"/>
  <c r="P406" i="29"/>
  <c r="Q406" i="29"/>
  <c r="R406" i="29"/>
  <c r="T406" i="29"/>
  <c r="V406" i="29"/>
  <c r="X406" i="29"/>
  <c r="Y406" i="29"/>
  <c r="Z406" i="29"/>
  <c r="AB406" i="29"/>
  <c r="AD406" i="29"/>
  <c r="A407" i="29"/>
  <c r="E407" i="29"/>
  <c r="G407" i="29"/>
  <c r="H407" i="29"/>
  <c r="I407" i="29"/>
  <c r="J407" i="29"/>
  <c r="K407" i="29"/>
  <c r="L407" i="29"/>
  <c r="M407" i="29"/>
  <c r="N407" i="29"/>
  <c r="O407" i="29"/>
  <c r="P407" i="29"/>
  <c r="Q407" i="29"/>
  <c r="R407" i="29"/>
  <c r="T407" i="29"/>
  <c r="V407" i="29"/>
  <c r="X407" i="29"/>
  <c r="Y407" i="29"/>
  <c r="Z407" i="29"/>
  <c r="AB407" i="29"/>
  <c r="AD407" i="29"/>
  <c r="A408" i="29"/>
  <c r="E408" i="29"/>
  <c r="G408" i="29"/>
  <c r="H408" i="29"/>
  <c r="I408" i="29"/>
  <c r="J408" i="29"/>
  <c r="K408" i="29"/>
  <c r="L408" i="29"/>
  <c r="M408" i="29"/>
  <c r="N408" i="29"/>
  <c r="O408" i="29"/>
  <c r="P408" i="29"/>
  <c r="Q408" i="29"/>
  <c r="R408" i="29"/>
  <c r="T408" i="29"/>
  <c r="V408" i="29"/>
  <c r="X408" i="29"/>
  <c r="Y408" i="29"/>
  <c r="Z408" i="29"/>
  <c r="AB408" i="29"/>
  <c r="AD408" i="29"/>
  <c r="A409" i="29"/>
  <c r="E409" i="29"/>
  <c r="G409" i="29"/>
  <c r="H409" i="29"/>
  <c r="I409" i="29"/>
  <c r="J409" i="29"/>
  <c r="K409" i="29"/>
  <c r="L409" i="29"/>
  <c r="M409" i="29"/>
  <c r="N409" i="29"/>
  <c r="O409" i="29"/>
  <c r="P409" i="29"/>
  <c r="Q409" i="29"/>
  <c r="R409" i="29"/>
  <c r="T409" i="29"/>
  <c r="V409" i="29"/>
  <c r="X409" i="29"/>
  <c r="Y409" i="29"/>
  <c r="Z409" i="29"/>
  <c r="AB409" i="29"/>
  <c r="AD409" i="29"/>
  <c r="A410" i="29"/>
  <c r="E410" i="29"/>
  <c r="G410" i="29"/>
  <c r="H410" i="29"/>
  <c r="I410" i="29"/>
  <c r="J410" i="29"/>
  <c r="K410" i="29"/>
  <c r="L410" i="29"/>
  <c r="M410" i="29"/>
  <c r="N410" i="29"/>
  <c r="O410" i="29"/>
  <c r="P410" i="29"/>
  <c r="Q410" i="29"/>
  <c r="R410" i="29"/>
  <c r="T410" i="29"/>
  <c r="V410" i="29"/>
  <c r="X410" i="29"/>
  <c r="Y410" i="29"/>
  <c r="Z410" i="29"/>
  <c r="AB410" i="29"/>
  <c r="AD410" i="29"/>
  <c r="A411" i="29"/>
  <c r="E411" i="29"/>
  <c r="G411" i="29"/>
  <c r="H411" i="29"/>
  <c r="I411" i="29"/>
  <c r="J411" i="29"/>
  <c r="K411" i="29"/>
  <c r="L411" i="29"/>
  <c r="M411" i="29"/>
  <c r="N411" i="29"/>
  <c r="O411" i="29"/>
  <c r="P411" i="29"/>
  <c r="Q411" i="29"/>
  <c r="R411" i="29"/>
  <c r="T411" i="29"/>
  <c r="V411" i="29"/>
  <c r="X411" i="29"/>
  <c r="Y411" i="29"/>
  <c r="Z411" i="29"/>
  <c r="AB411" i="29"/>
  <c r="AD411" i="29"/>
  <c r="A412" i="29"/>
  <c r="E412" i="29"/>
  <c r="G412" i="29"/>
  <c r="H412" i="29"/>
  <c r="I412" i="29"/>
  <c r="J412" i="29"/>
  <c r="K412" i="29"/>
  <c r="L412" i="29"/>
  <c r="M412" i="29"/>
  <c r="N412" i="29"/>
  <c r="O412" i="29"/>
  <c r="P412" i="29"/>
  <c r="Q412" i="29"/>
  <c r="R412" i="29"/>
  <c r="T412" i="29"/>
  <c r="V412" i="29"/>
  <c r="X412" i="29"/>
  <c r="Y412" i="29"/>
  <c r="Z412" i="29"/>
  <c r="AB412" i="29"/>
  <c r="AD412" i="29"/>
  <c r="A413" i="29"/>
  <c r="E413" i="29"/>
  <c r="G413" i="29"/>
  <c r="H413" i="29"/>
  <c r="I413" i="29"/>
  <c r="J413" i="29"/>
  <c r="K413" i="29"/>
  <c r="L413" i="29"/>
  <c r="M413" i="29"/>
  <c r="N413" i="29"/>
  <c r="O413" i="29"/>
  <c r="P413" i="29"/>
  <c r="Q413" i="29"/>
  <c r="R413" i="29"/>
  <c r="T413" i="29"/>
  <c r="V413" i="29"/>
  <c r="X413" i="29"/>
  <c r="Y413" i="29"/>
  <c r="Z413" i="29"/>
  <c r="AB413" i="29"/>
  <c r="AD413" i="29"/>
  <c r="A414" i="29"/>
  <c r="E414" i="29"/>
  <c r="G414" i="29"/>
  <c r="H414" i="29"/>
  <c r="I414" i="29"/>
  <c r="J414" i="29"/>
  <c r="K414" i="29"/>
  <c r="L414" i="29"/>
  <c r="M414" i="29"/>
  <c r="N414" i="29"/>
  <c r="O414" i="29"/>
  <c r="P414" i="29"/>
  <c r="Q414" i="29"/>
  <c r="R414" i="29"/>
  <c r="T414" i="29"/>
  <c r="V414" i="29"/>
  <c r="X414" i="29"/>
  <c r="Y414" i="29"/>
  <c r="Z414" i="29"/>
  <c r="AB414" i="29"/>
  <c r="AD414" i="29"/>
  <c r="A415" i="29"/>
  <c r="E415" i="29"/>
  <c r="G415" i="29"/>
  <c r="H415" i="29"/>
  <c r="I415" i="29"/>
  <c r="J415" i="29"/>
  <c r="K415" i="29"/>
  <c r="L415" i="29"/>
  <c r="M415" i="29"/>
  <c r="N415" i="29"/>
  <c r="O415" i="29"/>
  <c r="P415" i="29"/>
  <c r="Q415" i="29"/>
  <c r="R415" i="29"/>
  <c r="T415" i="29"/>
  <c r="V415" i="29"/>
  <c r="X415" i="29"/>
  <c r="Y415" i="29"/>
  <c r="Z415" i="29"/>
  <c r="AB415" i="29"/>
  <c r="AD415" i="29"/>
  <c r="A416" i="29"/>
  <c r="E416" i="29"/>
  <c r="G416" i="29"/>
  <c r="H416" i="29"/>
  <c r="I416" i="29"/>
  <c r="J416" i="29"/>
  <c r="K416" i="29"/>
  <c r="L416" i="29"/>
  <c r="M416" i="29"/>
  <c r="N416" i="29"/>
  <c r="O416" i="29"/>
  <c r="P416" i="29"/>
  <c r="Q416" i="29"/>
  <c r="R416" i="29"/>
  <c r="T416" i="29"/>
  <c r="V416" i="29"/>
  <c r="X416" i="29"/>
  <c r="Y416" i="29"/>
  <c r="Z416" i="29"/>
  <c r="AB416" i="29"/>
  <c r="AD416" i="29"/>
  <c r="A417" i="29"/>
  <c r="E417" i="29"/>
  <c r="G417" i="29"/>
  <c r="H417" i="29"/>
  <c r="I417" i="29"/>
  <c r="J417" i="29"/>
  <c r="K417" i="29"/>
  <c r="L417" i="29"/>
  <c r="M417" i="29"/>
  <c r="N417" i="29"/>
  <c r="O417" i="29"/>
  <c r="P417" i="29"/>
  <c r="Q417" i="29"/>
  <c r="R417" i="29"/>
  <c r="T417" i="29"/>
  <c r="V417" i="29"/>
  <c r="X417" i="29"/>
  <c r="Y417" i="29"/>
  <c r="Z417" i="29"/>
  <c r="AB417" i="29"/>
  <c r="AD417" i="29"/>
  <c r="A418" i="29"/>
  <c r="E418" i="29"/>
  <c r="G418" i="29"/>
  <c r="H418" i="29"/>
  <c r="I418" i="29"/>
  <c r="J418" i="29"/>
  <c r="K418" i="29"/>
  <c r="L418" i="29"/>
  <c r="M418" i="29"/>
  <c r="N418" i="29"/>
  <c r="O418" i="29"/>
  <c r="P418" i="29"/>
  <c r="Q418" i="29"/>
  <c r="R418" i="29"/>
  <c r="T418" i="29"/>
  <c r="V418" i="29"/>
  <c r="X418" i="29"/>
  <c r="Y418" i="29"/>
  <c r="Z418" i="29"/>
  <c r="AB418" i="29"/>
  <c r="AD418" i="29"/>
  <c r="A419" i="29"/>
  <c r="E419" i="29"/>
  <c r="G419" i="29"/>
  <c r="H419" i="29"/>
  <c r="I419" i="29"/>
  <c r="J419" i="29"/>
  <c r="K419" i="29"/>
  <c r="L419" i="29"/>
  <c r="M419" i="29"/>
  <c r="N419" i="29"/>
  <c r="O419" i="29"/>
  <c r="P419" i="29"/>
  <c r="Q419" i="29"/>
  <c r="R419" i="29"/>
  <c r="T419" i="29"/>
  <c r="V419" i="29"/>
  <c r="X419" i="29"/>
  <c r="Y419" i="29"/>
  <c r="Z419" i="29"/>
  <c r="AB419" i="29"/>
  <c r="AD419" i="29"/>
  <c r="A420" i="29"/>
  <c r="E420" i="29"/>
  <c r="G420" i="29"/>
  <c r="H420" i="29"/>
  <c r="I420" i="29"/>
  <c r="J420" i="29"/>
  <c r="K420" i="29"/>
  <c r="L420" i="29"/>
  <c r="M420" i="29"/>
  <c r="N420" i="29"/>
  <c r="O420" i="29"/>
  <c r="P420" i="29"/>
  <c r="Q420" i="29"/>
  <c r="R420" i="29"/>
  <c r="T420" i="29"/>
  <c r="V420" i="29"/>
  <c r="X420" i="29"/>
  <c r="Y420" i="29"/>
  <c r="Z420" i="29"/>
  <c r="AB420" i="29"/>
  <c r="AD420" i="29"/>
  <c r="A421" i="29"/>
  <c r="E421" i="29"/>
  <c r="G421" i="29"/>
  <c r="H421" i="29"/>
  <c r="I421" i="29"/>
  <c r="J421" i="29"/>
  <c r="K421" i="29"/>
  <c r="L421" i="29"/>
  <c r="M421" i="29"/>
  <c r="N421" i="29"/>
  <c r="O421" i="29"/>
  <c r="P421" i="29"/>
  <c r="Q421" i="29"/>
  <c r="R421" i="29"/>
  <c r="T421" i="29"/>
  <c r="V421" i="29"/>
  <c r="X421" i="29"/>
  <c r="Y421" i="29"/>
  <c r="Z421" i="29"/>
  <c r="AB421" i="29"/>
  <c r="AD421" i="29"/>
  <c r="A422" i="29"/>
  <c r="E422" i="29"/>
  <c r="G422" i="29"/>
  <c r="H422" i="29"/>
  <c r="I422" i="29"/>
  <c r="J422" i="29"/>
  <c r="K422" i="29"/>
  <c r="L422" i="29"/>
  <c r="M422" i="29"/>
  <c r="N422" i="29"/>
  <c r="O422" i="29"/>
  <c r="P422" i="29"/>
  <c r="Q422" i="29"/>
  <c r="R422" i="29"/>
  <c r="T422" i="29"/>
  <c r="V422" i="29"/>
  <c r="X422" i="29"/>
  <c r="Y422" i="29"/>
  <c r="Z422" i="29"/>
  <c r="AB422" i="29"/>
  <c r="AD422" i="29"/>
  <c r="A423" i="29"/>
  <c r="E423" i="29"/>
  <c r="G423" i="29"/>
  <c r="H423" i="29"/>
  <c r="I423" i="29"/>
  <c r="J423" i="29"/>
  <c r="K423" i="29"/>
  <c r="L423" i="29"/>
  <c r="M423" i="29"/>
  <c r="N423" i="29"/>
  <c r="O423" i="29"/>
  <c r="P423" i="29"/>
  <c r="Q423" i="29"/>
  <c r="R423" i="29"/>
  <c r="T423" i="29"/>
  <c r="V423" i="29"/>
  <c r="X423" i="29"/>
  <c r="Y423" i="29"/>
  <c r="Z423" i="29"/>
  <c r="AB423" i="29"/>
  <c r="AD423" i="29"/>
  <c r="A424" i="29"/>
  <c r="E424" i="29"/>
  <c r="G424" i="29"/>
  <c r="H424" i="29"/>
  <c r="I424" i="29"/>
  <c r="J424" i="29"/>
  <c r="K424" i="29"/>
  <c r="L424" i="29"/>
  <c r="M424" i="29"/>
  <c r="N424" i="29"/>
  <c r="O424" i="29"/>
  <c r="P424" i="29"/>
  <c r="Q424" i="29"/>
  <c r="R424" i="29"/>
  <c r="T424" i="29"/>
  <c r="V424" i="29"/>
  <c r="X424" i="29"/>
  <c r="Y424" i="29"/>
  <c r="Z424" i="29"/>
  <c r="AB424" i="29"/>
  <c r="AD424" i="29"/>
  <c r="A425" i="29"/>
  <c r="E425" i="29"/>
  <c r="G425" i="29"/>
  <c r="H425" i="29"/>
  <c r="I425" i="29"/>
  <c r="J425" i="29"/>
  <c r="K425" i="29"/>
  <c r="L425" i="29"/>
  <c r="M425" i="29"/>
  <c r="N425" i="29"/>
  <c r="O425" i="29"/>
  <c r="P425" i="29"/>
  <c r="Q425" i="29"/>
  <c r="R425" i="29"/>
  <c r="T425" i="29"/>
  <c r="V425" i="29"/>
  <c r="X425" i="29"/>
  <c r="Y425" i="29"/>
  <c r="Z425" i="29"/>
  <c r="AB425" i="29"/>
  <c r="AD425" i="29"/>
  <c r="A426" i="29"/>
  <c r="E426" i="29"/>
  <c r="G426" i="29"/>
  <c r="H426" i="29"/>
  <c r="I426" i="29"/>
  <c r="J426" i="29"/>
  <c r="K426" i="29"/>
  <c r="L426" i="29"/>
  <c r="M426" i="29"/>
  <c r="N426" i="29"/>
  <c r="O426" i="29"/>
  <c r="P426" i="29"/>
  <c r="Q426" i="29"/>
  <c r="R426" i="29"/>
  <c r="T426" i="29"/>
  <c r="V426" i="29"/>
  <c r="X426" i="29"/>
  <c r="Y426" i="29"/>
  <c r="Z426" i="29"/>
  <c r="AB426" i="29"/>
  <c r="AD426" i="29"/>
  <c r="A427" i="29"/>
  <c r="E427" i="29"/>
  <c r="G427" i="29"/>
  <c r="H427" i="29"/>
  <c r="I427" i="29"/>
  <c r="J427" i="29"/>
  <c r="K427" i="29"/>
  <c r="L427" i="29"/>
  <c r="M427" i="29"/>
  <c r="N427" i="29"/>
  <c r="O427" i="29"/>
  <c r="P427" i="29"/>
  <c r="Q427" i="29"/>
  <c r="R427" i="29"/>
  <c r="T427" i="29"/>
  <c r="V427" i="29"/>
  <c r="X427" i="29"/>
  <c r="Y427" i="29"/>
  <c r="Z427" i="29"/>
  <c r="AB427" i="29"/>
  <c r="AD427" i="29"/>
  <c r="A428" i="29"/>
  <c r="E428" i="29"/>
  <c r="G428" i="29"/>
  <c r="H428" i="29"/>
  <c r="I428" i="29"/>
  <c r="J428" i="29"/>
  <c r="K428" i="29"/>
  <c r="L428" i="29"/>
  <c r="M428" i="29"/>
  <c r="N428" i="29"/>
  <c r="O428" i="29"/>
  <c r="P428" i="29"/>
  <c r="Q428" i="29"/>
  <c r="R428" i="29"/>
  <c r="T428" i="29"/>
  <c r="V428" i="29"/>
  <c r="X428" i="29"/>
  <c r="Y428" i="29"/>
  <c r="Z428" i="29"/>
  <c r="AB428" i="29"/>
  <c r="AD428" i="29"/>
  <c r="A429" i="29"/>
  <c r="E429" i="29"/>
  <c r="G429" i="29"/>
  <c r="H429" i="29"/>
  <c r="I429" i="29"/>
  <c r="J429" i="29"/>
  <c r="K429" i="29"/>
  <c r="L429" i="29"/>
  <c r="M429" i="29"/>
  <c r="N429" i="29"/>
  <c r="O429" i="29"/>
  <c r="P429" i="29"/>
  <c r="Q429" i="29"/>
  <c r="R429" i="29"/>
  <c r="T429" i="29"/>
  <c r="V429" i="29"/>
  <c r="X429" i="29"/>
  <c r="Y429" i="29"/>
  <c r="Z429" i="29"/>
  <c r="AB429" i="29"/>
  <c r="AD429" i="29"/>
  <c r="A430" i="29"/>
  <c r="E430" i="29"/>
  <c r="G430" i="29"/>
  <c r="H430" i="29"/>
  <c r="I430" i="29"/>
  <c r="J430" i="29"/>
  <c r="K430" i="29"/>
  <c r="L430" i="29"/>
  <c r="M430" i="29"/>
  <c r="N430" i="29"/>
  <c r="O430" i="29"/>
  <c r="P430" i="29"/>
  <c r="Q430" i="29"/>
  <c r="R430" i="29"/>
  <c r="T430" i="29"/>
  <c r="V430" i="29"/>
  <c r="X430" i="29"/>
  <c r="Y430" i="29"/>
  <c r="Z430" i="29"/>
  <c r="AB430" i="29"/>
  <c r="AD430" i="29"/>
  <c r="A431" i="29"/>
  <c r="E431" i="29"/>
  <c r="G431" i="29"/>
  <c r="H431" i="29"/>
  <c r="I431" i="29"/>
  <c r="J431" i="29"/>
  <c r="K431" i="29"/>
  <c r="L431" i="29"/>
  <c r="M431" i="29"/>
  <c r="N431" i="29"/>
  <c r="O431" i="29"/>
  <c r="P431" i="29"/>
  <c r="Q431" i="29"/>
  <c r="R431" i="29"/>
  <c r="T431" i="29"/>
  <c r="V431" i="29"/>
  <c r="X431" i="29"/>
  <c r="Y431" i="29"/>
  <c r="Z431" i="29"/>
  <c r="AB431" i="29"/>
  <c r="AD431" i="29"/>
  <c r="A432" i="29"/>
  <c r="E432" i="29"/>
  <c r="G432" i="29"/>
  <c r="H432" i="29"/>
  <c r="I432" i="29"/>
  <c r="J432" i="29"/>
  <c r="K432" i="29"/>
  <c r="L432" i="29"/>
  <c r="M432" i="29"/>
  <c r="N432" i="29"/>
  <c r="O432" i="29"/>
  <c r="P432" i="29"/>
  <c r="Q432" i="29"/>
  <c r="R432" i="29"/>
  <c r="T432" i="29"/>
  <c r="V432" i="29"/>
  <c r="X432" i="29"/>
  <c r="Y432" i="29"/>
  <c r="Z432" i="29"/>
  <c r="AB432" i="29"/>
  <c r="AD432" i="29"/>
  <c r="A433" i="29"/>
  <c r="E433" i="29"/>
  <c r="G433" i="29"/>
  <c r="H433" i="29"/>
  <c r="I433" i="29"/>
  <c r="J433" i="29"/>
  <c r="K433" i="29"/>
  <c r="L433" i="29"/>
  <c r="M433" i="29"/>
  <c r="N433" i="29"/>
  <c r="O433" i="29"/>
  <c r="P433" i="29"/>
  <c r="Q433" i="29"/>
  <c r="R433" i="29"/>
  <c r="T433" i="29"/>
  <c r="V433" i="29"/>
  <c r="X433" i="29"/>
  <c r="Y433" i="29"/>
  <c r="Z433" i="29"/>
  <c r="AB433" i="29"/>
  <c r="AD433" i="29"/>
  <c r="A434" i="29"/>
  <c r="E434" i="29"/>
  <c r="G434" i="29"/>
  <c r="H434" i="29"/>
  <c r="I434" i="29"/>
  <c r="J434" i="29"/>
  <c r="K434" i="29"/>
  <c r="L434" i="29"/>
  <c r="M434" i="29"/>
  <c r="N434" i="29"/>
  <c r="O434" i="29"/>
  <c r="P434" i="29"/>
  <c r="Q434" i="29"/>
  <c r="R434" i="29"/>
  <c r="T434" i="29"/>
  <c r="V434" i="29"/>
  <c r="X434" i="29"/>
  <c r="Y434" i="29"/>
  <c r="Z434" i="29"/>
  <c r="AB434" i="29"/>
  <c r="AD434" i="29"/>
  <c r="A435" i="29"/>
  <c r="E435" i="29"/>
  <c r="G435" i="29"/>
  <c r="H435" i="29"/>
  <c r="I435" i="29"/>
  <c r="J435" i="29"/>
  <c r="K435" i="29"/>
  <c r="L435" i="29"/>
  <c r="M435" i="29"/>
  <c r="N435" i="29"/>
  <c r="O435" i="29"/>
  <c r="P435" i="29"/>
  <c r="Q435" i="29"/>
  <c r="R435" i="29"/>
  <c r="T435" i="29"/>
  <c r="V435" i="29"/>
  <c r="X435" i="29"/>
  <c r="Y435" i="29"/>
  <c r="Z435" i="29"/>
  <c r="AB435" i="29"/>
  <c r="AD435" i="29"/>
  <c r="A436" i="29"/>
  <c r="E436" i="29"/>
  <c r="G436" i="29"/>
  <c r="H436" i="29"/>
  <c r="I436" i="29"/>
  <c r="J436" i="29"/>
  <c r="K436" i="29"/>
  <c r="L436" i="29"/>
  <c r="M436" i="29"/>
  <c r="N436" i="29"/>
  <c r="O436" i="29"/>
  <c r="P436" i="29"/>
  <c r="Q436" i="29"/>
  <c r="R436" i="29"/>
  <c r="T436" i="29"/>
  <c r="V436" i="29"/>
  <c r="X436" i="29"/>
  <c r="Y436" i="29"/>
  <c r="Z436" i="29"/>
  <c r="AB436" i="29"/>
  <c r="AD436" i="29"/>
  <c r="A437" i="29"/>
  <c r="E437" i="29"/>
  <c r="G437" i="29"/>
  <c r="H437" i="29"/>
  <c r="I437" i="29"/>
  <c r="J437" i="29"/>
  <c r="K437" i="29"/>
  <c r="L437" i="29"/>
  <c r="M437" i="29"/>
  <c r="N437" i="29"/>
  <c r="O437" i="29"/>
  <c r="P437" i="29"/>
  <c r="Q437" i="29"/>
  <c r="R437" i="29"/>
  <c r="T437" i="29"/>
  <c r="V437" i="29"/>
  <c r="X437" i="29"/>
  <c r="Y437" i="29"/>
  <c r="Z437" i="29"/>
  <c r="AB437" i="29"/>
  <c r="AD437" i="29"/>
  <c r="A438" i="29"/>
  <c r="E438" i="29"/>
  <c r="G438" i="29"/>
  <c r="H438" i="29"/>
  <c r="I438" i="29"/>
  <c r="J438" i="29"/>
  <c r="K438" i="29"/>
  <c r="L438" i="29"/>
  <c r="M438" i="29"/>
  <c r="N438" i="29"/>
  <c r="O438" i="29"/>
  <c r="P438" i="29"/>
  <c r="Q438" i="29"/>
  <c r="R438" i="29"/>
  <c r="T438" i="29"/>
  <c r="V438" i="29"/>
  <c r="X438" i="29"/>
  <c r="Y438" i="29"/>
  <c r="Z438" i="29"/>
  <c r="AB438" i="29"/>
  <c r="AD438" i="29"/>
  <c r="A439" i="29"/>
  <c r="E439" i="29"/>
  <c r="G439" i="29"/>
  <c r="H439" i="29"/>
  <c r="I439" i="29"/>
  <c r="J439" i="29"/>
  <c r="K439" i="29"/>
  <c r="L439" i="29"/>
  <c r="M439" i="29"/>
  <c r="N439" i="29"/>
  <c r="O439" i="29"/>
  <c r="P439" i="29"/>
  <c r="Q439" i="29"/>
  <c r="R439" i="29"/>
  <c r="T439" i="29"/>
  <c r="V439" i="29"/>
  <c r="X439" i="29"/>
  <c r="Y439" i="29"/>
  <c r="Z439" i="29"/>
  <c r="AB439" i="29"/>
  <c r="AD439" i="29"/>
  <c r="A440" i="29"/>
  <c r="E440" i="29"/>
  <c r="G440" i="29"/>
  <c r="H440" i="29"/>
  <c r="I440" i="29"/>
  <c r="J440" i="29"/>
  <c r="K440" i="29"/>
  <c r="L440" i="29"/>
  <c r="M440" i="29"/>
  <c r="N440" i="29"/>
  <c r="O440" i="29"/>
  <c r="P440" i="29"/>
  <c r="Q440" i="29"/>
  <c r="R440" i="29"/>
  <c r="T440" i="29"/>
  <c r="V440" i="29"/>
  <c r="X440" i="29"/>
  <c r="Y440" i="29"/>
  <c r="Z440" i="29"/>
  <c r="AB440" i="29"/>
  <c r="AD440" i="29"/>
  <c r="A441" i="29"/>
  <c r="E441" i="29"/>
  <c r="G441" i="29"/>
  <c r="H441" i="29"/>
  <c r="I441" i="29"/>
  <c r="J441" i="29"/>
  <c r="K441" i="29"/>
  <c r="L441" i="29"/>
  <c r="M441" i="29"/>
  <c r="N441" i="29"/>
  <c r="O441" i="29"/>
  <c r="P441" i="29"/>
  <c r="Q441" i="29"/>
  <c r="R441" i="29"/>
  <c r="T441" i="29"/>
  <c r="V441" i="29"/>
  <c r="X441" i="29"/>
  <c r="Y441" i="29"/>
  <c r="Z441" i="29"/>
  <c r="AB441" i="29"/>
  <c r="AD441" i="29"/>
  <c r="A442" i="29"/>
  <c r="E442" i="29"/>
  <c r="G442" i="29"/>
  <c r="H442" i="29"/>
  <c r="I442" i="29"/>
  <c r="J442" i="29"/>
  <c r="K442" i="29"/>
  <c r="L442" i="29"/>
  <c r="M442" i="29"/>
  <c r="N442" i="29"/>
  <c r="O442" i="29"/>
  <c r="P442" i="29"/>
  <c r="Q442" i="29"/>
  <c r="R442" i="29"/>
  <c r="T442" i="29"/>
  <c r="V442" i="29"/>
  <c r="X442" i="29"/>
  <c r="Y442" i="29"/>
  <c r="Z442" i="29"/>
  <c r="AB442" i="29"/>
  <c r="AD442" i="29"/>
  <c r="A443" i="29"/>
  <c r="E443" i="29"/>
  <c r="G443" i="29"/>
  <c r="H443" i="29"/>
  <c r="I443" i="29"/>
  <c r="J443" i="29"/>
  <c r="K443" i="29"/>
  <c r="L443" i="29"/>
  <c r="M443" i="29"/>
  <c r="N443" i="29"/>
  <c r="O443" i="29"/>
  <c r="P443" i="29"/>
  <c r="Q443" i="29"/>
  <c r="R443" i="29"/>
  <c r="T443" i="29"/>
  <c r="V443" i="29"/>
  <c r="X443" i="29"/>
  <c r="Y443" i="29"/>
  <c r="Z443" i="29"/>
  <c r="AB443" i="29"/>
  <c r="AD443" i="29"/>
  <c r="A444" i="29"/>
  <c r="E444" i="29"/>
  <c r="G444" i="29"/>
  <c r="H444" i="29"/>
  <c r="I444" i="29"/>
  <c r="J444" i="29"/>
  <c r="K444" i="29"/>
  <c r="L444" i="29"/>
  <c r="M444" i="29"/>
  <c r="N444" i="29"/>
  <c r="O444" i="29"/>
  <c r="P444" i="29"/>
  <c r="Q444" i="29"/>
  <c r="R444" i="29"/>
  <c r="T444" i="29"/>
  <c r="V444" i="29"/>
  <c r="X444" i="29"/>
  <c r="Y444" i="29"/>
  <c r="Z444" i="29"/>
  <c r="AB444" i="29"/>
  <c r="AD444" i="29"/>
  <c r="A445" i="29"/>
  <c r="E445" i="29"/>
  <c r="G445" i="29"/>
  <c r="H445" i="29"/>
  <c r="I445" i="29"/>
  <c r="J445" i="29"/>
  <c r="K445" i="29"/>
  <c r="L445" i="29"/>
  <c r="M445" i="29"/>
  <c r="N445" i="29"/>
  <c r="O445" i="29"/>
  <c r="P445" i="29"/>
  <c r="Q445" i="29"/>
  <c r="R445" i="29"/>
  <c r="T445" i="29"/>
  <c r="V445" i="29"/>
  <c r="X445" i="29"/>
  <c r="Y445" i="29"/>
  <c r="Z445" i="29"/>
  <c r="AB445" i="29"/>
  <c r="AD445" i="29"/>
  <c r="A446" i="29"/>
  <c r="E446" i="29"/>
  <c r="G446" i="29"/>
  <c r="H446" i="29"/>
  <c r="I446" i="29"/>
  <c r="J446" i="29"/>
  <c r="K446" i="29"/>
  <c r="L446" i="29"/>
  <c r="M446" i="29"/>
  <c r="N446" i="29"/>
  <c r="O446" i="29"/>
  <c r="P446" i="29"/>
  <c r="Q446" i="29"/>
  <c r="R446" i="29"/>
  <c r="T446" i="29"/>
  <c r="V446" i="29"/>
  <c r="X446" i="29"/>
  <c r="Y446" i="29"/>
  <c r="Z446" i="29"/>
  <c r="AB446" i="29"/>
  <c r="AD446" i="29"/>
  <c r="A447" i="29"/>
  <c r="E447" i="29"/>
  <c r="G447" i="29"/>
  <c r="H447" i="29"/>
  <c r="I447" i="29"/>
  <c r="J447" i="29"/>
  <c r="K447" i="29"/>
  <c r="L447" i="29"/>
  <c r="M447" i="29"/>
  <c r="N447" i="29"/>
  <c r="O447" i="29"/>
  <c r="P447" i="29"/>
  <c r="Q447" i="29"/>
  <c r="R447" i="29"/>
  <c r="T447" i="29"/>
  <c r="V447" i="29"/>
  <c r="X447" i="29"/>
  <c r="Y447" i="29"/>
  <c r="Z447" i="29"/>
  <c r="AB447" i="29"/>
  <c r="AD447" i="29"/>
  <c r="A448" i="29"/>
  <c r="E448" i="29"/>
  <c r="G448" i="29"/>
  <c r="H448" i="29"/>
  <c r="I448" i="29"/>
  <c r="J448" i="29"/>
  <c r="K448" i="29"/>
  <c r="L448" i="29"/>
  <c r="M448" i="29"/>
  <c r="N448" i="29"/>
  <c r="O448" i="29"/>
  <c r="P448" i="29"/>
  <c r="Q448" i="29"/>
  <c r="R448" i="29"/>
  <c r="T448" i="29"/>
  <c r="V448" i="29"/>
  <c r="X448" i="29"/>
  <c r="Y448" i="29"/>
  <c r="Z448" i="29"/>
  <c r="AB448" i="29"/>
  <c r="AD448" i="29"/>
  <c r="A449" i="29"/>
  <c r="E449" i="29"/>
  <c r="G449" i="29"/>
  <c r="H449" i="29"/>
  <c r="I449" i="29"/>
  <c r="J449" i="29"/>
  <c r="K449" i="29"/>
  <c r="L449" i="29"/>
  <c r="M449" i="29"/>
  <c r="N449" i="29"/>
  <c r="O449" i="29"/>
  <c r="P449" i="29"/>
  <c r="Q449" i="29"/>
  <c r="R449" i="29"/>
  <c r="T449" i="29"/>
  <c r="V449" i="29"/>
  <c r="X449" i="29"/>
  <c r="Y449" i="29"/>
  <c r="Z449" i="29"/>
  <c r="AB449" i="29"/>
  <c r="AD449" i="29"/>
  <c r="A450" i="29"/>
  <c r="E450" i="29"/>
  <c r="G450" i="29"/>
  <c r="H450" i="29"/>
  <c r="I450" i="29"/>
  <c r="J450" i="29"/>
  <c r="K450" i="29"/>
  <c r="L450" i="29"/>
  <c r="M450" i="29"/>
  <c r="N450" i="29"/>
  <c r="O450" i="29"/>
  <c r="P450" i="29"/>
  <c r="Q450" i="29"/>
  <c r="R450" i="29"/>
  <c r="T450" i="29"/>
  <c r="V450" i="29"/>
  <c r="X450" i="29"/>
  <c r="Y450" i="29"/>
  <c r="Z450" i="29"/>
  <c r="AB450" i="29"/>
  <c r="AD450" i="29"/>
  <c r="A451" i="29"/>
  <c r="E451" i="29"/>
  <c r="G451" i="29"/>
  <c r="H451" i="29"/>
  <c r="I451" i="29"/>
  <c r="J451" i="29"/>
  <c r="K451" i="29"/>
  <c r="L451" i="29"/>
  <c r="M451" i="29"/>
  <c r="N451" i="29"/>
  <c r="O451" i="29"/>
  <c r="P451" i="29"/>
  <c r="Q451" i="29"/>
  <c r="R451" i="29"/>
  <c r="T451" i="29"/>
  <c r="V451" i="29"/>
  <c r="X451" i="29"/>
  <c r="Y451" i="29"/>
  <c r="Z451" i="29"/>
  <c r="AB451" i="29"/>
  <c r="AD451" i="29"/>
  <c r="A452" i="29"/>
  <c r="E452" i="29"/>
  <c r="G452" i="29"/>
  <c r="H452" i="29"/>
  <c r="I452" i="29"/>
  <c r="J452" i="29"/>
  <c r="K452" i="29"/>
  <c r="L452" i="29"/>
  <c r="M452" i="29"/>
  <c r="N452" i="29"/>
  <c r="O452" i="29"/>
  <c r="P452" i="29"/>
  <c r="Q452" i="29"/>
  <c r="R452" i="29"/>
  <c r="T452" i="29"/>
  <c r="V452" i="29"/>
  <c r="X452" i="29"/>
  <c r="Y452" i="29"/>
  <c r="Z452" i="29"/>
  <c r="AB452" i="29"/>
  <c r="AD452" i="29"/>
  <c r="A453" i="29"/>
  <c r="E453" i="29"/>
  <c r="G453" i="29"/>
  <c r="H453" i="29"/>
  <c r="I453" i="29"/>
  <c r="J453" i="29"/>
  <c r="K453" i="29"/>
  <c r="L453" i="29"/>
  <c r="M453" i="29"/>
  <c r="N453" i="29"/>
  <c r="O453" i="29"/>
  <c r="P453" i="29"/>
  <c r="Q453" i="29"/>
  <c r="R453" i="29"/>
  <c r="T453" i="29"/>
  <c r="V453" i="29"/>
  <c r="X453" i="29"/>
  <c r="Y453" i="29"/>
  <c r="Z453" i="29"/>
  <c r="AB453" i="29"/>
  <c r="AD453" i="29"/>
  <c r="A454" i="29"/>
  <c r="E454" i="29"/>
  <c r="G454" i="29"/>
  <c r="H454" i="29"/>
  <c r="I454" i="29"/>
  <c r="J454" i="29"/>
  <c r="K454" i="29"/>
  <c r="L454" i="29"/>
  <c r="M454" i="29"/>
  <c r="N454" i="29"/>
  <c r="O454" i="29"/>
  <c r="P454" i="29"/>
  <c r="Q454" i="29"/>
  <c r="R454" i="29"/>
  <c r="T454" i="29"/>
  <c r="V454" i="29"/>
  <c r="X454" i="29"/>
  <c r="Y454" i="29"/>
  <c r="Z454" i="29"/>
  <c r="AB454" i="29"/>
  <c r="AD454" i="29"/>
  <c r="A455" i="29"/>
  <c r="E455" i="29"/>
  <c r="G455" i="29"/>
  <c r="H455" i="29"/>
  <c r="I455" i="29"/>
  <c r="J455" i="29"/>
  <c r="K455" i="29"/>
  <c r="L455" i="29"/>
  <c r="M455" i="29"/>
  <c r="N455" i="29"/>
  <c r="O455" i="29"/>
  <c r="P455" i="29"/>
  <c r="Q455" i="29"/>
  <c r="R455" i="29"/>
  <c r="T455" i="29"/>
  <c r="V455" i="29"/>
  <c r="X455" i="29"/>
  <c r="Y455" i="29"/>
  <c r="Z455" i="29"/>
  <c r="AB455" i="29"/>
  <c r="AD455" i="29"/>
  <c r="A456" i="29"/>
  <c r="E456" i="29"/>
  <c r="G456" i="29"/>
  <c r="H456" i="29"/>
  <c r="I456" i="29"/>
  <c r="J456" i="29"/>
  <c r="K456" i="29"/>
  <c r="L456" i="29"/>
  <c r="M456" i="29"/>
  <c r="N456" i="29"/>
  <c r="O456" i="29"/>
  <c r="P456" i="29"/>
  <c r="Q456" i="29"/>
  <c r="R456" i="29"/>
  <c r="T456" i="29"/>
  <c r="V456" i="29"/>
  <c r="X456" i="29"/>
  <c r="Y456" i="29"/>
  <c r="Z456" i="29"/>
  <c r="AB456" i="29"/>
  <c r="AD456" i="29"/>
  <c r="A457" i="29"/>
  <c r="E457" i="29"/>
  <c r="G457" i="29"/>
  <c r="H457" i="29"/>
  <c r="I457" i="29"/>
  <c r="J457" i="29"/>
  <c r="K457" i="29"/>
  <c r="L457" i="29"/>
  <c r="M457" i="29"/>
  <c r="N457" i="29"/>
  <c r="O457" i="29"/>
  <c r="P457" i="29"/>
  <c r="Q457" i="29"/>
  <c r="R457" i="29"/>
  <c r="T457" i="29"/>
  <c r="V457" i="29"/>
  <c r="X457" i="29"/>
  <c r="Y457" i="29"/>
  <c r="Z457" i="29"/>
  <c r="AB457" i="29"/>
  <c r="AD457" i="29"/>
  <c r="A458" i="29"/>
  <c r="E458" i="29"/>
  <c r="G458" i="29"/>
  <c r="H458" i="29"/>
  <c r="I458" i="29"/>
  <c r="J458" i="29"/>
  <c r="K458" i="29"/>
  <c r="L458" i="29"/>
  <c r="M458" i="29"/>
  <c r="N458" i="29"/>
  <c r="O458" i="29"/>
  <c r="P458" i="29"/>
  <c r="Q458" i="29"/>
  <c r="R458" i="29"/>
  <c r="T458" i="29"/>
  <c r="V458" i="29"/>
  <c r="X458" i="29"/>
  <c r="Y458" i="29"/>
  <c r="Z458" i="29"/>
  <c r="AB458" i="29"/>
  <c r="AD458" i="29"/>
  <c r="A459" i="29"/>
  <c r="E459" i="29"/>
  <c r="G459" i="29"/>
  <c r="H459" i="29"/>
  <c r="I459" i="29"/>
  <c r="J459" i="29"/>
  <c r="K459" i="29"/>
  <c r="L459" i="29"/>
  <c r="M459" i="29"/>
  <c r="N459" i="29"/>
  <c r="O459" i="29"/>
  <c r="P459" i="29"/>
  <c r="Q459" i="29"/>
  <c r="R459" i="29"/>
  <c r="T459" i="29"/>
  <c r="V459" i="29"/>
  <c r="X459" i="29"/>
  <c r="Y459" i="29"/>
  <c r="Z459" i="29"/>
  <c r="AB459" i="29"/>
  <c r="AD459" i="29"/>
  <c r="A460" i="29"/>
  <c r="E460" i="29"/>
  <c r="G460" i="29"/>
  <c r="H460" i="29"/>
  <c r="I460" i="29"/>
  <c r="J460" i="29"/>
  <c r="K460" i="29"/>
  <c r="L460" i="29"/>
  <c r="M460" i="29"/>
  <c r="N460" i="29"/>
  <c r="O460" i="29"/>
  <c r="P460" i="29"/>
  <c r="Q460" i="29"/>
  <c r="R460" i="29"/>
  <c r="T460" i="29"/>
  <c r="V460" i="29"/>
  <c r="X460" i="29"/>
  <c r="Y460" i="29"/>
  <c r="Z460" i="29"/>
  <c r="AB460" i="29"/>
  <c r="AD460" i="29"/>
  <c r="A461" i="29"/>
  <c r="E461" i="29"/>
  <c r="G461" i="29"/>
  <c r="H461" i="29"/>
  <c r="I461" i="29"/>
  <c r="J461" i="29"/>
  <c r="K461" i="29"/>
  <c r="L461" i="29"/>
  <c r="M461" i="29"/>
  <c r="N461" i="29"/>
  <c r="O461" i="29"/>
  <c r="P461" i="29"/>
  <c r="Q461" i="29"/>
  <c r="R461" i="29"/>
  <c r="T461" i="29"/>
  <c r="V461" i="29"/>
  <c r="X461" i="29"/>
  <c r="Y461" i="29"/>
  <c r="Z461" i="29"/>
  <c r="AB461" i="29"/>
  <c r="AD461" i="29"/>
  <c r="A462" i="29"/>
  <c r="E462" i="29"/>
  <c r="G462" i="29"/>
  <c r="H462" i="29"/>
  <c r="I462" i="29"/>
  <c r="J462" i="29"/>
  <c r="K462" i="29"/>
  <c r="L462" i="29"/>
  <c r="M462" i="29"/>
  <c r="N462" i="29"/>
  <c r="O462" i="29"/>
  <c r="P462" i="29"/>
  <c r="Q462" i="29"/>
  <c r="R462" i="29"/>
  <c r="T462" i="29"/>
  <c r="V462" i="29"/>
  <c r="X462" i="29"/>
  <c r="Y462" i="29"/>
  <c r="Z462" i="29"/>
  <c r="AB462" i="29"/>
  <c r="AD462" i="29"/>
  <c r="A463" i="29"/>
  <c r="E463" i="29"/>
  <c r="G463" i="29"/>
  <c r="H463" i="29"/>
  <c r="I463" i="29"/>
  <c r="J463" i="29"/>
  <c r="K463" i="29"/>
  <c r="L463" i="29"/>
  <c r="M463" i="29"/>
  <c r="N463" i="29"/>
  <c r="O463" i="29"/>
  <c r="P463" i="29"/>
  <c r="Q463" i="29"/>
  <c r="R463" i="29"/>
  <c r="T463" i="29"/>
  <c r="V463" i="29"/>
  <c r="X463" i="29"/>
  <c r="Y463" i="29"/>
  <c r="Z463" i="29"/>
  <c r="AB463" i="29"/>
  <c r="AD463" i="29"/>
  <c r="A464" i="29"/>
  <c r="E464" i="29"/>
  <c r="G464" i="29"/>
  <c r="H464" i="29"/>
  <c r="I464" i="29"/>
  <c r="J464" i="29"/>
  <c r="K464" i="29"/>
  <c r="L464" i="29"/>
  <c r="M464" i="29"/>
  <c r="N464" i="29"/>
  <c r="O464" i="29"/>
  <c r="P464" i="29"/>
  <c r="Q464" i="29"/>
  <c r="R464" i="29"/>
  <c r="T464" i="29"/>
  <c r="V464" i="29"/>
  <c r="X464" i="29"/>
  <c r="Y464" i="29"/>
  <c r="Z464" i="29"/>
  <c r="AB464" i="29"/>
  <c r="AD464" i="29"/>
  <c r="A465" i="29"/>
  <c r="E465" i="29"/>
  <c r="G465" i="29"/>
  <c r="H465" i="29"/>
  <c r="I465" i="29"/>
  <c r="J465" i="29"/>
  <c r="K465" i="29"/>
  <c r="L465" i="29"/>
  <c r="M465" i="29"/>
  <c r="N465" i="29"/>
  <c r="O465" i="29"/>
  <c r="P465" i="29"/>
  <c r="Q465" i="29"/>
  <c r="R465" i="29"/>
  <c r="T465" i="29"/>
  <c r="V465" i="29"/>
  <c r="X465" i="29"/>
  <c r="Y465" i="29"/>
  <c r="Z465" i="29"/>
  <c r="AB465" i="29"/>
  <c r="AD465" i="29"/>
  <c r="A466" i="29"/>
  <c r="E466" i="29"/>
  <c r="G466" i="29"/>
  <c r="H466" i="29"/>
  <c r="I466" i="29"/>
  <c r="J466" i="29"/>
  <c r="K466" i="29"/>
  <c r="L466" i="29"/>
  <c r="M466" i="29"/>
  <c r="N466" i="29"/>
  <c r="O466" i="29"/>
  <c r="P466" i="29"/>
  <c r="Q466" i="29"/>
  <c r="R466" i="29"/>
  <c r="T466" i="29"/>
  <c r="V466" i="29"/>
  <c r="X466" i="29"/>
  <c r="Y466" i="29"/>
  <c r="Z466" i="29"/>
  <c r="AB466" i="29"/>
  <c r="AD466" i="29"/>
  <c r="A467" i="29"/>
  <c r="E467" i="29"/>
  <c r="G467" i="29"/>
  <c r="H467" i="29"/>
  <c r="I467" i="29"/>
  <c r="J467" i="29"/>
  <c r="K467" i="29"/>
  <c r="L467" i="29"/>
  <c r="M467" i="29"/>
  <c r="N467" i="29"/>
  <c r="O467" i="29"/>
  <c r="P467" i="29"/>
  <c r="Q467" i="29"/>
  <c r="R467" i="29"/>
  <c r="T467" i="29"/>
  <c r="V467" i="29"/>
  <c r="X467" i="29"/>
  <c r="Y467" i="29"/>
  <c r="Z467" i="29"/>
  <c r="AB467" i="29"/>
  <c r="AD467" i="29"/>
  <c r="A468" i="29"/>
  <c r="E468" i="29"/>
  <c r="G468" i="29"/>
  <c r="H468" i="29"/>
  <c r="I468" i="29"/>
  <c r="J468" i="29"/>
  <c r="K468" i="29"/>
  <c r="L468" i="29"/>
  <c r="M468" i="29"/>
  <c r="N468" i="29"/>
  <c r="O468" i="29"/>
  <c r="P468" i="29"/>
  <c r="Q468" i="29"/>
  <c r="R468" i="29"/>
  <c r="T468" i="29"/>
  <c r="V468" i="29"/>
  <c r="X468" i="29"/>
  <c r="Y468" i="29"/>
  <c r="Z468" i="29"/>
  <c r="AB468" i="29"/>
  <c r="AD468" i="29"/>
  <c r="A469" i="29"/>
  <c r="E469" i="29"/>
  <c r="G469" i="29"/>
  <c r="H469" i="29"/>
  <c r="I469" i="29"/>
  <c r="J469" i="29"/>
  <c r="K469" i="29"/>
  <c r="L469" i="29"/>
  <c r="M469" i="29"/>
  <c r="N469" i="29"/>
  <c r="O469" i="29"/>
  <c r="P469" i="29"/>
  <c r="Q469" i="29"/>
  <c r="R469" i="29"/>
  <c r="T469" i="29"/>
  <c r="V469" i="29"/>
  <c r="X469" i="29"/>
  <c r="Y469" i="29"/>
  <c r="Z469" i="29"/>
  <c r="AB469" i="29"/>
  <c r="AD469" i="29"/>
  <c r="A470" i="29"/>
  <c r="E470" i="29"/>
  <c r="G470" i="29"/>
  <c r="H470" i="29"/>
  <c r="I470" i="29"/>
  <c r="J470" i="29"/>
  <c r="K470" i="29"/>
  <c r="L470" i="29"/>
  <c r="M470" i="29"/>
  <c r="N470" i="29"/>
  <c r="O470" i="29"/>
  <c r="P470" i="29"/>
  <c r="Q470" i="29"/>
  <c r="R470" i="29"/>
  <c r="T470" i="29"/>
  <c r="V470" i="29"/>
  <c r="X470" i="29"/>
  <c r="Y470" i="29"/>
  <c r="Z470" i="29"/>
  <c r="AB470" i="29"/>
  <c r="AD470" i="29"/>
  <c r="A471" i="29"/>
  <c r="E471" i="29"/>
  <c r="G471" i="29"/>
  <c r="H471" i="29"/>
  <c r="I471" i="29"/>
  <c r="J471" i="29"/>
  <c r="K471" i="29"/>
  <c r="L471" i="29"/>
  <c r="M471" i="29"/>
  <c r="N471" i="29"/>
  <c r="O471" i="29"/>
  <c r="P471" i="29"/>
  <c r="Q471" i="29"/>
  <c r="R471" i="29"/>
  <c r="T471" i="29"/>
  <c r="V471" i="29"/>
  <c r="X471" i="29"/>
  <c r="Y471" i="29"/>
  <c r="Z471" i="29"/>
  <c r="AB471" i="29"/>
  <c r="AD471" i="29"/>
  <c r="A472" i="29"/>
  <c r="E472" i="29"/>
  <c r="G472" i="29"/>
  <c r="H472" i="29"/>
  <c r="I472" i="29"/>
  <c r="J472" i="29"/>
  <c r="K472" i="29"/>
  <c r="L472" i="29"/>
  <c r="M472" i="29"/>
  <c r="N472" i="29"/>
  <c r="O472" i="29"/>
  <c r="P472" i="29"/>
  <c r="Q472" i="29"/>
  <c r="R472" i="29"/>
  <c r="T472" i="29"/>
  <c r="V472" i="29"/>
  <c r="X472" i="29"/>
  <c r="Y472" i="29"/>
  <c r="Z472" i="29"/>
  <c r="AB472" i="29"/>
  <c r="AD472" i="29"/>
  <c r="A473" i="29"/>
  <c r="E473" i="29"/>
  <c r="G473" i="29"/>
  <c r="H473" i="29"/>
  <c r="I473" i="29"/>
  <c r="J473" i="29"/>
  <c r="K473" i="29"/>
  <c r="L473" i="29"/>
  <c r="M473" i="29"/>
  <c r="N473" i="29"/>
  <c r="O473" i="29"/>
  <c r="P473" i="29"/>
  <c r="Q473" i="29"/>
  <c r="R473" i="29"/>
  <c r="T473" i="29"/>
  <c r="V473" i="29"/>
  <c r="X473" i="29"/>
  <c r="Y473" i="29"/>
  <c r="Z473" i="29"/>
  <c r="AB473" i="29"/>
  <c r="AD473" i="29"/>
  <c r="A474" i="29"/>
  <c r="E474" i="29"/>
  <c r="G474" i="29"/>
  <c r="H474" i="29"/>
  <c r="I474" i="29"/>
  <c r="J474" i="29"/>
  <c r="K474" i="29"/>
  <c r="L474" i="29"/>
  <c r="M474" i="29"/>
  <c r="N474" i="29"/>
  <c r="O474" i="29"/>
  <c r="P474" i="29"/>
  <c r="Q474" i="29"/>
  <c r="R474" i="29"/>
  <c r="T474" i="29"/>
  <c r="V474" i="29"/>
  <c r="X474" i="29"/>
  <c r="Y474" i="29"/>
  <c r="Z474" i="29"/>
  <c r="AB474" i="29"/>
  <c r="AD474" i="29"/>
  <c r="A475" i="29"/>
  <c r="E475" i="29"/>
  <c r="G475" i="29"/>
  <c r="H475" i="29"/>
  <c r="I475" i="29"/>
  <c r="J475" i="29"/>
  <c r="K475" i="29"/>
  <c r="L475" i="29"/>
  <c r="M475" i="29"/>
  <c r="N475" i="29"/>
  <c r="O475" i="29"/>
  <c r="P475" i="29"/>
  <c r="Q475" i="29"/>
  <c r="T475" i="29"/>
  <c r="V475" i="29"/>
  <c r="X475" i="29"/>
  <c r="Y475" i="29"/>
  <c r="Z475" i="29"/>
  <c r="AB475" i="29"/>
  <c r="AD475" i="29"/>
  <c r="A476" i="29"/>
  <c r="E476" i="29"/>
  <c r="G476" i="29"/>
  <c r="H476" i="29"/>
  <c r="I476" i="29"/>
  <c r="J476" i="29"/>
  <c r="K476" i="29"/>
  <c r="L476" i="29"/>
  <c r="M476" i="29"/>
  <c r="N476" i="29"/>
  <c r="O476" i="29"/>
  <c r="P476" i="29"/>
  <c r="Q476" i="29"/>
  <c r="R476" i="29"/>
  <c r="T476" i="29"/>
  <c r="V476" i="29"/>
  <c r="X476" i="29"/>
  <c r="Y476" i="29"/>
  <c r="Z476" i="29"/>
  <c r="AB476" i="29"/>
  <c r="AD476" i="29"/>
  <c r="A477" i="29"/>
  <c r="E477" i="29"/>
  <c r="G477" i="29"/>
  <c r="H477" i="29"/>
  <c r="I477" i="29"/>
  <c r="J477" i="29"/>
  <c r="K477" i="29"/>
  <c r="L477" i="29"/>
  <c r="M477" i="29"/>
  <c r="N477" i="29"/>
  <c r="O477" i="29"/>
  <c r="P477" i="29"/>
  <c r="Q477" i="29"/>
  <c r="R477" i="29"/>
  <c r="T477" i="29"/>
  <c r="V477" i="29"/>
  <c r="X477" i="29"/>
  <c r="Y477" i="29"/>
  <c r="Z477" i="29"/>
  <c r="AB477" i="29"/>
  <c r="AD477" i="29"/>
  <c r="A478" i="29"/>
  <c r="E478" i="29"/>
  <c r="G478" i="29"/>
  <c r="H478" i="29"/>
  <c r="I478" i="29"/>
  <c r="J478" i="29"/>
  <c r="K478" i="29"/>
  <c r="L478" i="29"/>
  <c r="M478" i="29"/>
  <c r="N478" i="29"/>
  <c r="O478" i="29"/>
  <c r="P478" i="29"/>
  <c r="Q478" i="29"/>
  <c r="R478" i="29"/>
  <c r="T478" i="29"/>
  <c r="V478" i="29"/>
  <c r="X478" i="29"/>
  <c r="Y478" i="29"/>
  <c r="Z478" i="29"/>
  <c r="AB478" i="29"/>
  <c r="AD478" i="29"/>
  <c r="A479" i="29"/>
  <c r="E479" i="29"/>
  <c r="G479" i="29"/>
  <c r="H479" i="29"/>
  <c r="I479" i="29"/>
  <c r="J479" i="29"/>
  <c r="K479" i="29"/>
  <c r="L479" i="29"/>
  <c r="M479" i="29"/>
  <c r="N479" i="29"/>
  <c r="O479" i="29"/>
  <c r="P479" i="29"/>
  <c r="Q479" i="29"/>
  <c r="R479" i="29"/>
  <c r="T479" i="29"/>
  <c r="V479" i="29"/>
  <c r="X479" i="29"/>
  <c r="Y479" i="29"/>
  <c r="Z479" i="29"/>
  <c r="AB479" i="29"/>
  <c r="AD479" i="29"/>
  <c r="A480" i="29"/>
  <c r="E480" i="29"/>
  <c r="G480" i="29"/>
  <c r="H480" i="29"/>
  <c r="I480" i="29"/>
  <c r="J480" i="29"/>
  <c r="K480" i="29"/>
  <c r="L480" i="29"/>
  <c r="M480" i="29"/>
  <c r="N480" i="29"/>
  <c r="O480" i="29"/>
  <c r="P480" i="29"/>
  <c r="Q480" i="29"/>
  <c r="R480" i="29"/>
  <c r="T480" i="29"/>
  <c r="V480" i="29"/>
  <c r="X480" i="29"/>
  <c r="Y480" i="29"/>
  <c r="Z480" i="29"/>
  <c r="AB480" i="29"/>
  <c r="AD480" i="29"/>
  <c r="A481" i="29"/>
  <c r="E481" i="29"/>
  <c r="G481" i="29"/>
  <c r="H481" i="29"/>
  <c r="I481" i="29"/>
  <c r="J481" i="29"/>
  <c r="K481" i="29"/>
  <c r="L481" i="29"/>
  <c r="M481" i="29"/>
  <c r="N481" i="29"/>
  <c r="O481" i="29"/>
  <c r="P481" i="29"/>
  <c r="Q481" i="29"/>
  <c r="R481" i="29"/>
  <c r="T481" i="29"/>
  <c r="V481" i="29"/>
  <c r="X481" i="29"/>
  <c r="Y481" i="29"/>
  <c r="Z481" i="29"/>
  <c r="AB481" i="29"/>
  <c r="AD481" i="29"/>
  <c r="A482" i="29"/>
  <c r="E482" i="29"/>
  <c r="G482" i="29"/>
  <c r="H482" i="29"/>
  <c r="I482" i="29"/>
  <c r="J482" i="29"/>
  <c r="K482" i="29"/>
  <c r="L482" i="29"/>
  <c r="M482" i="29"/>
  <c r="N482" i="29"/>
  <c r="O482" i="29"/>
  <c r="P482" i="29"/>
  <c r="Q482" i="29"/>
  <c r="R482" i="29"/>
  <c r="T482" i="29"/>
  <c r="V482" i="29"/>
  <c r="X482" i="29"/>
  <c r="Y482" i="29"/>
  <c r="Z482" i="29"/>
  <c r="AB482" i="29"/>
  <c r="AD482" i="29"/>
  <c r="A483" i="29"/>
  <c r="E483" i="29"/>
  <c r="G483" i="29"/>
  <c r="H483" i="29"/>
  <c r="I483" i="29"/>
  <c r="J483" i="29"/>
  <c r="K483" i="29"/>
  <c r="L483" i="29"/>
  <c r="M483" i="29"/>
  <c r="N483" i="29"/>
  <c r="O483" i="29"/>
  <c r="P483" i="29"/>
  <c r="Q483" i="29"/>
  <c r="R483" i="29"/>
  <c r="T483" i="29"/>
  <c r="V483" i="29"/>
  <c r="X483" i="29"/>
  <c r="Y483" i="29"/>
  <c r="Z483" i="29"/>
  <c r="AB483" i="29"/>
  <c r="AD483" i="29"/>
  <c r="A484" i="29"/>
  <c r="E484" i="29"/>
  <c r="G484" i="29"/>
  <c r="H484" i="29"/>
  <c r="I484" i="29"/>
  <c r="J484" i="29"/>
  <c r="K484" i="29"/>
  <c r="L484" i="29"/>
  <c r="M484" i="29"/>
  <c r="N484" i="29"/>
  <c r="O484" i="29"/>
  <c r="P484" i="29"/>
  <c r="Q484" i="29"/>
  <c r="R484" i="29"/>
  <c r="T484" i="29"/>
  <c r="V484" i="29"/>
  <c r="X484" i="29"/>
  <c r="Y484" i="29"/>
  <c r="Z484" i="29"/>
  <c r="AB484" i="29"/>
  <c r="AD484" i="29"/>
  <c r="A485" i="29"/>
  <c r="E485" i="29"/>
  <c r="G485" i="29"/>
  <c r="H485" i="29"/>
  <c r="I485" i="29"/>
  <c r="J485" i="29"/>
  <c r="K485" i="29"/>
  <c r="L485" i="29"/>
  <c r="M485" i="29"/>
  <c r="N485" i="29"/>
  <c r="O485" i="29"/>
  <c r="P485" i="29"/>
  <c r="Q485" i="29"/>
  <c r="R485" i="29"/>
  <c r="T485" i="29"/>
  <c r="V485" i="29"/>
  <c r="X485" i="29"/>
  <c r="Y485" i="29"/>
  <c r="Z485" i="29"/>
  <c r="AB485" i="29"/>
  <c r="AD485" i="29"/>
  <c r="A486" i="29"/>
  <c r="E486" i="29"/>
  <c r="G486" i="29"/>
  <c r="H486" i="29"/>
  <c r="I486" i="29"/>
  <c r="J486" i="29"/>
  <c r="K486" i="29"/>
  <c r="L486" i="29"/>
  <c r="M486" i="29"/>
  <c r="N486" i="29"/>
  <c r="O486" i="29"/>
  <c r="P486" i="29"/>
  <c r="Q486" i="29"/>
  <c r="R486" i="29"/>
  <c r="T486" i="29"/>
  <c r="V486" i="29"/>
  <c r="X486" i="29"/>
  <c r="Y486" i="29"/>
  <c r="Z486" i="29"/>
  <c r="AB486" i="29"/>
  <c r="AD486" i="29"/>
  <c r="A487" i="29"/>
  <c r="E487" i="29"/>
  <c r="G487" i="29"/>
  <c r="H487" i="29"/>
  <c r="I487" i="29"/>
  <c r="J487" i="29"/>
  <c r="K487" i="29"/>
  <c r="L487" i="29"/>
  <c r="M487" i="29"/>
  <c r="N487" i="29"/>
  <c r="O487" i="29"/>
  <c r="P487" i="29"/>
  <c r="Q487" i="29"/>
  <c r="R487" i="29"/>
  <c r="T487" i="29"/>
  <c r="V487" i="29"/>
  <c r="X487" i="29"/>
  <c r="Y487" i="29"/>
  <c r="Z487" i="29"/>
  <c r="AB487" i="29"/>
  <c r="AD487" i="29"/>
  <c r="A488" i="29"/>
  <c r="E488" i="29"/>
  <c r="G488" i="29"/>
  <c r="H488" i="29"/>
  <c r="I488" i="29"/>
  <c r="J488" i="29"/>
  <c r="K488" i="29"/>
  <c r="L488" i="29"/>
  <c r="M488" i="29"/>
  <c r="N488" i="29"/>
  <c r="O488" i="29"/>
  <c r="P488" i="29"/>
  <c r="Q488" i="29"/>
  <c r="R488" i="29"/>
  <c r="T488" i="29"/>
  <c r="V488" i="29"/>
  <c r="X488" i="29"/>
  <c r="Y488" i="29"/>
  <c r="Z488" i="29"/>
  <c r="AB488" i="29"/>
  <c r="AD488" i="29"/>
  <c r="A489" i="29"/>
  <c r="E489" i="29"/>
  <c r="G489" i="29"/>
  <c r="H489" i="29"/>
  <c r="I489" i="29"/>
  <c r="J489" i="29"/>
  <c r="K489" i="29"/>
  <c r="L489" i="29"/>
  <c r="M489" i="29"/>
  <c r="N489" i="29"/>
  <c r="O489" i="29"/>
  <c r="P489" i="29"/>
  <c r="Q489" i="29"/>
  <c r="R489" i="29"/>
  <c r="T489" i="29"/>
  <c r="V489" i="29"/>
  <c r="X489" i="29"/>
  <c r="Y489" i="29"/>
  <c r="Z489" i="29"/>
  <c r="AB489" i="29"/>
  <c r="AD489" i="29"/>
  <c r="A490" i="29"/>
  <c r="E490" i="29"/>
  <c r="G490" i="29"/>
  <c r="H490" i="29"/>
  <c r="I490" i="29"/>
  <c r="J490" i="29"/>
  <c r="K490" i="29"/>
  <c r="L490" i="29"/>
  <c r="M490" i="29"/>
  <c r="N490" i="29"/>
  <c r="O490" i="29"/>
  <c r="P490" i="29"/>
  <c r="Q490" i="29"/>
  <c r="R490" i="29"/>
  <c r="T490" i="29"/>
  <c r="V490" i="29"/>
  <c r="X490" i="29"/>
  <c r="Y490" i="29"/>
  <c r="Z490" i="29"/>
  <c r="AB490" i="29"/>
  <c r="AD490" i="29"/>
  <c r="A491" i="29"/>
  <c r="E491" i="29"/>
  <c r="G491" i="29"/>
  <c r="H491" i="29"/>
  <c r="I491" i="29"/>
  <c r="J491" i="29"/>
  <c r="K491" i="29"/>
  <c r="L491" i="29"/>
  <c r="M491" i="29"/>
  <c r="N491" i="29"/>
  <c r="O491" i="29"/>
  <c r="P491" i="29"/>
  <c r="Q491" i="29"/>
  <c r="R491" i="29"/>
  <c r="T491" i="29"/>
  <c r="V491" i="29"/>
  <c r="X491" i="29"/>
  <c r="Y491" i="29"/>
  <c r="Z491" i="29"/>
  <c r="AB491" i="29"/>
  <c r="AD491" i="29"/>
  <c r="A492" i="29"/>
  <c r="E492" i="29"/>
  <c r="G492" i="29"/>
  <c r="H492" i="29"/>
  <c r="I492" i="29"/>
  <c r="J492" i="29"/>
  <c r="K492" i="29"/>
  <c r="L492" i="29"/>
  <c r="M492" i="29"/>
  <c r="N492" i="29"/>
  <c r="O492" i="29"/>
  <c r="P492" i="29"/>
  <c r="Q492" i="29"/>
  <c r="R492" i="29"/>
  <c r="T492" i="29"/>
  <c r="V492" i="29"/>
  <c r="X492" i="29"/>
  <c r="Y492" i="29"/>
  <c r="Z492" i="29"/>
  <c r="AB492" i="29"/>
  <c r="AD492" i="29"/>
  <c r="A493" i="29"/>
  <c r="E493" i="29"/>
  <c r="G493" i="29"/>
  <c r="H493" i="29"/>
  <c r="I493" i="29"/>
  <c r="J493" i="29"/>
  <c r="K493" i="29"/>
  <c r="L493" i="29"/>
  <c r="M493" i="29"/>
  <c r="N493" i="29"/>
  <c r="O493" i="29"/>
  <c r="P493" i="29"/>
  <c r="Q493" i="29"/>
  <c r="R493" i="29"/>
  <c r="T493" i="29"/>
  <c r="V493" i="29"/>
  <c r="X493" i="29"/>
  <c r="Y493" i="29"/>
  <c r="Z493" i="29"/>
  <c r="AB493" i="29"/>
  <c r="AD493" i="29"/>
  <c r="A494" i="29"/>
  <c r="E494" i="29"/>
  <c r="G494" i="29"/>
  <c r="H494" i="29"/>
  <c r="I494" i="29"/>
  <c r="J494" i="29"/>
  <c r="K494" i="29"/>
  <c r="L494" i="29"/>
  <c r="M494" i="29"/>
  <c r="N494" i="29"/>
  <c r="O494" i="29"/>
  <c r="P494" i="29"/>
  <c r="Q494" i="29"/>
  <c r="R494" i="29"/>
  <c r="T494" i="29"/>
  <c r="V494" i="29"/>
  <c r="X494" i="29"/>
  <c r="Y494" i="29"/>
  <c r="Z494" i="29"/>
  <c r="AB494" i="29"/>
  <c r="AD494" i="29"/>
  <c r="A495" i="29"/>
  <c r="E495" i="29"/>
  <c r="G495" i="29"/>
  <c r="H495" i="29"/>
  <c r="I495" i="29"/>
  <c r="J495" i="29"/>
  <c r="K495" i="29"/>
  <c r="L495" i="29"/>
  <c r="M495" i="29"/>
  <c r="N495" i="29"/>
  <c r="O495" i="29"/>
  <c r="P495" i="29"/>
  <c r="Q495" i="29"/>
  <c r="R495" i="29"/>
  <c r="T495" i="29"/>
  <c r="V495" i="29"/>
  <c r="X495" i="29"/>
  <c r="Y495" i="29"/>
  <c r="Z495" i="29"/>
  <c r="AB495" i="29"/>
  <c r="AD495" i="29"/>
  <c r="A496" i="29"/>
  <c r="E496" i="29"/>
  <c r="G496" i="29"/>
  <c r="H496" i="29"/>
  <c r="I496" i="29"/>
  <c r="J496" i="29"/>
  <c r="K496" i="29"/>
  <c r="L496" i="29"/>
  <c r="M496" i="29"/>
  <c r="N496" i="29"/>
  <c r="O496" i="29"/>
  <c r="P496" i="29"/>
  <c r="Q496" i="29"/>
  <c r="R496" i="29"/>
  <c r="T496" i="29"/>
  <c r="V496" i="29"/>
  <c r="X496" i="29"/>
  <c r="Y496" i="29"/>
  <c r="Z496" i="29"/>
  <c r="AB496" i="29"/>
  <c r="AD496" i="29"/>
  <c r="A497" i="29"/>
  <c r="E497" i="29"/>
  <c r="G497" i="29"/>
  <c r="H497" i="29"/>
  <c r="I497" i="29"/>
  <c r="J497" i="29"/>
  <c r="K497" i="29"/>
  <c r="L497" i="29"/>
  <c r="M497" i="29"/>
  <c r="N497" i="29"/>
  <c r="O497" i="29"/>
  <c r="P497" i="29"/>
  <c r="Q497" i="29"/>
  <c r="R497" i="29"/>
  <c r="T497" i="29"/>
  <c r="V497" i="29"/>
  <c r="X497" i="29"/>
  <c r="Y497" i="29"/>
  <c r="Z497" i="29"/>
  <c r="AB497" i="29"/>
  <c r="AD497" i="29"/>
  <c r="A498" i="29"/>
  <c r="E498" i="29"/>
  <c r="G498" i="29"/>
  <c r="H498" i="29"/>
  <c r="I498" i="29"/>
  <c r="J498" i="29"/>
  <c r="K498" i="29"/>
  <c r="L498" i="29"/>
  <c r="M498" i="29"/>
  <c r="N498" i="29"/>
  <c r="O498" i="29"/>
  <c r="P498" i="29"/>
  <c r="Q498" i="29"/>
  <c r="R498" i="29"/>
  <c r="T498" i="29"/>
  <c r="V498" i="29"/>
  <c r="X498" i="29"/>
  <c r="Y498" i="29"/>
  <c r="Z498" i="29"/>
  <c r="AB498" i="29"/>
  <c r="AD498" i="29"/>
  <c r="A499" i="29"/>
  <c r="E499" i="29"/>
  <c r="G499" i="29"/>
  <c r="H499" i="29"/>
  <c r="I499" i="29"/>
  <c r="J499" i="29"/>
  <c r="K499" i="29"/>
  <c r="L499" i="29"/>
  <c r="M499" i="29"/>
  <c r="N499" i="29"/>
  <c r="O499" i="29"/>
  <c r="P499" i="29"/>
  <c r="Q499" i="29"/>
  <c r="R499" i="29"/>
  <c r="T499" i="29"/>
  <c r="V499" i="29"/>
  <c r="X499" i="29"/>
  <c r="Y499" i="29"/>
  <c r="Z499" i="29"/>
  <c r="AB499" i="29"/>
  <c r="AD499" i="29"/>
  <c r="A500" i="29"/>
  <c r="E500" i="29"/>
  <c r="G500" i="29"/>
  <c r="H500" i="29"/>
  <c r="I500" i="29"/>
  <c r="J500" i="29"/>
  <c r="K500" i="29"/>
  <c r="L500" i="29"/>
  <c r="M500" i="29"/>
  <c r="N500" i="29"/>
  <c r="O500" i="29"/>
  <c r="P500" i="29"/>
  <c r="Q500" i="29"/>
  <c r="R500" i="29"/>
  <c r="T500" i="29"/>
  <c r="V500" i="29"/>
  <c r="X500" i="29"/>
  <c r="Y500" i="29"/>
  <c r="Z500" i="29"/>
  <c r="AB500" i="29"/>
  <c r="AD500" i="29"/>
  <c r="A501" i="29"/>
  <c r="E501" i="29"/>
  <c r="G501" i="29"/>
  <c r="H501" i="29"/>
  <c r="I501" i="29"/>
  <c r="J501" i="29"/>
  <c r="K501" i="29"/>
  <c r="L501" i="29"/>
  <c r="M501" i="29"/>
  <c r="N501" i="29"/>
  <c r="O501" i="29"/>
  <c r="P501" i="29"/>
  <c r="Q501" i="29"/>
  <c r="R501" i="29"/>
  <c r="T501" i="29"/>
  <c r="V501" i="29"/>
  <c r="X501" i="29"/>
  <c r="Y501" i="29"/>
  <c r="Z501" i="29"/>
  <c r="AB501" i="29"/>
  <c r="AD501" i="29"/>
  <c r="A502" i="29"/>
  <c r="E502" i="29"/>
  <c r="G502" i="29"/>
  <c r="H502" i="29"/>
  <c r="I502" i="29"/>
  <c r="J502" i="29"/>
  <c r="K502" i="29"/>
  <c r="L502" i="29"/>
  <c r="M502" i="29"/>
  <c r="N502" i="29"/>
  <c r="O502" i="29"/>
  <c r="P502" i="29"/>
  <c r="Q502" i="29"/>
  <c r="R502" i="29"/>
  <c r="T502" i="29"/>
  <c r="V502" i="29"/>
  <c r="X502" i="29"/>
  <c r="Y502" i="29"/>
  <c r="Z502" i="29"/>
  <c r="AB502" i="29"/>
  <c r="AD502" i="29"/>
  <c r="A503" i="29"/>
  <c r="E503" i="29"/>
  <c r="G503" i="29"/>
  <c r="H503" i="29"/>
  <c r="I503" i="29"/>
  <c r="J503" i="29"/>
  <c r="K503" i="29"/>
  <c r="L503" i="29"/>
  <c r="M503" i="29"/>
  <c r="N503" i="29"/>
  <c r="O503" i="29"/>
  <c r="P503" i="29"/>
  <c r="Q503" i="29"/>
  <c r="R503" i="29"/>
  <c r="T503" i="29"/>
  <c r="V503" i="29"/>
  <c r="X503" i="29"/>
  <c r="Y503" i="29"/>
  <c r="Z503" i="29"/>
  <c r="AB503" i="29"/>
  <c r="AD503" i="29"/>
  <c r="A504" i="29"/>
  <c r="E504" i="29"/>
  <c r="G504" i="29"/>
  <c r="H504" i="29"/>
  <c r="I504" i="29"/>
  <c r="J504" i="29"/>
  <c r="K504" i="29"/>
  <c r="L504" i="29"/>
  <c r="M504" i="29"/>
  <c r="N504" i="29"/>
  <c r="O504" i="29"/>
  <c r="P504" i="29"/>
  <c r="Q504" i="29"/>
  <c r="R504" i="29"/>
  <c r="T504" i="29"/>
  <c r="V504" i="29"/>
  <c r="X504" i="29"/>
  <c r="Y504" i="29"/>
  <c r="Z504" i="29"/>
  <c r="AB504" i="29"/>
  <c r="AD504" i="29"/>
  <c r="A505" i="29"/>
  <c r="E505" i="29"/>
  <c r="G505" i="29"/>
  <c r="H505" i="29"/>
  <c r="I505" i="29"/>
  <c r="J505" i="29"/>
  <c r="K505" i="29"/>
  <c r="L505" i="29"/>
  <c r="M505" i="29"/>
  <c r="N505" i="29"/>
  <c r="O505" i="29"/>
  <c r="P505" i="29"/>
  <c r="Q505" i="29"/>
  <c r="R505" i="29"/>
  <c r="T505" i="29"/>
  <c r="V505" i="29"/>
  <c r="X505" i="29"/>
  <c r="Y505" i="29"/>
  <c r="Z505" i="29"/>
  <c r="AB505" i="29"/>
  <c r="AD505" i="29"/>
  <c r="A506" i="29"/>
  <c r="E506" i="29"/>
  <c r="G506" i="29"/>
  <c r="H506" i="29"/>
  <c r="I506" i="29"/>
  <c r="J506" i="29"/>
  <c r="K506" i="29"/>
  <c r="L506" i="29"/>
  <c r="M506" i="29"/>
  <c r="N506" i="29"/>
  <c r="O506" i="29"/>
  <c r="P506" i="29"/>
  <c r="Q506" i="29"/>
  <c r="R506" i="29"/>
  <c r="T506" i="29"/>
  <c r="V506" i="29"/>
  <c r="X506" i="29"/>
  <c r="Y506" i="29"/>
  <c r="Z506" i="29"/>
  <c r="AB506" i="29"/>
  <c r="AD506" i="29"/>
  <c r="A507" i="29"/>
  <c r="E507" i="29"/>
  <c r="G507" i="29"/>
  <c r="H507" i="29"/>
  <c r="I507" i="29"/>
  <c r="J507" i="29"/>
  <c r="K507" i="29"/>
  <c r="L507" i="29"/>
  <c r="M507" i="29"/>
  <c r="N507" i="29"/>
  <c r="O507" i="29"/>
  <c r="P507" i="29"/>
  <c r="Q507" i="29"/>
  <c r="R507" i="29"/>
  <c r="T507" i="29"/>
  <c r="V507" i="29"/>
  <c r="X507" i="29"/>
  <c r="Y507" i="29"/>
  <c r="Z507" i="29"/>
  <c r="AB507" i="29"/>
  <c r="AD507" i="29"/>
  <c r="A508" i="29"/>
  <c r="E508" i="29"/>
  <c r="G508" i="29"/>
  <c r="H508" i="29"/>
  <c r="I508" i="29"/>
  <c r="J508" i="29"/>
  <c r="K508" i="29"/>
  <c r="L508" i="29"/>
  <c r="M508" i="29"/>
  <c r="N508" i="29"/>
  <c r="O508" i="29"/>
  <c r="P508" i="29"/>
  <c r="Q508" i="29"/>
  <c r="R508" i="29"/>
  <c r="T508" i="29"/>
  <c r="V508" i="29"/>
  <c r="X508" i="29"/>
  <c r="Y508" i="29"/>
  <c r="Z508" i="29"/>
  <c r="AB508" i="29"/>
  <c r="AD508" i="29"/>
  <c r="A509" i="29"/>
  <c r="E509" i="29"/>
  <c r="G509" i="29"/>
  <c r="H509" i="29"/>
  <c r="I509" i="29"/>
  <c r="J509" i="29"/>
  <c r="K509" i="29"/>
  <c r="L509" i="29"/>
  <c r="M509" i="29"/>
  <c r="N509" i="29"/>
  <c r="O509" i="29"/>
  <c r="P509" i="29"/>
  <c r="Q509" i="29"/>
  <c r="R509" i="29"/>
  <c r="T509" i="29"/>
  <c r="V509" i="29"/>
  <c r="X509" i="29"/>
  <c r="Y509" i="29"/>
  <c r="Z509" i="29"/>
  <c r="AB509" i="29"/>
  <c r="AD509" i="29"/>
  <c r="A510" i="29"/>
  <c r="E510" i="29"/>
  <c r="G510" i="29"/>
  <c r="H510" i="29"/>
  <c r="I510" i="29"/>
  <c r="J510" i="29"/>
  <c r="K510" i="29"/>
  <c r="L510" i="29"/>
  <c r="M510" i="29"/>
  <c r="N510" i="29"/>
  <c r="O510" i="29"/>
  <c r="P510" i="29"/>
  <c r="Q510" i="29"/>
  <c r="R510" i="29"/>
  <c r="T510" i="29"/>
  <c r="V510" i="29"/>
  <c r="X510" i="29"/>
  <c r="Y510" i="29"/>
  <c r="Z510" i="29"/>
  <c r="AB510" i="29"/>
  <c r="AD510" i="29"/>
  <c r="A511" i="29"/>
  <c r="E511" i="29"/>
  <c r="G511" i="29"/>
  <c r="H511" i="29"/>
  <c r="I511" i="29"/>
  <c r="J511" i="29"/>
  <c r="K511" i="29"/>
  <c r="L511" i="29"/>
  <c r="M511" i="29"/>
  <c r="N511" i="29"/>
  <c r="O511" i="29"/>
  <c r="P511" i="29"/>
  <c r="Q511" i="29"/>
  <c r="R511" i="29"/>
  <c r="T511" i="29"/>
  <c r="V511" i="29"/>
  <c r="X511" i="29"/>
  <c r="Y511" i="29"/>
  <c r="Z511" i="29"/>
  <c r="AB511" i="29"/>
  <c r="AD511" i="29"/>
  <c r="A512" i="29"/>
  <c r="E512" i="29"/>
  <c r="G512" i="29"/>
  <c r="H512" i="29"/>
  <c r="I512" i="29"/>
  <c r="J512" i="29"/>
  <c r="K512" i="29"/>
  <c r="L512" i="29"/>
  <c r="M512" i="29"/>
  <c r="N512" i="29"/>
  <c r="O512" i="29"/>
  <c r="P512" i="29"/>
  <c r="Q512" i="29"/>
  <c r="R512" i="29"/>
  <c r="T512" i="29"/>
  <c r="V512" i="29"/>
  <c r="X512" i="29"/>
  <c r="Y512" i="29"/>
  <c r="Z512" i="29"/>
  <c r="AB512" i="29"/>
  <c r="AD512" i="29"/>
  <c r="A513" i="29"/>
  <c r="E513" i="29"/>
  <c r="G513" i="29"/>
  <c r="H513" i="29"/>
  <c r="I513" i="29"/>
  <c r="J513" i="29"/>
  <c r="K513" i="29"/>
  <c r="L513" i="29"/>
  <c r="M513" i="29"/>
  <c r="N513" i="29"/>
  <c r="O513" i="29"/>
  <c r="P513" i="29"/>
  <c r="Q513" i="29"/>
  <c r="R513" i="29"/>
  <c r="T513" i="29"/>
  <c r="V513" i="29"/>
  <c r="X513" i="29"/>
  <c r="Y513" i="29"/>
  <c r="Z513" i="29"/>
  <c r="AB513" i="29"/>
  <c r="AD513" i="29"/>
  <c r="A514" i="29"/>
  <c r="E514" i="29"/>
  <c r="G514" i="29"/>
  <c r="H514" i="29"/>
  <c r="I514" i="29"/>
  <c r="J514" i="29"/>
  <c r="K514" i="29"/>
  <c r="L514" i="29"/>
  <c r="M514" i="29"/>
  <c r="N514" i="29"/>
  <c r="O514" i="29"/>
  <c r="P514" i="29"/>
  <c r="Q514" i="29"/>
  <c r="R514" i="29"/>
  <c r="T514" i="29"/>
  <c r="V514" i="29"/>
  <c r="X514" i="29"/>
  <c r="Y514" i="29"/>
  <c r="Z514" i="29"/>
  <c r="AB514" i="29"/>
  <c r="AD514" i="29"/>
  <c r="A515" i="29"/>
  <c r="E515" i="29"/>
  <c r="G515" i="29"/>
  <c r="H515" i="29"/>
  <c r="I515" i="29"/>
  <c r="J515" i="29"/>
  <c r="K515" i="29"/>
  <c r="L515" i="29"/>
  <c r="M515" i="29"/>
  <c r="N515" i="29"/>
  <c r="O515" i="29"/>
  <c r="P515" i="29"/>
  <c r="Q515" i="29"/>
  <c r="R515" i="29"/>
  <c r="T515" i="29"/>
  <c r="V515" i="29"/>
  <c r="X515" i="29"/>
  <c r="Y515" i="29"/>
  <c r="Z515" i="29"/>
  <c r="AB515" i="29"/>
  <c r="AD515" i="29"/>
  <c r="A516" i="29"/>
  <c r="E516" i="29"/>
  <c r="G516" i="29"/>
  <c r="H516" i="29"/>
  <c r="I516" i="29"/>
  <c r="J516" i="29"/>
  <c r="K516" i="29"/>
  <c r="L516" i="29"/>
  <c r="M516" i="29"/>
  <c r="N516" i="29"/>
  <c r="O516" i="29"/>
  <c r="P516" i="29"/>
  <c r="Q516" i="29"/>
  <c r="R516" i="29"/>
  <c r="T516" i="29"/>
  <c r="V516" i="29"/>
  <c r="X516" i="29"/>
  <c r="Y516" i="29"/>
  <c r="Z516" i="29"/>
  <c r="AB516" i="29"/>
  <c r="AD516" i="29"/>
  <c r="A517" i="29"/>
  <c r="E517" i="29"/>
  <c r="G517" i="29"/>
  <c r="H517" i="29"/>
  <c r="I517" i="29"/>
  <c r="J517" i="29"/>
  <c r="K517" i="29"/>
  <c r="L517" i="29"/>
  <c r="M517" i="29"/>
  <c r="N517" i="29"/>
  <c r="O517" i="29"/>
  <c r="P517" i="29"/>
  <c r="Q517" i="29"/>
  <c r="R517" i="29"/>
  <c r="T517" i="29"/>
  <c r="V517" i="29"/>
  <c r="X517" i="29"/>
  <c r="Y517" i="29"/>
  <c r="Z517" i="29"/>
  <c r="AB517" i="29"/>
  <c r="AD517" i="29"/>
  <c r="A518" i="29"/>
  <c r="E518" i="29"/>
  <c r="G518" i="29"/>
  <c r="H518" i="29"/>
  <c r="I518" i="29"/>
  <c r="J518" i="29"/>
  <c r="K518" i="29"/>
  <c r="L518" i="29"/>
  <c r="M518" i="29"/>
  <c r="N518" i="29"/>
  <c r="O518" i="29"/>
  <c r="P518" i="29"/>
  <c r="Q518" i="29"/>
  <c r="R518" i="29"/>
  <c r="V518" i="29"/>
  <c r="X518" i="29"/>
  <c r="Y518" i="29"/>
  <c r="Z518" i="29"/>
  <c r="AB518" i="29"/>
  <c r="AD518" i="29"/>
  <c r="A519" i="29"/>
  <c r="E519" i="29"/>
  <c r="G519" i="29"/>
  <c r="H519" i="29"/>
  <c r="I519" i="29"/>
  <c r="J519" i="29"/>
  <c r="K519" i="29"/>
  <c r="L519" i="29"/>
  <c r="M519" i="29"/>
  <c r="N519" i="29"/>
  <c r="O519" i="29"/>
  <c r="P519" i="29"/>
  <c r="Q519" i="29"/>
  <c r="R519" i="29"/>
  <c r="V519" i="29"/>
  <c r="X519" i="29"/>
  <c r="Y519" i="29"/>
  <c r="Z519" i="29"/>
  <c r="AB519" i="29"/>
  <c r="AD519" i="29"/>
  <c r="A520" i="29"/>
  <c r="E520" i="29"/>
  <c r="G520" i="29"/>
  <c r="H520" i="29"/>
  <c r="I520" i="29"/>
  <c r="J520" i="29"/>
  <c r="K520" i="29"/>
  <c r="L520" i="29"/>
  <c r="M520" i="29"/>
  <c r="N520" i="29"/>
  <c r="O520" i="29"/>
  <c r="P520" i="29"/>
  <c r="Q520" i="29"/>
  <c r="R520" i="29"/>
  <c r="V520" i="29"/>
  <c r="X520" i="29"/>
  <c r="Y520" i="29"/>
  <c r="Z520" i="29"/>
  <c r="AB520" i="29"/>
  <c r="AD520" i="29"/>
  <c r="A521" i="29"/>
  <c r="E521" i="29"/>
  <c r="G521" i="29"/>
  <c r="H521" i="29"/>
  <c r="I521" i="29"/>
  <c r="J521" i="29"/>
  <c r="K521" i="29"/>
  <c r="L521" i="29"/>
  <c r="M521" i="29"/>
  <c r="N521" i="29"/>
  <c r="O521" i="29"/>
  <c r="P521" i="29"/>
  <c r="Q521" i="29"/>
  <c r="R521" i="29"/>
  <c r="T521" i="29"/>
  <c r="V521" i="29"/>
  <c r="X521" i="29"/>
  <c r="Y521" i="29"/>
  <c r="Z521" i="29"/>
  <c r="AB521" i="29"/>
  <c r="AD521" i="29"/>
  <c r="A522" i="29"/>
  <c r="E522" i="29"/>
  <c r="G522" i="29"/>
  <c r="H522" i="29"/>
  <c r="I522" i="29"/>
  <c r="J522" i="29"/>
  <c r="K522" i="29"/>
  <c r="L522" i="29"/>
  <c r="M522" i="29"/>
  <c r="N522" i="29"/>
  <c r="O522" i="29"/>
  <c r="P522" i="29"/>
  <c r="Q522" i="29"/>
  <c r="R522" i="29"/>
  <c r="T522" i="29"/>
  <c r="V522" i="29"/>
  <c r="X522" i="29"/>
  <c r="Y522" i="29"/>
  <c r="Z522" i="29"/>
  <c r="AB522" i="29"/>
  <c r="AD522" i="29"/>
  <c r="A523" i="29"/>
  <c r="E523" i="29"/>
  <c r="G523" i="29"/>
  <c r="H523" i="29"/>
  <c r="I523" i="29"/>
  <c r="J523" i="29"/>
  <c r="K523" i="29"/>
  <c r="L523" i="29"/>
  <c r="M523" i="29"/>
  <c r="N523" i="29"/>
  <c r="O523" i="29"/>
  <c r="P523" i="29"/>
  <c r="Q523" i="29"/>
  <c r="R523" i="29"/>
  <c r="T523" i="29"/>
  <c r="V523" i="29"/>
  <c r="X523" i="29"/>
  <c r="Y523" i="29"/>
  <c r="Z523" i="29"/>
  <c r="AB523" i="29"/>
  <c r="AD523" i="29"/>
  <c r="A524" i="29"/>
  <c r="E524" i="29"/>
  <c r="G524" i="29"/>
  <c r="H524" i="29"/>
  <c r="I524" i="29"/>
  <c r="J524" i="29"/>
  <c r="K524" i="29"/>
  <c r="L524" i="29"/>
  <c r="M524" i="29"/>
  <c r="N524" i="29"/>
  <c r="O524" i="29"/>
  <c r="P524" i="29"/>
  <c r="Q524" i="29"/>
  <c r="R524" i="29"/>
  <c r="T524" i="29"/>
  <c r="V524" i="29"/>
  <c r="X524" i="29"/>
  <c r="Y524" i="29"/>
  <c r="Z524" i="29"/>
  <c r="AB524" i="29"/>
  <c r="AD524" i="29"/>
  <c r="A525" i="29"/>
  <c r="E525" i="29"/>
  <c r="G525" i="29"/>
  <c r="H525" i="29"/>
  <c r="I525" i="29"/>
  <c r="J525" i="29"/>
  <c r="K525" i="29"/>
  <c r="L525" i="29"/>
  <c r="M525" i="29"/>
  <c r="N525" i="29"/>
  <c r="O525" i="29"/>
  <c r="P525" i="29"/>
  <c r="Q525" i="29"/>
  <c r="R525" i="29"/>
  <c r="T525" i="29"/>
  <c r="V525" i="29"/>
  <c r="X525" i="29"/>
  <c r="Y525" i="29"/>
  <c r="Z525" i="29"/>
  <c r="AB525" i="29"/>
  <c r="AD525" i="29"/>
  <c r="A526" i="29"/>
  <c r="E526" i="29"/>
  <c r="G526" i="29"/>
  <c r="H526" i="29"/>
  <c r="I526" i="29"/>
  <c r="J526" i="29"/>
  <c r="K526" i="29"/>
  <c r="L526" i="29"/>
  <c r="M526" i="29"/>
  <c r="N526" i="29"/>
  <c r="O526" i="29"/>
  <c r="P526" i="29"/>
  <c r="Q526" i="29"/>
  <c r="R526" i="29"/>
  <c r="T526" i="29"/>
  <c r="V526" i="29"/>
  <c r="X526" i="29"/>
  <c r="Y526" i="29"/>
  <c r="Z526" i="29"/>
  <c r="AB526" i="29"/>
  <c r="AD526" i="29"/>
  <c r="A527" i="29"/>
  <c r="E527" i="29"/>
  <c r="G527" i="29"/>
  <c r="H527" i="29"/>
  <c r="I527" i="29"/>
  <c r="J527" i="29"/>
  <c r="K527" i="29"/>
  <c r="L527" i="29"/>
  <c r="M527" i="29"/>
  <c r="N527" i="29"/>
  <c r="O527" i="29"/>
  <c r="P527" i="29"/>
  <c r="Q527" i="29"/>
  <c r="R527" i="29"/>
  <c r="T527" i="29"/>
  <c r="V527" i="29"/>
  <c r="X527" i="29"/>
  <c r="Y527" i="29"/>
  <c r="Z527" i="29"/>
  <c r="AB527" i="29"/>
  <c r="AD527" i="29"/>
  <c r="A528" i="29"/>
  <c r="E528" i="29"/>
  <c r="G528" i="29"/>
  <c r="H528" i="29"/>
  <c r="I528" i="29"/>
  <c r="J528" i="29"/>
  <c r="K528" i="29"/>
  <c r="L528" i="29"/>
  <c r="M528" i="29"/>
  <c r="N528" i="29"/>
  <c r="O528" i="29"/>
  <c r="P528" i="29"/>
  <c r="Q528" i="29"/>
  <c r="R528" i="29"/>
  <c r="T528" i="29"/>
  <c r="V528" i="29"/>
  <c r="X528" i="29"/>
  <c r="Y528" i="29"/>
  <c r="Z528" i="29"/>
  <c r="AB528" i="29"/>
  <c r="AD528" i="29"/>
  <c r="A529" i="29"/>
  <c r="E529" i="29"/>
  <c r="G529" i="29"/>
  <c r="H529" i="29"/>
  <c r="I529" i="29"/>
  <c r="J529" i="29"/>
  <c r="K529" i="29"/>
  <c r="L529" i="29"/>
  <c r="M529" i="29"/>
  <c r="N529" i="29"/>
  <c r="O529" i="29"/>
  <c r="P529" i="29"/>
  <c r="Q529" i="29"/>
  <c r="R529" i="29"/>
  <c r="T529" i="29"/>
  <c r="V529" i="29"/>
  <c r="X529" i="29"/>
  <c r="Y529" i="29"/>
  <c r="Z529" i="29"/>
  <c r="AB529" i="29"/>
  <c r="AD529" i="29"/>
  <c r="A530" i="29"/>
  <c r="E530" i="29"/>
  <c r="G530" i="29"/>
  <c r="H530" i="29"/>
  <c r="I530" i="29"/>
  <c r="J530" i="29"/>
  <c r="K530" i="29"/>
  <c r="L530" i="29"/>
  <c r="M530" i="29"/>
  <c r="N530" i="29"/>
  <c r="O530" i="29"/>
  <c r="P530" i="29"/>
  <c r="Q530" i="29"/>
  <c r="R530" i="29"/>
  <c r="T530" i="29"/>
  <c r="V530" i="29"/>
  <c r="X530" i="29"/>
  <c r="Y530" i="29"/>
  <c r="Z530" i="29"/>
  <c r="AB530" i="29"/>
  <c r="AD530" i="29"/>
  <c r="A531" i="29"/>
  <c r="E531" i="29"/>
  <c r="G531" i="29"/>
  <c r="H531" i="29"/>
  <c r="I531" i="29"/>
  <c r="J531" i="29"/>
  <c r="K531" i="29"/>
  <c r="L531" i="29"/>
  <c r="M531" i="29"/>
  <c r="N531" i="29"/>
  <c r="O531" i="29"/>
  <c r="P531" i="29"/>
  <c r="Q531" i="29"/>
  <c r="R531" i="29"/>
  <c r="T531" i="29"/>
  <c r="V531" i="29"/>
  <c r="X531" i="29"/>
  <c r="Y531" i="29"/>
  <c r="Z531" i="29"/>
  <c r="AB531" i="29"/>
  <c r="AD531" i="29"/>
  <c r="A532" i="29"/>
  <c r="E532" i="29"/>
  <c r="G532" i="29"/>
  <c r="H532" i="29"/>
  <c r="I532" i="29"/>
  <c r="J532" i="29"/>
  <c r="K532" i="29"/>
  <c r="L532" i="29"/>
  <c r="M532" i="29"/>
  <c r="N532" i="29"/>
  <c r="O532" i="29"/>
  <c r="P532" i="29"/>
  <c r="Q532" i="29"/>
  <c r="R532" i="29"/>
  <c r="T532" i="29"/>
  <c r="V532" i="29"/>
  <c r="X532" i="29"/>
  <c r="Y532" i="29"/>
  <c r="Z532" i="29"/>
  <c r="AB532" i="29"/>
  <c r="AD532" i="29"/>
  <c r="A533" i="29"/>
  <c r="E533" i="29"/>
  <c r="G533" i="29"/>
  <c r="H533" i="29"/>
  <c r="I533" i="29"/>
  <c r="J533" i="29"/>
  <c r="K533" i="29"/>
  <c r="L533" i="29"/>
  <c r="M533" i="29"/>
  <c r="N533" i="29"/>
  <c r="O533" i="29"/>
  <c r="P533" i="29"/>
  <c r="Q533" i="29"/>
  <c r="R533" i="29"/>
  <c r="T533" i="29"/>
  <c r="V533" i="29"/>
  <c r="X533" i="29"/>
  <c r="Y533" i="29"/>
  <c r="Z533" i="29"/>
  <c r="AB533" i="29"/>
  <c r="AD533" i="29"/>
  <c r="A534" i="29"/>
  <c r="E534" i="29"/>
  <c r="G534" i="29"/>
  <c r="H534" i="29"/>
  <c r="I534" i="29"/>
  <c r="J534" i="29"/>
  <c r="K534" i="29"/>
  <c r="L534" i="29"/>
  <c r="M534" i="29"/>
  <c r="N534" i="29"/>
  <c r="O534" i="29"/>
  <c r="P534" i="29"/>
  <c r="Q534" i="29"/>
  <c r="R534" i="29"/>
  <c r="T534" i="29"/>
  <c r="V534" i="29"/>
  <c r="X534" i="29"/>
  <c r="Y534" i="29"/>
  <c r="Z534" i="29"/>
  <c r="AB534" i="29"/>
  <c r="AD534" i="29"/>
  <c r="A535" i="29"/>
  <c r="E535" i="29"/>
  <c r="G535" i="29"/>
  <c r="H535" i="29"/>
  <c r="I535" i="29"/>
  <c r="J535" i="29"/>
  <c r="K535" i="29"/>
  <c r="L535" i="29"/>
  <c r="M535" i="29"/>
  <c r="N535" i="29"/>
  <c r="O535" i="29"/>
  <c r="P535" i="29"/>
  <c r="Q535" i="29"/>
  <c r="R535" i="29"/>
  <c r="T535" i="29"/>
  <c r="V535" i="29"/>
  <c r="X535" i="29"/>
  <c r="Y535" i="29"/>
  <c r="Z535" i="29"/>
  <c r="AB535" i="29"/>
  <c r="AD535" i="29"/>
  <c r="A536" i="29"/>
  <c r="E536" i="29"/>
  <c r="G536" i="29"/>
  <c r="H536" i="29"/>
  <c r="I536" i="29"/>
  <c r="J536" i="29"/>
  <c r="K536" i="29"/>
  <c r="L536" i="29"/>
  <c r="M536" i="29"/>
  <c r="N536" i="29"/>
  <c r="O536" i="29"/>
  <c r="P536" i="29"/>
  <c r="Q536" i="29"/>
  <c r="R536" i="29"/>
  <c r="T536" i="29"/>
  <c r="V536" i="29"/>
  <c r="X536" i="29"/>
  <c r="Y536" i="29"/>
  <c r="Z536" i="29"/>
  <c r="AB536" i="29"/>
  <c r="AD536" i="29"/>
  <c r="A537" i="29"/>
  <c r="E537" i="29"/>
  <c r="G537" i="29"/>
  <c r="H537" i="29"/>
  <c r="I537" i="29"/>
  <c r="J537" i="29"/>
  <c r="K537" i="29"/>
  <c r="L537" i="29"/>
  <c r="M537" i="29"/>
  <c r="N537" i="29"/>
  <c r="O537" i="29"/>
  <c r="P537" i="29"/>
  <c r="Q537" i="29"/>
  <c r="R537" i="29"/>
  <c r="T537" i="29"/>
  <c r="V537" i="29"/>
  <c r="X537" i="29"/>
  <c r="Y537" i="29"/>
  <c r="Z537" i="29"/>
  <c r="AB537" i="29"/>
  <c r="AD537" i="29"/>
  <c r="A538" i="29"/>
  <c r="E538" i="29"/>
  <c r="G538" i="29"/>
  <c r="H538" i="29"/>
  <c r="I538" i="29"/>
  <c r="J538" i="29"/>
  <c r="K538" i="29"/>
  <c r="L538" i="29"/>
  <c r="M538" i="29"/>
  <c r="N538" i="29"/>
  <c r="O538" i="29"/>
  <c r="P538" i="29"/>
  <c r="Q538" i="29"/>
  <c r="R538" i="29"/>
  <c r="T538" i="29"/>
  <c r="V538" i="29"/>
  <c r="X538" i="29"/>
  <c r="Y538" i="29"/>
  <c r="Z538" i="29"/>
  <c r="AB538" i="29"/>
  <c r="AD538" i="29"/>
  <c r="A539" i="29"/>
  <c r="E539" i="29"/>
  <c r="G539" i="29"/>
  <c r="H539" i="29"/>
  <c r="I539" i="29"/>
  <c r="J539" i="29"/>
  <c r="K539" i="29"/>
  <c r="L539" i="29"/>
  <c r="M539" i="29"/>
  <c r="N539" i="29"/>
  <c r="O539" i="29"/>
  <c r="P539" i="29"/>
  <c r="Q539" i="29"/>
  <c r="R539" i="29"/>
  <c r="T539" i="29"/>
  <c r="V539" i="29"/>
  <c r="X539" i="29"/>
  <c r="Y539" i="29"/>
  <c r="Z539" i="29"/>
  <c r="AB539" i="29"/>
  <c r="AD539" i="29"/>
  <c r="A540" i="29"/>
  <c r="E540" i="29"/>
  <c r="G540" i="29"/>
  <c r="H540" i="29"/>
  <c r="I540" i="29"/>
  <c r="J540" i="29"/>
  <c r="K540" i="29"/>
  <c r="L540" i="29"/>
  <c r="M540" i="29"/>
  <c r="N540" i="29"/>
  <c r="O540" i="29"/>
  <c r="P540" i="29"/>
  <c r="Q540" i="29"/>
  <c r="R540" i="29"/>
  <c r="T540" i="29"/>
  <c r="V540" i="29"/>
  <c r="X540" i="29"/>
  <c r="Y540" i="29"/>
  <c r="Z540" i="29"/>
  <c r="AB540" i="29"/>
  <c r="AD540" i="29"/>
  <c r="A541" i="29"/>
  <c r="E541" i="29"/>
  <c r="G541" i="29"/>
  <c r="H541" i="29"/>
  <c r="I541" i="29"/>
  <c r="J541" i="29"/>
  <c r="K541" i="29"/>
  <c r="L541" i="29"/>
  <c r="M541" i="29"/>
  <c r="N541" i="29"/>
  <c r="O541" i="29"/>
  <c r="P541" i="29"/>
  <c r="Q541" i="29"/>
  <c r="R541" i="29"/>
  <c r="T541" i="29"/>
  <c r="V541" i="29"/>
  <c r="X541" i="29"/>
  <c r="Y541" i="29"/>
  <c r="Z541" i="29"/>
  <c r="AB541" i="29"/>
  <c r="AD541" i="29"/>
  <c r="A542" i="29"/>
  <c r="E542" i="29"/>
  <c r="G542" i="29"/>
  <c r="H542" i="29"/>
  <c r="I542" i="29"/>
  <c r="J542" i="29"/>
  <c r="K542" i="29"/>
  <c r="L542" i="29"/>
  <c r="M542" i="29"/>
  <c r="N542" i="29"/>
  <c r="O542" i="29"/>
  <c r="P542" i="29"/>
  <c r="Q542" i="29"/>
  <c r="R542" i="29"/>
  <c r="T542" i="29"/>
  <c r="V542" i="29"/>
  <c r="X542" i="29"/>
  <c r="Y542" i="29"/>
  <c r="Z542" i="29"/>
  <c r="AB542" i="29"/>
  <c r="AD542" i="29"/>
  <c r="A543" i="29"/>
  <c r="E543" i="29"/>
  <c r="G543" i="29"/>
  <c r="H543" i="29"/>
  <c r="I543" i="29"/>
  <c r="J543" i="29"/>
  <c r="K543" i="29"/>
  <c r="L543" i="29"/>
  <c r="M543" i="29"/>
  <c r="N543" i="29"/>
  <c r="O543" i="29"/>
  <c r="P543" i="29"/>
  <c r="Q543" i="29"/>
  <c r="R543" i="29"/>
  <c r="T543" i="29"/>
  <c r="V543" i="29"/>
  <c r="X543" i="29"/>
  <c r="Y543" i="29"/>
  <c r="Z543" i="29"/>
  <c r="AB543" i="29"/>
  <c r="AD543" i="29"/>
  <c r="A544" i="29"/>
  <c r="E544" i="29"/>
  <c r="G544" i="29"/>
  <c r="H544" i="29"/>
  <c r="I544" i="29"/>
  <c r="J544" i="29"/>
  <c r="K544" i="29"/>
  <c r="L544" i="29"/>
  <c r="M544" i="29"/>
  <c r="N544" i="29"/>
  <c r="O544" i="29"/>
  <c r="P544" i="29"/>
  <c r="Q544" i="29"/>
  <c r="R544" i="29"/>
  <c r="T544" i="29"/>
  <c r="V544" i="29"/>
  <c r="X544" i="29"/>
  <c r="Y544" i="29"/>
  <c r="Z544" i="29"/>
  <c r="AB544" i="29"/>
  <c r="AD544" i="29"/>
  <c r="A545" i="29"/>
  <c r="E545" i="29"/>
  <c r="G545" i="29"/>
  <c r="H545" i="29"/>
  <c r="I545" i="29"/>
  <c r="J545" i="29"/>
  <c r="K545" i="29"/>
  <c r="L545" i="29"/>
  <c r="M545" i="29"/>
  <c r="N545" i="29"/>
  <c r="O545" i="29"/>
  <c r="P545" i="29"/>
  <c r="Q545" i="29"/>
  <c r="R545" i="29"/>
  <c r="T545" i="29"/>
  <c r="V545" i="29"/>
  <c r="X545" i="29"/>
  <c r="Y545" i="29"/>
  <c r="Z545" i="29"/>
  <c r="AB545" i="29"/>
  <c r="AD545" i="29"/>
  <c r="A546" i="29"/>
  <c r="E546" i="29"/>
  <c r="G546" i="29"/>
  <c r="H546" i="29"/>
  <c r="I546" i="29"/>
  <c r="J546" i="29"/>
  <c r="K546" i="29"/>
  <c r="L546" i="29"/>
  <c r="M546" i="29"/>
  <c r="N546" i="29"/>
  <c r="O546" i="29"/>
  <c r="P546" i="29"/>
  <c r="Q546" i="29"/>
  <c r="R546" i="29"/>
  <c r="T546" i="29"/>
  <c r="V546" i="29"/>
  <c r="X546" i="29"/>
  <c r="Y546" i="29"/>
  <c r="Z546" i="29"/>
  <c r="AB546" i="29"/>
  <c r="AD546" i="29"/>
  <c r="A547" i="29"/>
  <c r="E547" i="29"/>
  <c r="G547" i="29"/>
  <c r="H547" i="29"/>
  <c r="I547" i="29"/>
  <c r="J547" i="29"/>
  <c r="K547" i="29"/>
  <c r="L547" i="29"/>
  <c r="M547" i="29"/>
  <c r="N547" i="29"/>
  <c r="O547" i="29"/>
  <c r="P547" i="29"/>
  <c r="Q547" i="29"/>
  <c r="R547" i="29"/>
  <c r="T547" i="29"/>
  <c r="V547" i="29"/>
  <c r="X547" i="29"/>
  <c r="Y547" i="29"/>
  <c r="Z547" i="29"/>
  <c r="AB547" i="29"/>
  <c r="AD547" i="29"/>
  <c r="A548" i="29"/>
  <c r="E548" i="29"/>
  <c r="G548" i="29"/>
  <c r="H548" i="29"/>
  <c r="I548" i="29"/>
  <c r="J548" i="29"/>
  <c r="K548" i="29"/>
  <c r="L548" i="29"/>
  <c r="M548" i="29"/>
  <c r="N548" i="29"/>
  <c r="O548" i="29"/>
  <c r="P548" i="29"/>
  <c r="Q548" i="29"/>
  <c r="R548" i="29"/>
  <c r="T548" i="29"/>
  <c r="V548" i="29"/>
  <c r="X548" i="29"/>
  <c r="Y548" i="29"/>
  <c r="Z548" i="29"/>
  <c r="AB548" i="29"/>
  <c r="AD548" i="29"/>
  <c r="A549" i="29"/>
  <c r="E549" i="29"/>
  <c r="G549" i="29"/>
  <c r="H549" i="29"/>
  <c r="I549" i="29"/>
  <c r="J549" i="29"/>
  <c r="K549" i="29"/>
  <c r="L549" i="29"/>
  <c r="M549" i="29"/>
  <c r="N549" i="29"/>
  <c r="O549" i="29"/>
  <c r="P549" i="29"/>
  <c r="Q549" i="29"/>
  <c r="R549" i="29"/>
  <c r="T549" i="29"/>
  <c r="V549" i="29"/>
  <c r="X549" i="29"/>
  <c r="Y549" i="29"/>
  <c r="Z549" i="29"/>
  <c r="AB549" i="29"/>
  <c r="AD549" i="29"/>
  <c r="A550" i="29"/>
  <c r="E550" i="29"/>
  <c r="G550" i="29"/>
  <c r="H550" i="29"/>
  <c r="I550" i="29"/>
  <c r="J550" i="29"/>
  <c r="K550" i="29"/>
  <c r="L550" i="29"/>
  <c r="M550" i="29"/>
  <c r="N550" i="29"/>
  <c r="O550" i="29"/>
  <c r="P550" i="29"/>
  <c r="Q550" i="29"/>
  <c r="R550" i="29"/>
  <c r="T550" i="29"/>
  <c r="V550" i="29"/>
  <c r="X550" i="29"/>
  <c r="Y550" i="29"/>
  <c r="Z550" i="29"/>
  <c r="AB550" i="29"/>
  <c r="AD550" i="29"/>
  <c r="A551" i="29"/>
  <c r="E551" i="29"/>
  <c r="G551" i="29"/>
  <c r="H551" i="29"/>
  <c r="I551" i="29"/>
  <c r="J551" i="29"/>
  <c r="K551" i="29"/>
  <c r="L551" i="29"/>
  <c r="M551" i="29"/>
  <c r="N551" i="29"/>
  <c r="O551" i="29"/>
  <c r="P551" i="29"/>
  <c r="Q551" i="29"/>
  <c r="R551" i="29"/>
  <c r="T551" i="29"/>
  <c r="V551" i="29"/>
  <c r="X551" i="29"/>
  <c r="Y551" i="29"/>
  <c r="Z551" i="29"/>
  <c r="AB551" i="29"/>
  <c r="AD551" i="29"/>
  <c r="A552" i="29"/>
  <c r="E552" i="29"/>
  <c r="G552" i="29"/>
  <c r="H552" i="29"/>
  <c r="I552" i="29"/>
  <c r="J552" i="29"/>
  <c r="K552" i="29"/>
  <c r="L552" i="29"/>
  <c r="M552" i="29"/>
  <c r="N552" i="29"/>
  <c r="O552" i="29"/>
  <c r="P552" i="29"/>
  <c r="Q552" i="29"/>
  <c r="R552" i="29"/>
  <c r="T552" i="29"/>
  <c r="V552" i="29"/>
  <c r="X552" i="29"/>
  <c r="Y552" i="29"/>
  <c r="Z552" i="29"/>
  <c r="AB552" i="29"/>
  <c r="AD552" i="29"/>
  <c r="A553" i="29"/>
  <c r="E553" i="29"/>
  <c r="G553" i="29"/>
  <c r="H553" i="29"/>
  <c r="I553" i="29"/>
  <c r="J553" i="29"/>
  <c r="K553" i="29"/>
  <c r="L553" i="29"/>
  <c r="M553" i="29"/>
  <c r="N553" i="29"/>
  <c r="O553" i="29"/>
  <c r="P553" i="29"/>
  <c r="Q553" i="29"/>
  <c r="R553" i="29"/>
  <c r="T553" i="29"/>
  <c r="V553" i="29"/>
  <c r="X553" i="29"/>
  <c r="Y553" i="29"/>
  <c r="Z553" i="29"/>
  <c r="AB553" i="29"/>
  <c r="AD553" i="29"/>
  <c r="A554" i="29"/>
  <c r="E554" i="29"/>
  <c r="G554" i="29"/>
  <c r="H554" i="29"/>
  <c r="I554" i="29"/>
  <c r="J554" i="29"/>
  <c r="K554" i="29"/>
  <c r="L554" i="29"/>
  <c r="M554" i="29"/>
  <c r="N554" i="29"/>
  <c r="O554" i="29"/>
  <c r="P554" i="29"/>
  <c r="Q554" i="29"/>
  <c r="R554" i="29"/>
  <c r="T554" i="29"/>
  <c r="V554" i="29"/>
  <c r="X554" i="29"/>
  <c r="Y554" i="29"/>
  <c r="Z554" i="29"/>
  <c r="AB554" i="29"/>
  <c r="AD554" i="29"/>
  <c r="A555" i="29"/>
  <c r="E555" i="29"/>
  <c r="G555" i="29"/>
  <c r="H555" i="29"/>
  <c r="I555" i="29"/>
  <c r="J555" i="29"/>
  <c r="K555" i="29"/>
  <c r="L555" i="29"/>
  <c r="M555" i="29"/>
  <c r="N555" i="29"/>
  <c r="O555" i="29"/>
  <c r="P555" i="29"/>
  <c r="Q555" i="29"/>
  <c r="R555" i="29"/>
  <c r="T555" i="29"/>
  <c r="V555" i="29"/>
  <c r="X555" i="29"/>
  <c r="Y555" i="29"/>
  <c r="Z555" i="29"/>
  <c r="AB555" i="29"/>
  <c r="AD555" i="29"/>
  <c r="A556" i="29"/>
  <c r="E556" i="29"/>
  <c r="G556" i="29"/>
  <c r="H556" i="29"/>
  <c r="I556" i="29"/>
  <c r="J556" i="29"/>
  <c r="K556" i="29"/>
  <c r="L556" i="29"/>
  <c r="M556" i="29"/>
  <c r="N556" i="29"/>
  <c r="O556" i="29"/>
  <c r="P556" i="29"/>
  <c r="Q556" i="29"/>
  <c r="R556" i="29"/>
  <c r="T556" i="29"/>
  <c r="V556" i="29"/>
  <c r="X556" i="29"/>
  <c r="Y556" i="29"/>
  <c r="Z556" i="29"/>
  <c r="AB556" i="29"/>
  <c r="AD556" i="29"/>
  <c r="A557" i="29"/>
  <c r="E557" i="29"/>
  <c r="G557" i="29"/>
  <c r="H557" i="29"/>
  <c r="I557" i="29"/>
  <c r="J557" i="29"/>
  <c r="K557" i="29"/>
  <c r="L557" i="29"/>
  <c r="M557" i="29"/>
  <c r="N557" i="29"/>
  <c r="O557" i="29"/>
  <c r="P557" i="29"/>
  <c r="Q557" i="29"/>
  <c r="R557" i="29"/>
  <c r="T557" i="29"/>
  <c r="V557" i="29"/>
  <c r="X557" i="29"/>
  <c r="Y557" i="29"/>
  <c r="Z557" i="29"/>
  <c r="AB557" i="29"/>
  <c r="AD557" i="29"/>
  <c r="A558" i="29"/>
  <c r="E558" i="29"/>
  <c r="G558" i="29"/>
  <c r="H558" i="29"/>
  <c r="I558" i="29"/>
  <c r="J558" i="29"/>
  <c r="K558" i="29"/>
  <c r="L558" i="29"/>
  <c r="M558" i="29"/>
  <c r="N558" i="29"/>
  <c r="O558" i="29"/>
  <c r="P558" i="29"/>
  <c r="Q558" i="29"/>
  <c r="R558" i="29"/>
  <c r="T558" i="29"/>
  <c r="V558" i="29"/>
  <c r="X558" i="29"/>
  <c r="Y558" i="29"/>
  <c r="Z558" i="29"/>
  <c r="AB558" i="29"/>
  <c r="AD558" i="29"/>
  <c r="A559" i="29"/>
  <c r="E559" i="29"/>
  <c r="G559" i="29"/>
  <c r="H559" i="29"/>
  <c r="I559" i="29"/>
  <c r="J559" i="29"/>
  <c r="K559" i="29"/>
  <c r="L559" i="29"/>
  <c r="M559" i="29"/>
  <c r="N559" i="29"/>
  <c r="O559" i="29"/>
  <c r="P559" i="29"/>
  <c r="Q559" i="29"/>
  <c r="R559" i="29"/>
  <c r="T559" i="29"/>
  <c r="V559" i="29"/>
  <c r="X559" i="29"/>
  <c r="Y559" i="29"/>
  <c r="Z559" i="29"/>
  <c r="AB559" i="29"/>
  <c r="AD559" i="29"/>
  <c r="A560" i="29"/>
  <c r="E560" i="29"/>
  <c r="G560" i="29"/>
  <c r="H560" i="29"/>
  <c r="I560" i="29"/>
  <c r="J560" i="29"/>
  <c r="K560" i="29"/>
  <c r="L560" i="29"/>
  <c r="M560" i="29"/>
  <c r="N560" i="29"/>
  <c r="O560" i="29"/>
  <c r="P560" i="29"/>
  <c r="Q560" i="29"/>
  <c r="R560" i="29"/>
  <c r="T560" i="29"/>
  <c r="V560" i="29"/>
  <c r="X560" i="29"/>
  <c r="Y560" i="29"/>
  <c r="Z560" i="29"/>
  <c r="AB560" i="29"/>
  <c r="AD560" i="29"/>
  <c r="A561" i="29"/>
  <c r="E561" i="29"/>
  <c r="G561" i="29"/>
  <c r="H561" i="29"/>
  <c r="I561" i="29"/>
  <c r="J561" i="29"/>
  <c r="K561" i="29"/>
  <c r="L561" i="29"/>
  <c r="M561" i="29"/>
  <c r="N561" i="29"/>
  <c r="O561" i="29"/>
  <c r="P561" i="29"/>
  <c r="Q561" i="29"/>
  <c r="R561" i="29"/>
  <c r="T561" i="29"/>
  <c r="V561" i="29"/>
  <c r="X561" i="29"/>
  <c r="Y561" i="29"/>
  <c r="Z561" i="29"/>
  <c r="AB561" i="29"/>
  <c r="AD561" i="29"/>
  <c r="A562" i="29"/>
  <c r="E562" i="29"/>
  <c r="G562" i="29"/>
  <c r="H562" i="29"/>
  <c r="I562" i="29"/>
  <c r="J562" i="29"/>
  <c r="K562" i="29"/>
  <c r="L562" i="29"/>
  <c r="M562" i="29"/>
  <c r="N562" i="29"/>
  <c r="O562" i="29"/>
  <c r="P562" i="29"/>
  <c r="Q562" i="29"/>
  <c r="R562" i="29"/>
  <c r="T562" i="29"/>
  <c r="V562" i="29"/>
  <c r="X562" i="29"/>
  <c r="Y562" i="29"/>
  <c r="Z562" i="29"/>
  <c r="AB562" i="29"/>
  <c r="AD562" i="29"/>
  <c r="A563" i="29"/>
  <c r="E563" i="29"/>
  <c r="G563" i="29"/>
  <c r="H563" i="29"/>
  <c r="I563" i="29"/>
  <c r="J563" i="29"/>
  <c r="K563" i="29"/>
  <c r="L563" i="29"/>
  <c r="M563" i="29"/>
  <c r="N563" i="29"/>
  <c r="O563" i="29"/>
  <c r="P563" i="29"/>
  <c r="Q563" i="29"/>
  <c r="R563" i="29"/>
  <c r="T563" i="29"/>
  <c r="V563" i="29"/>
  <c r="X563" i="29"/>
  <c r="Y563" i="29"/>
  <c r="Z563" i="29"/>
  <c r="AB563" i="29"/>
  <c r="AD563" i="29"/>
  <c r="A564" i="29"/>
  <c r="E564" i="29"/>
  <c r="G564" i="29"/>
  <c r="H564" i="29"/>
  <c r="I564" i="29"/>
  <c r="J564" i="29"/>
  <c r="K564" i="29"/>
  <c r="L564" i="29"/>
  <c r="M564" i="29"/>
  <c r="N564" i="29"/>
  <c r="O564" i="29"/>
  <c r="P564" i="29"/>
  <c r="Q564" i="29"/>
  <c r="R564" i="29"/>
  <c r="T564" i="29"/>
  <c r="V564" i="29"/>
  <c r="X564" i="29"/>
  <c r="Y564" i="29"/>
  <c r="Z564" i="29"/>
  <c r="AB564" i="29"/>
  <c r="AD564" i="29"/>
  <c r="A565" i="29"/>
  <c r="E565" i="29"/>
  <c r="G565" i="29"/>
  <c r="H565" i="29"/>
  <c r="I565" i="29"/>
  <c r="J565" i="29"/>
  <c r="K565" i="29"/>
  <c r="L565" i="29"/>
  <c r="M565" i="29"/>
  <c r="N565" i="29"/>
  <c r="O565" i="29"/>
  <c r="P565" i="29"/>
  <c r="Q565" i="29"/>
  <c r="R565" i="29"/>
  <c r="T565" i="29"/>
  <c r="V565" i="29"/>
  <c r="X565" i="29"/>
  <c r="Y565" i="29"/>
  <c r="Z565" i="29"/>
  <c r="AB565" i="29"/>
  <c r="AD565" i="29"/>
  <c r="A566" i="29"/>
  <c r="E566" i="29"/>
  <c r="G566" i="29"/>
  <c r="H566" i="29"/>
  <c r="I566" i="29"/>
  <c r="J566" i="29"/>
  <c r="K566" i="29"/>
  <c r="L566" i="29"/>
  <c r="M566" i="29"/>
  <c r="N566" i="29"/>
  <c r="O566" i="29"/>
  <c r="P566" i="29"/>
  <c r="Q566" i="29"/>
  <c r="R566" i="29"/>
  <c r="T566" i="29"/>
  <c r="V566" i="29"/>
  <c r="X566" i="29"/>
  <c r="Y566" i="29"/>
  <c r="Z566" i="29"/>
  <c r="AB566" i="29"/>
  <c r="AD566" i="29"/>
  <c r="A567" i="29"/>
  <c r="E567" i="29"/>
  <c r="G567" i="29"/>
  <c r="H567" i="29"/>
  <c r="I567" i="29"/>
  <c r="J567" i="29"/>
  <c r="K567" i="29"/>
  <c r="L567" i="29"/>
  <c r="M567" i="29"/>
  <c r="N567" i="29"/>
  <c r="O567" i="29"/>
  <c r="P567" i="29"/>
  <c r="Q567" i="29"/>
  <c r="R567" i="29"/>
  <c r="T567" i="29"/>
  <c r="V567" i="29"/>
  <c r="X567" i="29"/>
  <c r="Y567" i="29"/>
  <c r="Z567" i="29"/>
  <c r="AB567" i="29"/>
  <c r="AD567" i="29"/>
  <c r="A568" i="29"/>
  <c r="E568" i="29"/>
  <c r="G568" i="29"/>
  <c r="H568" i="29"/>
  <c r="I568" i="29"/>
  <c r="J568" i="29"/>
  <c r="K568" i="29"/>
  <c r="L568" i="29"/>
  <c r="M568" i="29"/>
  <c r="N568" i="29"/>
  <c r="O568" i="29"/>
  <c r="P568" i="29"/>
  <c r="Q568" i="29"/>
  <c r="R568" i="29"/>
  <c r="T568" i="29"/>
  <c r="V568" i="29"/>
  <c r="X568" i="29"/>
  <c r="Y568" i="29"/>
  <c r="Z568" i="29"/>
  <c r="AB568" i="29"/>
  <c r="AD568" i="29"/>
  <c r="A569" i="29"/>
  <c r="E569" i="29"/>
  <c r="G569" i="29"/>
  <c r="H569" i="29"/>
  <c r="I569" i="29"/>
  <c r="J569" i="29"/>
  <c r="K569" i="29"/>
  <c r="L569" i="29"/>
  <c r="M569" i="29"/>
  <c r="N569" i="29"/>
  <c r="O569" i="29"/>
  <c r="P569" i="29"/>
  <c r="Q569" i="29"/>
  <c r="R569" i="29"/>
  <c r="T569" i="29"/>
  <c r="V569" i="29"/>
  <c r="X569" i="29"/>
  <c r="Y569" i="29"/>
  <c r="Z569" i="29"/>
  <c r="AB569" i="29"/>
  <c r="AD569" i="29"/>
  <c r="A570" i="29"/>
  <c r="E570" i="29"/>
  <c r="G570" i="29"/>
  <c r="H570" i="29"/>
  <c r="I570" i="29"/>
  <c r="J570" i="29"/>
  <c r="K570" i="29"/>
  <c r="L570" i="29"/>
  <c r="M570" i="29"/>
  <c r="N570" i="29"/>
  <c r="O570" i="29"/>
  <c r="P570" i="29"/>
  <c r="Q570" i="29"/>
  <c r="R570" i="29"/>
  <c r="T570" i="29"/>
  <c r="V570" i="29"/>
  <c r="X570" i="29"/>
  <c r="Y570" i="29"/>
  <c r="Z570" i="29"/>
  <c r="AB570" i="29"/>
  <c r="AD570" i="29"/>
  <c r="A571" i="29"/>
  <c r="E571" i="29"/>
  <c r="G571" i="29"/>
  <c r="H571" i="29"/>
  <c r="I571" i="29"/>
  <c r="J571" i="29"/>
  <c r="K571" i="29"/>
  <c r="L571" i="29"/>
  <c r="M571" i="29"/>
  <c r="N571" i="29"/>
  <c r="O571" i="29"/>
  <c r="P571" i="29"/>
  <c r="Q571" i="29"/>
  <c r="R571" i="29"/>
  <c r="T571" i="29"/>
  <c r="V571" i="29"/>
  <c r="X571" i="29"/>
  <c r="Y571" i="29"/>
  <c r="Z571" i="29"/>
  <c r="AB571" i="29"/>
  <c r="AD571" i="29"/>
  <c r="A572" i="29"/>
  <c r="E572" i="29"/>
  <c r="G572" i="29"/>
  <c r="H572" i="29"/>
  <c r="I572" i="29"/>
  <c r="J572" i="29"/>
  <c r="K572" i="29"/>
  <c r="L572" i="29"/>
  <c r="M572" i="29"/>
  <c r="N572" i="29"/>
  <c r="O572" i="29"/>
  <c r="P572" i="29"/>
  <c r="Q572" i="29"/>
  <c r="R572" i="29"/>
  <c r="T572" i="29"/>
  <c r="V572" i="29"/>
  <c r="X572" i="29"/>
  <c r="Y572" i="29"/>
  <c r="Z572" i="29"/>
  <c r="AB572" i="29"/>
  <c r="AD572" i="29"/>
  <c r="A573" i="29"/>
  <c r="E573" i="29"/>
  <c r="G573" i="29"/>
  <c r="H573" i="29"/>
  <c r="I573" i="29"/>
  <c r="J573" i="29"/>
  <c r="K573" i="29"/>
  <c r="L573" i="29"/>
  <c r="M573" i="29"/>
  <c r="N573" i="29"/>
  <c r="O573" i="29"/>
  <c r="P573" i="29"/>
  <c r="Q573" i="29"/>
  <c r="R573" i="29"/>
  <c r="T573" i="29"/>
  <c r="V573" i="29"/>
  <c r="X573" i="29"/>
  <c r="Y573" i="29"/>
  <c r="Z573" i="29"/>
  <c r="AB573" i="29"/>
  <c r="AD573" i="29"/>
  <c r="A574" i="29"/>
  <c r="E574" i="29"/>
  <c r="G574" i="29"/>
  <c r="H574" i="29"/>
  <c r="I574" i="29"/>
  <c r="J574" i="29"/>
  <c r="K574" i="29"/>
  <c r="L574" i="29"/>
  <c r="M574" i="29"/>
  <c r="N574" i="29"/>
  <c r="O574" i="29"/>
  <c r="P574" i="29"/>
  <c r="Q574" i="29"/>
  <c r="R574" i="29"/>
  <c r="T574" i="29"/>
  <c r="V574" i="29"/>
  <c r="X574" i="29"/>
  <c r="Y574" i="29"/>
  <c r="Z574" i="29"/>
  <c r="AB574" i="29"/>
  <c r="AD574" i="29"/>
  <c r="A575" i="29"/>
  <c r="E575" i="29"/>
  <c r="G575" i="29"/>
  <c r="H575" i="29"/>
  <c r="I575" i="29"/>
  <c r="J575" i="29"/>
  <c r="K575" i="29"/>
  <c r="L575" i="29"/>
  <c r="M575" i="29"/>
  <c r="N575" i="29"/>
  <c r="O575" i="29"/>
  <c r="P575" i="29"/>
  <c r="Q575" i="29"/>
  <c r="R575" i="29"/>
  <c r="T575" i="29"/>
  <c r="V575" i="29"/>
  <c r="X575" i="29"/>
  <c r="Y575" i="29"/>
  <c r="Z575" i="29"/>
  <c r="AB575" i="29"/>
  <c r="AD575" i="29"/>
  <c r="A576" i="29"/>
  <c r="E576" i="29"/>
  <c r="G576" i="29"/>
  <c r="H576" i="29"/>
  <c r="I576" i="29"/>
  <c r="J576" i="29"/>
  <c r="K576" i="29"/>
  <c r="L576" i="29"/>
  <c r="M576" i="29"/>
  <c r="N576" i="29"/>
  <c r="O576" i="29"/>
  <c r="P576" i="29"/>
  <c r="Q576" i="29"/>
  <c r="R576" i="29"/>
  <c r="T576" i="29"/>
  <c r="V576" i="29"/>
  <c r="X576" i="29"/>
  <c r="Y576" i="29"/>
  <c r="Z576" i="29"/>
  <c r="AB576" i="29"/>
  <c r="AD576" i="29"/>
  <c r="A577" i="29"/>
  <c r="E577" i="29"/>
  <c r="G577" i="29"/>
  <c r="H577" i="29"/>
  <c r="I577" i="29"/>
  <c r="J577" i="29"/>
  <c r="K577" i="29"/>
  <c r="L577" i="29"/>
  <c r="M577" i="29"/>
  <c r="N577" i="29"/>
  <c r="O577" i="29"/>
  <c r="P577" i="29"/>
  <c r="Q577" i="29"/>
  <c r="R577" i="29"/>
  <c r="T577" i="29"/>
  <c r="V577" i="29"/>
  <c r="X577" i="29"/>
  <c r="Y577" i="29"/>
  <c r="Z577" i="29"/>
  <c r="AB577" i="29"/>
  <c r="AD577" i="29"/>
  <c r="A578" i="29"/>
  <c r="E578" i="29"/>
  <c r="G578" i="29"/>
  <c r="H578" i="29"/>
  <c r="I578" i="29"/>
  <c r="J578" i="29"/>
  <c r="K578" i="29"/>
  <c r="L578" i="29"/>
  <c r="M578" i="29"/>
  <c r="N578" i="29"/>
  <c r="O578" i="29"/>
  <c r="P578" i="29"/>
  <c r="Q578" i="29"/>
  <c r="R578" i="29"/>
  <c r="T578" i="29"/>
  <c r="V578" i="29"/>
  <c r="X578" i="29"/>
  <c r="Y578" i="29"/>
  <c r="Z578" i="29"/>
  <c r="AB578" i="29"/>
  <c r="AD578" i="29"/>
  <c r="A579" i="29"/>
  <c r="E579" i="29"/>
  <c r="G579" i="29"/>
  <c r="H579" i="29"/>
  <c r="I579" i="29"/>
  <c r="J579" i="29"/>
  <c r="K579" i="29"/>
  <c r="L579" i="29"/>
  <c r="M579" i="29"/>
  <c r="N579" i="29"/>
  <c r="O579" i="29"/>
  <c r="P579" i="29"/>
  <c r="Q579" i="29"/>
  <c r="R579" i="29"/>
  <c r="T579" i="29"/>
  <c r="V579" i="29"/>
  <c r="X579" i="29"/>
  <c r="Y579" i="29"/>
  <c r="Z579" i="29"/>
  <c r="AB579" i="29"/>
  <c r="AD579" i="29"/>
  <c r="A580" i="29"/>
  <c r="E580" i="29"/>
  <c r="G580" i="29"/>
  <c r="H580" i="29"/>
  <c r="I580" i="29"/>
  <c r="J580" i="29"/>
  <c r="K580" i="29"/>
  <c r="L580" i="29"/>
  <c r="M580" i="29"/>
  <c r="N580" i="29"/>
  <c r="O580" i="29"/>
  <c r="P580" i="29"/>
  <c r="Q580" i="29"/>
  <c r="R580" i="29"/>
  <c r="T580" i="29"/>
  <c r="V580" i="29"/>
  <c r="X580" i="29"/>
  <c r="Y580" i="29"/>
  <c r="Z580" i="29"/>
  <c r="AB580" i="29"/>
  <c r="AD580" i="29"/>
  <c r="A581" i="29"/>
  <c r="E581" i="29"/>
  <c r="G581" i="29"/>
  <c r="H581" i="29"/>
  <c r="I581" i="29"/>
  <c r="J581" i="29"/>
  <c r="K581" i="29"/>
  <c r="L581" i="29"/>
  <c r="M581" i="29"/>
  <c r="N581" i="29"/>
  <c r="O581" i="29"/>
  <c r="P581" i="29"/>
  <c r="Q581" i="29"/>
  <c r="R581" i="29"/>
  <c r="T581" i="29"/>
  <c r="V581" i="29"/>
  <c r="X581" i="29"/>
  <c r="Y581" i="29"/>
  <c r="Z581" i="29"/>
  <c r="AB581" i="29"/>
  <c r="AD581" i="29"/>
  <c r="A582" i="29"/>
  <c r="E582" i="29"/>
  <c r="G582" i="29"/>
  <c r="H582" i="29"/>
  <c r="I582" i="29"/>
  <c r="J582" i="29"/>
  <c r="K582" i="29"/>
  <c r="L582" i="29"/>
  <c r="M582" i="29"/>
  <c r="N582" i="29"/>
  <c r="O582" i="29"/>
  <c r="P582" i="29"/>
  <c r="Q582" i="29"/>
  <c r="R582" i="29"/>
  <c r="T582" i="29"/>
  <c r="V582" i="29"/>
  <c r="X582" i="29"/>
  <c r="Y582" i="29"/>
  <c r="Z582" i="29"/>
  <c r="AB582" i="29"/>
  <c r="AD582" i="29"/>
  <c r="A583" i="29"/>
  <c r="E583" i="29"/>
  <c r="G583" i="29"/>
  <c r="H583" i="29"/>
  <c r="I583" i="29"/>
  <c r="J583" i="29"/>
  <c r="K583" i="29"/>
  <c r="L583" i="29"/>
  <c r="M583" i="29"/>
  <c r="N583" i="29"/>
  <c r="O583" i="29"/>
  <c r="P583" i="29"/>
  <c r="Q583" i="29"/>
  <c r="R583" i="29"/>
  <c r="T583" i="29"/>
  <c r="V583" i="29"/>
  <c r="X583" i="29"/>
  <c r="Y583" i="29"/>
  <c r="Z583" i="29"/>
  <c r="AB583" i="29"/>
  <c r="AD583" i="29"/>
  <c r="A584" i="29"/>
  <c r="E584" i="29"/>
  <c r="G584" i="29"/>
  <c r="H584" i="29"/>
  <c r="I584" i="29"/>
  <c r="J584" i="29"/>
  <c r="K584" i="29"/>
  <c r="L584" i="29"/>
  <c r="M584" i="29"/>
  <c r="N584" i="29"/>
  <c r="O584" i="29"/>
  <c r="P584" i="29"/>
  <c r="Q584" i="29"/>
  <c r="R584" i="29"/>
  <c r="T584" i="29"/>
  <c r="V584" i="29"/>
  <c r="X584" i="29"/>
  <c r="Y584" i="29"/>
  <c r="Z584" i="29"/>
  <c r="AB584" i="29"/>
  <c r="AD584" i="29"/>
  <c r="A585" i="29"/>
  <c r="E585" i="29"/>
  <c r="G585" i="29"/>
  <c r="H585" i="29"/>
  <c r="I585" i="29"/>
  <c r="J585" i="29"/>
  <c r="K585" i="29"/>
  <c r="L585" i="29"/>
  <c r="M585" i="29"/>
  <c r="N585" i="29"/>
  <c r="O585" i="29"/>
  <c r="P585" i="29"/>
  <c r="Q585" i="29"/>
  <c r="R585" i="29"/>
  <c r="T585" i="29"/>
  <c r="V585" i="29"/>
  <c r="X585" i="29"/>
  <c r="Y585" i="29"/>
  <c r="Z585" i="29"/>
  <c r="AB585" i="29"/>
  <c r="AD585" i="29"/>
  <c r="A586" i="29"/>
  <c r="E586" i="29"/>
  <c r="G586" i="29"/>
  <c r="H586" i="29"/>
  <c r="I586" i="29"/>
  <c r="J586" i="29"/>
  <c r="K586" i="29"/>
  <c r="L586" i="29"/>
  <c r="M586" i="29"/>
  <c r="N586" i="29"/>
  <c r="O586" i="29"/>
  <c r="P586" i="29"/>
  <c r="Q586" i="29"/>
  <c r="R586" i="29"/>
  <c r="T586" i="29"/>
  <c r="V586" i="29"/>
  <c r="X586" i="29"/>
  <c r="Y586" i="29"/>
  <c r="Z586" i="29"/>
  <c r="AB586" i="29"/>
  <c r="AD586" i="29"/>
  <c r="A587" i="29"/>
  <c r="E587" i="29"/>
  <c r="G587" i="29"/>
  <c r="H587" i="29"/>
  <c r="I587" i="29"/>
  <c r="J587" i="29"/>
  <c r="K587" i="29"/>
  <c r="L587" i="29"/>
  <c r="M587" i="29"/>
  <c r="N587" i="29"/>
  <c r="O587" i="29"/>
  <c r="P587" i="29"/>
  <c r="Q587" i="29"/>
  <c r="R587" i="29"/>
  <c r="T587" i="29"/>
  <c r="V587" i="29"/>
  <c r="X587" i="29"/>
  <c r="Y587" i="29"/>
  <c r="Z587" i="29"/>
  <c r="AB587" i="29"/>
  <c r="AD587" i="29"/>
  <c r="A588" i="29"/>
  <c r="E588" i="29"/>
  <c r="G588" i="29"/>
  <c r="H588" i="29"/>
  <c r="I588" i="29"/>
  <c r="J588" i="29"/>
  <c r="K588" i="29"/>
  <c r="L588" i="29"/>
  <c r="M588" i="29"/>
  <c r="N588" i="29"/>
  <c r="O588" i="29"/>
  <c r="P588" i="29"/>
  <c r="Q588" i="29"/>
  <c r="R588" i="29"/>
  <c r="T588" i="29"/>
  <c r="V588" i="29"/>
  <c r="X588" i="29"/>
  <c r="Y588" i="29"/>
  <c r="Z588" i="29"/>
  <c r="AB588" i="29"/>
  <c r="AD588" i="29"/>
  <c r="A589" i="29"/>
  <c r="E589" i="29"/>
  <c r="G589" i="29"/>
  <c r="H589" i="29"/>
  <c r="I589" i="29"/>
  <c r="J589" i="29"/>
  <c r="K589" i="29"/>
  <c r="L589" i="29"/>
  <c r="M589" i="29"/>
  <c r="N589" i="29"/>
  <c r="O589" i="29"/>
  <c r="P589" i="29"/>
  <c r="Q589" i="29"/>
  <c r="R589" i="29"/>
  <c r="T589" i="29"/>
  <c r="V589" i="29"/>
  <c r="X589" i="29"/>
  <c r="Y589" i="29"/>
  <c r="Z589" i="29"/>
  <c r="AB589" i="29"/>
  <c r="AD589" i="29"/>
  <c r="A590" i="29"/>
  <c r="E590" i="29"/>
  <c r="G590" i="29"/>
  <c r="H590" i="29"/>
  <c r="I590" i="29"/>
  <c r="J590" i="29"/>
  <c r="K590" i="29"/>
  <c r="L590" i="29"/>
  <c r="M590" i="29"/>
  <c r="N590" i="29"/>
  <c r="O590" i="29"/>
  <c r="P590" i="29"/>
  <c r="Q590" i="29"/>
  <c r="R590" i="29"/>
  <c r="T590" i="29"/>
  <c r="V590" i="29"/>
  <c r="X590" i="29"/>
  <c r="Y590" i="29"/>
  <c r="Z590" i="29"/>
  <c r="AB590" i="29"/>
  <c r="AD590" i="29"/>
  <c r="A591" i="29"/>
  <c r="E591" i="29"/>
  <c r="G591" i="29"/>
  <c r="H591" i="29"/>
  <c r="I591" i="29"/>
  <c r="J591" i="29"/>
  <c r="K591" i="29"/>
  <c r="L591" i="29"/>
  <c r="M591" i="29"/>
  <c r="N591" i="29"/>
  <c r="O591" i="29"/>
  <c r="P591" i="29"/>
  <c r="Q591" i="29"/>
  <c r="R591" i="29"/>
  <c r="T591" i="29"/>
  <c r="V591" i="29"/>
  <c r="X591" i="29"/>
  <c r="Y591" i="29"/>
  <c r="Z591" i="29"/>
  <c r="AB591" i="29"/>
  <c r="AD591" i="29"/>
  <c r="A592" i="29"/>
  <c r="E592" i="29"/>
  <c r="G592" i="29"/>
  <c r="H592" i="29"/>
  <c r="I592" i="29"/>
  <c r="J592" i="29"/>
  <c r="K592" i="29"/>
  <c r="L592" i="29"/>
  <c r="M592" i="29"/>
  <c r="N592" i="29"/>
  <c r="O592" i="29"/>
  <c r="P592" i="29"/>
  <c r="Q592" i="29"/>
  <c r="R592" i="29"/>
  <c r="T592" i="29"/>
  <c r="V592" i="29"/>
  <c r="X592" i="29"/>
  <c r="Y592" i="29"/>
  <c r="Z592" i="29"/>
  <c r="AB592" i="29"/>
  <c r="AD592" i="29"/>
  <c r="A593" i="29"/>
  <c r="E593" i="29"/>
  <c r="G593" i="29"/>
  <c r="H593" i="29"/>
  <c r="I593" i="29"/>
  <c r="J593" i="29"/>
  <c r="K593" i="29"/>
  <c r="L593" i="29"/>
  <c r="M593" i="29"/>
  <c r="N593" i="29"/>
  <c r="O593" i="29"/>
  <c r="P593" i="29"/>
  <c r="Q593" i="29"/>
  <c r="R593" i="29"/>
  <c r="T593" i="29"/>
  <c r="V593" i="29"/>
  <c r="X593" i="29"/>
  <c r="Y593" i="29"/>
  <c r="Z593" i="29"/>
  <c r="AB593" i="29"/>
  <c r="AD593" i="29"/>
  <c r="A594" i="29"/>
  <c r="E594" i="29"/>
  <c r="G594" i="29"/>
  <c r="H594" i="29"/>
  <c r="I594" i="29"/>
  <c r="J594" i="29"/>
  <c r="K594" i="29"/>
  <c r="L594" i="29"/>
  <c r="M594" i="29"/>
  <c r="N594" i="29"/>
  <c r="O594" i="29"/>
  <c r="P594" i="29"/>
  <c r="Q594" i="29"/>
  <c r="R594" i="29"/>
  <c r="T594" i="29"/>
  <c r="V594" i="29"/>
  <c r="X594" i="29"/>
  <c r="Y594" i="29"/>
  <c r="Z594" i="29"/>
  <c r="AB594" i="29"/>
  <c r="AD594" i="29"/>
  <c r="A595" i="29"/>
  <c r="E595" i="29"/>
  <c r="G595" i="29"/>
  <c r="H595" i="29"/>
  <c r="I595" i="29"/>
  <c r="J595" i="29"/>
  <c r="K595" i="29"/>
  <c r="L595" i="29"/>
  <c r="M595" i="29"/>
  <c r="N595" i="29"/>
  <c r="O595" i="29"/>
  <c r="P595" i="29"/>
  <c r="Q595" i="29"/>
  <c r="R595" i="29"/>
  <c r="T595" i="29"/>
  <c r="V595" i="29"/>
  <c r="X595" i="29"/>
  <c r="Y595" i="29"/>
  <c r="Z595" i="29"/>
  <c r="AB595" i="29"/>
  <c r="AD595" i="29"/>
  <c r="A596" i="29"/>
  <c r="E596" i="29"/>
  <c r="G596" i="29"/>
  <c r="H596" i="29"/>
  <c r="I596" i="29"/>
  <c r="J596" i="29"/>
  <c r="K596" i="29"/>
  <c r="L596" i="29"/>
  <c r="M596" i="29"/>
  <c r="N596" i="29"/>
  <c r="O596" i="29"/>
  <c r="P596" i="29"/>
  <c r="Q596" i="29"/>
  <c r="R596" i="29"/>
  <c r="T596" i="29"/>
  <c r="V596" i="29"/>
  <c r="X596" i="29"/>
  <c r="Y596" i="29"/>
  <c r="Z596" i="29"/>
  <c r="AB596" i="29"/>
  <c r="AD596" i="29"/>
  <c r="A597" i="29"/>
  <c r="E597" i="29"/>
  <c r="G597" i="29"/>
  <c r="H597" i="29"/>
  <c r="I597" i="29"/>
  <c r="J597" i="29"/>
  <c r="K597" i="29"/>
  <c r="L597" i="29"/>
  <c r="M597" i="29"/>
  <c r="N597" i="29"/>
  <c r="O597" i="29"/>
  <c r="P597" i="29"/>
  <c r="Q597" i="29"/>
  <c r="R597" i="29"/>
  <c r="T597" i="29"/>
  <c r="V597" i="29"/>
  <c r="X597" i="29"/>
  <c r="Y597" i="29"/>
  <c r="Z597" i="29"/>
  <c r="AB597" i="29"/>
  <c r="AD597" i="29"/>
  <c r="A598" i="29"/>
  <c r="E598" i="29"/>
  <c r="G598" i="29"/>
  <c r="H598" i="29"/>
  <c r="I598" i="29"/>
  <c r="J598" i="29"/>
  <c r="K598" i="29"/>
  <c r="L598" i="29"/>
  <c r="M598" i="29"/>
  <c r="N598" i="29"/>
  <c r="O598" i="29"/>
  <c r="P598" i="29"/>
  <c r="Q598" i="29"/>
  <c r="R598" i="29"/>
  <c r="T598" i="29"/>
  <c r="V598" i="29"/>
  <c r="X598" i="29"/>
  <c r="Y598" i="29"/>
  <c r="Z598" i="29"/>
  <c r="AB598" i="29"/>
  <c r="AD598" i="29"/>
  <c r="A599" i="29"/>
  <c r="E599" i="29"/>
  <c r="G599" i="29"/>
  <c r="H599" i="29"/>
  <c r="I599" i="29"/>
  <c r="J599" i="29"/>
  <c r="K599" i="29"/>
  <c r="L599" i="29"/>
  <c r="M599" i="29"/>
  <c r="N599" i="29"/>
  <c r="O599" i="29"/>
  <c r="P599" i="29"/>
  <c r="Q599" i="29"/>
  <c r="R599" i="29"/>
  <c r="T599" i="29"/>
  <c r="V599" i="29"/>
  <c r="X599" i="29"/>
  <c r="Y599" i="29"/>
  <c r="Z599" i="29"/>
  <c r="AB599" i="29"/>
  <c r="AD599" i="29"/>
  <c r="A600" i="29"/>
  <c r="E600" i="29"/>
  <c r="G600" i="29"/>
  <c r="H600" i="29"/>
  <c r="I600" i="29"/>
  <c r="J600" i="29"/>
  <c r="K600" i="29"/>
  <c r="L600" i="29"/>
  <c r="M600" i="29"/>
  <c r="N600" i="29"/>
  <c r="O600" i="29"/>
  <c r="P600" i="29"/>
  <c r="Q600" i="29"/>
  <c r="R600" i="29"/>
  <c r="T600" i="29"/>
  <c r="V600" i="29"/>
  <c r="X600" i="29"/>
  <c r="Y600" i="29"/>
  <c r="Z600" i="29"/>
  <c r="AB600" i="29"/>
  <c r="AD600" i="29"/>
  <c r="A601" i="29"/>
  <c r="E601" i="29"/>
  <c r="G601" i="29"/>
  <c r="H601" i="29"/>
  <c r="I601" i="29"/>
  <c r="J601" i="29"/>
  <c r="K601" i="29"/>
  <c r="L601" i="29"/>
  <c r="M601" i="29"/>
  <c r="N601" i="29"/>
  <c r="O601" i="29"/>
  <c r="P601" i="29"/>
  <c r="Q601" i="29"/>
  <c r="R601" i="29"/>
  <c r="T601" i="29"/>
  <c r="V601" i="29"/>
  <c r="X601" i="29"/>
  <c r="Y601" i="29"/>
  <c r="Z601" i="29"/>
  <c r="AB601" i="29"/>
  <c r="AD601" i="29"/>
  <c r="A602" i="29"/>
  <c r="E602" i="29"/>
  <c r="G602" i="29"/>
  <c r="H602" i="29"/>
  <c r="I602" i="29"/>
  <c r="J602" i="29"/>
  <c r="K602" i="29"/>
  <c r="L602" i="29"/>
  <c r="M602" i="29"/>
  <c r="N602" i="29"/>
  <c r="O602" i="29"/>
  <c r="P602" i="29"/>
  <c r="Q602" i="29"/>
  <c r="R602" i="29"/>
  <c r="T602" i="29"/>
  <c r="V602" i="29"/>
  <c r="X602" i="29"/>
  <c r="Y602" i="29"/>
  <c r="Z602" i="29"/>
  <c r="AB602" i="29"/>
  <c r="AD602" i="29"/>
  <c r="A603" i="29"/>
  <c r="E603" i="29"/>
  <c r="G603" i="29"/>
  <c r="H603" i="29"/>
  <c r="I603" i="29"/>
  <c r="J603" i="29"/>
  <c r="K603" i="29"/>
  <c r="L603" i="29"/>
  <c r="M603" i="29"/>
  <c r="N603" i="29"/>
  <c r="O603" i="29"/>
  <c r="P603" i="29"/>
  <c r="Q603" i="29"/>
  <c r="R603" i="29"/>
  <c r="T603" i="29"/>
  <c r="V603" i="29"/>
  <c r="X603" i="29"/>
  <c r="Y603" i="29"/>
  <c r="Z603" i="29"/>
  <c r="AB603" i="29"/>
  <c r="AD603" i="29"/>
  <c r="A604" i="29"/>
  <c r="E604" i="29"/>
  <c r="G604" i="29"/>
  <c r="H604" i="29"/>
  <c r="I604" i="29"/>
  <c r="J604" i="29"/>
  <c r="K604" i="29"/>
  <c r="L604" i="29"/>
  <c r="M604" i="29"/>
  <c r="N604" i="29"/>
  <c r="O604" i="29"/>
  <c r="P604" i="29"/>
  <c r="Q604" i="29"/>
  <c r="R604" i="29"/>
  <c r="T604" i="29"/>
  <c r="V604" i="29"/>
  <c r="X604" i="29"/>
  <c r="Y604" i="29"/>
  <c r="Z604" i="29"/>
  <c r="AB604" i="29"/>
  <c r="AD604" i="29"/>
  <c r="A605" i="29"/>
  <c r="E605" i="29"/>
  <c r="G605" i="29"/>
  <c r="H605" i="29"/>
  <c r="I605" i="29"/>
  <c r="J605" i="29"/>
  <c r="K605" i="29"/>
  <c r="L605" i="29"/>
  <c r="M605" i="29"/>
  <c r="N605" i="29"/>
  <c r="O605" i="29"/>
  <c r="P605" i="29"/>
  <c r="Q605" i="29"/>
  <c r="R605" i="29"/>
  <c r="T605" i="29"/>
  <c r="V605" i="29"/>
  <c r="X605" i="29"/>
  <c r="Y605" i="29"/>
  <c r="Z605" i="29"/>
  <c r="AB605" i="29"/>
  <c r="AD605" i="29"/>
  <c r="A606" i="29"/>
  <c r="E606" i="29"/>
  <c r="G606" i="29"/>
  <c r="H606" i="29"/>
  <c r="I606" i="29"/>
  <c r="J606" i="29"/>
  <c r="K606" i="29"/>
  <c r="L606" i="29"/>
  <c r="M606" i="29"/>
  <c r="N606" i="29"/>
  <c r="O606" i="29"/>
  <c r="P606" i="29"/>
  <c r="Q606" i="29"/>
  <c r="R606" i="29"/>
  <c r="T606" i="29"/>
  <c r="V606" i="29"/>
  <c r="X606" i="29"/>
  <c r="Y606" i="29"/>
  <c r="Z606" i="29"/>
  <c r="AB606" i="29"/>
  <c r="AD606" i="29"/>
  <c r="A607" i="29"/>
  <c r="E607" i="29"/>
  <c r="G607" i="29"/>
  <c r="H607" i="29"/>
  <c r="I607" i="29"/>
  <c r="J607" i="29"/>
  <c r="K607" i="29"/>
  <c r="L607" i="29"/>
  <c r="M607" i="29"/>
  <c r="N607" i="29"/>
  <c r="O607" i="29"/>
  <c r="P607" i="29"/>
  <c r="Q607" i="29"/>
  <c r="R607" i="29"/>
  <c r="T607" i="29"/>
  <c r="V607" i="29"/>
  <c r="X607" i="29"/>
  <c r="Y607" i="29"/>
  <c r="Z607" i="29"/>
  <c r="AB607" i="29"/>
  <c r="AD607" i="29"/>
  <c r="A608" i="29"/>
  <c r="E608" i="29"/>
  <c r="G608" i="29"/>
  <c r="H608" i="29"/>
  <c r="I608" i="29"/>
  <c r="J608" i="29"/>
  <c r="K608" i="29"/>
  <c r="L608" i="29"/>
  <c r="M608" i="29"/>
  <c r="N608" i="29"/>
  <c r="O608" i="29"/>
  <c r="P608" i="29"/>
  <c r="Q608" i="29"/>
  <c r="R608" i="29"/>
  <c r="T608" i="29"/>
  <c r="V608" i="29"/>
  <c r="X608" i="29"/>
  <c r="Y608" i="29"/>
  <c r="Z608" i="29"/>
  <c r="AB608" i="29"/>
  <c r="AD608" i="29"/>
  <c r="A609" i="29"/>
  <c r="E609" i="29"/>
  <c r="G609" i="29"/>
  <c r="H609" i="29"/>
  <c r="I609" i="29"/>
  <c r="J609" i="29"/>
  <c r="K609" i="29"/>
  <c r="L609" i="29"/>
  <c r="M609" i="29"/>
  <c r="N609" i="29"/>
  <c r="O609" i="29"/>
  <c r="P609" i="29"/>
  <c r="Q609" i="29"/>
  <c r="R609" i="29"/>
  <c r="T609" i="29"/>
  <c r="V609" i="29"/>
  <c r="X609" i="29"/>
  <c r="Y609" i="29"/>
  <c r="Z609" i="29"/>
  <c r="AB609" i="29"/>
  <c r="AD609" i="29"/>
  <c r="A610" i="29"/>
  <c r="E610" i="29"/>
  <c r="G610" i="29"/>
  <c r="H610" i="29"/>
  <c r="I610" i="29"/>
  <c r="J610" i="29"/>
  <c r="K610" i="29"/>
  <c r="L610" i="29"/>
  <c r="M610" i="29"/>
  <c r="N610" i="29"/>
  <c r="O610" i="29"/>
  <c r="P610" i="29"/>
  <c r="Q610" i="29"/>
  <c r="R610" i="29"/>
  <c r="T610" i="29"/>
  <c r="V610" i="29"/>
  <c r="X610" i="29"/>
  <c r="Y610" i="29"/>
  <c r="Z610" i="29"/>
  <c r="AB610" i="29"/>
  <c r="AD610" i="29"/>
  <c r="A611" i="29"/>
  <c r="E611" i="29"/>
  <c r="G611" i="29"/>
  <c r="H611" i="29"/>
  <c r="I611" i="29"/>
  <c r="J611" i="29"/>
  <c r="K611" i="29"/>
  <c r="L611" i="29"/>
  <c r="M611" i="29"/>
  <c r="N611" i="29"/>
  <c r="O611" i="29"/>
  <c r="P611" i="29"/>
  <c r="Q611" i="29"/>
  <c r="R611" i="29"/>
  <c r="T611" i="29"/>
  <c r="V611" i="29"/>
  <c r="X611" i="29"/>
  <c r="Y611" i="29"/>
  <c r="Z611" i="29"/>
  <c r="AB611" i="29"/>
  <c r="AD611" i="29"/>
  <c r="A612" i="29"/>
  <c r="E612" i="29"/>
  <c r="G612" i="29"/>
  <c r="H612" i="29"/>
  <c r="I612" i="29"/>
  <c r="J612" i="29"/>
  <c r="K612" i="29"/>
  <c r="L612" i="29"/>
  <c r="M612" i="29"/>
  <c r="N612" i="29"/>
  <c r="O612" i="29"/>
  <c r="P612" i="29"/>
  <c r="Q612" i="29"/>
  <c r="R612" i="29"/>
  <c r="T612" i="29"/>
  <c r="V612" i="29"/>
  <c r="X612" i="29"/>
  <c r="Y612" i="29"/>
  <c r="Z612" i="29"/>
  <c r="AB612" i="29"/>
  <c r="AD612" i="29"/>
  <c r="A613" i="29"/>
  <c r="E613" i="29"/>
  <c r="G613" i="29"/>
  <c r="H613" i="29"/>
  <c r="I613" i="29"/>
  <c r="J613" i="29"/>
  <c r="K613" i="29"/>
  <c r="L613" i="29"/>
  <c r="M613" i="29"/>
  <c r="N613" i="29"/>
  <c r="O613" i="29"/>
  <c r="P613" i="29"/>
  <c r="Q613" i="29"/>
  <c r="R613" i="29"/>
  <c r="T613" i="29"/>
  <c r="V613" i="29"/>
  <c r="X613" i="29"/>
  <c r="Y613" i="29"/>
  <c r="Z613" i="29"/>
  <c r="AB613" i="29"/>
  <c r="AD613" i="29"/>
  <c r="A614" i="29"/>
  <c r="E614" i="29"/>
  <c r="G614" i="29"/>
  <c r="H614" i="29"/>
  <c r="I614" i="29"/>
  <c r="J614" i="29"/>
  <c r="K614" i="29"/>
  <c r="L614" i="29"/>
  <c r="M614" i="29"/>
  <c r="N614" i="29"/>
  <c r="O614" i="29"/>
  <c r="P614" i="29"/>
  <c r="Q614" i="29"/>
  <c r="R614" i="29"/>
  <c r="T614" i="29"/>
  <c r="V614" i="29"/>
  <c r="X614" i="29"/>
  <c r="Y614" i="29"/>
  <c r="Z614" i="29"/>
  <c r="AB614" i="29"/>
  <c r="AD614" i="29"/>
  <c r="A615" i="29"/>
  <c r="E615" i="29"/>
  <c r="G615" i="29"/>
  <c r="H615" i="29"/>
  <c r="I615" i="29"/>
  <c r="J615" i="29"/>
  <c r="K615" i="29"/>
  <c r="L615" i="29"/>
  <c r="M615" i="29"/>
  <c r="N615" i="29"/>
  <c r="O615" i="29"/>
  <c r="P615" i="29"/>
  <c r="Q615" i="29"/>
  <c r="R615" i="29"/>
  <c r="T615" i="29"/>
  <c r="V615" i="29"/>
  <c r="X615" i="29"/>
  <c r="Y615" i="29"/>
  <c r="Z615" i="29"/>
  <c r="AB615" i="29"/>
  <c r="AD615" i="29"/>
  <c r="A616" i="29"/>
  <c r="E616" i="29"/>
  <c r="G616" i="29"/>
  <c r="H616" i="29"/>
  <c r="I616" i="29"/>
  <c r="J616" i="29"/>
  <c r="K616" i="29"/>
  <c r="L616" i="29"/>
  <c r="M616" i="29"/>
  <c r="N616" i="29"/>
  <c r="O616" i="29"/>
  <c r="P616" i="29"/>
  <c r="Q616" i="29"/>
  <c r="R616" i="29"/>
  <c r="T616" i="29"/>
  <c r="V616" i="29"/>
  <c r="X616" i="29"/>
  <c r="Y616" i="29"/>
  <c r="Z616" i="29"/>
  <c r="AB616" i="29"/>
  <c r="AD616" i="29"/>
  <c r="A617" i="29"/>
  <c r="E617" i="29"/>
  <c r="G617" i="29"/>
  <c r="H617" i="29"/>
  <c r="I617" i="29"/>
  <c r="J617" i="29"/>
  <c r="K617" i="29"/>
  <c r="L617" i="29"/>
  <c r="M617" i="29"/>
  <c r="N617" i="29"/>
  <c r="O617" i="29"/>
  <c r="P617" i="29"/>
  <c r="Q617" i="29"/>
  <c r="R617" i="29"/>
  <c r="T617" i="29"/>
  <c r="V617" i="29"/>
  <c r="X617" i="29"/>
  <c r="Y617" i="29"/>
  <c r="Z617" i="29"/>
  <c r="AB617" i="29"/>
  <c r="AD617" i="29"/>
  <c r="A618" i="29"/>
  <c r="E618" i="29"/>
  <c r="G618" i="29"/>
  <c r="H618" i="29"/>
  <c r="I618" i="29"/>
  <c r="J618" i="29"/>
  <c r="K618" i="29"/>
  <c r="L618" i="29"/>
  <c r="M618" i="29"/>
  <c r="N618" i="29"/>
  <c r="O618" i="29"/>
  <c r="P618" i="29"/>
  <c r="Q618" i="29"/>
  <c r="R618" i="29"/>
  <c r="T618" i="29"/>
  <c r="V618" i="29"/>
  <c r="X618" i="29"/>
  <c r="Y618" i="29"/>
  <c r="Z618" i="29"/>
  <c r="AB618" i="29"/>
  <c r="AD618" i="29"/>
  <c r="A622" i="29"/>
  <c r="E622" i="29"/>
  <c r="G622" i="29"/>
  <c r="H622" i="29"/>
  <c r="I622" i="29"/>
  <c r="J622" i="29"/>
  <c r="K622" i="29"/>
  <c r="L622" i="29"/>
  <c r="M622" i="29"/>
  <c r="N622" i="29"/>
  <c r="O622" i="29"/>
  <c r="P622" i="29"/>
  <c r="Q622" i="29"/>
  <c r="R622" i="29"/>
  <c r="R957" i="29" s="1"/>
  <c r="AE957" i="29" s="1"/>
  <c r="T622" i="29"/>
  <c r="T957" i="29" s="1"/>
  <c r="V622" i="29"/>
  <c r="V957" i="29" s="1"/>
  <c r="X622" i="29"/>
  <c r="Y622" i="29"/>
  <c r="Z622" i="29"/>
  <c r="Z957" i="29" s="1"/>
  <c r="AD622" i="29"/>
  <c r="A623" i="29"/>
  <c r="E623" i="29"/>
  <c r="G623" i="29"/>
  <c r="H623" i="29"/>
  <c r="I623" i="29"/>
  <c r="J623" i="29"/>
  <c r="K623" i="29"/>
  <c r="L623" i="29"/>
  <c r="M623" i="29"/>
  <c r="N623" i="29"/>
  <c r="O623" i="29"/>
  <c r="P623" i="29"/>
  <c r="Q623" i="29"/>
  <c r="R623" i="29"/>
  <c r="T623" i="29"/>
  <c r="V623" i="29"/>
  <c r="X623" i="29"/>
  <c r="Y623" i="29"/>
  <c r="Z623" i="29"/>
  <c r="AD623" i="29"/>
  <c r="A624" i="29"/>
  <c r="G624" i="29"/>
  <c r="H624" i="29"/>
  <c r="I624" i="29"/>
  <c r="J624" i="29"/>
  <c r="K624" i="29"/>
  <c r="L624" i="29"/>
  <c r="M624" i="29"/>
  <c r="N624" i="29"/>
  <c r="P624" i="29"/>
  <c r="R624" i="29"/>
  <c r="T624" i="29"/>
  <c r="Z624" i="29"/>
  <c r="AD624" i="29"/>
  <c r="A625" i="29"/>
  <c r="G625" i="29"/>
  <c r="H625" i="29"/>
  <c r="I625" i="29"/>
  <c r="J625" i="29"/>
  <c r="K625" i="29"/>
  <c r="L625" i="29"/>
  <c r="M625" i="29"/>
  <c r="N625" i="29"/>
  <c r="P625" i="29"/>
  <c r="R625" i="29"/>
  <c r="T625" i="29"/>
  <c r="Z625" i="29"/>
  <c r="AD625" i="29"/>
  <c r="A626" i="29"/>
  <c r="G626" i="29"/>
  <c r="H626" i="29"/>
  <c r="I626" i="29"/>
  <c r="J626" i="29"/>
  <c r="K626" i="29"/>
  <c r="L626" i="29"/>
  <c r="M626" i="29"/>
  <c r="N626" i="29"/>
  <c r="P626" i="29"/>
  <c r="R626" i="29"/>
  <c r="T626" i="29"/>
  <c r="Z626" i="29"/>
  <c r="AD626" i="29"/>
  <c r="A627" i="29"/>
  <c r="G627" i="29"/>
  <c r="H627" i="29"/>
  <c r="I627" i="29"/>
  <c r="J627" i="29"/>
  <c r="K627" i="29"/>
  <c r="L627" i="29"/>
  <c r="M627" i="29"/>
  <c r="N627" i="29"/>
  <c r="P627" i="29"/>
  <c r="R627" i="29"/>
  <c r="T627" i="29"/>
  <c r="Z627" i="29"/>
  <c r="AD627" i="29"/>
  <c r="A628" i="29"/>
  <c r="G628" i="29"/>
  <c r="H628" i="29"/>
  <c r="I628" i="29"/>
  <c r="J628" i="29"/>
  <c r="K628" i="29"/>
  <c r="L628" i="29"/>
  <c r="M628" i="29"/>
  <c r="N628" i="29"/>
  <c r="P628" i="29"/>
  <c r="R628" i="29"/>
  <c r="T628" i="29"/>
  <c r="Z628" i="29"/>
  <c r="AD628" i="29"/>
  <c r="A629" i="29"/>
  <c r="G629" i="29"/>
  <c r="H629" i="29"/>
  <c r="I629" i="29"/>
  <c r="J629" i="29"/>
  <c r="K629" i="29"/>
  <c r="L629" i="29"/>
  <c r="M629" i="29"/>
  <c r="N629" i="29"/>
  <c r="P629" i="29"/>
  <c r="R629" i="29"/>
  <c r="T629" i="29"/>
  <c r="Z629" i="29"/>
  <c r="AD629" i="29"/>
  <c r="A630" i="29"/>
  <c r="G630" i="29"/>
  <c r="H630" i="29"/>
  <c r="I630" i="29"/>
  <c r="J630" i="29"/>
  <c r="K630" i="29"/>
  <c r="L630" i="29"/>
  <c r="M630" i="29"/>
  <c r="N630" i="29"/>
  <c r="AD630" i="29"/>
  <c r="A631" i="29"/>
  <c r="G631" i="29"/>
  <c r="H631" i="29"/>
  <c r="I631" i="29"/>
  <c r="J631" i="29"/>
  <c r="K631" i="29"/>
  <c r="L631" i="29"/>
  <c r="M631" i="29"/>
  <c r="N631" i="29"/>
  <c r="P631" i="29"/>
  <c r="R631" i="29"/>
  <c r="T631" i="29"/>
  <c r="Z631" i="29"/>
  <c r="AD631" i="29"/>
  <c r="A632" i="29"/>
  <c r="E632" i="29"/>
  <c r="G632" i="29"/>
  <c r="H632" i="29"/>
  <c r="I632" i="29"/>
  <c r="J632" i="29"/>
  <c r="K632" i="29"/>
  <c r="L632" i="29"/>
  <c r="M632" i="29"/>
  <c r="N632" i="29"/>
  <c r="O632" i="29"/>
  <c r="P632" i="29"/>
  <c r="Q632" i="29"/>
  <c r="R632" i="29"/>
  <c r="T632" i="29"/>
  <c r="V632" i="29"/>
  <c r="X632" i="29"/>
  <c r="Y632" i="29"/>
  <c r="Z632" i="29"/>
  <c r="AD632" i="29"/>
  <c r="A633" i="29"/>
  <c r="E633" i="29"/>
  <c r="G633" i="29"/>
  <c r="H633" i="29"/>
  <c r="I633" i="29"/>
  <c r="J633" i="29"/>
  <c r="K633" i="29"/>
  <c r="L633" i="29"/>
  <c r="M633" i="29"/>
  <c r="N633" i="29"/>
  <c r="O633" i="29"/>
  <c r="P633" i="29"/>
  <c r="Q633" i="29"/>
  <c r="R633" i="29"/>
  <c r="T633" i="29"/>
  <c r="V633" i="29"/>
  <c r="X633" i="29"/>
  <c r="Y633" i="29"/>
  <c r="Z633" i="29"/>
  <c r="AD633" i="29"/>
  <c r="A634" i="29"/>
  <c r="E634" i="29"/>
  <c r="G634" i="29"/>
  <c r="H634" i="29"/>
  <c r="I634" i="29"/>
  <c r="J634" i="29"/>
  <c r="K634" i="29"/>
  <c r="L634" i="29"/>
  <c r="M634" i="29"/>
  <c r="N634" i="29"/>
  <c r="O634" i="29"/>
  <c r="P634" i="29"/>
  <c r="Q634" i="29"/>
  <c r="R634" i="29"/>
  <c r="T634" i="29"/>
  <c r="V634" i="29"/>
  <c r="X634" i="29"/>
  <c r="Y634" i="29"/>
  <c r="Z634" i="29"/>
  <c r="AD634" i="29"/>
  <c r="A635" i="29"/>
  <c r="E635" i="29"/>
  <c r="G635" i="29"/>
  <c r="H635" i="29"/>
  <c r="I635" i="29"/>
  <c r="J635" i="29"/>
  <c r="K635" i="29"/>
  <c r="L635" i="29"/>
  <c r="M635" i="29"/>
  <c r="N635" i="29"/>
  <c r="O635" i="29"/>
  <c r="P635" i="29"/>
  <c r="Q635" i="29"/>
  <c r="R635" i="29"/>
  <c r="T635" i="29"/>
  <c r="V635" i="29"/>
  <c r="X635" i="29"/>
  <c r="Y635" i="29"/>
  <c r="Z635" i="29"/>
  <c r="AD635" i="29"/>
  <c r="A636" i="29"/>
  <c r="E636" i="29"/>
  <c r="G636" i="29"/>
  <c r="H636" i="29"/>
  <c r="I636" i="29"/>
  <c r="J636" i="29"/>
  <c r="K636" i="29"/>
  <c r="L636" i="29"/>
  <c r="M636" i="29"/>
  <c r="N636" i="29"/>
  <c r="O636" i="29"/>
  <c r="P636" i="29"/>
  <c r="Q636" i="29"/>
  <c r="R636" i="29"/>
  <c r="T636" i="29"/>
  <c r="V636" i="29"/>
  <c r="X636" i="29"/>
  <c r="Y636" i="29"/>
  <c r="Z636" i="29"/>
  <c r="AB636" i="29"/>
  <c r="AD636" i="29"/>
  <c r="A637" i="29"/>
  <c r="E637" i="29"/>
  <c r="G637" i="29"/>
  <c r="H637" i="29"/>
  <c r="I637" i="29"/>
  <c r="J637" i="29"/>
  <c r="K637" i="29"/>
  <c r="L637" i="29"/>
  <c r="M637" i="29"/>
  <c r="N637" i="29"/>
  <c r="O637" i="29"/>
  <c r="P637" i="29"/>
  <c r="Q637" i="29"/>
  <c r="R637" i="29"/>
  <c r="T637" i="29"/>
  <c r="V637" i="29"/>
  <c r="X637" i="29"/>
  <c r="Y637" i="29"/>
  <c r="Z637" i="29"/>
  <c r="AB637" i="29"/>
  <c r="AD637" i="29"/>
  <c r="A638" i="29"/>
  <c r="E638" i="29"/>
  <c r="G638" i="29"/>
  <c r="H638" i="29"/>
  <c r="I638" i="29"/>
  <c r="J638" i="29"/>
  <c r="K638" i="29"/>
  <c r="L638" i="29"/>
  <c r="M638" i="29"/>
  <c r="N638" i="29"/>
  <c r="O638" i="29"/>
  <c r="P638" i="29"/>
  <c r="Q638" i="29"/>
  <c r="R638" i="29"/>
  <c r="T638" i="29"/>
  <c r="V638" i="29"/>
  <c r="X638" i="29"/>
  <c r="Y638" i="29"/>
  <c r="Z638" i="29"/>
  <c r="AB638" i="29"/>
  <c r="AD638" i="29"/>
  <c r="A639" i="29"/>
  <c r="E639" i="29"/>
  <c r="G639" i="29"/>
  <c r="H639" i="29"/>
  <c r="I639" i="29"/>
  <c r="J639" i="29"/>
  <c r="K639" i="29"/>
  <c r="L639" i="29"/>
  <c r="M639" i="29"/>
  <c r="N639" i="29"/>
  <c r="O639" i="29"/>
  <c r="P639" i="29"/>
  <c r="Q639" i="29"/>
  <c r="R639" i="29"/>
  <c r="T639" i="29"/>
  <c r="V639" i="29"/>
  <c r="X639" i="29"/>
  <c r="Y639" i="29"/>
  <c r="Z639" i="29"/>
  <c r="AB639" i="29"/>
  <c r="AD639" i="29"/>
  <c r="A640" i="29"/>
  <c r="E640" i="29"/>
  <c r="G640" i="29"/>
  <c r="H640" i="29"/>
  <c r="I640" i="29"/>
  <c r="J640" i="29"/>
  <c r="K640" i="29"/>
  <c r="L640" i="29"/>
  <c r="M640" i="29"/>
  <c r="N640" i="29"/>
  <c r="O640" i="29"/>
  <c r="P640" i="29"/>
  <c r="Q640" i="29"/>
  <c r="R640" i="29"/>
  <c r="T640" i="29"/>
  <c r="V640" i="29"/>
  <c r="X640" i="29"/>
  <c r="Y640" i="29"/>
  <c r="Z640" i="29"/>
  <c r="AB640" i="29"/>
  <c r="AD640" i="29"/>
  <c r="A641" i="29"/>
  <c r="E641" i="29"/>
  <c r="G641" i="29"/>
  <c r="H641" i="29"/>
  <c r="I641" i="29"/>
  <c r="J641" i="29"/>
  <c r="K641" i="29"/>
  <c r="L641" i="29"/>
  <c r="M641" i="29"/>
  <c r="N641" i="29"/>
  <c r="O641" i="29"/>
  <c r="P641" i="29"/>
  <c r="Q641" i="29"/>
  <c r="R641" i="29"/>
  <c r="T641" i="29"/>
  <c r="V641" i="29"/>
  <c r="X641" i="29"/>
  <c r="Y641" i="29"/>
  <c r="Z641" i="29"/>
  <c r="AB641" i="29"/>
  <c r="AD641" i="29"/>
  <c r="A642" i="29"/>
  <c r="E642" i="29"/>
  <c r="G642" i="29"/>
  <c r="H642" i="29"/>
  <c r="I642" i="29"/>
  <c r="J642" i="29"/>
  <c r="K642" i="29"/>
  <c r="L642" i="29"/>
  <c r="M642" i="29"/>
  <c r="N642" i="29"/>
  <c r="O642" i="29"/>
  <c r="P642" i="29"/>
  <c r="Q642" i="29"/>
  <c r="R642" i="29"/>
  <c r="T642" i="29"/>
  <c r="V642" i="29"/>
  <c r="X642" i="29"/>
  <c r="Y642" i="29"/>
  <c r="Z642" i="29"/>
  <c r="AB642" i="29"/>
  <c r="AD642" i="29"/>
  <c r="A643" i="29"/>
  <c r="E643" i="29"/>
  <c r="G643" i="29"/>
  <c r="H643" i="29"/>
  <c r="I643" i="29"/>
  <c r="J643" i="29"/>
  <c r="K643" i="29"/>
  <c r="L643" i="29"/>
  <c r="M643" i="29"/>
  <c r="N643" i="29"/>
  <c r="O643" i="29"/>
  <c r="P643" i="29"/>
  <c r="Q643" i="29"/>
  <c r="R643" i="29"/>
  <c r="T643" i="29"/>
  <c r="V643" i="29"/>
  <c r="X643" i="29"/>
  <c r="Y643" i="29"/>
  <c r="Z643" i="29"/>
  <c r="AB643" i="29"/>
  <c r="AD643" i="29"/>
  <c r="A644" i="29"/>
  <c r="E644" i="29"/>
  <c r="G644" i="29"/>
  <c r="H644" i="29"/>
  <c r="I644" i="29"/>
  <c r="J644" i="29"/>
  <c r="K644" i="29"/>
  <c r="L644" i="29"/>
  <c r="M644" i="29"/>
  <c r="N644" i="29"/>
  <c r="O644" i="29"/>
  <c r="P644" i="29"/>
  <c r="Q644" i="29"/>
  <c r="R644" i="29"/>
  <c r="T644" i="29"/>
  <c r="V644" i="29"/>
  <c r="X644" i="29"/>
  <c r="Y644" i="29"/>
  <c r="Z644" i="29"/>
  <c r="AB644" i="29"/>
  <c r="AD644" i="29"/>
  <c r="A645" i="29"/>
  <c r="E645" i="29"/>
  <c r="G645" i="29"/>
  <c r="H645" i="29"/>
  <c r="I645" i="29"/>
  <c r="J645" i="29"/>
  <c r="K645" i="29"/>
  <c r="L645" i="29"/>
  <c r="M645" i="29"/>
  <c r="N645" i="29"/>
  <c r="O645" i="29"/>
  <c r="P645" i="29"/>
  <c r="Q645" i="29"/>
  <c r="R645" i="29"/>
  <c r="T645" i="29"/>
  <c r="V645" i="29"/>
  <c r="X645" i="29"/>
  <c r="Y645" i="29"/>
  <c r="Z645" i="29"/>
  <c r="AB645" i="29"/>
  <c r="AD645" i="29"/>
  <c r="A646" i="29"/>
  <c r="E646" i="29"/>
  <c r="G646" i="29"/>
  <c r="H646" i="29"/>
  <c r="I646" i="29"/>
  <c r="J646" i="29"/>
  <c r="K646" i="29"/>
  <c r="L646" i="29"/>
  <c r="M646" i="29"/>
  <c r="N646" i="29"/>
  <c r="O646" i="29"/>
  <c r="P646" i="29"/>
  <c r="Q646" i="29"/>
  <c r="R646" i="29"/>
  <c r="T646" i="29"/>
  <c r="V646" i="29"/>
  <c r="X646" i="29"/>
  <c r="Y646" i="29"/>
  <c r="Z646" i="29"/>
  <c r="AB646" i="29"/>
  <c r="AD646" i="29"/>
  <c r="A647" i="29"/>
  <c r="E647" i="29"/>
  <c r="G647" i="29"/>
  <c r="H647" i="29"/>
  <c r="I647" i="29"/>
  <c r="J647" i="29"/>
  <c r="K647" i="29"/>
  <c r="L647" i="29"/>
  <c r="M647" i="29"/>
  <c r="N647" i="29"/>
  <c r="O647" i="29"/>
  <c r="P647" i="29"/>
  <c r="Q647" i="29"/>
  <c r="R647" i="29"/>
  <c r="T647" i="29"/>
  <c r="V647" i="29"/>
  <c r="X647" i="29"/>
  <c r="Y647" i="29"/>
  <c r="Z647" i="29"/>
  <c r="AB647" i="29"/>
  <c r="AD647" i="29"/>
  <c r="A648" i="29"/>
  <c r="E648" i="29"/>
  <c r="G648" i="29"/>
  <c r="H648" i="29"/>
  <c r="I648" i="29"/>
  <c r="J648" i="29"/>
  <c r="K648" i="29"/>
  <c r="L648" i="29"/>
  <c r="M648" i="29"/>
  <c r="N648" i="29"/>
  <c r="O648" i="29"/>
  <c r="P648" i="29"/>
  <c r="Q648" i="29"/>
  <c r="R648" i="29"/>
  <c r="T648" i="29"/>
  <c r="V648" i="29"/>
  <c r="X648" i="29"/>
  <c r="Y648" i="29"/>
  <c r="Z648" i="29"/>
  <c r="AB648" i="29"/>
  <c r="AD648" i="29"/>
  <c r="A649" i="29"/>
  <c r="E649" i="29"/>
  <c r="G649" i="29"/>
  <c r="H649" i="29"/>
  <c r="I649" i="29"/>
  <c r="J649" i="29"/>
  <c r="K649" i="29"/>
  <c r="L649" i="29"/>
  <c r="M649" i="29"/>
  <c r="N649" i="29"/>
  <c r="O649" i="29"/>
  <c r="P649" i="29"/>
  <c r="Q649" i="29"/>
  <c r="R649" i="29"/>
  <c r="T649" i="29"/>
  <c r="V649" i="29"/>
  <c r="X649" i="29"/>
  <c r="Y649" i="29"/>
  <c r="Z649" i="29"/>
  <c r="AB649" i="29"/>
  <c r="AD649" i="29"/>
  <c r="A650" i="29"/>
  <c r="E650" i="29"/>
  <c r="G650" i="29"/>
  <c r="H650" i="29"/>
  <c r="I650" i="29"/>
  <c r="J650" i="29"/>
  <c r="K650" i="29"/>
  <c r="L650" i="29"/>
  <c r="M650" i="29"/>
  <c r="N650" i="29"/>
  <c r="O650" i="29"/>
  <c r="P650" i="29"/>
  <c r="Q650" i="29"/>
  <c r="R650" i="29"/>
  <c r="T650" i="29"/>
  <c r="V650" i="29"/>
  <c r="X650" i="29"/>
  <c r="Y650" i="29"/>
  <c r="Z650" i="29"/>
  <c r="AB650" i="29"/>
  <c r="AD650" i="29"/>
  <c r="A651" i="29"/>
  <c r="E651" i="29"/>
  <c r="G651" i="29"/>
  <c r="H651" i="29"/>
  <c r="I651" i="29"/>
  <c r="J651" i="29"/>
  <c r="K651" i="29"/>
  <c r="L651" i="29"/>
  <c r="M651" i="29"/>
  <c r="N651" i="29"/>
  <c r="O651" i="29"/>
  <c r="P651" i="29"/>
  <c r="Q651" i="29"/>
  <c r="R651" i="29"/>
  <c r="T651" i="29"/>
  <c r="V651" i="29"/>
  <c r="X651" i="29"/>
  <c r="Y651" i="29"/>
  <c r="Z651" i="29"/>
  <c r="AB651" i="29"/>
  <c r="AD651" i="29"/>
  <c r="A652" i="29"/>
  <c r="E652" i="29"/>
  <c r="G652" i="29"/>
  <c r="H652" i="29"/>
  <c r="I652" i="29"/>
  <c r="J652" i="29"/>
  <c r="K652" i="29"/>
  <c r="L652" i="29"/>
  <c r="M652" i="29"/>
  <c r="N652" i="29"/>
  <c r="O652" i="29"/>
  <c r="P652" i="29"/>
  <c r="Q652" i="29"/>
  <c r="R652" i="29"/>
  <c r="T652" i="29"/>
  <c r="V652" i="29"/>
  <c r="X652" i="29"/>
  <c r="Y652" i="29"/>
  <c r="Z652" i="29"/>
  <c r="AB652" i="29"/>
  <c r="AD652" i="29"/>
  <c r="A653" i="29"/>
  <c r="E653" i="29"/>
  <c r="G653" i="29"/>
  <c r="H653" i="29"/>
  <c r="I653" i="29"/>
  <c r="J653" i="29"/>
  <c r="K653" i="29"/>
  <c r="L653" i="29"/>
  <c r="M653" i="29"/>
  <c r="N653" i="29"/>
  <c r="O653" i="29"/>
  <c r="P653" i="29"/>
  <c r="Q653" i="29"/>
  <c r="R653" i="29"/>
  <c r="T653" i="29"/>
  <c r="V653" i="29"/>
  <c r="X653" i="29"/>
  <c r="Y653" i="29"/>
  <c r="Z653" i="29"/>
  <c r="AB653" i="29"/>
  <c r="AD653" i="29"/>
  <c r="A654" i="29"/>
  <c r="E654" i="29"/>
  <c r="G654" i="29"/>
  <c r="H654" i="29"/>
  <c r="I654" i="29"/>
  <c r="J654" i="29"/>
  <c r="K654" i="29"/>
  <c r="L654" i="29"/>
  <c r="M654" i="29"/>
  <c r="N654" i="29"/>
  <c r="O654" i="29"/>
  <c r="P654" i="29"/>
  <c r="Q654" i="29"/>
  <c r="R654" i="29"/>
  <c r="T654" i="29"/>
  <c r="V654" i="29"/>
  <c r="X654" i="29"/>
  <c r="Y654" i="29"/>
  <c r="Z654" i="29"/>
  <c r="AB654" i="29"/>
  <c r="AD654" i="29"/>
  <c r="A655" i="29"/>
  <c r="E655" i="29"/>
  <c r="G655" i="29"/>
  <c r="H655" i="29"/>
  <c r="I655" i="29"/>
  <c r="J655" i="29"/>
  <c r="K655" i="29"/>
  <c r="L655" i="29"/>
  <c r="M655" i="29"/>
  <c r="N655" i="29"/>
  <c r="O655" i="29"/>
  <c r="P655" i="29"/>
  <c r="Q655" i="29"/>
  <c r="R655" i="29"/>
  <c r="T655" i="29"/>
  <c r="V655" i="29"/>
  <c r="X655" i="29"/>
  <c r="Y655" i="29"/>
  <c r="Z655" i="29"/>
  <c r="AB655" i="29"/>
  <c r="AD655" i="29"/>
  <c r="A656" i="29"/>
  <c r="E656" i="29"/>
  <c r="G656" i="29"/>
  <c r="H656" i="29"/>
  <c r="I656" i="29"/>
  <c r="J656" i="29"/>
  <c r="K656" i="29"/>
  <c r="L656" i="29"/>
  <c r="M656" i="29"/>
  <c r="N656" i="29"/>
  <c r="O656" i="29"/>
  <c r="P656" i="29"/>
  <c r="Q656" i="29"/>
  <c r="R656" i="29"/>
  <c r="T656" i="29"/>
  <c r="V656" i="29"/>
  <c r="X656" i="29"/>
  <c r="Y656" i="29"/>
  <c r="Z656" i="29"/>
  <c r="AB656" i="29"/>
  <c r="AD656" i="29"/>
  <c r="A657" i="29"/>
  <c r="E657" i="29"/>
  <c r="G657" i="29"/>
  <c r="H657" i="29"/>
  <c r="I657" i="29"/>
  <c r="J657" i="29"/>
  <c r="K657" i="29"/>
  <c r="L657" i="29"/>
  <c r="M657" i="29"/>
  <c r="N657" i="29"/>
  <c r="O657" i="29"/>
  <c r="P657" i="29"/>
  <c r="Q657" i="29"/>
  <c r="R657" i="29"/>
  <c r="T657" i="29"/>
  <c r="V657" i="29"/>
  <c r="X657" i="29"/>
  <c r="Y657" i="29"/>
  <c r="Z657" i="29"/>
  <c r="AB657" i="29"/>
  <c r="AD657" i="29"/>
  <c r="A658" i="29"/>
  <c r="E658" i="29"/>
  <c r="G658" i="29"/>
  <c r="H658" i="29"/>
  <c r="I658" i="29"/>
  <c r="J658" i="29"/>
  <c r="K658" i="29"/>
  <c r="L658" i="29"/>
  <c r="M658" i="29"/>
  <c r="N658" i="29"/>
  <c r="O658" i="29"/>
  <c r="P658" i="29"/>
  <c r="Q658" i="29"/>
  <c r="R658" i="29"/>
  <c r="T658" i="29"/>
  <c r="V658" i="29"/>
  <c r="X658" i="29"/>
  <c r="Y658" i="29"/>
  <c r="Z658" i="29"/>
  <c r="AB658" i="29"/>
  <c r="AD658" i="29"/>
  <c r="A659" i="29"/>
  <c r="E659" i="29"/>
  <c r="G659" i="29"/>
  <c r="H659" i="29"/>
  <c r="I659" i="29"/>
  <c r="J659" i="29"/>
  <c r="K659" i="29"/>
  <c r="L659" i="29"/>
  <c r="M659" i="29"/>
  <c r="N659" i="29"/>
  <c r="O659" i="29"/>
  <c r="P659" i="29"/>
  <c r="Q659" i="29"/>
  <c r="R659" i="29"/>
  <c r="T659" i="29"/>
  <c r="V659" i="29"/>
  <c r="X659" i="29"/>
  <c r="Y659" i="29"/>
  <c r="Z659" i="29"/>
  <c r="AB659" i="29"/>
  <c r="AD659" i="29"/>
  <c r="A660" i="29"/>
  <c r="E660" i="29"/>
  <c r="G660" i="29"/>
  <c r="H660" i="29"/>
  <c r="I660" i="29"/>
  <c r="J660" i="29"/>
  <c r="K660" i="29"/>
  <c r="L660" i="29"/>
  <c r="M660" i="29"/>
  <c r="N660" i="29"/>
  <c r="O660" i="29"/>
  <c r="P660" i="29"/>
  <c r="Q660" i="29"/>
  <c r="R660" i="29"/>
  <c r="T660" i="29"/>
  <c r="V660" i="29"/>
  <c r="X660" i="29"/>
  <c r="Y660" i="29"/>
  <c r="Z660" i="29"/>
  <c r="AB660" i="29"/>
  <c r="AD660" i="29"/>
  <c r="A661" i="29"/>
  <c r="E661" i="29"/>
  <c r="G661" i="29"/>
  <c r="H661" i="29"/>
  <c r="I661" i="29"/>
  <c r="J661" i="29"/>
  <c r="K661" i="29"/>
  <c r="L661" i="29"/>
  <c r="M661" i="29"/>
  <c r="N661" i="29"/>
  <c r="O661" i="29"/>
  <c r="P661" i="29"/>
  <c r="Q661" i="29"/>
  <c r="R661" i="29"/>
  <c r="T661" i="29"/>
  <c r="V661" i="29"/>
  <c r="X661" i="29"/>
  <c r="Y661" i="29"/>
  <c r="Z661" i="29"/>
  <c r="AB661" i="29"/>
  <c r="AD661" i="29"/>
  <c r="A662" i="29"/>
  <c r="E662" i="29"/>
  <c r="G662" i="29"/>
  <c r="H662" i="29"/>
  <c r="I662" i="29"/>
  <c r="J662" i="29"/>
  <c r="K662" i="29"/>
  <c r="L662" i="29"/>
  <c r="M662" i="29"/>
  <c r="N662" i="29"/>
  <c r="O662" i="29"/>
  <c r="P662" i="29"/>
  <c r="Q662" i="29"/>
  <c r="R662" i="29"/>
  <c r="T662" i="29"/>
  <c r="V662" i="29"/>
  <c r="X662" i="29"/>
  <c r="Y662" i="29"/>
  <c r="Z662" i="29"/>
  <c r="AB662" i="29"/>
  <c r="AD662" i="29"/>
  <c r="A663" i="29"/>
  <c r="E663" i="29"/>
  <c r="G663" i="29"/>
  <c r="H663" i="29"/>
  <c r="I663" i="29"/>
  <c r="J663" i="29"/>
  <c r="K663" i="29"/>
  <c r="L663" i="29"/>
  <c r="M663" i="29"/>
  <c r="N663" i="29"/>
  <c r="O663" i="29"/>
  <c r="P663" i="29"/>
  <c r="Q663" i="29"/>
  <c r="R663" i="29"/>
  <c r="T663" i="29"/>
  <c r="V663" i="29"/>
  <c r="X663" i="29"/>
  <c r="Y663" i="29"/>
  <c r="Z663" i="29"/>
  <c r="AB663" i="29"/>
  <c r="AD663" i="29"/>
  <c r="A664" i="29"/>
  <c r="E664" i="29"/>
  <c r="G664" i="29"/>
  <c r="H664" i="29"/>
  <c r="I664" i="29"/>
  <c r="J664" i="29"/>
  <c r="K664" i="29"/>
  <c r="L664" i="29"/>
  <c r="M664" i="29"/>
  <c r="N664" i="29"/>
  <c r="O664" i="29"/>
  <c r="P664" i="29"/>
  <c r="Q664" i="29"/>
  <c r="R664" i="29"/>
  <c r="T664" i="29"/>
  <c r="V664" i="29"/>
  <c r="X664" i="29"/>
  <c r="Y664" i="29"/>
  <c r="Z664" i="29"/>
  <c r="AB664" i="29"/>
  <c r="AD664" i="29"/>
  <c r="A665" i="29"/>
  <c r="E665" i="29"/>
  <c r="G665" i="29"/>
  <c r="H665" i="29"/>
  <c r="I665" i="29"/>
  <c r="J665" i="29"/>
  <c r="K665" i="29"/>
  <c r="L665" i="29"/>
  <c r="M665" i="29"/>
  <c r="N665" i="29"/>
  <c r="O665" i="29"/>
  <c r="P665" i="29"/>
  <c r="Q665" i="29"/>
  <c r="R665" i="29"/>
  <c r="T665" i="29"/>
  <c r="V665" i="29"/>
  <c r="X665" i="29"/>
  <c r="Y665" i="29"/>
  <c r="Z665" i="29"/>
  <c r="AB665" i="29"/>
  <c r="AD665" i="29"/>
  <c r="A666" i="29"/>
  <c r="E666" i="29"/>
  <c r="G666" i="29"/>
  <c r="H666" i="29"/>
  <c r="I666" i="29"/>
  <c r="J666" i="29"/>
  <c r="K666" i="29"/>
  <c r="L666" i="29"/>
  <c r="M666" i="29"/>
  <c r="N666" i="29"/>
  <c r="O666" i="29"/>
  <c r="P666" i="29"/>
  <c r="Q666" i="29"/>
  <c r="R666" i="29"/>
  <c r="T666" i="29"/>
  <c r="V666" i="29"/>
  <c r="X666" i="29"/>
  <c r="Y666" i="29"/>
  <c r="Z666" i="29"/>
  <c r="AB666" i="29"/>
  <c r="AD666" i="29"/>
  <c r="A667" i="29"/>
  <c r="E667" i="29"/>
  <c r="G667" i="29"/>
  <c r="H667" i="29"/>
  <c r="I667" i="29"/>
  <c r="J667" i="29"/>
  <c r="K667" i="29"/>
  <c r="L667" i="29"/>
  <c r="M667" i="29"/>
  <c r="N667" i="29"/>
  <c r="O667" i="29"/>
  <c r="P667" i="29"/>
  <c r="Q667" i="29"/>
  <c r="R667" i="29"/>
  <c r="T667" i="29"/>
  <c r="V667" i="29"/>
  <c r="X667" i="29"/>
  <c r="Y667" i="29"/>
  <c r="Z667" i="29"/>
  <c r="AB667" i="29"/>
  <c r="AD667" i="29"/>
  <c r="A668" i="29"/>
  <c r="E668" i="29"/>
  <c r="G668" i="29"/>
  <c r="H668" i="29"/>
  <c r="I668" i="29"/>
  <c r="J668" i="29"/>
  <c r="K668" i="29"/>
  <c r="L668" i="29"/>
  <c r="M668" i="29"/>
  <c r="N668" i="29"/>
  <c r="O668" i="29"/>
  <c r="P668" i="29"/>
  <c r="Q668" i="29"/>
  <c r="R668" i="29"/>
  <c r="T668" i="29"/>
  <c r="V668" i="29"/>
  <c r="X668" i="29"/>
  <c r="Y668" i="29"/>
  <c r="Z668" i="29"/>
  <c r="AB668" i="29"/>
  <c r="AD668" i="29"/>
  <c r="A669" i="29"/>
  <c r="E669" i="29"/>
  <c r="G669" i="29"/>
  <c r="H669" i="29"/>
  <c r="I669" i="29"/>
  <c r="J669" i="29"/>
  <c r="K669" i="29"/>
  <c r="L669" i="29"/>
  <c r="M669" i="29"/>
  <c r="N669" i="29"/>
  <c r="O669" i="29"/>
  <c r="P669" i="29"/>
  <c r="Q669" i="29"/>
  <c r="R669" i="29"/>
  <c r="T669" i="29"/>
  <c r="V669" i="29"/>
  <c r="X669" i="29"/>
  <c r="Y669" i="29"/>
  <c r="Z669" i="29"/>
  <c r="AB669" i="29"/>
  <c r="AD669" i="29"/>
  <c r="A670" i="29"/>
  <c r="E670" i="29"/>
  <c r="G670" i="29"/>
  <c r="H670" i="29"/>
  <c r="I670" i="29"/>
  <c r="J670" i="29"/>
  <c r="K670" i="29"/>
  <c r="L670" i="29"/>
  <c r="M670" i="29"/>
  <c r="N670" i="29"/>
  <c r="O670" i="29"/>
  <c r="P670" i="29"/>
  <c r="Q670" i="29"/>
  <c r="R670" i="29"/>
  <c r="T670" i="29"/>
  <c r="V670" i="29"/>
  <c r="X670" i="29"/>
  <c r="Y670" i="29"/>
  <c r="Z670" i="29"/>
  <c r="AB670" i="29"/>
  <c r="AD670" i="29"/>
  <c r="A671" i="29"/>
  <c r="E671" i="29"/>
  <c r="G671" i="29"/>
  <c r="H671" i="29"/>
  <c r="I671" i="29"/>
  <c r="J671" i="29"/>
  <c r="K671" i="29"/>
  <c r="L671" i="29"/>
  <c r="M671" i="29"/>
  <c r="N671" i="29"/>
  <c r="O671" i="29"/>
  <c r="P671" i="29"/>
  <c r="Q671" i="29"/>
  <c r="R671" i="29"/>
  <c r="T671" i="29"/>
  <c r="V671" i="29"/>
  <c r="X671" i="29"/>
  <c r="Y671" i="29"/>
  <c r="Z671" i="29"/>
  <c r="AB671" i="29"/>
  <c r="AD671" i="29"/>
  <c r="A672" i="29"/>
  <c r="E672" i="29"/>
  <c r="G672" i="29"/>
  <c r="H672" i="29"/>
  <c r="I672" i="29"/>
  <c r="J672" i="29"/>
  <c r="K672" i="29"/>
  <c r="L672" i="29"/>
  <c r="M672" i="29"/>
  <c r="N672" i="29"/>
  <c r="O672" i="29"/>
  <c r="P672" i="29"/>
  <c r="Q672" i="29"/>
  <c r="R672" i="29"/>
  <c r="T672" i="29"/>
  <c r="V672" i="29"/>
  <c r="X672" i="29"/>
  <c r="Y672" i="29"/>
  <c r="Z672" i="29"/>
  <c r="AB672" i="29"/>
  <c r="AD672" i="29"/>
  <c r="A673" i="29"/>
  <c r="E673" i="29"/>
  <c r="G673" i="29"/>
  <c r="H673" i="29"/>
  <c r="I673" i="29"/>
  <c r="J673" i="29"/>
  <c r="K673" i="29"/>
  <c r="L673" i="29"/>
  <c r="M673" i="29"/>
  <c r="N673" i="29"/>
  <c r="O673" i="29"/>
  <c r="P673" i="29"/>
  <c r="Q673" i="29"/>
  <c r="R673" i="29"/>
  <c r="T673" i="29"/>
  <c r="V673" i="29"/>
  <c r="X673" i="29"/>
  <c r="Y673" i="29"/>
  <c r="Z673" i="29"/>
  <c r="AB673" i="29"/>
  <c r="AD673" i="29"/>
  <c r="A674" i="29"/>
  <c r="E674" i="29"/>
  <c r="G674" i="29"/>
  <c r="H674" i="29"/>
  <c r="I674" i="29"/>
  <c r="J674" i="29"/>
  <c r="K674" i="29"/>
  <c r="L674" i="29"/>
  <c r="M674" i="29"/>
  <c r="N674" i="29"/>
  <c r="O674" i="29"/>
  <c r="P674" i="29"/>
  <c r="Q674" i="29"/>
  <c r="R674" i="29"/>
  <c r="T674" i="29"/>
  <c r="V674" i="29"/>
  <c r="X674" i="29"/>
  <c r="Y674" i="29"/>
  <c r="Z674" i="29"/>
  <c r="AB674" i="29"/>
  <c r="AD674" i="29"/>
  <c r="A675" i="29"/>
  <c r="E675" i="29"/>
  <c r="G675" i="29"/>
  <c r="H675" i="29"/>
  <c r="I675" i="29"/>
  <c r="J675" i="29"/>
  <c r="K675" i="29"/>
  <c r="L675" i="29"/>
  <c r="M675" i="29"/>
  <c r="N675" i="29"/>
  <c r="O675" i="29"/>
  <c r="P675" i="29"/>
  <c r="Q675" i="29"/>
  <c r="R675" i="29"/>
  <c r="T675" i="29"/>
  <c r="V675" i="29"/>
  <c r="X675" i="29"/>
  <c r="Y675" i="29"/>
  <c r="Z675" i="29"/>
  <c r="AB675" i="29"/>
  <c r="AD675" i="29"/>
  <c r="A676" i="29"/>
  <c r="E676" i="29"/>
  <c r="G676" i="29"/>
  <c r="H676" i="29"/>
  <c r="I676" i="29"/>
  <c r="J676" i="29"/>
  <c r="K676" i="29"/>
  <c r="L676" i="29"/>
  <c r="M676" i="29"/>
  <c r="N676" i="29"/>
  <c r="O676" i="29"/>
  <c r="P676" i="29"/>
  <c r="Q676" i="29"/>
  <c r="R676" i="29"/>
  <c r="T676" i="29"/>
  <c r="V676" i="29"/>
  <c r="X676" i="29"/>
  <c r="Y676" i="29"/>
  <c r="Z676" i="29"/>
  <c r="AB676" i="29"/>
  <c r="AD676" i="29"/>
  <c r="A677" i="29"/>
  <c r="E677" i="29"/>
  <c r="G677" i="29"/>
  <c r="H677" i="29"/>
  <c r="I677" i="29"/>
  <c r="J677" i="29"/>
  <c r="K677" i="29"/>
  <c r="L677" i="29"/>
  <c r="M677" i="29"/>
  <c r="N677" i="29"/>
  <c r="O677" i="29"/>
  <c r="P677" i="29"/>
  <c r="Q677" i="29"/>
  <c r="R677" i="29"/>
  <c r="T677" i="29"/>
  <c r="V677" i="29"/>
  <c r="X677" i="29"/>
  <c r="Y677" i="29"/>
  <c r="Z677" i="29"/>
  <c r="AB677" i="29"/>
  <c r="AD677" i="29"/>
  <c r="A678" i="29"/>
  <c r="E678" i="29"/>
  <c r="G678" i="29"/>
  <c r="H678" i="29"/>
  <c r="I678" i="29"/>
  <c r="J678" i="29"/>
  <c r="K678" i="29"/>
  <c r="L678" i="29"/>
  <c r="M678" i="29"/>
  <c r="N678" i="29"/>
  <c r="O678" i="29"/>
  <c r="P678" i="29"/>
  <c r="Q678" i="29"/>
  <c r="R678" i="29"/>
  <c r="T678" i="29"/>
  <c r="V678" i="29"/>
  <c r="X678" i="29"/>
  <c r="Y678" i="29"/>
  <c r="Z678" i="29"/>
  <c r="AB678" i="29"/>
  <c r="AD678" i="29"/>
  <c r="A679" i="29"/>
  <c r="G679" i="29"/>
  <c r="H679" i="29"/>
  <c r="I679" i="29"/>
  <c r="J679" i="29"/>
  <c r="K679" i="29"/>
  <c r="L679" i="29"/>
  <c r="M679" i="29"/>
  <c r="N679" i="29"/>
  <c r="P679" i="29"/>
  <c r="AD679" i="29"/>
  <c r="A680" i="29"/>
  <c r="G680" i="29"/>
  <c r="H680" i="29"/>
  <c r="I680" i="29"/>
  <c r="J680" i="29"/>
  <c r="K680" i="29"/>
  <c r="L680" i="29"/>
  <c r="M680" i="29"/>
  <c r="N680" i="29"/>
  <c r="AD680" i="29"/>
  <c r="A681" i="29"/>
  <c r="G681" i="29"/>
  <c r="H681" i="29"/>
  <c r="I681" i="29"/>
  <c r="J681" i="29"/>
  <c r="K681" i="29"/>
  <c r="L681" i="29"/>
  <c r="M681" i="29"/>
  <c r="N681" i="29"/>
  <c r="AD681" i="29"/>
  <c r="A682" i="29"/>
  <c r="G682" i="29"/>
  <c r="H682" i="29"/>
  <c r="I682" i="29"/>
  <c r="J682" i="29"/>
  <c r="K682" i="29"/>
  <c r="L682" i="29"/>
  <c r="M682" i="29"/>
  <c r="N682" i="29"/>
  <c r="AD682" i="29"/>
  <c r="A683" i="29"/>
  <c r="E683" i="29"/>
  <c r="G683" i="29"/>
  <c r="H683" i="29"/>
  <c r="I683" i="29"/>
  <c r="J683" i="29"/>
  <c r="K683" i="29"/>
  <c r="L683" i="29"/>
  <c r="M683" i="29"/>
  <c r="N683" i="29"/>
  <c r="O683" i="29"/>
  <c r="P683" i="29"/>
  <c r="Q683" i="29"/>
  <c r="R683" i="29"/>
  <c r="T683" i="29"/>
  <c r="V683" i="29"/>
  <c r="X683" i="29"/>
  <c r="Y683" i="29"/>
  <c r="Z683" i="29"/>
  <c r="AB683" i="29"/>
  <c r="AD683" i="29"/>
  <c r="A684" i="29"/>
  <c r="G684" i="29"/>
  <c r="H684" i="29"/>
  <c r="I684" i="29"/>
  <c r="J684" i="29"/>
  <c r="K684" i="29"/>
  <c r="L684" i="29"/>
  <c r="M684" i="29"/>
  <c r="N684" i="29"/>
  <c r="AD684" i="29"/>
  <c r="A685" i="29"/>
  <c r="G685" i="29"/>
  <c r="H685" i="29"/>
  <c r="I685" i="29"/>
  <c r="J685" i="29"/>
  <c r="K685" i="29"/>
  <c r="L685" i="29"/>
  <c r="M685" i="29"/>
  <c r="N685" i="29"/>
  <c r="AD685" i="29"/>
  <c r="A686" i="29"/>
  <c r="G686" i="29"/>
  <c r="H686" i="29"/>
  <c r="I686" i="29"/>
  <c r="J686" i="29"/>
  <c r="K686" i="29"/>
  <c r="L686" i="29"/>
  <c r="M686" i="29"/>
  <c r="N686" i="29"/>
  <c r="AD686" i="29"/>
  <c r="A687" i="29"/>
  <c r="G687" i="29"/>
  <c r="H687" i="29"/>
  <c r="I687" i="29"/>
  <c r="J687" i="29"/>
  <c r="K687" i="29"/>
  <c r="L687" i="29"/>
  <c r="M687" i="29"/>
  <c r="N687" i="29"/>
  <c r="AD687" i="29"/>
  <c r="A688" i="29"/>
  <c r="G688" i="29"/>
  <c r="H688" i="29"/>
  <c r="I688" i="29"/>
  <c r="J688" i="29"/>
  <c r="K688" i="29"/>
  <c r="L688" i="29"/>
  <c r="M688" i="29"/>
  <c r="N688" i="29"/>
  <c r="AD688" i="29"/>
  <c r="A689" i="29"/>
  <c r="G689" i="29"/>
  <c r="H689" i="29"/>
  <c r="I689" i="29"/>
  <c r="J689" i="29"/>
  <c r="K689" i="29"/>
  <c r="L689" i="29"/>
  <c r="M689" i="29"/>
  <c r="N689" i="29"/>
  <c r="AD689" i="29"/>
  <c r="A690" i="29"/>
  <c r="G690" i="29"/>
  <c r="H690" i="29"/>
  <c r="I690" i="29"/>
  <c r="J690" i="29"/>
  <c r="K690" i="29"/>
  <c r="L690" i="29"/>
  <c r="M690" i="29"/>
  <c r="N690" i="29"/>
  <c r="AD690" i="29"/>
  <c r="A691" i="29"/>
  <c r="G691" i="29"/>
  <c r="H691" i="29"/>
  <c r="I691" i="29"/>
  <c r="J691" i="29"/>
  <c r="K691" i="29"/>
  <c r="L691" i="29"/>
  <c r="M691" i="29"/>
  <c r="N691" i="29"/>
  <c r="AD691" i="29"/>
  <c r="A692" i="29"/>
  <c r="G692" i="29"/>
  <c r="H692" i="29"/>
  <c r="I692" i="29"/>
  <c r="J692" i="29"/>
  <c r="K692" i="29"/>
  <c r="L692" i="29"/>
  <c r="M692" i="29"/>
  <c r="N692" i="29"/>
  <c r="AD692" i="29"/>
  <c r="A693" i="29"/>
  <c r="G693" i="29"/>
  <c r="H693" i="29"/>
  <c r="I693" i="29"/>
  <c r="J693" i="29"/>
  <c r="K693" i="29"/>
  <c r="L693" i="29"/>
  <c r="M693" i="29"/>
  <c r="N693" i="29"/>
  <c r="AD693" i="29"/>
  <c r="A694" i="29"/>
  <c r="G694" i="29"/>
  <c r="H694" i="29"/>
  <c r="I694" i="29"/>
  <c r="J694" i="29"/>
  <c r="K694" i="29"/>
  <c r="L694" i="29"/>
  <c r="M694" i="29"/>
  <c r="N694" i="29"/>
  <c r="AD694" i="29"/>
  <c r="A695" i="29"/>
  <c r="G695" i="29"/>
  <c r="H695" i="29"/>
  <c r="I695" i="29"/>
  <c r="J695" i="29"/>
  <c r="K695" i="29"/>
  <c r="L695" i="29"/>
  <c r="M695" i="29"/>
  <c r="N695" i="29"/>
  <c r="T695" i="29"/>
  <c r="AD695" i="29"/>
  <c r="A696" i="29"/>
  <c r="G696" i="29"/>
  <c r="H696" i="29"/>
  <c r="I696" i="29"/>
  <c r="J696" i="29"/>
  <c r="K696" i="29"/>
  <c r="L696" i="29"/>
  <c r="M696" i="29"/>
  <c r="N696" i="29"/>
  <c r="AD696" i="29"/>
  <c r="A697" i="29"/>
  <c r="G697" i="29"/>
  <c r="H697" i="29"/>
  <c r="I697" i="29"/>
  <c r="J697" i="29"/>
  <c r="K697" i="29"/>
  <c r="L697" i="29"/>
  <c r="M697" i="29"/>
  <c r="N697" i="29"/>
  <c r="P697" i="29"/>
  <c r="R697" i="29"/>
  <c r="T697" i="29"/>
  <c r="Z697" i="29"/>
  <c r="AD697" i="29"/>
  <c r="A698" i="29"/>
  <c r="G698" i="29"/>
  <c r="H698" i="29"/>
  <c r="I698" i="29"/>
  <c r="J698" i="29"/>
  <c r="K698" i="29"/>
  <c r="L698" i="29"/>
  <c r="M698" i="29"/>
  <c r="N698" i="29"/>
  <c r="AD698" i="29"/>
  <c r="A699" i="29"/>
  <c r="G699" i="29"/>
  <c r="H699" i="29"/>
  <c r="I699" i="29"/>
  <c r="J699" i="29"/>
  <c r="K699" i="29"/>
  <c r="L699" i="29"/>
  <c r="M699" i="29"/>
  <c r="N699" i="29"/>
  <c r="P699" i="29"/>
  <c r="R699" i="29"/>
  <c r="T699" i="29"/>
  <c r="Z699" i="29"/>
  <c r="AD699" i="29"/>
  <c r="A700" i="29"/>
  <c r="G700" i="29"/>
  <c r="H700" i="29"/>
  <c r="I700" i="29"/>
  <c r="J700" i="29"/>
  <c r="K700" i="29"/>
  <c r="L700" i="29"/>
  <c r="M700" i="29"/>
  <c r="N700" i="29"/>
  <c r="P700" i="29"/>
  <c r="R700" i="29"/>
  <c r="T700" i="29"/>
  <c r="Z700" i="29"/>
  <c r="AD700" i="29"/>
  <c r="A701" i="29"/>
  <c r="G701" i="29"/>
  <c r="H701" i="29"/>
  <c r="I701" i="29"/>
  <c r="J701" i="29"/>
  <c r="K701" i="29"/>
  <c r="L701" i="29"/>
  <c r="M701" i="29"/>
  <c r="N701" i="29"/>
  <c r="P701" i="29"/>
  <c r="R701" i="29"/>
  <c r="T701" i="29"/>
  <c r="Z701" i="29"/>
  <c r="AD701" i="29"/>
  <c r="A702" i="29"/>
  <c r="G702" i="29"/>
  <c r="H702" i="29"/>
  <c r="I702" i="29"/>
  <c r="J702" i="29"/>
  <c r="K702" i="29"/>
  <c r="L702" i="29"/>
  <c r="M702" i="29"/>
  <c r="N702" i="29"/>
  <c r="AD702" i="29"/>
  <c r="A703" i="29"/>
  <c r="G703" i="29"/>
  <c r="H703" i="29"/>
  <c r="I703" i="29"/>
  <c r="J703" i="29"/>
  <c r="K703" i="29"/>
  <c r="L703" i="29"/>
  <c r="M703" i="29"/>
  <c r="N703" i="29"/>
  <c r="P703" i="29"/>
  <c r="R703" i="29"/>
  <c r="T703" i="29"/>
  <c r="Z703" i="29"/>
  <c r="AD703" i="29"/>
  <c r="A704" i="29"/>
  <c r="G704" i="29"/>
  <c r="H704" i="29"/>
  <c r="I704" i="29"/>
  <c r="J704" i="29"/>
  <c r="K704" i="29"/>
  <c r="L704" i="29"/>
  <c r="M704" i="29"/>
  <c r="N704" i="29"/>
  <c r="P704" i="29"/>
  <c r="R704" i="29"/>
  <c r="T704" i="29"/>
  <c r="Z704" i="29"/>
  <c r="AD704" i="29"/>
  <c r="A705" i="29"/>
  <c r="G705" i="29"/>
  <c r="H705" i="29"/>
  <c r="I705" i="29"/>
  <c r="J705" i="29"/>
  <c r="K705" i="29"/>
  <c r="L705" i="29"/>
  <c r="M705" i="29"/>
  <c r="N705" i="29"/>
  <c r="AD705" i="29"/>
  <c r="A706" i="29"/>
  <c r="G706" i="29"/>
  <c r="H706" i="29"/>
  <c r="I706" i="29"/>
  <c r="J706" i="29"/>
  <c r="K706" i="29"/>
  <c r="L706" i="29"/>
  <c r="M706" i="29"/>
  <c r="N706" i="29"/>
  <c r="P706" i="29"/>
  <c r="R706" i="29"/>
  <c r="T706" i="29"/>
  <c r="Z706" i="29"/>
  <c r="AD706" i="29"/>
  <c r="A707" i="29"/>
  <c r="G707" i="29"/>
  <c r="H707" i="29"/>
  <c r="I707" i="29"/>
  <c r="J707" i="29"/>
  <c r="K707" i="29"/>
  <c r="L707" i="29"/>
  <c r="M707" i="29"/>
  <c r="N707" i="29"/>
  <c r="P707" i="29"/>
  <c r="AD707" i="29"/>
  <c r="A708" i="29"/>
  <c r="G708" i="29"/>
  <c r="H708" i="29"/>
  <c r="I708" i="29"/>
  <c r="J708" i="29"/>
  <c r="K708" i="29"/>
  <c r="L708" i="29"/>
  <c r="M708" i="29"/>
  <c r="N708" i="29"/>
  <c r="AD708" i="29"/>
  <c r="A709" i="29"/>
  <c r="G709" i="29"/>
  <c r="H709" i="29"/>
  <c r="I709" i="29"/>
  <c r="J709" i="29"/>
  <c r="K709" i="29"/>
  <c r="L709" i="29"/>
  <c r="M709" i="29"/>
  <c r="N709" i="29"/>
  <c r="AD709" i="29"/>
  <c r="A710" i="29"/>
  <c r="G710" i="29"/>
  <c r="H710" i="29"/>
  <c r="I710" i="29"/>
  <c r="J710" i="29"/>
  <c r="K710" i="29"/>
  <c r="L710" i="29"/>
  <c r="M710" i="29"/>
  <c r="N710" i="29"/>
  <c r="AD710" i="29"/>
  <c r="A711" i="29"/>
  <c r="E711" i="29"/>
  <c r="G711" i="29"/>
  <c r="H711" i="29"/>
  <c r="I711" i="29"/>
  <c r="J711" i="29"/>
  <c r="K711" i="29"/>
  <c r="L711" i="29"/>
  <c r="M711" i="29"/>
  <c r="N711" i="29"/>
  <c r="O711" i="29"/>
  <c r="P711" i="29"/>
  <c r="Q711" i="29"/>
  <c r="R711" i="29"/>
  <c r="T711" i="29"/>
  <c r="V711" i="29"/>
  <c r="X711" i="29"/>
  <c r="Y711" i="29"/>
  <c r="Z711" i="29"/>
  <c r="AB711" i="29"/>
  <c r="AD711" i="29"/>
  <c r="A712" i="29"/>
  <c r="G712" i="29"/>
  <c r="H712" i="29"/>
  <c r="I712" i="29"/>
  <c r="J712" i="29"/>
  <c r="K712" i="29"/>
  <c r="L712" i="29"/>
  <c r="M712" i="29"/>
  <c r="N712" i="29"/>
  <c r="R712" i="29"/>
  <c r="AD712" i="29"/>
  <c r="A713" i="29"/>
  <c r="G713" i="29"/>
  <c r="H713" i="29"/>
  <c r="I713" i="29"/>
  <c r="J713" i="29"/>
  <c r="K713" i="29"/>
  <c r="L713" i="29"/>
  <c r="M713" i="29"/>
  <c r="N713" i="29"/>
  <c r="AD713" i="29"/>
  <c r="A714" i="29"/>
  <c r="G714" i="29"/>
  <c r="H714" i="29"/>
  <c r="I714" i="29"/>
  <c r="J714" i="29"/>
  <c r="K714" i="29"/>
  <c r="L714" i="29"/>
  <c r="M714" i="29"/>
  <c r="N714" i="29"/>
  <c r="AD714" i="29"/>
  <c r="A715" i="29"/>
  <c r="E715" i="29"/>
  <c r="G715" i="29"/>
  <c r="H715" i="29"/>
  <c r="I715" i="29"/>
  <c r="J715" i="29"/>
  <c r="K715" i="29"/>
  <c r="L715" i="29"/>
  <c r="M715" i="29"/>
  <c r="N715" i="29"/>
  <c r="O715" i="29"/>
  <c r="P715" i="29"/>
  <c r="Q715" i="29"/>
  <c r="R715" i="29"/>
  <c r="T715" i="29"/>
  <c r="V715" i="29"/>
  <c r="X715" i="29"/>
  <c r="Y715" i="29"/>
  <c r="Z715" i="29"/>
  <c r="AB715" i="29"/>
  <c r="AD715" i="29"/>
  <c r="A716" i="29"/>
  <c r="E716" i="29"/>
  <c r="G716" i="29"/>
  <c r="H716" i="29"/>
  <c r="I716" i="29"/>
  <c r="J716" i="29"/>
  <c r="K716" i="29"/>
  <c r="L716" i="29"/>
  <c r="M716" i="29"/>
  <c r="N716" i="29"/>
  <c r="O716" i="29"/>
  <c r="P716" i="29"/>
  <c r="Q716" i="29"/>
  <c r="R716" i="29"/>
  <c r="T716" i="29"/>
  <c r="V716" i="29"/>
  <c r="X716" i="29"/>
  <c r="Y716" i="29"/>
  <c r="Z716" i="29"/>
  <c r="AB716" i="29"/>
  <c r="AD716" i="29"/>
  <c r="A717" i="29"/>
  <c r="E717" i="29"/>
  <c r="G717" i="29"/>
  <c r="H717" i="29"/>
  <c r="I717" i="29"/>
  <c r="J717" i="29"/>
  <c r="K717" i="29"/>
  <c r="L717" i="29"/>
  <c r="M717" i="29"/>
  <c r="N717" i="29"/>
  <c r="O717" i="29"/>
  <c r="P717" i="29"/>
  <c r="Q717" i="29"/>
  <c r="R717" i="29"/>
  <c r="T717" i="29"/>
  <c r="V717" i="29"/>
  <c r="X717" i="29"/>
  <c r="Y717" i="29"/>
  <c r="Z717" i="29"/>
  <c r="AB717" i="29"/>
  <c r="AD717" i="29"/>
  <c r="A718" i="29"/>
  <c r="E718" i="29"/>
  <c r="G718" i="29"/>
  <c r="H718" i="29"/>
  <c r="I718" i="29"/>
  <c r="J718" i="29"/>
  <c r="K718" i="29"/>
  <c r="L718" i="29"/>
  <c r="M718" i="29"/>
  <c r="N718" i="29"/>
  <c r="O718" i="29"/>
  <c r="P718" i="29"/>
  <c r="Q718" i="29"/>
  <c r="R718" i="29"/>
  <c r="T718" i="29"/>
  <c r="V718" i="29"/>
  <c r="X718" i="29"/>
  <c r="Y718" i="29"/>
  <c r="Z718" i="29"/>
  <c r="AB718" i="29"/>
  <c r="AD718" i="29"/>
  <c r="A719" i="29"/>
  <c r="G719" i="29"/>
  <c r="H719" i="29"/>
  <c r="I719" i="29"/>
  <c r="J719" i="29"/>
  <c r="K719" i="29"/>
  <c r="L719" i="29"/>
  <c r="M719" i="29"/>
  <c r="N719" i="29"/>
  <c r="P719" i="29"/>
  <c r="R719" i="29"/>
  <c r="T719" i="29"/>
  <c r="Z719" i="29"/>
  <c r="AD719" i="29"/>
  <c r="A720" i="29"/>
  <c r="G720" i="29"/>
  <c r="H720" i="29"/>
  <c r="I720" i="29"/>
  <c r="J720" i="29"/>
  <c r="K720" i="29"/>
  <c r="L720" i="29"/>
  <c r="M720" i="29"/>
  <c r="N720" i="29"/>
  <c r="P720" i="29"/>
  <c r="R720" i="29"/>
  <c r="T720" i="29"/>
  <c r="Z720" i="29"/>
  <c r="AD720" i="29"/>
  <c r="A721" i="29"/>
  <c r="G721" i="29"/>
  <c r="H721" i="29"/>
  <c r="I721" i="29"/>
  <c r="J721" i="29"/>
  <c r="K721" i="29"/>
  <c r="L721" i="29"/>
  <c r="M721" i="29"/>
  <c r="N721" i="29"/>
  <c r="P721" i="29"/>
  <c r="R721" i="29"/>
  <c r="T721" i="29"/>
  <c r="Z721" i="29"/>
  <c r="AD721" i="29"/>
  <c r="A722" i="29"/>
  <c r="E722" i="29"/>
  <c r="G722" i="29"/>
  <c r="H722" i="29"/>
  <c r="I722" i="29"/>
  <c r="J722" i="29"/>
  <c r="K722" i="29"/>
  <c r="L722" i="29"/>
  <c r="M722" i="29"/>
  <c r="N722" i="29"/>
  <c r="O722" i="29"/>
  <c r="P722" i="29"/>
  <c r="Q722" i="29"/>
  <c r="R722" i="29"/>
  <c r="T722" i="29"/>
  <c r="V722" i="29"/>
  <c r="X722" i="29"/>
  <c r="Y722" i="29"/>
  <c r="Z722" i="29"/>
  <c r="AB722" i="29"/>
  <c r="AD722" i="29"/>
  <c r="A723" i="29"/>
  <c r="E723" i="29"/>
  <c r="G723" i="29"/>
  <c r="H723" i="29"/>
  <c r="I723" i="29"/>
  <c r="J723" i="29"/>
  <c r="K723" i="29"/>
  <c r="L723" i="29"/>
  <c r="M723" i="29"/>
  <c r="N723" i="29"/>
  <c r="O723" i="29"/>
  <c r="P723" i="29"/>
  <c r="Q723" i="29"/>
  <c r="R723" i="29"/>
  <c r="T723" i="29"/>
  <c r="V723" i="29"/>
  <c r="X723" i="29"/>
  <c r="Y723" i="29"/>
  <c r="Z723" i="29"/>
  <c r="AB723" i="29"/>
  <c r="AD723" i="29"/>
  <c r="A724" i="29"/>
  <c r="E724" i="29"/>
  <c r="G724" i="29"/>
  <c r="H724" i="29"/>
  <c r="I724" i="29"/>
  <c r="J724" i="29"/>
  <c r="K724" i="29"/>
  <c r="L724" i="29"/>
  <c r="M724" i="29"/>
  <c r="N724" i="29"/>
  <c r="O724" i="29"/>
  <c r="P724" i="29"/>
  <c r="Q724" i="29"/>
  <c r="R724" i="29"/>
  <c r="T724" i="29"/>
  <c r="V724" i="29"/>
  <c r="X724" i="29"/>
  <c r="Y724" i="29"/>
  <c r="Z724" i="29"/>
  <c r="AB724" i="29"/>
  <c r="AD724" i="29"/>
  <c r="A725" i="29"/>
  <c r="E725" i="29"/>
  <c r="G725" i="29"/>
  <c r="H725" i="29"/>
  <c r="I725" i="29"/>
  <c r="J725" i="29"/>
  <c r="K725" i="29"/>
  <c r="L725" i="29"/>
  <c r="M725" i="29"/>
  <c r="N725" i="29"/>
  <c r="O725" i="29"/>
  <c r="P725" i="29"/>
  <c r="Q725" i="29"/>
  <c r="R725" i="29"/>
  <c r="T725" i="29"/>
  <c r="V725" i="29"/>
  <c r="X725" i="29"/>
  <c r="Y725" i="29"/>
  <c r="Z725" i="29"/>
  <c r="AB725" i="29"/>
  <c r="AD725" i="29"/>
  <c r="A726" i="29"/>
  <c r="G726" i="29"/>
  <c r="H726" i="29"/>
  <c r="I726" i="29"/>
  <c r="J726" i="29"/>
  <c r="K726" i="29"/>
  <c r="L726" i="29"/>
  <c r="M726" i="29"/>
  <c r="N726" i="29"/>
  <c r="P726" i="29"/>
  <c r="R726" i="29"/>
  <c r="T726" i="29"/>
  <c r="Z726" i="29"/>
  <c r="AD726" i="29"/>
  <c r="A727" i="29"/>
  <c r="G727" i="29"/>
  <c r="H727" i="29"/>
  <c r="I727" i="29"/>
  <c r="J727" i="29"/>
  <c r="K727" i="29"/>
  <c r="L727" i="29"/>
  <c r="M727" i="29"/>
  <c r="N727" i="29"/>
  <c r="P727" i="29"/>
  <c r="R727" i="29"/>
  <c r="T727" i="29"/>
  <c r="Z727" i="29"/>
  <c r="AD727" i="29"/>
  <c r="A728" i="29"/>
  <c r="G728" i="29"/>
  <c r="H728" i="29"/>
  <c r="I728" i="29"/>
  <c r="J728" i="29"/>
  <c r="K728" i="29"/>
  <c r="L728" i="29"/>
  <c r="M728" i="29"/>
  <c r="N728" i="29"/>
  <c r="P728" i="29"/>
  <c r="R728" i="29"/>
  <c r="T728" i="29"/>
  <c r="Z728" i="29"/>
  <c r="AD728" i="29"/>
  <c r="A729" i="29"/>
  <c r="E729" i="29"/>
  <c r="G729" i="29"/>
  <c r="H729" i="29"/>
  <c r="I729" i="29"/>
  <c r="J729" i="29"/>
  <c r="K729" i="29"/>
  <c r="L729" i="29"/>
  <c r="M729" i="29"/>
  <c r="N729" i="29"/>
  <c r="O729" i="29"/>
  <c r="P729" i="29"/>
  <c r="Q729" i="29"/>
  <c r="R729" i="29"/>
  <c r="T729" i="29"/>
  <c r="V729" i="29"/>
  <c r="X729" i="29"/>
  <c r="Y729" i="29"/>
  <c r="Z729" i="29"/>
  <c r="AB729" i="29"/>
  <c r="AD729" i="29"/>
  <c r="A730" i="29"/>
  <c r="E730" i="29"/>
  <c r="G730" i="29"/>
  <c r="H730" i="29"/>
  <c r="I730" i="29"/>
  <c r="J730" i="29"/>
  <c r="K730" i="29"/>
  <c r="L730" i="29"/>
  <c r="M730" i="29"/>
  <c r="N730" i="29"/>
  <c r="O730" i="29"/>
  <c r="P730" i="29"/>
  <c r="Q730" i="29"/>
  <c r="R730" i="29"/>
  <c r="T730" i="29"/>
  <c r="V730" i="29"/>
  <c r="X730" i="29"/>
  <c r="Y730" i="29"/>
  <c r="Z730" i="29"/>
  <c r="AB730" i="29"/>
  <c r="AD730" i="29"/>
  <c r="A731" i="29"/>
  <c r="G731" i="29"/>
  <c r="H731" i="29"/>
  <c r="I731" i="29"/>
  <c r="J731" i="29"/>
  <c r="K731" i="29"/>
  <c r="L731" i="29"/>
  <c r="M731" i="29"/>
  <c r="N731" i="29"/>
  <c r="P731" i="29"/>
  <c r="R731" i="29"/>
  <c r="T731" i="29"/>
  <c r="Z731" i="29"/>
  <c r="AD731" i="29"/>
  <c r="A732" i="29"/>
  <c r="G732" i="29"/>
  <c r="H732" i="29"/>
  <c r="I732" i="29"/>
  <c r="J732" i="29"/>
  <c r="K732" i="29"/>
  <c r="L732" i="29"/>
  <c r="M732" i="29"/>
  <c r="N732" i="29"/>
  <c r="P732" i="29"/>
  <c r="R732" i="29"/>
  <c r="T732" i="29"/>
  <c r="Z732" i="29"/>
  <c r="AD732" i="29"/>
  <c r="A733" i="29"/>
  <c r="G733" i="29"/>
  <c r="H733" i="29"/>
  <c r="I733" i="29"/>
  <c r="J733" i="29"/>
  <c r="K733" i="29"/>
  <c r="L733" i="29"/>
  <c r="M733" i="29"/>
  <c r="N733" i="29"/>
  <c r="P733" i="29"/>
  <c r="R733" i="29"/>
  <c r="T733" i="29"/>
  <c r="Z733" i="29"/>
  <c r="AD733" i="29"/>
  <c r="A734" i="29"/>
  <c r="G734" i="29"/>
  <c r="H734" i="29"/>
  <c r="I734" i="29"/>
  <c r="J734" i="29"/>
  <c r="K734" i="29"/>
  <c r="L734" i="29"/>
  <c r="M734" i="29"/>
  <c r="N734" i="29"/>
  <c r="P734" i="29"/>
  <c r="R734" i="29"/>
  <c r="T734" i="29"/>
  <c r="Z734" i="29"/>
  <c r="AD734" i="29"/>
  <c r="A735" i="29"/>
  <c r="G735" i="29"/>
  <c r="H735" i="29"/>
  <c r="I735" i="29"/>
  <c r="J735" i="29"/>
  <c r="K735" i="29"/>
  <c r="L735" i="29"/>
  <c r="M735" i="29"/>
  <c r="N735" i="29"/>
  <c r="P735" i="29"/>
  <c r="R735" i="29"/>
  <c r="T735" i="29"/>
  <c r="Z735" i="29"/>
  <c r="AD735" i="29"/>
  <c r="A736" i="29"/>
  <c r="G736" i="29"/>
  <c r="H736" i="29"/>
  <c r="I736" i="29"/>
  <c r="J736" i="29"/>
  <c r="K736" i="29"/>
  <c r="L736" i="29"/>
  <c r="M736" i="29"/>
  <c r="N736" i="29"/>
  <c r="P736" i="29"/>
  <c r="R736" i="29"/>
  <c r="T736" i="29"/>
  <c r="Z736" i="29"/>
  <c r="AD736" i="29"/>
  <c r="A737" i="29"/>
  <c r="G737" i="29"/>
  <c r="H737" i="29"/>
  <c r="I737" i="29"/>
  <c r="J737" i="29"/>
  <c r="K737" i="29"/>
  <c r="L737" i="29"/>
  <c r="M737" i="29"/>
  <c r="N737" i="29"/>
  <c r="P737" i="29"/>
  <c r="R737" i="29"/>
  <c r="T737" i="29"/>
  <c r="Z737" i="29"/>
  <c r="AD737" i="29"/>
  <c r="A738" i="29"/>
  <c r="G738" i="29"/>
  <c r="H738" i="29"/>
  <c r="I738" i="29"/>
  <c r="J738" i="29"/>
  <c r="K738" i="29"/>
  <c r="L738" i="29"/>
  <c r="M738" i="29"/>
  <c r="N738" i="29"/>
  <c r="P738" i="29"/>
  <c r="R738" i="29"/>
  <c r="T738" i="29"/>
  <c r="Z738" i="29"/>
  <c r="AD738" i="29"/>
  <c r="A739" i="29"/>
  <c r="G739" i="29"/>
  <c r="H739" i="29"/>
  <c r="I739" i="29"/>
  <c r="J739" i="29"/>
  <c r="K739" i="29"/>
  <c r="L739" i="29"/>
  <c r="M739" i="29"/>
  <c r="N739" i="29"/>
  <c r="P739" i="29"/>
  <c r="R739" i="29"/>
  <c r="T739" i="29"/>
  <c r="Z739" i="29"/>
  <c r="AD739" i="29"/>
  <c r="A740" i="29"/>
  <c r="E740" i="29"/>
  <c r="G740" i="29"/>
  <c r="H740" i="29"/>
  <c r="I740" i="29"/>
  <c r="J740" i="29"/>
  <c r="K740" i="29"/>
  <c r="L740" i="29"/>
  <c r="M740" i="29"/>
  <c r="N740" i="29"/>
  <c r="O740" i="29"/>
  <c r="P740" i="29"/>
  <c r="Q740" i="29"/>
  <c r="R740" i="29"/>
  <c r="T740" i="29"/>
  <c r="V740" i="29"/>
  <c r="X740" i="29"/>
  <c r="Y740" i="29"/>
  <c r="Z740" i="29"/>
  <c r="AB740" i="29"/>
  <c r="AD740" i="29"/>
  <c r="A741" i="29"/>
  <c r="G741" i="29"/>
  <c r="H741" i="29"/>
  <c r="I741" i="29"/>
  <c r="J741" i="29"/>
  <c r="K741" i="29"/>
  <c r="L741" i="29"/>
  <c r="M741" i="29"/>
  <c r="N741" i="29"/>
  <c r="P741" i="29"/>
  <c r="R741" i="29"/>
  <c r="T741" i="29"/>
  <c r="Z741" i="29"/>
  <c r="AD741" i="29"/>
  <c r="A742" i="29"/>
  <c r="E742" i="29"/>
  <c r="G742" i="29"/>
  <c r="H742" i="29"/>
  <c r="I742" i="29"/>
  <c r="J742" i="29"/>
  <c r="K742" i="29"/>
  <c r="L742" i="29"/>
  <c r="M742" i="29"/>
  <c r="N742" i="29"/>
  <c r="O742" i="29"/>
  <c r="P742" i="29"/>
  <c r="Q742" i="29"/>
  <c r="R742" i="29"/>
  <c r="T742" i="29"/>
  <c r="V742" i="29"/>
  <c r="X742" i="29"/>
  <c r="Y742" i="29"/>
  <c r="Z742" i="29"/>
  <c r="AB742" i="29"/>
  <c r="AD742" i="29"/>
  <c r="A743" i="29"/>
  <c r="E743" i="29"/>
  <c r="G743" i="29"/>
  <c r="H743" i="29"/>
  <c r="I743" i="29"/>
  <c r="J743" i="29"/>
  <c r="K743" i="29"/>
  <c r="L743" i="29"/>
  <c r="M743" i="29"/>
  <c r="N743" i="29"/>
  <c r="O743" i="29"/>
  <c r="P743" i="29"/>
  <c r="Q743" i="29"/>
  <c r="R743" i="29"/>
  <c r="T743" i="29"/>
  <c r="V743" i="29"/>
  <c r="X743" i="29"/>
  <c r="Y743" i="29"/>
  <c r="Z743" i="29"/>
  <c r="AB743" i="29"/>
  <c r="AD743" i="29"/>
  <c r="A744" i="29"/>
  <c r="G744" i="29"/>
  <c r="H744" i="29"/>
  <c r="I744" i="29"/>
  <c r="J744" i="29"/>
  <c r="K744" i="29"/>
  <c r="L744" i="29"/>
  <c r="M744" i="29"/>
  <c r="N744" i="29"/>
  <c r="P744" i="29"/>
  <c r="R744" i="29"/>
  <c r="T744" i="29"/>
  <c r="Z744" i="29"/>
  <c r="AD744" i="29"/>
  <c r="A745" i="29"/>
  <c r="E745" i="29"/>
  <c r="G745" i="29"/>
  <c r="H745" i="29"/>
  <c r="I745" i="29"/>
  <c r="J745" i="29"/>
  <c r="K745" i="29"/>
  <c r="L745" i="29"/>
  <c r="M745" i="29"/>
  <c r="N745" i="29"/>
  <c r="O745" i="29"/>
  <c r="P745" i="29"/>
  <c r="Q745" i="29"/>
  <c r="R745" i="29"/>
  <c r="T745" i="29"/>
  <c r="V745" i="29"/>
  <c r="X745" i="29"/>
  <c r="Y745" i="29"/>
  <c r="Z745" i="29"/>
  <c r="AB745" i="29"/>
  <c r="AD745" i="29"/>
  <c r="A746" i="29"/>
  <c r="E746" i="29"/>
  <c r="G746" i="29"/>
  <c r="H746" i="29"/>
  <c r="I746" i="29"/>
  <c r="J746" i="29"/>
  <c r="K746" i="29"/>
  <c r="L746" i="29"/>
  <c r="M746" i="29"/>
  <c r="N746" i="29"/>
  <c r="O746" i="29"/>
  <c r="P746" i="29"/>
  <c r="Q746" i="29"/>
  <c r="R746" i="29"/>
  <c r="T746" i="29"/>
  <c r="V746" i="29"/>
  <c r="X746" i="29"/>
  <c r="Y746" i="29"/>
  <c r="Z746" i="29"/>
  <c r="AB746" i="29"/>
  <c r="AD746" i="29"/>
  <c r="A747" i="29"/>
  <c r="E747" i="29"/>
  <c r="G747" i="29"/>
  <c r="H747" i="29"/>
  <c r="I747" i="29"/>
  <c r="J747" i="29"/>
  <c r="K747" i="29"/>
  <c r="L747" i="29"/>
  <c r="M747" i="29"/>
  <c r="N747" i="29"/>
  <c r="O747" i="29"/>
  <c r="P747" i="29"/>
  <c r="Q747" i="29"/>
  <c r="R747" i="29"/>
  <c r="T747" i="29"/>
  <c r="V747" i="29"/>
  <c r="X747" i="29"/>
  <c r="Y747" i="29"/>
  <c r="Z747" i="29"/>
  <c r="AB747" i="29"/>
  <c r="AD747" i="29"/>
  <c r="A748" i="29"/>
  <c r="E748" i="29"/>
  <c r="G748" i="29"/>
  <c r="H748" i="29"/>
  <c r="I748" i="29"/>
  <c r="J748" i="29"/>
  <c r="K748" i="29"/>
  <c r="L748" i="29"/>
  <c r="M748" i="29"/>
  <c r="N748" i="29"/>
  <c r="O748" i="29"/>
  <c r="P748" i="29"/>
  <c r="Q748" i="29"/>
  <c r="R748" i="29"/>
  <c r="T748" i="29"/>
  <c r="V748" i="29"/>
  <c r="X748" i="29"/>
  <c r="Y748" i="29"/>
  <c r="Z748" i="29"/>
  <c r="AB748" i="29"/>
  <c r="AD748" i="29"/>
  <c r="A749" i="29"/>
  <c r="G749" i="29"/>
  <c r="H749" i="29"/>
  <c r="I749" i="29"/>
  <c r="J749" i="29"/>
  <c r="K749" i="29"/>
  <c r="L749" i="29"/>
  <c r="M749" i="29"/>
  <c r="N749" i="29"/>
  <c r="P749" i="29"/>
  <c r="R749" i="29"/>
  <c r="T749" i="29"/>
  <c r="Z749" i="29"/>
  <c r="AD749" i="29"/>
  <c r="A750" i="29"/>
  <c r="G750" i="29"/>
  <c r="H750" i="29"/>
  <c r="I750" i="29"/>
  <c r="J750" i="29"/>
  <c r="K750" i="29"/>
  <c r="L750" i="29"/>
  <c r="M750" i="29"/>
  <c r="N750" i="29"/>
  <c r="P750" i="29"/>
  <c r="R750" i="29"/>
  <c r="T750" i="29"/>
  <c r="Z750" i="29"/>
  <c r="AD750" i="29"/>
  <c r="A751" i="29"/>
  <c r="G751" i="29"/>
  <c r="H751" i="29"/>
  <c r="I751" i="29"/>
  <c r="J751" i="29"/>
  <c r="K751" i="29"/>
  <c r="L751" i="29"/>
  <c r="M751" i="29"/>
  <c r="N751" i="29"/>
  <c r="P751" i="29"/>
  <c r="R751" i="29"/>
  <c r="T751" i="29"/>
  <c r="Z751" i="29"/>
  <c r="AD751" i="29"/>
  <c r="A752" i="29"/>
  <c r="G752" i="29"/>
  <c r="H752" i="29"/>
  <c r="I752" i="29"/>
  <c r="J752" i="29"/>
  <c r="K752" i="29"/>
  <c r="L752" i="29"/>
  <c r="M752" i="29"/>
  <c r="N752" i="29"/>
  <c r="P752" i="29"/>
  <c r="R752" i="29"/>
  <c r="T752" i="29"/>
  <c r="Z752" i="29"/>
  <c r="AD752" i="29"/>
  <c r="A753" i="29"/>
  <c r="G753" i="29"/>
  <c r="H753" i="29"/>
  <c r="I753" i="29"/>
  <c r="J753" i="29"/>
  <c r="K753" i="29"/>
  <c r="L753" i="29"/>
  <c r="M753" i="29"/>
  <c r="N753" i="29"/>
  <c r="P753" i="29"/>
  <c r="R753" i="29"/>
  <c r="T753" i="29"/>
  <c r="Z753" i="29"/>
  <c r="AD753" i="29"/>
  <c r="A754" i="29"/>
  <c r="G754" i="29"/>
  <c r="H754" i="29"/>
  <c r="I754" i="29"/>
  <c r="J754" i="29"/>
  <c r="K754" i="29"/>
  <c r="L754" i="29"/>
  <c r="M754" i="29"/>
  <c r="N754" i="29"/>
  <c r="P754" i="29"/>
  <c r="R754" i="29"/>
  <c r="T754" i="29"/>
  <c r="Z754" i="29"/>
  <c r="AD754" i="29"/>
  <c r="A755" i="29"/>
  <c r="G755" i="29"/>
  <c r="H755" i="29"/>
  <c r="I755" i="29"/>
  <c r="J755" i="29"/>
  <c r="K755" i="29"/>
  <c r="L755" i="29"/>
  <c r="M755" i="29"/>
  <c r="N755" i="29"/>
  <c r="P755" i="29"/>
  <c r="R755" i="29"/>
  <c r="T755" i="29"/>
  <c r="Z755" i="29"/>
  <c r="AD755" i="29"/>
  <c r="A756" i="29"/>
  <c r="G756" i="29"/>
  <c r="H756" i="29"/>
  <c r="I756" i="29"/>
  <c r="J756" i="29"/>
  <c r="K756" i="29"/>
  <c r="L756" i="29"/>
  <c r="M756" i="29"/>
  <c r="N756" i="29"/>
  <c r="P756" i="29"/>
  <c r="R756" i="29"/>
  <c r="T756" i="29"/>
  <c r="Z756" i="29"/>
  <c r="AD756" i="29"/>
  <c r="A757" i="29"/>
  <c r="G757" i="29"/>
  <c r="H757" i="29"/>
  <c r="I757" i="29"/>
  <c r="J757" i="29"/>
  <c r="K757" i="29"/>
  <c r="L757" i="29"/>
  <c r="M757" i="29"/>
  <c r="N757" i="29"/>
  <c r="P757" i="29"/>
  <c r="R757" i="29"/>
  <c r="T757" i="29"/>
  <c r="Z757" i="29"/>
  <c r="AD757" i="29"/>
  <c r="A758" i="29"/>
  <c r="G758" i="29"/>
  <c r="H758" i="29"/>
  <c r="I758" i="29"/>
  <c r="J758" i="29"/>
  <c r="K758" i="29"/>
  <c r="L758" i="29"/>
  <c r="M758" i="29"/>
  <c r="N758" i="29"/>
  <c r="P758" i="29"/>
  <c r="R758" i="29"/>
  <c r="T758" i="29"/>
  <c r="Z758" i="29"/>
  <c r="AD758" i="29"/>
  <c r="A759" i="29"/>
  <c r="G759" i="29"/>
  <c r="H759" i="29"/>
  <c r="I759" i="29"/>
  <c r="J759" i="29"/>
  <c r="K759" i="29"/>
  <c r="L759" i="29"/>
  <c r="M759" i="29"/>
  <c r="N759" i="29"/>
  <c r="P759" i="29"/>
  <c r="R759" i="29"/>
  <c r="T759" i="29"/>
  <c r="Z759" i="29"/>
  <c r="AD759" i="29"/>
  <c r="A760" i="29"/>
  <c r="G760" i="29"/>
  <c r="H760" i="29"/>
  <c r="I760" i="29"/>
  <c r="J760" i="29"/>
  <c r="K760" i="29"/>
  <c r="L760" i="29"/>
  <c r="M760" i="29"/>
  <c r="N760" i="29"/>
  <c r="P760" i="29"/>
  <c r="R760" i="29"/>
  <c r="T760" i="29"/>
  <c r="Z760" i="29"/>
  <c r="AD760" i="29"/>
  <c r="A761" i="29"/>
  <c r="G761" i="29"/>
  <c r="H761" i="29"/>
  <c r="I761" i="29"/>
  <c r="J761" i="29"/>
  <c r="K761" i="29"/>
  <c r="L761" i="29"/>
  <c r="M761" i="29"/>
  <c r="N761" i="29"/>
  <c r="P761" i="29"/>
  <c r="R761" i="29"/>
  <c r="T761" i="29"/>
  <c r="Z761" i="29"/>
  <c r="AD761" i="29"/>
  <c r="A762" i="29"/>
  <c r="G762" i="29"/>
  <c r="H762" i="29"/>
  <c r="I762" i="29"/>
  <c r="J762" i="29"/>
  <c r="K762" i="29"/>
  <c r="L762" i="29"/>
  <c r="M762" i="29"/>
  <c r="N762" i="29"/>
  <c r="P762" i="29"/>
  <c r="R762" i="29"/>
  <c r="T762" i="29"/>
  <c r="Z762" i="29"/>
  <c r="AD762" i="29"/>
  <c r="A763" i="29"/>
  <c r="G763" i="29"/>
  <c r="H763" i="29"/>
  <c r="I763" i="29"/>
  <c r="J763" i="29"/>
  <c r="K763" i="29"/>
  <c r="L763" i="29"/>
  <c r="M763" i="29"/>
  <c r="N763" i="29"/>
  <c r="P763" i="29"/>
  <c r="R763" i="29"/>
  <c r="T763" i="29"/>
  <c r="Z763" i="29"/>
  <c r="AD763" i="29"/>
  <c r="A764" i="29"/>
  <c r="G764" i="29"/>
  <c r="H764" i="29"/>
  <c r="I764" i="29"/>
  <c r="J764" i="29"/>
  <c r="K764" i="29"/>
  <c r="L764" i="29"/>
  <c r="M764" i="29"/>
  <c r="N764" i="29"/>
  <c r="P764" i="29"/>
  <c r="R764" i="29"/>
  <c r="T764" i="29"/>
  <c r="Z764" i="29"/>
  <c r="AD764" i="29"/>
  <c r="A765" i="29"/>
  <c r="G765" i="29"/>
  <c r="H765" i="29"/>
  <c r="I765" i="29"/>
  <c r="J765" i="29"/>
  <c r="K765" i="29"/>
  <c r="L765" i="29"/>
  <c r="M765" i="29"/>
  <c r="N765" i="29"/>
  <c r="P765" i="29"/>
  <c r="R765" i="29"/>
  <c r="Z765" i="29"/>
  <c r="AD765" i="29"/>
  <c r="A766" i="29"/>
  <c r="G766" i="29"/>
  <c r="H766" i="29"/>
  <c r="I766" i="29"/>
  <c r="J766" i="29"/>
  <c r="K766" i="29"/>
  <c r="L766" i="29"/>
  <c r="M766" i="29"/>
  <c r="N766" i="29"/>
  <c r="P766" i="29"/>
  <c r="R766" i="29"/>
  <c r="T766" i="29"/>
  <c r="Z766" i="29"/>
  <c r="AD766" i="29"/>
  <c r="A767" i="29"/>
  <c r="G767" i="29"/>
  <c r="H767" i="29"/>
  <c r="I767" i="29"/>
  <c r="J767" i="29"/>
  <c r="K767" i="29"/>
  <c r="L767" i="29"/>
  <c r="M767" i="29"/>
  <c r="N767" i="29"/>
  <c r="P767" i="29"/>
  <c r="R767" i="29"/>
  <c r="T767" i="29"/>
  <c r="Z767" i="29"/>
  <c r="AD767" i="29"/>
  <c r="A768" i="29"/>
  <c r="G768" i="29"/>
  <c r="H768" i="29"/>
  <c r="I768" i="29"/>
  <c r="J768" i="29"/>
  <c r="K768" i="29"/>
  <c r="L768" i="29"/>
  <c r="M768" i="29"/>
  <c r="N768" i="29"/>
  <c r="P768" i="29"/>
  <c r="R768" i="29"/>
  <c r="T768" i="29"/>
  <c r="Z768" i="29"/>
  <c r="AD768" i="29"/>
  <c r="A769" i="29"/>
  <c r="G769" i="29"/>
  <c r="H769" i="29"/>
  <c r="I769" i="29"/>
  <c r="J769" i="29"/>
  <c r="K769" i="29"/>
  <c r="L769" i="29"/>
  <c r="M769" i="29"/>
  <c r="N769" i="29"/>
  <c r="P769" i="29"/>
  <c r="R769" i="29"/>
  <c r="T769" i="29"/>
  <c r="Z769" i="29"/>
  <c r="AD769" i="29"/>
  <c r="A770" i="29"/>
  <c r="G770" i="29"/>
  <c r="H770" i="29"/>
  <c r="I770" i="29"/>
  <c r="J770" i="29"/>
  <c r="K770" i="29"/>
  <c r="L770" i="29"/>
  <c r="M770" i="29"/>
  <c r="N770" i="29"/>
  <c r="P770" i="29"/>
  <c r="R770" i="29"/>
  <c r="T770" i="29"/>
  <c r="Z770" i="29"/>
  <c r="AD770" i="29"/>
  <c r="A771" i="29"/>
  <c r="G771" i="29"/>
  <c r="H771" i="29"/>
  <c r="I771" i="29"/>
  <c r="J771" i="29"/>
  <c r="K771" i="29"/>
  <c r="L771" i="29"/>
  <c r="M771" i="29"/>
  <c r="N771" i="29"/>
  <c r="P771" i="29"/>
  <c r="R771" i="29"/>
  <c r="T771" i="29"/>
  <c r="Z771" i="29"/>
  <c r="AD771" i="29"/>
  <c r="A772" i="29"/>
  <c r="G772" i="29"/>
  <c r="H772" i="29"/>
  <c r="I772" i="29"/>
  <c r="J772" i="29"/>
  <c r="K772" i="29"/>
  <c r="L772" i="29"/>
  <c r="M772" i="29"/>
  <c r="N772" i="29"/>
  <c r="P772" i="29"/>
  <c r="R772" i="29"/>
  <c r="T772" i="29"/>
  <c r="Z772" i="29"/>
  <c r="AD772" i="29"/>
  <c r="A773" i="29"/>
  <c r="G773" i="29"/>
  <c r="H773" i="29"/>
  <c r="I773" i="29"/>
  <c r="J773" i="29"/>
  <c r="K773" i="29"/>
  <c r="L773" i="29"/>
  <c r="M773" i="29"/>
  <c r="N773" i="29"/>
  <c r="P773" i="29"/>
  <c r="R773" i="29"/>
  <c r="T773" i="29"/>
  <c r="Z773" i="29"/>
  <c r="AD773" i="29"/>
  <c r="A774" i="29"/>
  <c r="G774" i="29"/>
  <c r="H774" i="29"/>
  <c r="I774" i="29"/>
  <c r="J774" i="29"/>
  <c r="K774" i="29"/>
  <c r="L774" i="29"/>
  <c r="M774" i="29"/>
  <c r="N774" i="29"/>
  <c r="P774" i="29"/>
  <c r="R774" i="29"/>
  <c r="T774" i="29"/>
  <c r="Z774" i="29"/>
  <c r="AD774" i="29"/>
  <c r="A775" i="29"/>
  <c r="G775" i="29"/>
  <c r="H775" i="29"/>
  <c r="I775" i="29"/>
  <c r="J775" i="29"/>
  <c r="K775" i="29"/>
  <c r="L775" i="29"/>
  <c r="M775" i="29"/>
  <c r="N775" i="29"/>
  <c r="AD775" i="29"/>
  <c r="A776" i="29"/>
  <c r="E776" i="29"/>
  <c r="G776" i="29"/>
  <c r="H776" i="29"/>
  <c r="I776" i="29"/>
  <c r="J776" i="29"/>
  <c r="K776" i="29"/>
  <c r="L776" i="29"/>
  <c r="M776" i="29"/>
  <c r="N776" i="29"/>
  <c r="O776" i="29"/>
  <c r="P776" i="29"/>
  <c r="Q776" i="29"/>
  <c r="R776" i="29"/>
  <c r="T776" i="29"/>
  <c r="V776" i="29"/>
  <c r="X776" i="29"/>
  <c r="Y776" i="29"/>
  <c r="Z776" i="29"/>
  <c r="AB776" i="29"/>
  <c r="AD776" i="29"/>
  <c r="A777" i="29"/>
  <c r="G777" i="29"/>
  <c r="H777" i="29"/>
  <c r="I777" i="29"/>
  <c r="J777" i="29"/>
  <c r="K777" i="29"/>
  <c r="L777" i="29"/>
  <c r="M777" i="29"/>
  <c r="N777" i="29"/>
  <c r="AD777" i="29"/>
  <c r="A778" i="29"/>
  <c r="G778" i="29"/>
  <c r="H778" i="29"/>
  <c r="I778" i="29"/>
  <c r="J778" i="29"/>
  <c r="K778" i="29"/>
  <c r="L778" i="29"/>
  <c r="M778" i="29"/>
  <c r="N778" i="29"/>
  <c r="AD778" i="29"/>
  <c r="A779" i="29"/>
  <c r="G779" i="29"/>
  <c r="H779" i="29"/>
  <c r="I779" i="29"/>
  <c r="J779" i="29"/>
  <c r="K779" i="29"/>
  <c r="L779" i="29"/>
  <c r="M779" i="29"/>
  <c r="N779" i="29"/>
  <c r="AD779" i="29"/>
  <c r="A780" i="29"/>
  <c r="G780" i="29"/>
  <c r="H780" i="29"/>
  <c r="I780" i="29"/>
  <c r="J780" i="29"/>
  <c r="K780" i="29"/>
  <c r="L780" i="29"/>
  <c r="M780" i="29"/>
  <c r="N780" i="29"/>
  <c r="AD780" i="29"/>
  <c r="A781" i="29"/>
  <c r="E781" i="29"/>
  <c r="G781" i="29"/>
  <c r="H781" i="29"/>
  <c r="I781" i="29"/>
  <c r="J781" i="29"/>
  <c r="K781" i="29"/>
  <c r="L781" i="29"/>
  <c r="M781" i="29"/>
  <c r="N781" i="29"/>
  <c r="O781" i="29"/>
  <c r="P781" i="29"/>
  <c r="Q781" i="29"/>
  <c r="R781" i="29"/>
  <c r="T781" i="29"/>
  <c r="V781" i="29"/>
  <c r="X781" i="29"/>
  <c r="Y781" i="29"/>
  <c r="Z781" i="29"/>
  <c r="AB781" i="29"/>
  <c r="AD781" i="29"/>
  <c r="A782" i="29"/>
  <c r="G782" i="29"/>
  <c r="H782" i="29"/>
  <c r="I782" i="29"/>
  <c r="J782" i="29"/>
  <c r="K782" i="29"/>
  <c r="L782" i="29"/>
  <c r="M782" i="29"/>
  <c r="N782" i="29"/>
  <c r="AD782" i="29"/>
  <c r="A783" i="29"/>
  <c r="G783" i="29"/>
  <c r="H783" i="29"/>
  <c r="I783" i="29"/>
  <c r="J783" i="29"/>
  <c r="K783" i="29"/>
  <c r="L783" i="29"/>
  <c r="M783" i="29"/>
  <c r="N783" i="29"/>
  <c r="AD783" i="29"/>
  <c r="A784" i="29"/>
  <c r="G784" i="29"/>
  <c r="H784" i="29"/>
  <c r="I784" i="29"/>
  <c r="J784" i="29"/>
  <c r="K784" i="29"/>
  <c r="L784" i="29"/>
  <c r="M784" i="29"/>
  <c r="N784" i="29"/>
  <c r="AD784" i="29"/>
  <c r="A785" i="29"/>
  <c r="G785" i="29"/>
  <c r="H785" i="29"/>
  <c r="I785" i="29"/>
  <c r="J785" i="29"/>
  <c r="K785" i="29"/>
  <c r="L785" i="29"/>
  <c r="M785" i="29"/>
  <c r="N785" i="29"/>
  <c r="AD785" i="29"/>
  <c r="A786" i="29"/>
  <c r="G786" i="29"/>
  <c r="H786" i="29"/>
  <c r="I786" i="29"/>
  <c r="J786" i="29"/>
  <c r="K786" i="29"/>
  <c r="L786" i="29"/>
  <c r="M786" i="29"/>
  <c r="N786" i="29"/>
  <c r="AD786" i="29"/>
  <c r="A787" i="29"/>
  <c r="G787" i="29"/>
  <c r="H787" i="29"/>
  <c r="I787" i="29"/>
  <c r="J787" i="29"/>
  <c r="K787" i="29"/>
  <c r="L787" i="29"/>
  <c r="M787" i="29"/>
  <c r="N787" i="29"/>
  <c r="AD787" i="29"/>
  <c r="A788" i="29"/>
  <c r="G788" i="29"/>
  <c r="H788" i="29"/>
  <c r="I788" i="29"/>
  <c r="J788" i="29"/>
  <c r="K788" i="29"/>
  <c r="L788" i="29"/>
  <c r="M788" i="29"/>
  <c r="N788" i="29"/>
  <c r="AD788" i="29"/>
  <c r="A789" i="29"/>
  <c r="G789" i="29"/>
  <c r="H789" i="29"/>
  <c r="I789" i="29"/>
  <c r="J789" i="29"/>
  <c r="K789" i="29"/>
  <c r="L789" i="29"/>
  <c r="M789" i="29"/>
  <c r="N789" i="29"/>
  <c r="AD789" i="29"/>
  <c r="A790" i="29"/>
  <c r="E790" i="29"/>
  <c r="G790" i="29"/>
  <c r="H790" i="29"/>
  <c r="I790" i="29"/>
  <c r="J790" i="29"/>
  <c r="K790" i="29"/>
  <c r="L790" i="29"/>
  <c r="M790" i="29"/>
  <c r="N790" i="29"/>
  <c r="O790" i="29"/>
  <c r="P790" i="29"/>
  <c r="Q790" i="29"/>
  <c r="R790" i="29"/>
  <c r="T790" i="29"/>
  <c r="V790" i="29"/>
  <c r="X790" i="29"/>
  <c r="Y790" i="29"/>
  <c r="Z790" i="29"/>
  <c r="AB790" i="29"/>
  <c r="AD790" i="29"/>
  <c r="A791" i="29"/>
  <c r="G791" i="29"/>
  <c r="H791" i="29"/>
  <c r="I791" i="29"/>
  <c r="J791" i="29"/>
  <c r="K791" i="29"/>
  <c r="L791" i="29"/>
  <c r="M791" i="29"/>
  <c r="N791" i="29"/>
  <c r="P791" i="29"/>
  <c r="AD791" i="29"/>
  <c r="A792" i="29"/>
  <c r="E792" i="29"/>
  <c r="G792" i="29"/>
  <c r="H792" i="29"/>
  <c r="I792" i="29"/>
  <c r="J792" i="29"/>
  <c r="K792" i="29"/>
  <c r="L792" i="29"/>
  <c r="M792" i="29"/>
  <c r="N792" i="29"/>
  <c r="O792" i="29"/>
  <c r="P792" i="29"/>
  <c r="Q792" i="29"/>
  <c r="R792" i="29"/>
  <c r="T792" i="29"/>
  <c r="V792" i="29"/>
  <c r="X792" i="29"/>
  <c r="Y792" i="29"/>
  <c r="Z792" i="29"/>
  <c r="AB792" i="29"/>
  <c r="AD792" i="29"/>
  <c r="A793" i="29"/>
  <c r="E793" i="29"/>
  <c r="G793" i="29"/>
  <c r="H793" i="29"/>
  <c r="I793" i="29"/>
  <c r="J793" i="29"/>
  <c r="K793" i="29"/>
  <c r="L793" i="29"/>
  <c r="M793" i="29"/>
  <c r="N793" i="29"/>
  <c r="O793" i="29"/>
  <c r="P793" i="29"/>
  <c r="Q793" i="29"/>
  <c r="R793" i="29"/>
  <c r="T793" i="29"/>
  <c r="V793" i="29"/>
  <c r="X793" i="29"/>
  <c r="Y793" i="29"/>
  <c r="Z793" i="29"/>
  <c r="AB793" i="29"/>
  <c r="AD793" i="29"/>
  <c r="A794" i="29"/>
  <c r="G794" i="29"/>
  <c r="H794" i="29"/>
  <c r="I794" i="29"/>
  <c r="J794" i="29"/>
  <c r="K794" i="29"/>
  <c r="L794" i="29"/>
  <c r="M794" i="29"/>
  <c r="N794" i="29"/>
  <c r="AD794" i="29"/>
  <c r="A795" i="29"/>
  <c r="G795" i="29"/>
  <c r="H795" i="29"/>
  <c r="I795" i="29"/>
  <c r="J795" i="29"/>
  <c r="K795" i="29"/>
  <c r="L795" i="29"/>
  <c r="M795" i="29"/>
  <c r="N795" i="29"/>
  <c r="AD795" i="29"/>
  <c r="A796" i="29"/>
  <c r="G796" i="29"/>
  <c r="H796" i="29"/>
  <c r="J796" i="29"/>
  <c r="K796" i="29"/>
  <c r="L796" i="29"/>
  <c r="M796" i="29"/>
  <c r="N796" i="29"/>
  <c r="AD796" i="29"/>
  <c r="A797" i="29"/>
  <c r="G797" i="29"/>
  <c r="H797" i="29"/>
  <c r="J797" i="29"/>
  <c r="K797" i="29"/>
  <c r="L797" i="29"/>
  <c r="M797" i="29"/>
  <c r="N797" i="29"/>
  <c r="AD797" i="29"/>
  <c r="A798" i="29"/>
  <c r="E798" i="29"/>
  <c r="G798" i="29"/>
  <c r="H798" i="29"/>
  <c r="I798" i="29"/>
  <c r="J798" i="29"/>
  <c r="K798" i="29"/>
  <c r="L798" i="29"/>
  <c r="M798" i="29"/>
  <c r="N798" i="29"/>
  <c r="O798" i="29"/>
  <c r="P798" i="29"/>
  <c r="Q798" i="29"/>
  <c r="R798" i="29"/>
  <c r="T798" i="29"/>
  <c r="V798" i="29"/>
  <c r="X798" i="29"/>
  <c r="Y798" i="29"/>
  <c r="Z798" i="29"/>
  <c r="AB798" i="29"/>
  <c r="AD798" i="29"/>
  <c r="A799" i="29"/>
  <c r="G799" i="29"/>
  <c r="H799" i="29"/>
  <c r="J799" i="29"/>
  <c r="K799" i="29"/>
  <c r="L799" i="29"/>
  <c r="N799" i="29"/>
  <c r="Z799" i="29"/>
  <c r="AD799" i="29"/>
  <c r="A800" i="29"/>
  <c r="G800" i="29"/>
  <c r="H800" i="29"/>
  <c r="J800" i="29"/>
  <c r="K800" i="29"/>
  <c r="L800" i="29"/>
  <c r="N800" i="29"/>
  <c r="AD800" i="29"/>
  <c r="A801" i="29"/>
  <c r="G801" i="29"/>
  <c r="H801" i="29"/>
  <c r="J801" i="29"/>
  <c r="K801" i="29"/>
  <c r="L801" i="29"/>
  <c r="N801" i="29"/>
  <c r="AD801" i="29"/>
  <c r="A802" i="29"/>
  <c r="G802" i="29"/>
  <c r="H802" i="29"/>
  <c r="I802" i="29"/>
  <c r="J802" i="29"/>
  <c r="K802" i="29"/>
  <c r="L802" i="29"/>
  <c r="M802" i="29"/>
  <c r="N802" i="29"/>
  <c r="P802" i="29"/>
  <c r="AD802" i="29"/>
  <c r="A803" i="29"/>
  <c r="G803" i="29"/>
  <c r="H803" i="29"/>
  <c r="I803" i="29"/>
  <c r="J803" i="29"/>
  <c r="K803" i="29"/>
  <c r="L803" i="29"/>
  <c r="M803" i="29"/>
  <c r="N803" i="29"/>
  <c r="AD803" i="29"/>
  <c r="A804" i="29"/>
  <c r="G804" i="29"/>
  <c r="H804" i="29"/>
  <c r="I804" i="29"/>
  <c r="J804" i="29"/>
  <c r="K804" i="29"/>
  <c r="L804" i="29"/>
  <c r="M804" i="29"/>
  <c r="N804" i="29"/>
  <c r="AD804" i="29"/>
  <c r="A805" i="29"/>
  <c r="G805" i="29"/>
  <c r="H805" i="29"/>
  <c r="I805" i="29"/>
  <c r="J805" i="29"/>
  <c r="K805" i="29"/>
  <c r="L805" i="29"/>
  <c r="M805" i="29"/>
  <c r="N805" i="29"/>
  <c r="AD805" i="29"/>
  <c r="A806" i="29"/>
  <c r="G806" i="29"/>
  <c r="H806" i="29"/>
  <c r="I806" i="29"/>
  <c r="J806" i="29"/>
  <c r="K806" i="29"/>
  <c r="L806" i="29"/>
  <c r="M806" i="29"/>
  <c r="N806" i="29"/>
  <c r="AD806" i="29"/>
  <c r="A807" i="29"/>
  <c r="E807" i="29"/>
  <c r="G807" i="29"/>
  <c r="H807" i="29"/>
  <c r="I807" i="29"/>
  <c r="J807" i="29"/>
  <c r="K807" i="29"/>
  <c r="L807" i="29"/>
  <c r="M807" i="29"/>
  <c r="N807" i="29"/>
  <c r="O807" i="29"/>
  <c r="P807" i="29"/>
  <c r="Q807" i="29"/>
  <c r="R807" i="29"/>
  <c r="T807" i="29"/>
  <c r="V807" i="29"/>
  <c r="X807" i="29"/>
  <c r="Y807" i="29"/>
  <c r="Z807" i="29"/>
  <c r="AB807" i="29"/>
  <c r="AD807" i="29"/>
  <c r="A808" i="29"/>
  <c r="G808" i="29"/>
  <c r="H808" i="29"/>
  <c r="I808" i="29"/>
  <c r="J808" i="29"/>
  <c r="K808" i="29"/>
  <c r="L808" i="29"/>
  <c r="M808" i="29"/>
  <c r="N808" i="29"/>
  <c r="R808" i="29"/>
  <c r="AD808" i="29"/>
  <c r="A809" i="29"/>
  <c r="G809" i="29"/>
  <c r="H809" i="29"/>
  <c r="I809" i="29"/>
  <c r="J809" i="29"/>
  <c r="K809" i="29"/>
  <c r="L809" i="29"/>
  <c r="M809" i="29"/>
  <c r="N809" i="29"/>
  <c r="P809" i="29"/>
  <c r="AD809" i="29"/>
  <c r="A810" i="29"/>
  <c r="E810" i="29"/>
  <c r="G810" i="29"/>
  <c r="H810" i="29"/>
  <c r="I810" i="29"/>
  <c r="J810" i="29"/>
  <c r="K810" i="29"/>
  <c r="L810" i="29"/>
  <c r="M810" i="29"/>
  <c r="N810" i="29"/>
  <c r="O810" i="29"/>
  <c r="P810" i="29"/>
  <c r="Q810" i="29"/>
  <c r="R810" i="29"/>
  <c r="T810" i="29"/>
  <c r="V810" i="29"/>
  <c r="X810" i="29"/>
  <c r="Y810" i="29"/>
  <c r="Z810" i="29"/>
  <c r="AB810" i="29"/>
  <c r="AD810" i="29"/>
  <c r="A811" i="29"/>
  <c r="E811" i="29"/>
  <c r="G811" i="29"/>
  <c r="H811" i="29"/>
  <c r="I811" i="29"/>
  <c r="J811" i="29"/>
  <c r="K811" i="29"/>
  <c r="L811" i="29"/>
  <c r="M811" i="29"/>
  <c r="N811" i="29"/>
  <c r="O811" i="29"/>
  <c r="P811" i="29"/>
  <c r="Q811" i="29"/>
  <c r="R811" i="29"/>
  <c r="T811" i="29"/>
  <c r="V811" i="29"/>
  <c r="X811" i="29"/>
  <c r="Y811" i="29"/>
  <c r="Z811" i="29"/>
  <c r="AB811" i="29"/>
  <c r="AD811" i="29"/>
  <c r="A812" i="29"/>
  <c r="G812" i="29"/>
  <c r="H812" i="29"/>
  <c r="I812" i="29"/>
  <c r="J812" i="29"/>
  <c r="K812" i="29"/>
  <c r="L812" i="29"/>
  <c r="M812" i="29"/>
  <c r="N812" i="29"/>
  <c r="AD812" i="29"/>
  <c r="A813" i="29"/>
  <c r="G813" i="29"/>
  <c r="H813" i="29"/>
  <c r="I813" i="29"/>
  <c r="J813" i="29"/>
  <c r="K813" i="29"/>
  <c r="L813" i="29"/>
  <c r="M813" i="29"/>
  <c r="N813" i="29"/>
  <c r="AD813" i="29"/>
  <c r="A814" i="29"/>
  <c r="E814" i="29"/>
  <c r="G814" i="29"/>
  <c r="H814" i="29"/>
  <c r="I814" i="29"/>
  <c r="J814" i="29"/>
  <c r="K814" i="29"/>
  <c r="L814" i="29"/>
  <c r="M814" i="29"/>
  <c r="N814" i="29"/>
  <c r="O814" i="29"/>
  <c r="P814" i="29"/>
  <c r="Q814" i="29"/>
  <c r="R814" i="29"/>
  <c r="T814" i="29"/>
  <c r="V814" i="29"/>
  <c r="X814" i="29"/>
  <c r="Y814" i="29"/>
  <c r="Z814" i="29"/>
  <c r="AB814" i="29"/>
  <c r="AD814" i="29"/>
  <c r="A815" i="29"/>
  <c r="E815" i="29"/>
  <c r="G815" i="29"/>
  <c r="H815" i="29"/>
  <c r="I815" i="29"/>
  <c r="J815" i="29"/>
  <c r="K815" i="29"/>
  <c r="L815" i="29"/>
  <c r="M815" i="29"/>
  <c r="N815" i="29"/>
  <c r="O815" i="29"/>
  <c r="P815" i="29"/>
  <c r="Q815" i="29"/>
  <c r="R815" i="29"/>
  <c r="T815" i="29"/>
  <c r="V815" i="29"/>
  <c r="X815" i="29"/>
  <c r="Y815" i="29"/>
  <c r="Z815" i="29"/>
  <c r="AB815" i="29"/>
  <c r="AD815" i="29"/>
  <c r="A816" i="29"/>
  <c r="E816" i="29"/>
  <c r="G816" i="29"/>
  <c r="H816" i="29"/>
  <c r="I816" i="29"/>
  <c r="J816" i="29"/>
  <c r="K816" i="29"/>
  <c r="L816" i="29"/>
  <c r="M816" i="29"/>
  <c r="N816" i="29"/>
  <c r="O816" i="29"/>
  <c r="P816" i="29"/>
  <c r="Q816" i="29"/>
  <c r="R816" i="29"/>
  <c r="T816" i="29"/>
  <c r="V816" i="29"/>
  <c r="X816" i="29"/>
  <c r="Y816" i="29"/>
  <c r="Z816" i="29"/>
  <c r="AB816" i="29"/>
  <c r="AD816" i="29"/>
  <c r="A817" i="29"/>
  <c r="E817" i="29"/>
  <c r="G817" i="29"/>
  <c r="H817" i="29"/>
  <c r="I817" i="29"/>
  <c r="J817" i="29"/>
  <c r="K817" i="29"/>
  <c r="L817" i="29"/>
  <c r="M817" i="29"/>
  <c r="N817" i="29"/>
  <c r="O817" i="29"/>
  <c r="P817" i="29"/>
  <c r="Q817" i="29"/>
  <c r="R817" i="29"/>
  <c r="T817" i="29"/>
  <c r="V817" i="29"/>
  <c r="X817" i="29"/>
  <c r="Y817" i="29"/>
  <c r="Z817" i="29"/>
  <c r="AB817" i="29"/>
  <c r="AD817" i="29"/>
  <c r="A818" i="29"/>
  <c r="E818" i="29"/>
  <c r="G818" i="29"/>
  <c r="H818" i="29"/>
  <c r="I818" i="29"/>
  <c r="J818" i="29"/>
  <c r="K818" i="29"/>
  <c r="L818" i="29"/>
  <c r="M818" i="29"/>
  <c r="N818" i="29"/>
  <c r="O818" i="29"/>
  <c r="P818" i="29"/>
  <c r="Q818" i="29"/>
  <c r="R818" i="29"/>
  <c r="T818" i="29"/>
  <c r="V818" i="29"/>
  <c r="X818" i="29"/>
  <c r="Y818" i="29"/>
  <c r="Z818" i="29"/>
  <c r="AB818" i="29"/>
  <c r="AD818" i="29"/>
  <c r="A819" i="29"/>
  <c r="E819" i="29"/>
  <c r="G819" i="29"/>
  <c r="H819" i="29"/>
  <c r="I819" i="29"/>
  <c r="J819" i="29"/>
  <c r="K819" i="29"/>
  <c r="L819" i="29"/>
  <c r="M819" i="29"/>
  <c r="N819" i="29"/>
  <c r="O819" i="29"/>
  <c r="P819" i="29"/>
  <c r="Q819" i="29"/>
  <c r="R819" i="29"/>
  <c r="T819" i="29"/>
  <c r="V819" i="29"/>
  <c r="X819" i="29"/>
  <c r="Y819" i="29"/>
  <c r="Z819" i="29"/>
  <c r="AB819" i="29"/>
  <c r="AD819" i="29"/>
  <c r="A820" i="29"/>
  <c r="E820" i="29"/>
  <c r="G820" i="29"/>
  <c r="H820" i="29"/>
  <c r="I820" i="29"/>
  <c r="J820" i="29"/>
  <c r="K820" i="29"/>
  <c r="L820" i="29"/>
  <c r="M820" i="29"/>
  <c r="N820" i="29"/>
  <c r="O820" i="29"/>
  <c r="P820" i="29"/>
  <c r="Q820" i="29"/>
  <c r="R820" i="29"/>
  <c r="T820" i="29"/>
  <c r="V820" i="29"/>
  <c r="X820" i="29"/>
  <c r="Y820" i="29"/>
  <c r="Z820" i="29"/>
  <c r="AB820" i="29"/>
  <c r="AD820" i="29"/>
  <c r="A821" i="29"/>
  <c r="E821" i="29"/>
  <c r="G821" i="29"/>
  <c r="H821" i="29"/>
  <c r="I821" i="29"/>
  <c r="J821" i="29"/>
  <c r="K821" i="29"/>
  <c r="L821" i="29"/>
  <c r="M821" i="29"/>
  <c r="N821" i="29"/>
  <c r="O821" i="29"/>
  <c r="P821" i="29"/>
  <c r="Q821" i="29"/>
  <c r="R821" i="29"/>
  <c r="T821" i="29"/>
  <c r="V821" i="29"/>
  <c r="X821" i="29"/>
  <c r="Y821" i="29"/>
  <c r="Z821" i="29"/>
  <c r="AB821" i="29"/>
  <c r="AD821" i="29"/>
  <c r="A822" i="29"/>
  <c r="E822" i="29"/>
  <c r="G822" i="29"/>
  <c r="H822" i="29"/>
  <c r="I822" i="29"/>
  <c r="J822" i="29"/>
  <c r="K822" i="29"/>
  <c r="L822" i="29"/>
  <c r="M822" i="29"/>
  <c r="N822" i="29"/>
  <c r="O822" i="29"/>
  <c r="P822" i="29"/>
  <c r="Q822" i="29"/>
  <c r="R822" i="29"/>
  <c r="T822" i="29"/>
  <c r="V822" i="29"/>
  <c r="X822" i="29"/>
  <c r="Y822" i="29"/>
  <c r="Z822" i="29"/>
  <c r="AB822" i="29"/>
  <c r="AD822" i="29"/>
  <c r="A823" i="29"/>
  <c r="G823" i="29"/>
  <c r="H823" i="29"/>
  <c r="I823" i="29"/>
  <c r="J823" i="29"/>
  <c r="K823" i="29"/>
  <c r="L823" i="29"/>
  <c r="M823" i="29"/>
  <c r="N823" i="29"/>
  <c r="AD823" i="29"/>
  <c r="A824" i="29"/>
  <c r="E824" i="29"/>
  <c r="G824" i="29"/>
  <c r="H824" i="29"/>
  <c r="I824" i="29"/>
  <c r="J824" i="29"/>
  <c r="K824" i="29"/>
  <c r="L824" i="29"/>
  <c r="M824" i="29"/>
  <c r="N824" i="29"/>
  <c r="O824" i="29"/>
  <c r="P824" i="29"/>
  <c r="Q824" i="29"/>
  <c r="R824" i="29"/>
  <c r="T824" i="29"/>
  <c r="V824" i="29"/>
  <c r="X824" i="29"/>
  <c r="Y824" i="29"/>
  <c r="Z824" i="29"/>
  <c r="AB824" i="29"/>
  <c r="AD824" i="29"/>
  <c r="A825" i="29"/>
  <c r="G825" i="29"/>
  <c r="H825" i="29"/>
  <c r="I825" i="29"/>
  <c r="J825" i="29"/>
  <c r="K825" i="29"/>
  <c r="L825" i="29"/>
  <c r="M825" i="29"/>
  <c r="N825" i="29"/>
  <c r="T825" i="29"/>
  <c r="AD825" i="29"/>
  <c r="A826" i="29"/>
  <c r="G826" i="29"/>
  <c r="H826" i="29"/>
  <c r="I826" i="29"/>
  <c r="J826" i="29"/>
  <c r="K826" i="29"/>
  <c r="L826" i="29"/>
  <c r="M826" i="29"/>
  <c r="N826" i="29"/>
  <c r="AD826" i="29"/>
  <c r="A827" i="29"/>
  <c r="E827" i="29"/>
  <c r="G827" i="29"/>
  <c r="H827" i="29"/>
  <c r="I827" i="29"/>
  <c r="J827" i="29"/>
  <c r="K827" i="29"/>
  <c r="L827" i="29"/>
  <c r="M827" i="29"/>
  <c r="N827" i="29"/>
  <c r="O827" i="29"/>
  <c r="P827" i="29"/>
  <c r="Q827" i="29"/>
  <c r="R827" i="29"/>
  <c r="T827" i="29"/>
  <c r="V827" i="29"/>
  <c r="X827" i="29"/>
  <c r="Y827" i="29"/>
  <c r="Z827" i="29"/>
  <c r="AB827" i="29"/>
  <c r="AD827" i="29"/>
  <c r="A828" i="29"/>
  <c r="E828" i="29"/>
  <c r="G828" i="29"/>
  <c r="H828" i="29"/>
  <c r="I828" i="29"/>
  <c r="J828" i="29"/>
  <c r="K828" i="29"/>
  <c r="L828" i="29"/>
  <c r="M828" i="29"/>
  <c r="N828" i="29"/>
  <c r="O828" i="29"/>
  <c r="P828" i="29"/>
  <c r="Q828" i="29"/>
  <c r="R828" i="29"/>
  <c r="T828" i="29"/>
  <c r="V828" i="29"/>
  <c r="X828" i="29"/>
  <c r="Y828" i="29"/>
  <c r="Z828" i="29"/>
  <c r="AB828" i="29"/>
  <c r="AD828" i="29"/>
  <c r="A829" i="29"/>
  <c r="E829" i="29"/>
  <c r="G829" i="29"/>
  <c r="H829" i="29"/>
  <c r="I829" i="29"/>
  <c r="J829" i="29"/>
  <c r="K829" i="29"/>
  <c r="L829" i="29"/>
  <c r="M829" i="29"/>
  <c r="N829" i="29"/>
  <c r="O829" i="29"/>
  <c r="P829" i="29"/>
  <c r="Q829" i="29"/>
  <c r="R829" i="29"/>
  <c r="T829" i="29"/>
  <c r="V829" i="29"/>
  <c r="X829" i="29"/>
  <c r="Y829" i="29"/>
  <c r="Z829" i="29"/>
  <c r="AB829" i="29"/>
  <c r="AD829" i="29"/>
  <c r="A830" i="29"/>
  <c r="E830" i="29"/>
  <c r="G830" i="29"/>
  <c r="H830" i="29"/>
  <c r="I830" i="29"/>
  <c r="J830" i="29"/>
  <c r="K830" i="29"/>
  <c r="L830" i="29"/>
  <c r="M830" i="29"/>
  <c r="N830" i="29"/>
  <c r="O830" i="29"/>
  <c r="P830" i="29"/>
  <c r="Q830" i="29"/>
  <c r="R830" i="29"/>
  <c r="T830" i="29"/>
  <c r="V830" i="29"/>
  <c r="X830" i="29"/>
  <c r="Y830" i="29"/>
  <c r="Z830" i="29"/>
  <c r="AB830" i="29"/>
  <c r="AD830" i="29"/>
  <c r="A831" i="29"/>
  <c r="E831" i="29"/>
  <c r="G831" i="29"/>
  <c r="H831" i="29"/>
  <c r="I831" i="29"/>
  <c r="J831" i="29"/>
  <c r="K831" i="29"/>
  <c r="L831" i="29"/>
  <c r="M831" i="29"/>
  <c r="N831" i="29"/>
  <c r="O831" i="29"/>
  <c r="P831" i="29"/>
  <c r="Q831" i="29"/>
  <c r="R831" i="29"/>
  <c r="T831" i="29"/>
  <c r="V831" i="29"/>
  <c r="X831" i="29"/>
  <c r="Y831" i="29"/>
  <c r="Z831" i="29"/>
  <c r="AB831" i="29"/>
  <c r="AD831" i="29"/>
  <c r="A832" i="29"/>
  <c r="E832" i="29"/>
  <c r="G832" i="29"/>
  <c r="H832" i="29"/>
  <c r="I832" i="29"/>
  <c r="J832" i="29"/>
  <c r="K832" i="29"/>
  <c r="L832" i="29"/>
  <c r="M832" i="29"/>
  <c r="N832" i="29"/>
  <c r="O832" i="29"/>
  <c r="P832" i="29"/>
  <c r="Q832" i="29"/>
  <c r="R832" i="29"/>
  <c r="T832" i="29"/>
  <c r="V832" i="29"/>
  <c r="X832" i="29"/>
  <c r="Y832" i="29"/>
  <c r="Z832" i="29"/>
  <c r="AB832" i="29"/>
  <c r="AD832" i="29"/>
  <c r="A833" i="29"/>
  <c r="E833" i="29"/>
  <c r="G833" i="29"/>
  <c r="H833" i="29"/>
  <c r="I833" i="29"/>
  <c r="J833" i="29"/>
  <c r="K833" i="29"/>
  <c r="L833" i="29"/>
  <c r="M833" i="29"/>
  <c r="N833" i="29"/>
  <c r="O833" i="29"/>
  <c r="P833" i="29"/>
  <c r="Q833" i="29"/>
  <c r="R833" i="29"/>
  <c r="T833" i="29"/>
  <c r="V833" i="29"/>
  <c r="X833" i="29"/>
  <c r="Y833" i="29"/>
  <c r="Z833" i="29"/>
  <c r="AB833" i="29"/>
  <c r="AD833" i="29"/>
  <c r="A834" i="29"/>
  <c r="G834" i="29"/>
  <c r="H834" i="29"/>
  <c r="I834" i="29"/>
  <c r="J834" i="29"/>
  <c r="K834" i="29"/>
  <c r="L834" i="29"/>
  <c r="M834" i="29"/>
  <c r="N834" i="29"/>
  <c r="AD834" i="29"/>
  <c r="A835" i="29"/>
  <c r="E835" i="29"/>
  <c r="G835" i="29"/>
  <c r="H835" i="29"/>
  <c r="I835" i="29"/>
  <c r="J835" i="29"/>
  <c r="K835" i="29"/>
  <c r="L835" i="29"/>
  <c r="M835" i="29"/>
  <c r="N835" i="29"/>
  <c r="O835" i="29"/>
  <c r="P835" i="29"/>
  <c r="Q835" i="29"/>
  <c r="R835" i="29"/>
  <c r="T835" i="29"/>
  <c r="V835" i="29"/>
  <c r="X835" i="29"/>
  <c r="Y835" i="29"/>
  <c r="Z835" i="29"/>
  <c r="AB835" i="29"/>
  <c r="AD835" i="29"/>
  <c r="A836" i="29"/>
  <c r="E836" i="29"/>
  <c r="G836" i="29"/>
  <c r="H836" i="29"/>
  <c r="I836" i="29"/>
  <c r="J836" i="29"/>
  <c r="K836" i="29"/>
  <c r="L836" i="29"/>
  <c r="M836" i="29"/>
  <c r="N836" i="29"/>
  <c r="O836" i="29"/>
  <c r="P836" i="29"/>
  <c r="Q836" i="29"/>
  <c r="R836" i="29"/>
  <c r="T836" i="29"/>
  <c r="V836" i="29"/>
  <c r="X836" i="29"/>
  <c r="Y836" i="29"/>
  <c r="Z836" i="29"/>
  <c r="AB836" i="29"/>
  <c r="AD836" i="29"/>
  <c r="A837" i="29"/>
  <c r="E837" i="29"/>
  <c r="G837" i="29"/>
  <c r="H837" i="29"/>
  <c r="I837" i="29"/>
  <c r="J837" i="29"/>
  <c r="K837" i="29"/>
  <c r="L837" i="29"/>
  <c r="M837" i="29"/>
  <c r="N837" i="29"/>
  <c r="O837" i="29"/>
  <c r="P837" i="29"/>
  <c r="Q837" i="29"/>
  <c r="R837" i="29"/>
  <c r="T837" i="29"/>
  <c r="V837" i="29"/>
  <c r="X837" i="29"/>
  <c r="Y837" i="29"/>
  <c r="Z837" i="29"/>
  <c r="AB837" i="29"/>
  <c r="AD837" i="29"/>
  <c r="A838" i="29"/>
  <c r="E838" i="29"/>
  <c r="G838" i="29"/>
  <c r="H838" i="29"/>
  <c r="I838" i="29"/>
  <c r="J838" i="29"/>
  <c r="K838" i="29"/>
  <c r="L838" i="29"/>
  <c r="M838" i="29"/>
  <c r="N838" i="29"/>
  <c r="O838" i="29"/>
  <c r="P838" i="29"/>
  <c r="Q838" i="29"/>
  <c r="R838" i="29"/>
  <c r="T838" i="29"/>
  <c r="V838" i="29"/>
  <c r="X838" i="29"/>
  <c r="Y838" i="29"/>
  <c r="Z838" i="29"/>
  <c r="AB838" i="29"/>
  <c r="AD838" i="29"/>
  <c r="A839" i="29"/>
  <c r="E839" i="29"/>
  <c r="G839" i="29"/>
  <c r="H839" i="29"/>
  <c r="I839" i="29"/>
  <c r="J839" i="29"/>
  <c r="K839" i="29"/>
  <c r="L839" i="29"/>
  <c r="M839" i="29"/>
  <c r="N839" i="29"/>
  <c r="O839" i="29"/>
  <c r="P839" i="29"/>
  <c r="Q839" i="29"/>
  <c r="R839" i="29"/>
  <c r="T839" i="29"/>
  <c r="V839" i="29"/>
  <c r="X839" i="29"/>
  <c r="Y839" i="29"/>
  <c r="Z839" i="29"/>
  <c r="AB839" i="29"/>
  <c r="AD839" i="29"/>
  <c r="A840" i="29"/>
  <c r="E840" i="29"/>
  <c r="G840" i="29"/>
  <c r="H840" i="29"/>
  <c r="I840" i="29"/>
  <c r="J840" i="29"/>
  <c r="K840" i="29"/>
  <c r="L840" i="29"/>
  <c r="M840" i="29"/>
  <c r="N840" i="29"/>
  <c r="O840" i="29"/>
  <c r="P840" i="29"/>
  <c r="Q840" i="29"/>
  <c r="R840" i="29"/>
  <c r="T840" i="29"/>
  <c r="V840" i="29"/>
  <c r="X840" i="29"/>
  <c r="Y840" i="29"/>
  <c r="Z840" i="29"/>
  <c r="AB840" i="29"/>
  <c r="AD840" i="29"/>
  <c r="A841" i="29"/>
  <c r="G841" i="29"/>
  <c r="H841" i="29"/>
  <c r="I841" i="29"/>
  <c r="J841" i="29"/>
  <c r="K841" i="29"/>
  <c r="L841" i="29"/>
  <c r="M841" i="29"/>
  <c r="N841" i="29"/>
  <c r="AD841" i="29"/>
  <c r="A842" i="29"/>
  <c r="G842" i="29"/>
  <c r="H842" i="29"/>
  <c r="I842" i="29"/>
  <c r="J842" i="29"/>
  <c r="K842" i="29"/>
  <c r="L842" i="29"/>
  <c r="M842" i="29"/>
  <c r="N842" i="29"/>
  <c r="AD842" i="29"/>
  <c r="A843" i="29"/>
  <c r="G843" i="29"/>
  <c r="H843" i="29"/>
  <c r="I843" i="29"/>
  <c r="J843" i="29"/>
  <c r="K843" i="29"/>
  <c r="L843" i="29"/>
  <c r="M843" i="29"/>
  <c r="N843" i="29"/>
  <c r="AD843" i="29"/>
  <c r="A844" i="29"/>
  <c r="G844" i="29"/>
  <c r="H844" i="29"/>
  <c r="I844" i="29"/>
  <c r="J844" i="29"/>
  <c r="K844" i="29"/>
  <c r="L844" i="29"/>
  <c r="M844" i="29"/>
  <c r="N844" i="29"/>
  <c r="AD844" i="29"/>
  <c r="A845" i="29"/>
  <c r="G845" i="29"/>
  <c r="H845" i="29"/>
  <c r="I845" i="29"/>
  <c r="J845" i="29"/>
  <c r="K845" i="29"/>
  <c r="L845" i="29"/>
  <c r="M845" i="29"/>
  <c r="N845" i="29"/>
  <c r="AD845" i="29"/>
  <c r="A846" i="29"/>
  <c r="G846" i="29"/>
  <c r="H846" i="29"/>
  <c r="I846" i="29"/>
  <c r="J846" i="29"/>
  <c r="K846" i="29"/>
  <c r="L846" i="29"/>
  <c r="M846" i="29"/>
  <c r="N846" i="29"/>
  <c r="P846" i="29"/>
  <c r="R846" i="29"/>
  <c r="T846" i="29"/>
  <c r="Z846" i="29"/>
  <c r="AD846" i="29"/>
  <c r="A847" i="29"/>
  <c r="E847" i="29"/>
  <c r="G847" i="29"/>
  <c r="H847" i="29"/>
  <c r="I847" i="29"/>
  <c r="J847" i="29"/>
  <c r="K847" i="29"/>
  <c r="L847" i="29"/>
  <c r="M847" i="29"/>
  <c r="N847" i="29"/>
  <c r="O847" i="29"/>
  <c r="P847" i="29"/>
  <c r="Q847" i="29"/>
  <c r="R847" i="29"/>
  <c r="T847" i="29"/>
  <c r="V847" i="29"/>
  <c r="X847" i="29"/>
  <c r="Y847" i="29"/>
  <c r="Z847" i="29"/>
  <c r="AB847" i="29"/>
  <c r="AD847" i="29"/>
  <c r="A848" i="29"/>
  <c r="E848" i="29"/>
  <c r="G848" i="29"/>
  <c r="H848" i="29"/>
  <c r="I848" i="29"/>
  <c r="J848" i="29"/>
  <c r="K848" i="29"/>
  <c r="L848" i="29"/>
  <c r="M848" i="29"/>
  <c r="N848" i="29"/>
  <c r="O848" i="29"/>
  <c r="P848" i="29"/>
  <c r="Q848" i="29"/>
  <c r="R848" i="29"/>
  <c r="T848" i="29"/>
  <c r="V848" i="29"/>
  <c r="X848" i="29"/>
  <c r="Y848" i="29"/>
  <c r="Z848" i="29"/>
  <c r="AB848" i="29"/>
  <c r="AD848" i="29"/>
  <c r="A849" i="29"/>
  <c r="G849" i="29"/>
  <c r="H849" i="29"/>
  <c r="I849" i="29"/>
  <c r="J849" i="29"/>
  <c r="K849" i="29"/>
  <c r="L849" i="29"/>
  <c r="M849" i="29"/>
  <c r="N849" i="29"/>
  <c r="P849" i="29"/>
  <c r="R849" i="29"/>
  <c r="T849" i="29"/>
  <c r="Z849" i="29"/>
  <c r="AD849" i="29"/>
  <c r="A850" i="29"/>
  <c r="G850" i="29"/>
  <c r="H850" i="29"/>
  <c r="I850" i="29"/>
  <c r="J850" i="29"/>
  <c r="K850" i="29"/>
  <c r="L850" i="29"/>
  <c r="M850" i="29"/>
  <c r="N850" i="29"/>
  <c r="P850" i="29"/>
  <c r="R850" i="29"/>
  <c r="T850" i="29"/>
  <c r="Z850" i="29"/>
  <c r="AD850" i="29"/>
  <c r="A851" i="29"/>
  <c r="G851" i="29"/>
  <c r="H851" i="29"/>
  <c r="I851" i="29"/>
  <c r="J851" i="29"/>
  <c r="K851" i="29"/>
  <c r="L851" i="29"/>
  <c r="M851" i="29"/>
  <c r="N851" i="29"/>
  <c r="AD851" i="29"/>
  <c r="A852" i="29"/>
  <c r="G852" i="29"/>
  <c r="H852" i="29"/>
  <c r="I852" i="29"/>
  <c r="J852" i="29"/>
  <c r="K852" i="29"/>
  <c r="L852" i="29"/>
  <c r="M852" i="29"/>
  <c r="N852" i="29"/>
  <c r="AD852" i="29"/>
  <c r="A853" i="29"/>
  <c r="G853" i="29"/>
  <c r="H853" i="29"/>
  <c r="I853" i="29"/>
  <c r="J853" i="29"/>
  <c r="K853" i="29"/>
  <c r="L853" i="29"/>
  <c r="M853" i="29"/>
  <c r="N853" i="29"/>
  <c r="AD853" i="29"/>
  <c r="A854" i="29"/>
  <c r="G854" i="29"/>
  <c r="H854" i="29"/>
  <c r="I854" i="29"/>
  <c r="J854" i="29"/>
  <c r="K854" i="29"/>
  <c r="L854" i="29"/>
  <c r="M854" i="29"/>
  <c r="N854" i="29"/>
  <c r="AD854" i="29"/>
  <c r="A855" i="29"/>
  <c r="G855" i="29"/>
  <c r="H855" i="29"/>
  <c r="I855" i="29"/>
  <c r="J855" i="29"/>
  <c r="K855" i="29"/>
  <c r="L855" i="29"/>
  <c r="M855" i="29"/>
  <c r="N855" i="29"/>
  <c r="AD855" i="29"/>
  <c r="A856" i="29"/>
  <c r="E856" i="29"/>
  <c r="G856" i="29"/>
  <c r="H856" i="29"/>
  <c r="I856" i="29"/>
  <c r="J856" i="29"/>
  <c r="K856" i="29"/>
  <c r="L856" i="29"/>
  <c r="M856" i="29"/>
  <c r="N856" i="29"/>
  <c r="O856" i="29"/>
  <c r="P856" i="29"/>
  <c r="Q856" i="29"/>
  <c r="R856" i="29"/>
  <c r="V856" i="29"/>
  <c r="X856" i="29"/>
  <c r="Y856" i="29"/>
  <c r="Z856" i="29"/>
  <c r="AB856" i="29"/>
  <c r="AD856" i="29"/>
  <c r="A857" i="29"/>
  <c r="E857" i="29"/>
  <c r="G857" i="29"/>
  <c r="H857" i="29"/>
  <c r="I857" i="29"/>
  <c r="J857" i="29"/>
  <c r="K857" i="29"/>
  <c r="L857" i="29"/>
  <c r="M857" i="29"/>
  <c r="N857" i="29"/>
  <c r="O857" i="29"/>
  <c r="P857" i="29"/>
  <c r="Q857" i="29"/>
  <c r="R857" i="29"/>
  <c r="V857" i="29"/>
  <c r="X857" i="29"/>
  <c r="Y857" i="29"/>
  <c r="Z857" i="29"/>
  <c r="AB857" i="29"/>
  <c r="AD857" i="29"/>
  <c r="A858" i="29"/>
  <c r="G858" i="29"/>
  <c r="H858" i="29"/>
  <c r="I858" i="29"/>
  <c r="J858" i="29"/>
  <c r="K858" i="29"/>
  <c r="L858" i="29"/>
  <c r="M858" i="29"/>
  <c r="N858" i="29"/>
  <c r="P858" i="29"/>
  <c r="R858" i="29"/>
  <c r="T858" i="29"/>
  <c r="Z858" i="29"/>
  <c r="AD858" i="29"/>
  <c r="A859" i="29"/>
  <c r="G859" i="29"/>
  <c r="H859" i="29"/>
  <c r="I859" i="29"/>
  <c r="J859" i="29"/>
  <c r="K859" i="29"/>
  <c r="L859" i="29"/>
  <c r="M859" i="29"/>
  <c r="N859" i="29"/>
  <c r="AD859" i="29"/>
  <c r="A860" i="29"/>
  <c r="G860" i="29"/>
  <c r="H860" i="29"/>
  <c r="I860" i="29"/>
  <c r="J860" i="29"/>
  <c r="K860" i="29"/>
  <c r="L860" i="29"/>
  <c r="M860" i="29"/>
  <c r="N860" i="29"/>
  <c r="P860" i="29"/>
  <c r="R860" i="29"/>
  <c r="T860" i="29"/>
  <c r="Z860" i="29"/>
  <c r="AD860" i="29"/>
  <c r="A861" i="29"/>
  <c r="G861" i="29"/>
  <c r="H861" i="29"/>
  <c r="I861" i="29"/>
  <c r="J861" i="29"/>
  <c r="K861" i="29"/>
  <c r="L861" i="29"/>
  <c r="M861" i="29"/>
  <c r="N861" i="29"/>
  <c r="AD861" i="29"/>
  <c r="A862" i="29"/>
  <c r="G862" i="29"/>
  <c r="H862" i="29"/>
  <c r="I862" i="29"/>
  <c r="J862" i="29"/>
  <c r="K862" i="29"/>
  <c r="L862" i="29"/>
  <c r="M862" i="29"/>
  <c r="N862" i="29"/>
  <c r="AD862" i="29"/>
  <c r="A863" i="29"/>
  <c r="G863" i="29"/>
  <c r="H863" i="29"/>
  <c r="I863" i="29"/>
  <c r="J863" i="29"/>
  <c r="K863" i="29"/>
  <c r="L863" i="29"/>
  <c r="M863" i="29"/>
  <c r="N863" i="29"/>
  <c r="AD863" i="29"/>
  <c r="A864" i="29"/>
  <c r="G864" i="29"/>
  <c r="H864" i="29"/>
  <c r="I864" i="29"/>
  <c r="J864" i="29"/>
  <c r="K864" i="29"/>
  <c r="L864" i="29"/>
  <c r="M864" i="29"/>
  <c r="N864" i="29"/>
  <c r="AD864" i="29"/>
  <c r="A865" i="29"/>
  <c r="G865" i="29"/>
  <c r="H865" i="29"/>
  <c r="I865" i="29"/>
  <c r="J865" i="29"/>
  <c r="K865" i="29"/>
  <c r="L865" i="29"/>
  <c r="M865" i="29"/>
  <c r="N865" i="29"/>
  <c r="AD865" i="29"/>
  <c r="A866" i="29"/>
  <c r="G866" i="29"/>
  <c r="H866" i="29"/>
  <c r="I866" i="29"/>
  <c r="J866" i="29"/>
  <c r="K866" i="29"/>
  <c r="L866" i="29"/>
  <c r="M866" i="29"/>
  <c r="N866" i="29"/>
  <c r="AD866" i="29"/>
  <c r="A867" i="29"/>
  <c r="G867" i="29"/>
  <c r="H867" i="29"/>
  <c r="I867" i="29"/>
  <c r="J867" i="29"/>
  <c r="K867" i="29"/>
  <c r="L867" i="29"/>
  <c r="M867" i="29"/>
  <c r="N867" i="29"/>
  <c r="AD867" i="29"/>
  <c r="A868" i="29"/>
  <c r="G868" i="29"/>
  <c r="H868" i="29"/>
  <c r="I868" i="29"/>
  <c r="J868" i="29"/>
  <c r="K868" i="29"/>
  <c r="L868" i="29"/>
  <c r="M868" i="29"/>
  <c r="N868" i="29"/>
  <c r="AD868" i="29"/>
  <c r="A869" i="29"/>
  <c r="G869" i="29"/>
  <c r="H869" i="29"/>
  <c r="I869" i="29"/>
  <c r="J869" i="29"/>
  <c r="K869" i="29"/>
  <c r="L869" i="29"/>
  <c r="M869" i="29"/>
  <c r="N869" i="29"/>
  <c r="P869" i="29"/>
  <c r="R869" i="29"/>
  <c r="T869" i="29"/>
  <c r="Z869" i="29"/>
  <c r="AD869" i="29"/>
  <c r="A870" i="29"/>
  <c r="G870" i="29"/>
  <c r="H870" i="29"/>
  <c r="I870" i="29"/>
  <c r="J870" i="29"/>
  <c r="K870" i="29"/>
  <c r="L870" i="29"/>
  <c r="M870" i="29"/>
  <c r="N870" i="29"/>
  <c r="O870" i="29"/>
  <c r="P870" i="29"/>
  <c r="Q870" i="29"/>
  <c r="X870" i="29"/>
  <c r="Y870" i="29"/>
  <c r="AD870" i="29"/>
  <c r="A871" i="29"/>
  <c r="G871" i="29"/>
  <c r="H871" i="29"/>
  <c r="I871" i="29"/>
  <c r="J871" i="29"/>
  <c r="K871" i="29"/>
  <c r="L871" i="29"/>
  <c r="M871" i="29"/>
  <c r="N871" i="29"/>
  <c r="O871" i="29"/>
  <c r="P871" i="29"/>
  <c r="Q871" i="29"/>
  <c r="X871" i="29"/>
  <c r="Y871" i="29"/>
  <c r="AD871" i="29"/>
  <c r="A872" i="29"/>
  <c r="G872" i="29"/>
  <c r="H872" i="29"/>
  <c r="I872" i="29"/>
  <c r="J872" i="29"/>
  <c r="K872" i="29"/>
  <c r="L872" i="29"/>
  <c r="M872" i="29"/>
  <c r="N872" i="29"/>
  <c r="O872" i="29"/>
  <c r="P872" i="29"/>
  <c r="Q872" i="29"/>
  <c r="X872" i="29"/>
  <c r="Y872" i="29"/>
  <c r="AD872" i="29"/>
  <c r="A873" i="29"/>
  <c r="E873" i="29"/>
  <c r="G873" i="29"/>
  <c r="H873" i="29"/>
  <c r="I873" i="29"/>
  <c r="J873" i="29"/>
  <c r="K873" i="29"/>
  <c r="L873" i="29"/>
  <c r="M873" i="29"/>
  <c r="N873" i="29"/>
  <c r="O873" i="29"/>
  <c r="P873" i="29"/>
  <c r="Q873" i="29"/>
  <c r="R873" i="29"/>
  <c r="T873" i="29"/>
  <c r="V873" i="29"/>
  <c r="X873" i="29"/>
  <c r="Y873" i="29"/>
  <c r="Z873" i="29"/>
  <c r="AB873" i="29"/>
  <c r="AD873" i="29"/>
  <c r="A874" i="29"/>
  <c r="E874" i="29"/>
  <c r="G874" i="29"/>
  <c r="H874" i="29"/>
  <c r="I874" i="29"/>
  <c r="J874" i="29"/>
  <c r="K874" i="29"/>
  <c r="L874" i="29"/>
  <c r="M874" i="29"/>
  <c r="N874" i="29"/>
  <c r="O874" i="29"/>
  <c r="P874" i="29"/>
  <c r="Q874" i="29"/>
  <c r="R874" i="29"/>
  <c r="T874" i="29"/>
  <c r="V874" i="29"/>
  <c r="X874" i="29"/>
  <c r="Y874" i="29"/>
  <c r="Z874" i="29"/>
  <c r="AB874" i="29"/>
  <c r="AD874" i="29"/>
  <c r="A875" i="29"/>
  <c r="E875" i="29"/>
  <c r="G875" i="29"/>
  <c r="H875" i="29"/>
  <c r="I875" i="29"/>
  <c r="J875" i="29"/>
  <c r="K875" i="29"/>
  <c r="L875" i="29"/>
  <c r="M875" i="29"/>
  <c r="N875" i="29"/>
  <c r="O875" i="29"/>
  <c r="P875" i="29"/>
  <c r="Q875" i="29"/>
  <c r="R875" i="29"/>
  <c r="T875" i="29"/>
  <c r="V875" i="29"/>
  <c r="X875" i="29"/>
  <c r="Y875" i="29"/>
  <c r="Z875" i="29"/>
  <c r="AB875" i="29"/>
  <c r="AD875" i="29"/>
  <c r="A876" i="29"/>
  <c r="E876" i="29"/>
  <c r="G876" i="29"/>
  <c r="H876" i="29"/>
  <c r="I876" i="29"/>
  <c r="J876" i="29"/>
  <c r="K876" i="29"/>
  <c r="L876" i="29"/>
  <c r="M876" i="29"/>
  <c r="N876" i="29"/>
  <c r="O876" i="29"/>
  <c r="P876" i="29"/>
  <c r="Q876" i="29"/>
  <c r="R876" i="29"/>
  <c r="T876" i="29"/>
  <c r="V876" i="29"/>
  <c r="X876" i="29"/>
  <c r="Y876" i="29"/>
  <c r="Z876" i="29"/>
  <c r="AB876" i="29"/>
  <c r="AD876" i="29"/>
  <c r="A877" i="29"/>
  <c r="G877" i="29"/>
  <c r="H877" i="29"/>
  <c r="I877" i="29"/>
  <c r="J877" i="29"/>
  <c r="K877" i="29"/>
  <c r="L877" i="29"/>
  <c r="M877" i="29"/>
  <c r="N877" i="29"/>
  <c r="O877" i="29"/>
  <c r="P877" i="29"/>
  <c r="Q877" i="29"/>
  <c r="X877" i="29"/>
  <c r="Y877" i="29"/>
  <c r="AD877" i="29"/>
  <c r="A878" i="29"/>
  <c r="G878" i="29"/>
  <c r="H878" i="29"/>
  <c r="I878" i="29"/>
  <c r="J878" i="29"/>
  <c r="K878" i="29"/>
  <c r="L878" i="29"/>
  <c r="M878" i="29"/>
  <c r="N878" i="29"/>
  <c r="O878" i="29"/>
  <c r="P878" i="29"/>
  <c r="Q878" i="29"/>
  <c r="R878" i="29"/>
  <c r="T878" i="29"/>
  <c r="X878" i="29"/>
  <c r="Y878" i="29"/>
  <c r="Z878" i="29"/>
  <c r="AD878" i="29"/>
  <c r="A879" i="29"/>
  <c r="G879" i="29"/>
  <c r="H879" i="29"/>
  <c r="I879" i="29"/>
  <c r="J879" i="29"/>
  <c r="K879" i="29"/>
  <c r="L879" i="29"/>
  <c r="M879" i="29"/>
  <c r="N879" i="29"/>
  <c r="O879" i="29"/>
  <c r="P879" i="29"/>
  <c r="Q879" i="29"/>
  <c r="X879" i="29"/>
  <c r="Y879" i="29"/>
  <c r="AD879" i="29"/>
  <c r="A880" i="29"/>
  <c r="G880" i="29"/>
  <c r="H880" i="29"/>
  <c r="I880" i="29"/>
  <c r="J880" i="29"/>
  <c r="K880" i="29"/>
  <c r="L880" i="29"/>
  <c r="M880" i="29"/>
  <c r="N880" i="29"/>
  <c r="O880" i="29"/>
  <c r="P880" i="29"/>
  <c r="Q880" i="29"/>
  <c r="X880" i="29"/>
  <c r="Y880" i="29"/>
  <c r="AD880" i="29"/>
  <c r="A881" i="29"/>
  <c r="G881" i="29"/>
  <c r="H881" i="29"/>
  <c r="I881" i="29"/>
  <c r="J881" i="29"/>
  <c r="K881" i="29"/>
  <c r="L881" i="29"/>
  <c r="M881" i="29"/>
  <c r="N881" i="29"/>
  <c r="O881" i="29"/>
  <c r="P881" i="29"/>
  <c r="Q881" i="29"/>
  <c r="X881" i="29"/>
  <c r="Y881" i="29"/>
  <c r="AD881" i="29"/>
  <c r="A882" i="29"/>
  <c r="G882" i="29"/>
  <c r="H882" i="29"/>
  <c r="I882" i="29"/>
  <c r="J882" i="29"/>
  <c r="K882" i="29"/>
  <c r="L882" i="29"/>
  <c r="M882" i="29"/>
  <c r="N882" i="29"/>
  <c r="O882" i="29"/>
  <c r="P882" i="29"/>
  <c r="Q882" i="29"/>
  <c r="X882" i="29"/>
  <c r="Y882" i="29"/>
  <c r="AD882" i="29"/>
  <c r="A883" i="29"/>
  <c r="E883" i="29"/>
  <c r="G883" i="29"/>
  <c r="H883" i="29"/>
  <c r="I883" i="29"/>
  <c r="J883" i="29"/>
  <c r="K883" i="29"/>
  <c r="L883" i="29"/>
  <c r="M883" i="29"/>
  <c r="N883" i="29"/>
  <c r="O883" i="29"/>
  <c r="P883" i="29"/>
  <c r="Q883" i="29"/>
  <c r="R883" i="29"/>
  <c r="T883" i="29"/>
  <c r="V883" i="29"/>
  <c r="X883" i="29"/>
  <c r="Y883" i="29"/>
  <c r="Z883" i="29"/>
  <c r="AB883" i="29"/>
  <c r="AD883" i="29"/>
  <c r="A884" i="29"/>
  <c r="G884" i="29"/>
  <c r="H884" i="29"/>
  <c r="I884" i="29"/>
  <c r="J884" i="29"/>
  <c r="K884" i="29"/>
  <c r="L884" i="29"/>
  <c r="M884" i="29"/>
  <c r="N884" i="29"/>
  <c r="O884" i="29"/>
  <c r="P884" i="29"/>
  <c r="Q884" i="29"/>
  <c r="X884" i="29"/>
  <c r="Y884" i="29"/>
  <c r="AD884" i="29"/>
  <c r="A885" i="29"/>
  <c r="G885" i="29"/>
  <c r="H885" i="29"/>
  <c r="I885" i="29"/>
  <c r="J885" i="29"/>
  <c r="K885" i="29"/>
  <c r="L885" i="29"/>
  <c r="M885" i="29"/>
  <c r="N885" i="29"/>
  <c r="O885" i="29"/>
  <c r="P885" i="29"/>
  <c r="Q885" i="29"/>
  <c r="X885" i="29"/>
  <c r="Y885" i="29"/>
  <c r="AD885" i="29"/>
  <c r="A886" i="29"/>
  <c r="E886" i="29"/>
  <c r="G886" i="29"/>
  <c r="H886" i="29"/>
  <c r="I886" i="29"/>
  <c r="J886" i="29"/>
  <c r="K886" i="29"/>
  <c r="L886" i="29"/>
  <c r="M886" i="29"/>
  <c r="N886" i="29"/>
  <c r="O886" i="29"/>
  <c r="P886" i="29"/>
  <c r="Q886" i="29"/>
  <c r="R886" i="29"/>
  <c r="T886" i="29"/>
  <c r="V886" i="29"/>
  <c r="X886" i="29"/>
  <c r="Y886" i="29"/>
  <c r="Z886" i="29"/>
  <c r="AB886" i="29"/>
  <c r="AD886" i="29"/>
  <c r="A887" i="29"/>
  <c r="E887" i="29"/>
  <c r="G887" i="29"/>
  <c r="H887" i="29"/>
  <c r="I887" i="29"/>
  <c r="J887" i="29"/>
  <c r="K887" i="29"/>
  <c r="L887" i="29"/>
  <c r="M887" i="29"/>
  <c r="N887" i="29"/>
  <c r="O887" i="29"/>
  <c r="P887" i="29"/>
  <c r="Q887" i="29"/>
  <c r="R887" i="29"/>
  <c r="T887" i="29"/>
  <c r="V887" i="29"/>
  <c r="X887" i="29"/>
  <c r="Y887" i="29"/>
  <c r="Z887" i="29"/>
  <c r="AB887" i="29"/>
  <c r="AD887" i="29"/>
  <c r="A888" i="29"/>
  <c r="G888" i="29"/>
  <c r="H888" i="29"/>
  <c r="I888" i="29"/>
  <c r="J888" i="29"/>
  <c r="K888" i="29"/>
  <c r="L888" i="29"/>
  <c r="M888" i="29"/>
  <c r="N888" i="29"/>
  <c r="O888" i="29"/>
  <c r="P888" i="29"/>
  <c r="Q888" i="29"/>
  <c r="X888" i="29"/>
  <c r="Y888" i="29"/>
  <c r="AD888" i="29"/>
  <c r="A889" i="29"/>
  <c r="G889" i="29"/>
  <c r="H889" i="29"/>
  <c r="I889" i="29"/>
  <c r="J889" i="29"/>
  <c r="K889" i="29"/>
  <c r="L889" i="29"/>
  <c r="M889" i="29"/>
  <c r="N889" i="29"/>
  <c r="O889" i="29"/>
  <c r="P889" i="29"/>
  <c r="Q889" i="29"/>
  <c r="X889" i="29"/>
  <c r="Y889" i="29"/>
  <c r="AD889" i="29"/>
  <c r="A890" i="29"/>
  <c r="E890" i="29"/>
  <c r="G890" i="29"/>
  <c r="H890" i="29"/>
  <c r="I890" i="29"/>
  <c r="J890" i="29"/>
  <c r="K890" i="29"/>
  <c r="L890" i="29"/>
  <c r="M890" i="29"/>
  <c r="N890" i="29"/>
  <c r="O890" i="29"/>
  <c r="P890" i="29"/>
  <c r="Q890" i="29"/>
  <c r="R890" i="29"/>
  <c r="T890" i="29"/>
  <c r="V890" i="29"/>
  <c r="X890" i="29"/>
  <c r="Y890" i="29"/>
  <c r="Z890" i="29"/>
  <c r="AB890" i="29"/>
  <c r="AD890" i="29"/>
  <c r="A891" i="29"/>
  <c r="E891" i="29"/>
  <c r="G891" i="29"/>
  <c r="H891" i="29"/>
  <c r="I891" i="29"/>
  <c r="J891" i="29"/>
  <c r="K891" i="29"/>
  <c r="L891" i="29"/>
  <c r="M891" i="29"/>
  <c r="N891" i="29"/>
  <c r="O891" i="29"/>
  <c r="P891" i="29"/>
  <c r="Q891" i="29"/>
  <c r="R891" i="29"/>
  <c r="T891" i="29"/>
  <c r="V891" i="29"/>
  <c r="X891" i="29"/>
  <c r="Y891" i="29"/>
  <c r="Z891" i="29"/>
  <c r="AB891" i="29"/>
  <c r="AD891" i="29"/>
  <c r="A892" i="29"/>
  <c r="G892" i="29"/>
  <c r="H892" i="29"/>
  <c r="I892" i="29"/>
  <c r="J892" i="29"/>
  <c r="K892" i="29"/>
  <c r="L892" i="29"/>
  <c r="M892" i="29"/>
  <c r="N892" i="29"/>
  <c r="O892" i="29"/>
  <c r="P892" i="29"/>
  <c r="Q892" i="29"/>
  <c r="X892" i="29"/>
  <c r="Y892" i="29"/>
  <c r="AD892" i="29"/>
  <c r="A893" i="29"/>
  <c r="G893" i="29"/>
  <c r="H893" i="29"/>
  <c r="I893" i="29"/>
  <c r="J893" i="29"/>
  <c r="K893" i="29"/>
  <c r="L893" i="29"/>
  <c r="M893" i="29"/>
  <c r="N893" i="29"/>
  <c r="O893" i="29"/>
  <c r="P893" i="29"/>
  <c r="Q893" i="29"/>
  <c r="X893" i="29"/>
  <c r="Y893" i="29"/>
  <c r="AD893" i="29"/>
  <c r="A894" i="29"/>
  <c r="G894" i="29"/>
  <c r="H894" i="29"/>
  <c r="I894" i="29"/>
  <c r="J894" i="29"/>
  <c r="K894" i="29"/>
  <c r="L894" i="29"/>
  <c r="M894" i="29"/>
  <c r="N894" i="29"/>
  <c r="O894" i="29"/>
  <c r="P894" i="29"/>
  <c r="Q894" i="29"/>
  <c r="X894" i="29"/>
  <c r="Y894" i="29"/>
  <c r="AD894" i="29"/>
  <c r="A895" i="29"/>
  <c r="G895" i="29"/>
  <c r="H895" i="29"/>
  <c r="I895" i="29"/>
  <c r="J895" i="29"/>
  <c r="K895" i="29"/>
  <c r="L895" i="29"/>
  <c r="M895" i="29"/>
  <c r="N895" i="29"/>
  <c r="O895" i="29"/>
  <c r="P895" i="29"/>
  <c r="Q895" i="29"/>
  <c r="X895" i="29"/>
  <c r="Y895" i="29"/>
  <c r="AD895" i="29"/>
  <c r="A896" i="29"/>
  <c r="G896" i="29"/>
  <c r="H896" i="29"/>
  <c r="I896" i="29"/>
  <c r="J896" i="29"/>
  <c r="K896" i="29"/>
  <c r="L896" i="29"/>
  <c r="M896" i="29"/>
  <c r="N896" i="29"/>
  <c r="O896" i="29"/>
  <c r="P896" i="29"/>
  <c r="Q896" i="29"/>
  <c r="X896" i="29"/>
  <c r="Y896" i="29"/>
  <c r="AD896" i="29"/>
  <c r="A897" i="29"/>
  <c r="E897" i="29"/>
  <c r="G897" i="29"/>
  <c r="H897" i="29"/>
  <c r="I897" i="29"/>
  <c r="J897" i="29"/>
  <c r="K897" i="29"/>
  <c r="L897" i="29"/>
  <c r="M897" i="29"/>
  <c r="N897" i="29"/>
  <c r="O897" i="29"/>
  <c r="P897" i="29"/>
  <c r="Q897" i="29"/>
  <c r="R897" i="29"/>
  <c r="T897" i="29"/>
  <c r="V897" i="29"/>
  <c r="X897" i="29"/>
  <c r="Y897" i="29"/>
  <c r="Z897" i="29"/>
  <c r="AB897" i="29"/>
  <c r="AD897" i="29"/>
  <c r="A898" i="29"/>
  <c r="E898" i="29"/>
  <c r="G898" i="29"/>
  <c r="H898" i="29"/>
  <c r="I898" i="29"/>
  <c r="J898" i="29"/>
  <c r="K898" i="29"/>
  <c r="L898" i="29"/>
  <c r="M898" i="29"/>
  <c r="N898" i="29"/>
  <c r="O898" i="29"/>
  <c r="P898" i="29"/>
  <c r="Q898" i="29"/>
  <c r="R898" i="29"/>
  <c r="T898" i="29"/>
  <c r="V898" i="29"/>
  <c r="X898" i="29"/>
  <c r="Y898" i="29"/>
  <c r="Z898" i="29"/>
  <c r="AB898" i="29"/>
  <c r="AD898" i="29"/>
  <c r="A899" i="29"/>
  <c r="G899" i="29"/>
  <c r="H899" i="29"/>
  <c r="I899" i="29"/>
  <c r="J899" i="29"/>
  <c r="K899" i="29"/>
  <c r="L899" i="29"/>
  <c r="M899" i="29"/>
  <c r="N899" i="29"/>
  <c r="O899" i="29"/>
  <c r="P899" i="29"/>
  <c r="Q899" i="29"/>
  <c r="X899" i="29"/>
  <c r="Y899" i="29"/>
  <c r="AD899" i="29"/>
  <c r="A900" i="29"/>
  <c r="G900" i="29"/>
  <c r="H900" i="29"/>
  <c r="I900" i="29"/>
  <c r="J900" i="29"/>
  <c r="K900" i="29"/>
  <c r="L900" i="29"/>
  <c r="M900" i="29"/>
  <c r="N900" i="29"/>
  <c r="O900" i="29"/>
  <c r="P900" i="29"/>
  <c r="Q900" i="29"/>
  <c r="X900" i="29"/>
  <c r="Y900" i="29"/>
  <c r="AD900" i="29"/>
  <c r="A901" i="29"/>
  <c r="G901" i="29"/>
  <c r="H901" i="29"/>
  <c r="I901" i="29"/>
  <c r="J901" i="29"/>
  <c r="K901" i="29"/>
  <c r="L901" i="29"/>
  <c r="M901" i="29"/>
  <c r="N901" i="29"/>
  <c r="O901" i="29"/>
  <c r="P901" i="29"/>
  <c r="Q901" i="29"/>
  <c r="X901" i="29"/>
  <c r="Y901" i="29"/>
  <c r="AD901" i="29"/>
  <c r="A902" i="29"/>
  <c r="E902" i="29"/>
  <c r="G902" i="29"/>
  <c r="H902" i="29"/>
  <c r="I902" i="29"/>
  <c r="J902" i="29"/>
  <c r="K902" i="29"/>
  <c r="L902" i="29"/>
  <c r="M902" i="29"/>
  <c r="N902" i="29"/>
  <c r="O902" i="29"/>
  <c r="P902" i="29"/>
  <c r="Q902" i="29"/>
  <c r="R902" i="29"/>
  <c r="T902" i="29"/>
  <c r="V902" i="29"/>
  <c r="X902" i="29"/>
  <c r="Y902" i="29"/>
  <c r="Z902" i="29"/>
  <c r="AB902" i="29"/>
  <c r="AD902" i="29"/>
  <c r="A903" i="29"/>
  <c r="G903" i="29"/>
  <c r="H903" i="29"/>
  <c r="I903" i="29"/>
  <c r="J903" i="29"/>
  <c r="K903" i="29"/>
  <c r="L903" i="29"/>
  <c r="M903" i="29"/>
  <c r="N903" i="29"/>
  <c r="O903" i="29"/>
  <c r="P903" i="29"/>
  <c r="Q903" i="29"/>
  <c r="X903" i="29"/>
  <c r="Y903" i="29"/>
  <c r="AD903" i="29"/>
  <c r="A904" i="29"/>
  <c r="G904" i="29"/>
  <c r="H904" i="29"/>
  <c r="I904" i="29"/>
  <c r="J904" i="29"/>
  <c r="K904" i="29"/>
  <c r="L904" i="29"/>
  <c r="M904" i="29"/>
  <c r="N904" i="29"/>
  <c r="O904" i="29"/>
  <c r="P904" i="29"/>
  <c r="Q904" i="29"/>
  <c r="X904" i="29"/>
  <c r="Y904" i="29"/>
  <c r="AD904" i="29"/>
  <c r="A905" i="29"/>
  <c r="G905" i="29"/>
  <c r="H905" i="29"/>
  <c r="I905" i="29"/>
  <c r="J905" i="29"/>
  <c r="K905" i="29"/>
  <c r="L905" i="29"/>
  <c r="M905" i="29"/>
  <c r="N905" i="29"/>
  <c r="O905" i="29"/>
  <c r="P905" i="29"/>
  <c r="Q905" i="29"/>
  <c r="X905" i="29"/>
  <c r="Y905" i="29"/>
  <c r="AD905" i="29"/>
  <c r="A906" i="29"/>
  <c r="G906" i="29"/>
  <c r="H906" i="29"/>
  <c r="I906" i="29"/>
  <c r="J906" i="29"/>
  <c r="K906" i="29"/>
  <c r="L906" i="29"/>
  <c r="M906" i="29"/>
  <c r="N906" i="29"/>
  <c r="O906" i="29"/>
  <c r="P906" i="29"/>
  <c r="Q906" i="29"/>
  <c r="X906" i="29"/>
  <c r="Y906" i="29"/>
  <c r="AD906" i="29"/>
  <c r="A907" i="29"/>
  <c r="E907" i="29"/>
  <c r="G907" i="29"/>
  <c r="H907" i="29"/>
  <c r="I907" i="29"/>
  <c r="J907" i="29"/>
  <c r="K907" i="29"/>
  <c r="L907" i="29"/>
  <c r="M907" i="29"/>
  <c r="N907" i="29"/>
  <c r="O907" i="29"/>
  <c r="P907" i="29"/>
  <c r="Q907" i="29"/>
  <c r="R907" i="29"/>
  <c r="T907" i="29"/>
  <c r="V907" i="29"/>
  <c r="X907" i="29"/>
  <c r="Y907" i="29"/>
  <c r="Z907" i="29"/>
  <c r="AB907" i="29"/>
  <c r="AD907" i="29"/>
  <c r="A908" i="29"/>
  <c r="E908" i="29"/>
  <c r="G908" i="29"/>
  <c r="H908" i="29"/>
  <c r="I908" i="29"/>
  <c r="J908" i="29"/>
  <c r="K908" i="29"/>
  <c r="L908" i="29"/>
  <c r="M908" i="29"/>
  <c r="N908" i="29"/>
  <c r="O908" i="29"/>
  <c r="P908" i="29"/>
  <c r="Q908" i="29"/>
  <c r="R908" i="29"/>
  <c r="T908" i="29"/>
  <c r="V908" i="29"/>
  <c r="X908" i="29"/>
  <c r="Y908" i="29"/>
  <c r="Z908" i="29"/>
  <c r="AB908" i="29"/>
  <c r="AD908" i="29"/>
  <c r="A909" i="29"/>
  <c r="G909" i="29"/>
  <c r="H909" i="29"/>
  <c r="I909" i="29"/>
  <c r="J909" i="29"/>
  <c r="K909" i="29"/>
  <c r="L909" i="29"/>
  <c r="M909" i="29"/>
  <c r="N909" i="29"/>
  <c r="O909" i="29"/>
  <c r="P909" i="29"/>
  <c r="Q909" i="29"/>
  <c r="X909" i="29"/>
  <c r="Y909" i="29"/>
  <c r="AD909" i="29"/>
  <c r="A910" i="29"/>
  <c r="E910" i="29"/>
  <c r="G910" i="29"/>
  <c r="H910" i="29"/>
  <c r="I910" i="29"/>
  <c r="J910" i="29"/>
  <c r="K910" i="29"/>
  <c r="L910" i="29"/>
  <c r="M910" i="29"/>
  <c r="N910" i="29"/>
  <c r="O910" i="29"/>
  <c r="P910" i="29"/>
  <c r="Q910" i="29"/>
  <c r="R910" i="29"/>
  <c r="T910" i="29"/>
  <c r="V910" i="29"/>
  <c r="X910" i="29"/>
  <c r="Y910" i="29"/>
  <c r="Z910" i="29"/>
  <c r="AB910" i="29"/>
  <c r="AD910" i="29"/>
  <c r="A911" i="29"/>
  <c r="E911" i="29"/>
  <c r="G911" i="29"/>
  <c r="H911" i="29"/>
  <c r="I911" i="29"/>
  <c r="J911" i="29"/>
  <c r="K911" i="29"/>
  <c r="L911" i="29"/>
  <c r="M911" i="29"/>
  <c r="N911" i="29"/>
  <c r="O911" i="29"/>
  <c r="P911" i="29"/>
  <c r="Q911" i="29"/>
  <c r="R911" i="29"/>
  <c r="T911" i="29"/>
  <c r="V911" i="29"/>
  <c r="X911" i="29"/>
  <c r="Y911" i="29"/>
  <c r="Z911" i="29"/>
  <c r="AB911" i="29"/>
  <c r="AD911" i="29"/>
  <c r="A912" i="29"/>
  <c r="G912" i="29"/>
  <c r="H912" i="29"/>
  <c r="I912" i="29"/>
  <c r="J912" i="29"/>
  <c r="K912" i="29"/>
  <c r="L912" i="29"/>
  <c r="M912" i="29"/>
  <c r="N912" i="29"/>
  <c r="O912" i="29"/>
  <c r="P912" i="29"/>
  <c r="Q912" i="29"/>
  <c r="X912" i="29"/>
  <c r="Y912" i="29"/>
  <c r="AD912" i="29"/>
  <c r="A913" i="29"/>
  <c r="G913" i="29"/>
  <c r="H913" i="29"/>
  <c r="I913" i="29"/>
  <c r="J913" i="29"/>
  <c r="K913" i="29"/>
  <c r="L913" i="29"/>
  <c r="M913" i="29"/>
  <c r="N913" i="29"/>
  <c r="O913" i="29"/>
  <c r="P913" i="29"/>
  <c r="Q913" i="29"/>
  <c r="X913" i="29"/>
  <c r="Y913" i="29"/>
  <c r="AD913" i="29"/>
  <c r="A914" i="29"/>
  <c r="G914" i="29"/>
  <c r="H914" i="29"/>
  <c r="I914" i="29"/>
  <c r="J914" i="29"/>
  <c r="K914" i="29"/>
  <c r="L914" i="29"/>
  <c r="M914" i="29"/>
  <c r="N914" i="29"/>
  <c r="O914" i="29"/>
  <c r="P914" i="29"/>
  <c r="Q914" i="29"/>
  <c r="X914" i="29"/>
  <c r="Y914" i="29"/>
  <c r="AD914" i="29"/>
  <c r="A915" i="29"/>
  <c r="G915" i="29"/>
  <c r="H915" i="29"/>
  <c r="I915" i="29"/>
  <c r="J915" i="29"/>
  <c r="K915" i="29"/>
  <c r="L915" i="29"/>
  <c r="M915" i="29"/>
  <c r="N915" i="29"/>
  <c r="O915" i="29"/>
  <c r="P915" i="29"/>
  <c r="Q915" i="29"/>
  <c r="X915" i="29"/>
  <c r="Y915" i="29"/>
  <c r="AD915" i="29"/>
  <c r="A916" i="29"/>
  <c r="G916" i="29"/>
  <c r="H916" i="29"/>
  <c r="I916" i="29"/>
  <c r="J916" i="29"/>
  <c r="K916" i="29"/>
  <c r="L916" i="29"/>
  <c r="M916" i="29"/>
  <c r="N916" i="29"/>
  <c r="O916" i="29"/>
  <c r="P916" i="29"/>
  <c r="Q916" i="29"/>
  <c r="R916" i="29"/>
  <c r="T916" i="29"/>
  <c r="X916" i="29"/>
  <c r="Y916" i="29"/>
  <c r="Z916" i="29"/>
  <c r="AD916" i="29"/>
  <c r="A917" i="29"/>
  <c r="G917" i="29"/>
  <c r="H917" i="29"/>
  <c r="J917" i="29"/>
  <c r="K917" i="29"/>
  <c r="L917" i="29"/>
  <c r="M917" i="29"/>
  <c r="N917" i="29"/>
  <c r="O917" i="29"/>
  <c r="P917" i="29"/>
  <c r="Q917" i="29"/>
  <c r="X917" i="29"/>
  <c r="Y917" i="29"/>
  <c r="AD917" i="29"/>
  <c r="A918" i="29"/>
  <c r="G918" i="29"/>
  <c r="H918" i="29"/>
  <c r="I918" i="29"/>
  <c r="J918" i="29"/>
  <c r="K918" i="29"/>
  <c r="L918" i="29"/>
  <c r="M918" i="29"/>
  <c r="N918" i="29"/>
  <c r="O918" i="29"/>
  <c r="P918" i="29"/>
  <c r="Q918" i="29"/>
  <c r="X918" i="29"/>
  <c r="Y918" i="29"/>
  <c r="AD918" i="29"/>
  <c r="A919" i="29"/>
  <c r="G919" i="29"/>
  <c r="H919" i="29"/>
  <c r="I919" i="29"/>
  <c r="J919" i="29"/>
  <c r="K919" i="29"/>
  <c r="L919" i="29"/>
  <c r="M919" i="29"/>
  <c r="N919" i="29"/>
  <c r="O919" i="29"/>
  <c r="P919" i="29"/>
  <c r="Q919" i="29"/>
  <c r="X919" i="29"/>
  <c r="Y919" i="29"/>
  <c r="AD919" i="29"/>
  <c r="A920" i="29"/>
  <c r="G920" i="29"/>
  <c r="H920" i="29"/>
  <c r="I920" i="29"/>
  <c r="J920" i="29"/>
  <c r="K920" i="29"/>
  <c r="L920" i="29"/>
  <c r="M920" i="29"/>
  <c r="N920" i="29"/>
  <c r="O920" i="29"/>
  <c r="P920" i="29"/>
  <c r="Q920" i="29"/>
  <c r="X920" i="29"/>
  <c r="Y920" i="29"/>
  <c r="AD920" i="29"/>
  <c r="A921" i="29"/>
  <c r="G921" i="29"/>
  <c r="H921" i="29"/>
  <c r="I921" i="29"/>
  <c r="J921" i="29"/>
  <c r="K921" i="29"/>
  <c r="L921" i="29"/>
  <c r="M921" i="29"/>
  <c r="N921" i="29"/>
  <c r="O921" i="29"/>
  <c r="P921" i="29"/>
  <c r="Q921" i="29"/>
  <c r="X921" i="29"/>
  <c r="Y921" i="29"/>
  <c r="AD921" i="29"/>
  <c r="A922" i="29"/>
  <c r="G922" i="29"/>
  <c r="H922" i="29"/>
  <c r="J922" i="29"/>
  <c r="K922" i="29"/>
  <c r="L922" i="29"/>
  <c r="M922" i="29"/>
  <c r="N922" i="29"/>
  <c r="O922" i="29"/>
  <c r="P922" i="29"/>
  <c r="Q922" i="29"/>
  <c r="X922" i="29"/>
  <c r="Y922" i="29"/>
  <c r="AD922" i="29"/>
  <c r="A923" i="29"/>
  <c r="G923" i="29"/>
  <c r="H923" i="29"/>
  <c r="I923" i="29"/>
  <c r="J923" i="29"/>
  <c r="K923" i="29"/>
  <c r="L923" i="29"/>
  <c r="M923" i="29"/>
  <c r="N923" i="29"/>
  <c r="O923" i="29"/>
  <c r="P923" i="29"/>
  <c r="Q923" i="29"/>
  <c r="X923" i="29"/>
  <c r="Y923" i="29"/>
  <c r="AD923" i="29"/>
  <c r="A924" i="29"/>
  <c r="G924" i="29"/>
  <c r="H924" i="29"/>
  <c r="I924" i="29"/>
  <c r="J924" i="29"/>
  <c r="K924" i="29"/>
  <c r="L924" i="29"/>
  <c r="M924" i="29"/>
  <c r="N924" i="29"/>
  <c r="O924" i="29"/>
  <c r="P924" i="29"/>
  <c r="Q924" i="29"/>
  <c r="X924" i="29"/>
  <c r="Y924" i="29"/>
  <c r="AD924" i="29"/>
  <c r="A925" i="29"/>
  <c r="G925" i="29"/>
  <c r="H925" i="29"/>
  <c r="I925" i="29"/>
  <c r="J925" i="29"/>
  <c r="K925" i="29"/>
  <c r="L925" i="29"/>
  <c r="M925" i="29"/>
  <c r="N925" i="29"/>
  <c r="O925" i="29"/>
  <c r="P925" i="29"/>
  <c r="Q925" i="29"/>
  <c r="X925" i="29"/>
  <c r="Y925" i="29"/>
  <c r="AD925" i="29"/>
  <c r="A926" i="29"/>
  <c r="G926" i="29"/>
  <c r="H926" i="29"/>
  <c r="J926" i="29"/>
  <c r="K926" i="29"/>
  <c r="L926" i="29"/>
  <c r="M926" i="29"/>
  <c r="N926" i="29"/>
  <c r="O926" i="29"/>
  <c r="P926" i="29"/>
  <c r="Q926" i="29"/>
  <c r="X926" i="29"/>
  <c r="Y926" i="29"/>
  <c r="AD926" i="29"/>
  <c r="A927" i="29"/>
  <c r="G927" i="29"/>
  <c r="H927" i="29"/>
  <c r="I927" i="29"/>
  <c r="J927" i="29"/>
  <c r="K927" i="29"/>
  <c r="L927" i="29"/>
  <c r="M927" i="29"/>
  <c r="N927" i="29"/>
  <c r="O927" i="29"/>
  <c r="P927" i="29"/>
  <c r="Q927" i="29"/>
  <c r="X927" i="29"/>
  <c r="Y927" i="29"/>
  <c r="AD927" i="29"/>
  <c r="A928" i="29"/>
  <c r="G928" i="29"/>
  <c r="H928" i="29"/>
  <c r="I928" i="29"/>
  <c r="J928" i="29"/>
  <c r="K928" i="29"/>
  <c r="L928" i="29"/>
  <c r="M928" i="29"/>
  <c r="N928" i="29"/>
  <c r="O928" i="29"/>
  <c r="P928" i="29"/>
  <c r="Q928" i="29"/>
  <c r="R928" i="29"/>
  <c r="T928" i="29"/>
  <c r="X928" i="29"/>
  <c r="Y928" i="29"/>
  <c r="Z928" i="29"/>
  <c r="AD928" i="29"/>
  <c r="A929" i="29"/>
  <c r="G929" i="29"/>
  <c r="H929" i="29"/>
  <c r="I929" i="29"/>
  <c r="J929" i="29"/>
  <c r="K929" i="29"/>
  <c r="L929" i="29"/>
  <c r="M929" i="29"/>
  <c r="N929" i="29"/>
  <c r="O929" i="29"/>
  <c r="P929" i="29"/>
  <c r="Q929" i="29"/>
  <c r="X929" i="29"/>
  <c r="Y929" i="29"/>
  <c r="AD929" i="29"/>
  <c r="A930" i="29"/>
  <c r="G930" i="29"/>
  <c r="H930" i="29"/>
  <c r="I930" i="29"/>
  <c r="J930" i="29"/>
  <c r="K930" i="29"/>
  <c r="L930" i="29"/>
  <c r="M930" i="29"/>
  <c r="N930" i="29"/>
  <c r="O930" i="29"/>
  <c r="P930" i="29"/>
  <c r="Q930" i="29"/>
  <c r="X930" i="29"/>
  <c r="Y930" i="29"/>
  <c r="AD930" i="29"/>
  <c r="A931" i="29"/>
  <c r="G931" i="29"/>
  <c r="H931" i="29"/>
  <c r="I931" i="29"/>
  <c r="J931" i="29"/>
  <c r="K931" i="29"/>
  <c r="L931" i="29"/>
  <c r="M931" i="29"/>
  <c r="N931" i="29"/>
  <c r="O931" i="29"/>
  <c r="P931" i="29"/>
  <c r="Q931" i="29"/>
  <c r="X931" i="29"/>
  <c r="Y931" i="29"/>
  <c r="AD931" i="29"/>
  <c r="A932" i="29"/>
  <c r="G932" i="29"/>
  <c r="H932" i="29"/>
  <c r="I932" i="29"/>
  <c r="J932" i="29"/>
  <c r="K932" i="29"/>
  <c r="L932" i="29"/>
  <c r="M932" i="29"/>
  <c r="N932" i="29"/>
  <c r="O932" i="29"/>
  <c r="P932" i="29"/>
  <c r="Q932" i="29"/>
  <c r="X932" i="29"/>
  <c r="Y932" i="29"/>
  <c r="AD932" i="29"/>
  <c r="A933" i="29"/>
  <c r="E933" i="29"/>
  <c r="G933" i="29"/>
  <c r="H933" i="29"/>
  <c r="I933" i="29"/>
  <c r="J933" i="29"/>
  <c r="K933" i="29"/>
  <c r="L933" i="29"/>
  <c r="M933" i="29"/>
  <c r="N933" i="29"/>
  <c r="O933" i="29"/>
  <c r="P933" i="29"/>
  <c r="Q933" i="29"/>
  <c r="R933" i="29"/>
  <c r="T933" i="29"/>
  <c r="V933" i="29"/>
  <c r="X933" i="29"/>
  <c r="Y933" i="29"/>
  <c r="Z933" i="29"/>
  <c r="AB933" i="29"/>
  <c r="AD933" i="29"/>
  <c r="A934" i="29"/>
  <c r="G934" i="29"/>
  <c r="H934" i="29"/>
  <c r="I934" i="29"/>
  <c r="J934" i="29"/>
  <c r="K934" i="29"/>
  <c r="L934" i="29"/>
  <c r="M934" i="29"/>
  <c r="N934" i="29"/>
  <c r="O934" i="29"/>
  <c r="P934" i="29"/>
  <c r="Q934" i="29"/>
  <c r="X934" i="29"/>
  <c r="Y934" i="29"/>
  <c r="AD934" i="29"/>
  <c r="A935" i="29"/>
  <c r="G935" i="29"/>
  <c r="H935" i="29"/>
  <c r="I935" i="29"/>
  <c r="J935" i="29"/>
  <c r="K935" i="29"/>
  <c r="L935" i="29"/>
  <c r="M935" i="29"/>
  <c r="N935" i="29"/>
  <c r="O935" i="29"/>
  <c r="P935" i="29"/>
  <c r="Q935" i="29"/>
  <c r="X935" i="29"/>
  <c r="Y935" i="29"/>
  <c r="AD935" i="29"/>
  <c r="A936" i="29"/>
  <c r="G936" i="29"/>
  <c r="H936" i="29"/>
  <c r="I936" i="29"/>
  <c r="J936" i="29"/>
  <c r="K936" i="29"/>
  <c r="L936" i="29"/>
  <c r="M936" i="29"/>
  <c r="N936" i="29"/>
  <c r="O936" i="29"/>
  <c r="P936" i="29"/>
  <c r="Q936" i="29"/>
  <c r="X936" i="29"/>
  <c r="Y936" i="29"/>
  <c r="AD936" i="29"/>
  <c r="A937" i="29"/>
  <c r="G937" i="29"/>
  <c r="H937" i="29"/>
  <c r="I937" i="29"/>
  <c r="J937" i="29"/>
  <c r="K937" i="29"/>
  <c r="L937" i="29"/>
  <c r="M937" i="29"/>
  <c r="N937" i="29"/>
  <c r="O937" i="29"/>
  <c r="P937" i="29"/>
  <c r="Q937" i="29"/>
  <c r="X937" i="29"/>
  <c r="Y937" i="29"/>
  <c r="AD937" i="29"/>
  <c r="A938" i="29"/>
  <c r="G938" i="29"/>
  <c r="H938" i="29"/>
  <c r="I938" i="29"/>
  <c r="J938" i="29"/>
  <c r="K938" i="29"/>
  <c r="L938" i="29"/>
  <c r="M938" i="29"/>
  <c r="N938" i="29"/>
  <c r="O938" i="29"/>
  <c r="P938" i="29"/>
  <c r="Q938" i="29"/>
  <c r="X938" i="29"/>
  <c r="Y938" i="29"/>
  <c r="AD938" i="29"/>
  <c r="A939" i="29"/>
  <c r="G939" i="29"/>
  <c r="H939" i="29"/>
  <c r="I939" i="29"/>
  <c r="J939" i="29"/>
  <c r="K939" i="29"/>
  <c r="L939" i="29"/>
  <c r="M939" i="29"/>
  <c r="N939" i="29"/>
  <c r="O939" i="29"/>
  <c r="P939" i="29"/>
  <c r="Q939" i="29"/>
  <c r="X939" i="29"/>
  <c r="Y939" i="29"/>
  <c r="AD939" i="29"/>
  <c r="A940" i="29"/>
  <c r="G940" i="29"/>
  <c r="H940" i="29"/>
  <c r="I940" i="29"/>
  <c r="J940" i="29"/>
  <c r="K940" i="29"/>
  <c r="L940" i="29"/>
  <c r="M940" i="29"/>
  <c r="N940" i="29"/>
  <c r="O940" i="29"/>
  <c r="P940" i="29"/>
  <c r="Q940" i="29"/>
  <c r="X940" i="29"/>
  <c r="Y940" i="29"/>
  <c r="AD940" i="29"/>
  <c r="A941" i="29"/>
  <c r="G941" i="29"/>
  <c r="H941" i="29"/>
  <c r="J941" i="29"/>
  <c r="K941" i="29"/>
  <c r="L941" i="29"/>
  <c r="M941" i="29"/>
  <c r="N941" i="29"/>
  <c r="O941" i="29"/>
  <c r="P941" i="29"/>
  <c r="Q941" i="29"/>
  <c r="X941" i="29"/>
  <c r="Y941" i="29"/>
  <c r="AD941" i="29"/>
  <c r="A942" i="29"/>
  <c r="H942" i="29"/>
  <c r="I942" i="29"/>
  <c r="J942" i="29"/>
  <c r="K942" i="29"/>
  <c r="L942" i="29"/>
  <c r="AD942" i="29"/>
  <c r="A943" i="29"/>
  <c r="H943" i="29"/>
  <c r="I943" i="29"/>
  <c r="J943" i="29"/>
  <c r="K943" i="29"/>
  <c r="L943" i="29"/>
  <c r="R943" i="29"/>
  <c r="T943" i="29"/>
  <c r="Z943" i="29"/>
  <c r="AD943" i="29"/>
  <c r="A944" i="29"/>
  <c r="H944" i="29"/>
  <c r="I944" i="29"/>
  <c r="J944" i="29"/>
  <c r="K944" i="29"/>
  <c r="L944" i="29"/>
  <c r="AD944" i="29"/>
  <c r="A945" i="29"/>
  <c r="E945" i="29"/>
  <c r="H945" i="29"/>
  <c r="I945" i="29"/>
  <c r="J945" i="29"/>
  <c r="K945" i="29"/>
  <c r="L945" i="29"/>
  <c r="R945" i="29"/>
  <c r="T945" i="29"/>
  <c r="V945" i="29"/>
  <c r="Z945" i="29"/>
  <c r="AB945" i="29"/>
  <c r="AD945" i="29"/>
  <c r="A946" i="29"/>
  <c r="E946" i="29"/>
  <c r="H946" i="29"/>
  <c r="I946" i="29"/>
  <c r="J946" i="29"/>
  <c r="K946" i="29"/>
  <c r="L946" i="29"/>
  <c r="R946" i="29"/>
  <c r="T946" i="29"/>
  <c r="V946" i="29"/>
  <c r="Z946" i="29"/>
  <c r="AB946" i="29"/>
  <c r="AD946" i="29"/>
  <c r="A947" i="29"/>
  <c r="H947" i="29"/>
  <c r="I947" i="29"/>
  <c r="J947" i="29"/>
  <c r="K947" i="29"/>
  <c r="L947" i="29"/>
  <c r="AD947" i="29"/>
  <c r="A948" i="29"/>
  <c r="H948" i="29"/>
  <c r="I948" i="29"/>
  <c r="J948" i="29"/>
  <c r="K948" i="29"/>
  <c r="L948" i="29"/>
  <c r="AD948" i="29"/>
  <c r="A949" i="29"/>
  <c r="H949" i="29"/>
  <c r="I949" i="29"/>
  <c r="J949" i="29"/>
  <c r="K949" i="29"/>
  <c r="L949" i="29"/>
  <c r="AD949" i="29"/>
  <c r="A950" i="29"/>
  <c r="H950" i="29"/>
  <c r="I950" i="29"/>
  <c r="J950" i="29"/>
  <c r="K950" i="29"/>
  <c r="L950" i="29"/>
  <c r="AD950" i="29"/>
  <c r="A951" i="29"/>
  <c r="H951" i="29"/>
  <c r="I951" i="29"/>
  <c r="J951" i="29"/>
  <c r="K951" i="29"/>
  <c r="L951" i="29"/>
  <c r="AD951" i="29"/>
  <c r="A952" i="29"/>
  <c r="H952" i="29"/>
  <c r="I952" i="29"/>
  <c r="J952" i="29"/>
  <c r="K952" i="29"/>
  <c r="L952" i="29"/>
  <c r="AD952" i="29"/>
  <c r="A953" i="29"/>
  <c r="H953" i="29"/>
  <c r="I953" i="29"/>
  <c r="J953" i="29"/>
  <c r="K953" i="29"/>
  <c r="L953" i="29"/>
  <c r="AD953" i="29"/>
  <c r="A954" i="29"/>
  <c r="H954" i="29"/>
  <c r="I954" i="29"/>
  <c r="J954" i="29"/>
  <c r="K954" i="29"/>
  <c r="L954" i="29"/>
  <c r="AD954" i="29"/>
  <c r="A955" i="29"/>
  <c r="H955" i="29"/>
  <c r="I955" i="29"/>
  <c r="J955" i="29"/>
  <c r="K955" i="29"/>
  <c r="L955" i="29"/>
  <c r="AD955" i="29"/>
  <c r="A956" i="29"/>
  <c r="H956" i="29"/>
  <c r="I956" i="29"/>
  <c r="J956" i="29"/>
  <c r="K956" i="29"/>
  <c r="L956" i="29"/>
  <c r="R956" i="29"/>
  <c r="T956" i="29"/>
  <c r="V956" i="29"/>
  <c r="Z956" i="29"/>
  <c r="AD956" i="29"/>
  <c r="A967" i="29"/>
  <c r="G967" i="29"/>
  <c r="H967" i="29"/>
  <c r="I967" i="29"/>
  <c r="J967" i="29"/>
  <c r="K967" i="29"/>
  <c r="L967" i="29"/>
  <c r="N967" i="29"/>
  <c r="O967" i="29"/>
  <c r="P967" i="29"/>
  <c r="Q967" i="29"/>
  <c r="R967" i="29"/>
  <c r="T967" i="29"/>
  <c r="V967" i="29"/>
  <c r="X967" i="29"/>
  <c r="AD967" i="29"/>
  <c r="A968" i="29"/>
  <c r="G968" i="29"/>
  <c r="H968" i="29"/>
  <c r="I968" i="29"/>
  <c r="J968" i="29"/>
  <c r="K968" i="29"/>
  <c r="L968" i="29"/>
  <c r="N968" i="29"/>
  <c r="O968" i="29"/>
  <c r="P968" i="29"/>
  <c r="Q968" i="29"/>
  <c r="R968" i="29"/>
  <c r="T968" i="29"/>
  <c r="V968" i="29"/>
  <c r="X968" i="29"/>
  <c r="AD968" i="29"/>
  <c r="A970" i="29"/>
  <c r="G970" i="29"/>
  <c r="H970" i="29"/>
  <c r="I970" i="29"/>
  <c r="J970" i="29"/>
  <c r="K970" i="29"/>
  <c r="L970" i="29"/>
  <c r="N970" i="29"/>
  <c r="O970" i="29"/>
  <c r="P970" i="29"/>
  <c r="R970" i="29"/>
  <c r="T970" i="29"/>
  <c r="AD970" i="29"/>
  <c r="A972" i="29"/>
  <c r="G972" i="29"/>
  <c r="H972" i="29"/>
  <c r="I972" i="29"/>
  <c r="J972" i="29"/>
  <c r="K972" i="29"/>
  <c r="L972" i="29"/>
  <c r="N972" i="29"/>
  <c r="O972" i="29"/>
  <c r="P972" i="29"/>
  <c r="R972" i="29"/>
  <c r="T972" i="29"/>
  <c r="AD972" i="29"/>
  <c r="A973" i="29"/>
  <c r="G973" i="29"/>
  <c r="H973" i="29"/>
  <c r="I973" i="29"/>
  <c r="J973" i="29"/>
  <c r="K973" i="29"/>
  <c r="L973" i="29"/>
  <c r="N973" i="29"/>
  <c r="O973" i="29"/>
  <c r="P973" i="29"/>
  <c r="R973" i="29"/>
  <c r="T973" i="29"/>
  <c r="AD973" i="29"/>
  <c r="A975" i="29"/>
  <c r="G975" i="29"/>
  <c r="H975" i="29"/>
  <c r="I975" i="29"/>
  <c r="J975" i="29"/>
  <c r="K975" i="29"/>
  <c r="L975" i="29"/>
  <c r="M975" i="29"/>
  <c r="N975" i="29"/>
  <c r="O975" i="29"/>
  <c r="P975" i="29"/>
  <c r="R975" i="29"/>
  <c r="Z975" i="29"/>
  <c r="AD975" i="29"/>
  <c r="A976" i="29"/>
  <c r="G976" i="29"/>
  <c r="H976" i="29"/>
  <c r="I976" i="29"/>
  <c r="J976" i="29"/>
  <c r="K976" i="29"/>
  <c r="L976" i="29"/>
  <c r="M976" i="29"/>
  <c r="N976" i="29"/>
  <c r="O976" i="29"/>
  <c r="P976" i="29"/>
  <c r="R976" i="29"/>
  <c r="AD976" i="29"/>
  <c r="A977" i="29"/>
  <c r="G977" i="29"/>
  <c r="H977" i="29"/>
  <c r="I977" i="29"/>
  <c r="J977" i="29"/>
  <c r="K977" i="29"/>
  <c r="L977" i="29"/>
  <c r="N977" i="29"/>
  <c r="O977" i="29"/>
  <c r="P977" i="29"/>
  <c r="R977" i="29"/>
  <c r="T977" i="29"/>
  <c r="AD977" i="29"/>
  <c r="A978" i="29"/>
  <c r="G978" i="29"/>
  <c r="H978" i="29"/>
  <c r="I978" i="29"/>
  <c r="J978" i="29"/>
  <c r="K978" i="29"/>
  <c r="L978" i="29"/>
  <c r="M978" i="29"/>
  <c r="N978" i="29"/>
  <c r="O978" i="29"/>
  <c r="R978" i="29"/>
  <c r="AD978" i="29"/>
  <c r="A979" i="29"/>
  <c r="G979" i="29"/>
  <c r="H979" i="29"/>
  <c r="I979" i="29"/>
  <c r="J979" i="29"/>
  <c r="K979" i="29"/>
  <c r="L979" i="29"/>
  <c r="M979" i="29"/>
  <c r="N979" i="29"/>
  <c r="O979" i="29"/>
  <c r="P979" i="29"/>
  <c r="R979" i="29"/>
  <c r="AD979" i="29"/>
  <c r="A980" i="29"/>
  <c r="G980" i="29"/>
  <c r="H980" i="29"/>
  <c r="I980" i="29"/>
  <c r="J980" i="29"/>
  <c r="K980" i="29"/>
  <c r="L980" i="29"/>
  <c r="M980" i="29"/>
  <c r="N980" i="29"/>
  <c r="O980" i="29"/>
  <c r="R980" i="29"/>
  <c r="AD980" i="29"/>
  <c r="A981" i="29"/>
  <c r="G981" i="29"/>
  <c r="H981" i="29"/>
  <c r="I981" i="29"/>
  <c r="J981" i="29"/>
  <c r="K981" i="29"/>
  <c r="L981" i="29"/>
  <c r="M981" i="29"/>
  <c r="N981" i="29"/>
  <c r="O981" i="29"/>
  <c r="R981" i="29"/>
  <c r="AD981" i="29"/>
  <c r="A982" i="29"/>
  <c r="G982" i="29"/>
  <c r="H982" i="29"/>
  <c r="I982" i="29"/>
  <c r="J982" i="29"/>
  <c r="K982" i="29"/>
  <c r="L982" i="29"/>
  <c r="N982" i="29"/>
  <c r="O982" i="29"/>
  <c r="P982" i="29"/>
  <c r="R982" i="29"/>
  <c r="T982" i="29"/>
  <c r="AD982" i="29"/>
  <c r="A983" i="29"/>
  <c r="G983" i="29"/>
  <c r="H983" i="29"/>
  <c r="I983" i="29"/>
  <c r="J983" i="29"/>
  <c r="K983" i="29"/>
  <c r="L983" i="29"/>
  <c r="N983" i="29"/>
  <c r="O983" i="29"/>
  <c r="P983" i="29"/>
  <c r="R983" i="29"/>
  <c r="T983" i="29"/>
  <c r="AD983" i="29"/>
  <c r="A984" i="29"/>
  <c r="G984" i="29"/>
  <c r="H984" i="29"/>
  <c r="I984" i="29"/>
  <c r="J984" i="29"/>
  <c r="K984" i="29"/>
  <c r="L984" i="29"/>
  <c r="M984" i="29"/>
  <c r="N984" i="29"/>
  <c r="O984" i="29"/>
  <c r="R984" i="29"/>
  <c r="AD984" i="29"/>
  <c r="A985" i="29"/>
  <c r="G985" i="29"/>
  <c r="H985" i="29"/>
  <c r="I985" i="29"/>
  <c r="J985" i="29"/>
  <c r="K985" i="29"/>
  <c r="L985" i="29"/>
  <c r="M985" i="29"/>
  <c r="N985" i="29"/>
  <c r="O985" i="29"/>
  <c r="R985" i="29"/>
  <c r="AD985" i="29"/>
  <c r="A986" i="29"/>
  <c r="G986" i="29"/>
  <c r="H986" i="29"/>
  <c r="I986" i="29"/>
  <c r="J986" i="29"/>
  <c r="K986" i="29"/>
  <c r="L986" i="29"/>
  <c r="M986" i="29"/>
  <c r="N986" i="29"/>
  <c r="O986" i="29"/>
  <c r="R986" i="29"/>
  <c r="AD986" i="29"/>
  <c r="A987" i="29"/>
  <c r="E987" i="29"/>
  <c r="H987" i="29"/>
  <c r="I987" i="29"/>
  <c r="J987" i="29"/>
  <c r="K987" i="29"/>
  <c r="L987" i="29"/>
  <c r="M987" i="29"/>
  <c r="N987" i="29"/>
  <c r="O987" i="29"/>
  <c r="P987" i="29"/>
  <c r="Q987" i="29"/>
  <c r="R987" i="29"/>
  <c r="T987" i="29"/>
  <c r="V987" i="29"/>
  <c r="Z987" i="29"/>
  <c r="AD987" i="29"/>
  <c r="A988" i="29"/>
  <c r="G988" i="29"/>
  <c r="H988" i="29"/>
  <c r="I988" i="29"/>
  <c r="J988" i="29"/>
  <c r="K988" i="29"/>
  <c r="L988" i="29"/>
  <c r="N988" i="29"/>
  <c r="O988" i="29"/>
  <c r="P988" i="29"/>
  <c r="Q988" i="29"/>
  <c r="R988" i="29"/>
  <c r="T988" i="29"/>
  <c r="V988" i="29"/>
  <c r="X988" i="29"/>
  <c r="T100" i="12"/>
  <c r="Y988" i="29" s="1"/>
  <c r="AD988" i="29"/>
  <c r="A989" i="29"/>
  <c r="G989" i="29"/>
  <c r="H989" i="29"/>
  <c r="I989" i="29"/>
  <c r="J989" i="29"/>
  <c r="K989" i="29"/>
  <c r="L989" i="29"/>
  <c r="M989" i="29"/>
  <c r="N989" i="29"/>
  <c r="O989" i="29"/>
  <c r="P989" i="29"/>
  <c r="Q989" i="29"/>
  <c r="R989" i="29"/>
  <c r="T989" i="29"/>
  <c r="V989" i="29"/>
  <c r="X989" i="29"/>
  <c r="T101" i="12"/>
  <c r="Y989" i="29" s="1"/>
  <c r="AD989" i="29"/>
  <c r="A991" i="29"/>
  <c r="G991" i="29"/>
  <c r="H991" i="29"/>
  <c r="I991" i="29"/>
  <c r="J991" i="29"/>
  <c r="K991" i="29"/>
  <c r="L991" i="29"/>
  <c r="M991" i="29"/>
  <c r="N991" i="29"/>
  <c r="O991" i="29"/>
  <c r="P991" i="29"/>
  <c r="Q991" i="29"/>
  <c r="X991" i="29"/>
  <c r="AD991" i="29"/>
  <c r="A993" i="29"/>
  <c r="G993" i="29"/>
  <c r="H993" i="29"/>
  <c r="I993" i="29"/>
  <c r="J993" i="29"/>
  <c r="K993" i="29"/>
  <c r="L993" i="29"/>
  <c r="M993" i="29"/>
  <c r="N993" i="29"/>
  <c r="O993" i="29"/>
  <c r="P993" i="29"/>
  <c r="Q993" i="29"/>
  <c r="X993" i="29"/>
  <c r="AD993" i="29"/>
  <c r="A994" i="29"/>
  <c r="G994" i="29"/>
  <c r="H994" i="29"/>
  <c r="I994" i="29"/>
  <c r="J994" i="29"/>
  <c r="K994" i="29"/>
  <c r="L994" i="29"/>
  <c r="M994" i="29"/>
  <c r="N994" i="29"/>
  <c r="O994" i="29"/>
  <c r="P994" i="29"/>
  <c r="Q994" i="29"/>
  <c r="X994" i="29"/>
  <c r="AD994" i="29"/>
  <c r="A1009" i="29"/>
  <c r="G1009" i="29"/>
  <c r="H1009" i="29"/>
  <c r="I1009" i="29"/>
  <c r="J1009" i="29"/>
  <c r="K1009" i="29"/>
  <c r="L1009" i="29"/>
  <c r="N1009" i="29"/>
  <c r="O1009" i="29"/>
  <c r="P1009" i="29"/>
  <c r="Q1009" i="29"/>
  <c r="R1009" i="29"/>
  <c r="T1009" i="29"/>
  <c r="V1009" i="29"/>
  <c r="X1009" i="29"/>
  <c r="Y1009" i="29"/>
  <c r="AD1009" i="29"/>
  <c r="A1010" i="29"/>
  <c r="G1010" i="29"/>
  <c r="H1010" i="29"/>
  <c r="I1010" i="29"/>
  <c r="J1010" i="29"/>
  <c r="K1010" i="29"/>
  <c r="L1010" i="29"/>
  <c r="M1010" i="29"/>
  <c r="N1010" i="29"/>
  <c r="O1010" i="29"/>
  <c r="P1010" i="29"/>
  <c r="Q1010" i="29"/>
  <c r="R1010" i="29"/>
  <c r="T1010" i="29"/>
  <c r="V1010" i="29"/>
  <c r="X1010" i="29"/>
  <c r="Y1010" i="29"/>
  <c r="Z1010" i="29"/>
  <c r="AD1010" i="29"/>
  <c r="A1011" i="29"/>
  <c r="G1011" i="29"/>
  <c r="H1011" i="29"/>
  <c r="I1011" i="29"/>
  <c r="J1011" i="29"/>
  <c r="K1011" i="29"/>
  <c r="L1011" i="29"/>
  <c r="M1011" i="29"/>
  <c r="N1011" i="29"/>
  <c r="O1011" i="29"/>
  <c r="P1011" i="29"/>
  <c r="Q1011" i="29"/>
  <c r="R1011" i="29"/>
  <c r="T1011" i="29"/>
  <c r="V1011" i="29"/>
  <c r="X1011" i="29"/>
  <c r="Y1011" i="29"/>
  <c r="Z1011" i="29"/>
  <c r="AD1011" i="29"/>
  <c r="A1012" i="29"/>
  <c r="G1012" i="29"/>
  <c r="H1012" i="29"/>
  <c r="I1012" i="29"/>
  <c r="J1012" i="29"/>
  <c r="K1012" i="29"/>
  <c r="L1012" i="29"/>
  <c r="M1012" i="29"/>
  <c r="N1012" i="29"/>
  <c r="O1012" i="29"/>
  <c r="P1012" i="29"/>
  <c r="Q1012" i="29"/>
  <c r="R1012" i="29"/>
  <c r="T1012" i="29"/>
  <c r="V1012" i="29"/>
  <c r="X1012" i="29"/>
  <c r="Y1012" i="29"/>
  <c r="Z1012" i="29"/>
  <c r="AD1012" i="29"/>
  <c r="A1013" i="29"/>
  <c r="E1013" i="29"/>
  <c r="G1013" i="29"/>
  <c r="H1013" i="29"/>
  <c r="I1013" i="29"/>
  <c r="J1013" i="29"/>
  <c r="K1013" i="29"/>
  <c r="L1013" i="29"/>
  <c r="M1013" i="29"/>
  <c r="N1013" i="29"/>
  <c r="O1013" i="29"/>
  <c r="P1013" i="29"/>
  <c r="Q1013" i="29"/>
  <c r="R1013" i="29"/>
  <c r="T1013" i="29"/>
  <c r="V1013" i="29"/>
  <c r="X1013" i="29"/>
  <c r="Y1013" i="29"/>
  <c r="Z1013" i="29"/>
  <c r="AD1013" i="29"/>
  <c r="A1014" i="29"/>
  <c r="G1014" i="29"/>
  <c r="H1014" i="29"/>
  <c r="I1014" i="29"/>
  <c r="J1014" i="29"/>
  <c r="K1014" i="29"/>
  <c r="L1014" i="29"/>
  <c r="M1014" i="29"/>
  <c r="N1014" i="29"/>
  <c r="O1014" i="29"/>
  <c r="P1014" i="29"/>
  <c r="Q1014" i="29"/>
  <c r="R1014" i="29"/>
  <c r="T1014" i="29"/>
  <c r="V1014" i="29"/>
  <c r="X1014" i="29"/>
  <c r="Y1014" i="29"/>
  <c r="Z1014" i="29"/>
  <c r="AD1014" i="29"/>
  <c r="A1015" i="29"/>
  <c r="G1015" i="29"/>
  <c r="H1015" i="29"/>
  <c r="I1015" i="29"/>
  <c r="J1015" i="29"/>
  <c r="K1015" i="29"/>
  <c r="L1015" i="29"/>
  <c r="M1015" i="29"/>
  <c r="N1015" i="29"/>
  <c r="O1015" i="29"/>
  <c r="P1015" i="29"/>
  <c r="Q1015" i="29"/>
  <c r="R1015" i="29"/>
  <c r="T1015" i="29"/>
  <c r="V1015" i="29"/>
  <c r="X1015" i="29"/>
  <c r="Y1015" i="29"/>
  <c r="Z1015" i="29"/>
  <c r="AD1015" i="29"/>
  <c r="A1016" i="29"/>
  <c r="G1016" i="29"/>
  <c r="H1016" i="29"/>
  <c r="I1016" i="29"/>
  <c r="J1016" i="29"/>
  <c r="K1016" i="29"/>
  <c r="L1016" i="29"/>
  <c r="M1016" i="29"/>
  <c r="N1016" i="29"/>
  <c r="O1016" i="29"/>
  <c r="P1016" i="29"/>
  <c r="Q1016" i="29"/>
  <c r="R1016" i="29"/>
  <c r="T1016" i="29"/>
  <c r="V1016" i="29"/>
  <c r="X1016" i="29"/>
  <c r="Y1016" i="29"/>
  <c r="Z1016" i="29"/>
  <c r="AD1016" i="29"/>
  <c r="A1017" i="29"/>
  <c r="G1017" i="29"/>
  <c r="H1017" i="29"/>
  <c r="I1017" i="29"/>
  <c r="J1017" i="29"/>
  <c r="K1017" i="29"/>
  <c r="L1017" i="29"/>
  <c r="M1017" i="29"/>
  <c r="N1017" i="29"/>
  <c r="O1017" i="29"/>
  <c r="P1017" i="29"/>
  <c r="Q1017" i="29"/>
  <c r="R1017" i="29"/>
  <c r="T1017" i="29"/>
  <c r="V1017" i="29"/>
  <c r="X1017" i="29"/>
  <c r="Y1017" i="29"/>
  <c r="Z1017" i="29"/>
  <c r="AD1017" i="29"/>
  <c r="A1018" i="29"/>
  <c r="G1018" i="29"/>
  <c r="H1018" i="29"/>
  <c r="I1018" i="29"/>
  <c r="J1018" i="29"/>
  <c r="K1018" i="29"/>
  <c r="L1018" i="29"/>
  <c r="M1018" i="29"/>
  <c r="N1018" i="29"/>
  <c r="O1018" i="29"/>
  <c r="P1018" i="29"/>
  <c r="Q1018" i="29"/>
  <c r="R1018" i="29"/>
  <c r="T1018" i="29"/>
  <c r="V1018" i="29"/>
  <c r="X1018" i="29"/>
  <c r="Y1018" i="29"/>
  <c r="Z1018" i="29"/>
  <c r="AD1018" i="29"/>
  <c r="A1019" i="29"/>
  <c r="G1019" i="29"/>
  <c r="H1019" i="29"/>
  <c r="I1019" i="29"/>
  <c r="J1019" i="29"/>
  <c r="K1019" i="29"/>
  <c r="L1019" i="29"/>
  <c r="M1019" i="29"/>
  <c r="N1019" i="29"/>
  <c r="O1019" i="29"/>
  <c r="P1019" i="29"/>
  <c r="Q1019" i="29"/>
  <c r="R1019" i="29"/>
  <c r="T1019" i="29"/>
  <c r="V1019" i="29"/>
  <c r="X1019" i="29"/>
  <c r="Y1019" i="29"/>
  <c r="Z1019" i="29"/>
  <c r="AD1019" i="29"/>
  <c r="A1020" i="29"/>
  <c r="G1020" i="29"/>
  <c r="H1020" i="29"/>
  <c r="I1020" i="29"/>
  <c r="J1020" i="29"/>
  <c r="K1020" i="29"/>
  <c r="L1020" i="29"/>
  <c r="M1020" i="29"/>
  <c r="N1020" i="29"/>
  <c r="O1020" i="29"/>
  <c r="P1020" i="29"/>
  <c r="Q1020" i="29"/>
  <c r="R1020" i="29"/>
  <c r="T1020" i="29"/>
  <c r="V1020" i="29"/>
  <c r="X1020" i="29"/>
  <c r="Y1020" i="29"/>
  <c r="Z1020" i="29"/>
  <c r="AD1020" i="29"/>
  <c r="A1021" i="29"/>
  <c r="G1021" i="29"/>
  <c r="H1021" i="29"/>
  <c r="I1021" i="29"/>
  <c r="J1021" i="29"/>
  <c r="K1021" i="29"/>
  <c r="L1021" i="29"/>
  <c r="M1021" i="29"/>
  <c r="N1021" i="29"/>
  <c r="O1021" i="29"/>
  <c r="P1021" i="29"/>
  <c r="Q1021" i="29"/>
  <c r="R1021" i="29"/>
  <c r="T1021" i="29"/>
  <c r="V1021" i="29"/>
  <c r="X1021" i="29"/>
  <c r="Y1021" i="29"/>
  <c r="Z1021" i="29"/>
  <c r="AD1021" i="29"/>
  <c r="A1022" i="29"/>
  <c r="G1022" i="29"/>
  <c r="H1022" i="29"/>
  <c r="I1022" i="29"/>
  <c r="J1022" i="29"/>
  <c r="K1022" i="29"/>
  <c r="L1022" i="29"/>
  <c r="M1022" i="29"/>
  <c r="N1022" i="29"/>
  <c r="O1022" i="29"/>
  <c r="P1022" i="29"/>
  <c r="Q1022" i="29"/>
  <c r="R1022" i="29"/>
  <c r="T1022" i="29"/>
  <c r="V1022" i="29"/>
  <c r="X1022" i="29"/>
  <c r="Y1022" i="29"/>
  <c r="Z1022" i="29"/>
  <c r="AD1022" i="29"/>
  <c r="A1023" i="29"/>
  <c r="G1023" i="29"/>
  <c r="H1023" i="29"/>
  <c r="I1023" i="29"/>
  <c r="J1023" i="29"/>
  <c r="K1023" i="29"/>
  <c r="L1023" i="29"/>
  <c r="M1023" i="29"/>
  <c r="N1023" i="29"/>
  <c r="O1023" i="29"/>
  <c r="P1023" i="29"/>
  <c r="Q1023" i="29"/>
  <c r="R1023" i="29"/>
  <c r="T1023" i="29"/>
  <c r="V1023" i="29"/>
  <c r="X1023" i="29"/>
  <c r="Y1023" i="29"/>
  <c r="Z1023" i="29"/>
  <c r="AD1023" i="29"/>
  <c r="A1024" i="29"/>
  <c r="G1024" i="29"/>
  <c r="H1024" i="29"/>
  <c r="I1024" i="29"/>
  <c r="J1024" i="29"/>
  <c r="K1024" i="29"/>
  <c r="L1024" i="29"/>
  <c r="M1024" i="29"/>
  <c r="N1024" i="29"/>
  <c r="O1024" i="29"/>
  <c r="P1024" i="29"/>
  <c r="Q1024" i="29"/>
  <c r="R1024" i="29"/>
  <c r="T1024" i="29"/>
  <c r="V1024" i="29"/>
  <c r="X1024" i="29"/>
  <c r="Y1024" i="29"/>
  <c r="Z1024" i="29"/>
  <c r="AD1024" i="29"/>
  <c r="A1025" i="29"/>
  <c r="G1025" i="29"/>
  <c r="H1025" i="29"/>
  <c r="I1025" i="29"/>
  <c r="J1025" i="29"/>
  <c r="K1025" i="29"/>
  <c r="L1025" i="29"/>
  <c r="M1025" i="29"/>
  <c r="N1025" i="29"/>
  <c r="O1025" i="29"/>
  <c r="P1025" i="29"/>
  <c r="Q1025" i="29"/>
  <c r="R1025" i="29"/>
  <c r="T1025" i="29"/>
  <c r="V1025" i="29"/>
  <c r="X1025" i="29"/>
  <c r="Y1025" i="29"/>
  <c r="Z1025" i="29"/>
  <c r="AD1025" i="29"/>
  <c r="A1026" i="29"/>
  <c r="G1026" i="29"/>
  <c r="H1026" i="29"/>
  <c r="I1026" i="29"/>
  <c r="J1026" i="29"/>
  <c r="K1026" i="29"/>
  <c r="L1026" i="29"/>
  <c r="M1026" i="29"/>
  <c r="N1026" i="29"/>
  <c r="O1026" i="29"/>
  <c r="P1026" i="29"/>
  <c r="Q1026" i="29"/>
  <c r="R1026" i="29"/>
  <c r="T1026" i="29"/>
  <c r="V1026" i="29"/>
  <c r="X1026" i="29"/>
  <c r="Y1026" i="29"/>
  <c r="Z1026" i="29"/>
  <c r="AD1026" i="29"/>
  <c r="A1027" i="29"/>
  <c r="G1027" i="29"/>
  <c r="H1027" i="29"/>
  <c r="I1027" i="29"/>
  <c r="J1027" i="29"/>
  <c r="K1027" i="29"/>
  <c r="L1027" i="29"/>
  <c r="M1027" i="29"/>
  <c r="N1027" i="29"/>
  <c r="O1027" i="29"/>
  <c r="P1027" i="29"/>
  <c r="Q1027" i="29"/>
  <c r="R1027" i="29"/>
  <c r="T1027" i="29"/>
  <c r="V1027" i="29"/>
  <c r="X1027" i="29"/>
  <c r="Y1027" i="29"/>
  <c r="Z1027" i="29"/>
  <c r="AD1027" i="29"/>
  <c r="A1028" i="29"/>
  <c r="G1028" i="29"/>
  <c r="H1028" i="29"/>
  <c r="I1028" i="29"/>
  <c r="J1028" i="29"/>
  <c r="K1028" i="29"/>
  <c r="L1028" i="29"/>
  <c r="M1028" i="29"/>
  <c r="N1028" i="29"/>
  <c r="O1028" i="29"/>
  <c r="P1028" i="29"/>
  <c r="Q1028" i="29"/>
  <c r="R1028" i="29"/>
  <c r="T1028" i="29"/>
  <c r="V1028" i="29"/>
  <c r="X1028" i="29"/>
  <c r="Y1028" i="29"/>
  <c r="Z1028" i="29"/>
  <c r="AD1028" i="29"/>
  <c r="A1029" i="29"/>
  <c r="G1029" i="29"/>
  <c r="H1029" i="29"/>
  <c r="I1029" i="29"/>
  <c r="J1029" i="29"/>
  <c r="K1029" i="29"/>
  <c r="L1029" i="29"/>
  <c r="M1029" i="29"/>
  <c r="N1029" i="29"/>
  <c r="O1029" i="29"/>
  <c r="P1029" i="29"/>
  <c r="Q1029" i="29"/>
  <c r="R1029" i="29"/>
  <c r="T1029" i="29"/>
  <c r="V1029" i="29"/>
  <c r="X1029" i="29"/>
  <c r="Y1029" i="29"/>
  <c r="Z1029" i="29"/>
  <c r="AD1029" i="29"/>
  <c r="A1030" i="29"/>
  <c r="G1030" i="29"/>
  <c r="H1030" i="29"/>
  <c r="I1030" i="29"/>
  <c r="J1030" i="29"/>
  <c r="K1030" i="29"/>
  <c r="L1030" i="29"/>
  <c r="M1030" i="29"/>
  <c r="N1030" i="29"/>
  <c r="O1030" i="29"/>
  <c r="P1030" i="29"/>
  <c r="Q1030" i="29"/>
  <c r="R1030" i="29"/>
  <c r="T1030" i="29"/>
  <c r="V1030" i="29"/>
  <c r="X1030" i="29"/>
  <c r="Y1030" i="29"/>
  <c r="Z1030" i="29"/>
  <c r="AD1030" i="29"/>
  <c r="A1031" i="29"/>
  <c r="E1031" i="29"/>
  <c r="G1031" i="29"/>
  <c r="H1031" i="29"/>
  <c r="I1031" i="29"/>
  <c r="J1031" i="29"/>
  <c r="K1031" i="29"/>
  <c r="L1031" i="29"/>
  <c r="M1031" i="29"/>
  <c r="N1031" i="29"/>
  <c r="O1031" i="29"/>
  <c r="P1031" i="29"/>
  <c r="Q1031" i="29"/>
  <c r="R1031" i="29"/>
  <c r="T1031" i="29"/>
  <c r="V1031" i="29"/>
  <c r="X1031" i="29"/>
  <c r="Y1031" i="29"/>
  <c r="Z1031" i="29"/>
  <c r="AD1031" i="29"/>
  <c r="A1032" i="29"/>
  <c r="G1032" i="29"/>
  <c r="H1032" i="29"/>
  <c r="I1032" i="29"/>
  <c r="J1032" i="29"/>
  <c r="K1032" i="29"/>
  <c r="L1032" i="29"/>
  <c r="M1032" i="29"/>
  <c r="N1032" i="29"/>
  <c r="O1032" i="29"/>
  <c r="P1032" i="29"/>
  <c r="Q1032" i="29"/>
  <c r="R1032" i="29"/>
  <c r="T1032" i="29"/>
  <c r="V1032" i="29"/>
  <c r="X1032" i="29"/>
  <c r="Y1032" i="29"/>
  <c r="Z1032" i="29"/>
  <c r="AD1032" i="29"/>
  <c r="A1033" i="29"/>
  <c r="G1033" i="29"/>
  <c r="H1033" i="29"/>
  <c r="I1033" i="29"/>
  <c r="J1033" i="29"/>
  <c r="K1033" i="29"/>
  <c r="L1033" i="29"/>
  <c r="M1033" i="29"/>
  <c r="N1033" i="29"/>
  <c r="O1033" i="29"/>
  <c r="P1033" i="29"/>
  <c r="Q1033" i="29"/>
  <c r="R1033" i="29"/>
  <c r="T1033" i="29"/>
  <c r="V1033" i="29"/>
  <c r="X1033" i="29"/>
  <c r="Y1033" i="29"/>
  <c r="Z1033" i="29"/>
  <c r="AD1033" i="29"/>
  <c r="A1034" i="29"/>
  <c r="G1034" i="29"/>
  <c r="H1034" i="29"/>
  <c r="I1034" i="29"/>
  <c r="J1034" i="29"/>
  <c r="K1034" i="29"/>
  <c r="L1034" i="29"/>
  <c r="M1034" i="29"/>
  <c r="N1034" i="29"/>
  <c r="O1034" i="29"/>
  <c r="P1034" i="29"/>
  <c r="Q1034" i="29"/>
  <c r="R1034" i="29"/>
  <c r="T1034" i="29"/>
  <c r="V1034" i="29"/>
  <c r="X1034" i="29"/>
  <c r="Y1034" i="29"/>
  <c r="Z1034" i="29"/>
  <c r="AD1034" i="29"/>
  <c r="A1035" i="29"/>
  <c r="G1035" i="29"/>
  <c r="H1035" i="29"/>
  <c r="I1035" i="29"/>
  <c r="J1035" i="29"/>
  <c r="K1035" i="29"/>
  <c r="L1035" i="29"/>
  <c r="M1035" i="29"/>
  <c r="N1035" i="29"/>
  <c r="O1035" i="29"/>
  <c r="P1035" i="29"/>
  <c r="Q1035" i="29"/>
  <c r="R1035" i="29"/>
  <c r="T1035" i="29"/>
  <c r="V1035" i="29"/>
  <c r="X1035" i="29"/>
  <c r="Y1035" i="29"/>
  <c r="Z1035" i="29"/>
  <c r="AD1035" i="29"/>
  <c r="A1036" i="29"/>
  <c r="G1036" i="29"/>
  <c r="H1036" i="29"/>
  <c r="I1036" i="29"/>
  <c r="J1036" i="29"/>
  <c r="K1036" i="29"/>
  <c r="L1036" i="29"/>
  <c r="M1036" i="29"/>
  <c r="N1036" i="29"/>
  <c r="O1036" i="29"/>
  <c r="P1036" i="29"/>
  <c r="Q1036" i="29"/>
  <c r="R1036" i="29"/>
  <c r="T1036" i="29"/>
  <c r="V1036" i="29"/>
  <c r="X1036" i="29"/>
  <c r="Y1036" i="29"/>
  <c r="Z1036" i="29"/>
  <c r="AD1036" i="29"/>
  <c r="A1037" i="29"/>
  <c r="G1037" i="29"/>
  <c r="H1037" i="29"/>
  <c r="I1037" i="29"/>
  <c r="J1037" i="29"/>
  <c r="K1037" i="29"/>
  <c r="L1037" i="29"/>
  <c r="M1037" i="29"/>
  <c r="N1037" i="29"/>
  <c r="O1037" i="29"/>
  <c r="P1037" i="29"/>
  <c r="Q1037" i="29"/>
  <c r="R1037" i="29"/>
  <c r="T1037" i="29"/>
  <c r="V1037" i="29"/>
  <c r="X1037" i="29"/>
  <c r="Y1037" i="29"/>
  <c r="Z1037" i="29"/>
  <c r="AD1037" i="29"/>
  <c r="A1038" i="29"/>
  <c r="G1038" i="29"/>
  <c r="H1038" i="29"/>
  <c r="I1038" i="29"/>
  <c r="J1038" i="29"/>
  <c r="K1038" i="29"/>
  <c r="L1038" i="29"/>
  <c r="M1038" i="29"/>
  <c r="N1038" i="29"/>
  <c r="O1038" i="29"/>
  <c r="P1038" i="29"/>
  <c r="Q1038" i="29"/>
  <c r="R1038" i="29"/>
  <c r="T1038" i="29"/>
  <c r="V1038" i="29"/>
  <c r="X1038" i="29"/>
  <c r="Y1038" i="29"/>
  <c r="Z1038" i="29"/>
  <c r="AD1038" i="29"/>
  <c r="A1039" i="29"/>
  <c r="G1039" i="29"/>
  <c r="H1039" i="29"/>
  <c r="I1039" i="29"/>
  <c r="J1039" i="29"/>
  <c r="K1039" i="29"/>
  <c r="L1039" i="29"/>
  <c r="M1039" i="29"/>
  <c r="N1039" i="29"/>
  <c r="O1039" i="29"/>
  <c r="P1039" i="29"/>
  <c r="Q1039" i="29"/>
  <c r="R1039" i="29"/>
  <c r="T1039" i="29"/>
  <c r="V1039" i="29"/>
  <c r="X1039" i="29"/>
  <c r="Y1039" i="29"/>
  <c r="Z1039" i="29"/>
  <c r="AD1039" i="29"/>
  <c r="A1040" i="29"/>
  <c r="E1040" i="29"/>
  <c r="G1040" i="29"/>
  <c r="H1040" i="29"/>
  <c r="I1040" i="29"/>
  <c r="J1040" i="29"/>
  <c r="K1040" i="29"/>
  <c r="L1040" i="29"/>
  <c r="M1040" i="29"/>
  <c r="N1040" i="29"/>
  <c r="O1040" i="29"/>
  <c r="P1040" i="29"/>
  <c r="Q1040" i="29"/>
  <c r="R1040" i="29"/>
  <c r="T1040" i="29"/>
  <c r="V1040" i="29"/>
  <c r="X1040" i="29"/>
  <c r="Y1040" i="29"/>
  <c r="Z1040" i="29"/>
  <c r="AD1040" i="29"/>
  <c r="A1041" i="29"/>
  <c r="G1041" i="29"/>
  <c r="H1041" i="29"/>
  <c r="I1041" i="29"/>
  <c r="J1041" i="29"/>
  <c r="K1041" i="29"/>
  <c r="L1041" i="29"/>
  <c r="M1041" i="29"/>
  <c r="N1041" i="29"/>
  <c r="O1041" i="29"/>
  <c r="P1041" i="29"/>
  <c r="Q1041" i="29"/>
  <c r="R1041" i="29"/>
  <c r="T1041" i="29"/>
  <c r="V1041" i="29"/>
  <c r="X1041" i="29"/>
  <c r="Y1041" i="29"/>
  <c r="Z1041" i="29"/>
  <c r="AD1041" i="29"/>
  <c r="A1042" i="29"/>
  <c r="G1042" i="29"/>
  <c r="H1042" i="29"/>
  <c r="I1042" i="29"/>
  <c r="J1042" i="29"/>
  <c r="K1042" i="29"/>
  <c r="L1042" i="29"/>
  <c r="M1042" i="29"/>
  <c r="N1042" i="29"/>
  <c r="O1042" i="29"/>
  <c r="P1042" i="29"/>
  <c r="Q1042" i="29"/>
  <c r="R1042" i="29"/>
  <c r="T1042" i="29"/>
  <c r="V1042" i="29"/>
  <c r="X1042" i="29"/>
  <c r="Y1042" i="29"/>
  <c r="AD1042" i="29"/>
  <c r="A1043" i="29"/>
  <c r="G1043" i="29"/>
  <c r="H1043" i="29"/>
  <c r="I1043" i="29"/>
  <c r="J1043" i="29"/>
  <c r="K1043" i="29"/>
  <c r="L1043" i="29"/>
  <c r="M1043" i="29"/>
  <c r="N1043" i="29"/>
  <c r="O1043" i="29"/>
  <c r="P1043" i="29"/>
  <c r="Q1043" i="29"/>
  <c r="R1043" i="29"/>
  <c r="T1043" i="29"/>
  <c r="V1043" i="29"/>
  <c r="X1043" i="29"/>
  <c r="Y1043" i="29"/>
  <c r="Z1043" i="29"/>
  <c r="AD1043" i="29"/>
  <c r="A1044" i="29"/>
  <c r="G1044" i="29"/>
  <c r="H1044" i="29"/>
  <c r="I1044" i="29"/>
  <c r="J1044" i="29"/>
  <c r="K1044" i="29"/>
  <c r="L1044" i="29"/>
  <c r="M1044" i="29"/>
  <c r="N1044" i="29"/>
  <c r="O1044" i="29"/>
  <c r="P1044" i="29"/>
  <c r="Q1044" i="29"/>
  <c r="R1044" i="29"/>
  <c r="T1044" i="29"/>
  <c r="V1044" i="29"/>
  <c r="X1044" i="29"/>
  <c r="Y1044" i="29"/>
  <c r="Z1044" i="29"/>
  <c r="AD1044" i="29"/>
  <c r="A1045" i="29"/>
  <c r="G1045" i="29"/>
  <c r="H1045" i="29"/>
  <c r="I1045" i="29"/>
  <c r="J1045" i="29"/>
  <c r="K1045" i="29"/>
  <c r="L1045" i="29"/>
  <c r="M1045" i="29"/>
  <c r="N1045" i="29"/>
  <c r="O1045" i="29"/>
  <c r="P1045" i="29"/>
  <c r="Q1045" i="29"/>
  <c r="R1045" i="29"/>
  <c r="T1045" i="29"/>
  <c r="V1045" i="29"/>
  <c r="X1045" i="29"/>
  <c r="Y1045" i="29"/>
  <c r="A1046" i="29"/>
  <c r="G1046" i="29"/>
  <c r="H1046" i="29"/>
  <c r="I1046" i="29"/>
  <c r="J1046" i="29"/>
  <c r="K1046" i="29"/>
  <c r="L1046" i="29"/>
  <c r="M1046" i="29"/>
  <c r="N1046" i="29"/>
  <c r="O1046" i="29"/>
  <c r="P1046" i="29"/>
  <c r="Q1046" i="29"/>
  <c r="R1046" i="29"/>
  <c r="T1046" i="29"/>
  <c r="V1046" i="29"/>
  <c r="X1046" i="29"/>
  <c r="Y1046" i="29"/>
  <c r="Z1046" i="29"/>
  <c r="AD1046" i="29"/>
  <c r="A1047" i="29"/>
  <c r="E1047" i="29"/>
  <c r="G1047" i="29"/>
  <c r="H1047" i="29"/>
  <c r="I1047" i="29"/>
  <c r="J1047" i="29"/>
  <c r="K1047" i="29"/>
  <c r="L1047" i="29"/>
  <c r="M1047" i="29"/>
  <c r="N1047" i="29"/>
  <c r="O1047" i="29"/>
  <c r="P1047" i="29"/>
  <c r="Q1047" i="29"/>
  <c r="R1047" i="29"/>
  <c r="T1047" i="29"/>
  <c r="V1047" i="29"/>
  <c r="X1047" i="29"/>
  <c r="Y1047" i="29"/>
  <c r="Z1047" i="29"/>
  <c r="AD1047" i="29"/>
  <c r="A1048" i="29"/>
  <c r="E1048" i="29"/>
  <c r="G1048" i="29"/>
  <c r="H1048" i="29"/>
  <c r="I1048" i="29"/>
  <c r="J1048" i="29"/>
  <c r="K1048" i="29"/>
  <c r="L1048" i="29"/>
  <c r="M1048" i="29"/>
  <c r="N1048" i="29"/>
  <c r="O1048" i="29"/>
  <c r="P1048" i="29"/>
  <c r="Q1048" i="29"/>
  <c r="R1048" i="29"/>
  <c r="T1048" i="29"/>
  <c r="V1048" i="29"/>
  <c r="X1048" i="29"/>
  <c r="Y1048" i="29"/>
  <c r="Z1048" i="29"/>
  <c r="AD1048" i="29"/>
  <c r="A1049" i="29"/>
  <c r="E1049" i="29"/>
  <c r="G1049" i="29"/>
  <c r="H1049" i="29"/>
  <c r="I1049" i="29"/>
  <c r="J1049" i="29"/>
  <c r="K1049" i="29"/>
  <c r="L1049" i="29"/>
  <c r="M1049" i="29"/>
  <c r="N1049" i="29"/>
  <c r="O1049" i="29"/>
  <c r="P1049" i="29"/>
  <c r="Q1049" i="29"/>
  <c r="R1049" i="29"/>
  <c r="T1049" i="29"/>
  <c r="V1049" i="29"/>
  <c r="X1049" i="29"/>
  <c r="Y1049" i="29"/>
  <c r="Z1049" i="29"/>
  <c r="AD1049" i="29"/>
  <c r="A1050" i="29"/>
  <c r="E1050" i="29"/>
  <c r="G1050" i="29"/>
  <c r="H1050" i="29"/>
  <c r="I1050" i="29"/>
  <c r="J1050" i="29"/>
  <c r="K1050" i="29"/>
  <c r="L1050" i="29"/>
  <c r="M1050" i="29"/>
  <c r="N1050" i="29"/>
  <c r="O1050" i="29"/>
  <c r="P1050" i="29"/>
  <c r="Q1050" i="29"/>
  <c r="R1050" i="29"/>
  <c r="T1050" i="29"/>
  <c r="V1050" i="29"/>
  <c r="X1050" i="29"/>
  <c r="Y1050" i="29"/>
  <c r="Z1050" i="29"/>
  <c r="AD1050" i="29"/>
  <c r="A1051" i="29"/>
  <c r="E1051" i="29"/>
  <c r="G1051" i="29"/>
  <c r="H1051" i="29"/>
  <c r="I1051" i="29"/>
  <c r="J1051" i="29"/>
  <c r="K1051" i="29"/>
  <c r="L1051" i="29"/>
  <c r="M1051" i="29"/>
  <c r="N1051" i="29"/>
  <c r="O1051" i="29"/>
  <c r="P1051" i="29"/>
  <c r="Q1051" i="29"/>
  <c r="R1051" i="29"/>
  <c r="T1051" i="29"/>
  <c r="V1051" i="29"/>
  <c r="X1051" i="29"/>
  <c r="Y1051" i="29"/>
  <c r="Z1051" i="29"/>
  <c r="AD1051" i="29"/>
  <c r="A1052" i="29"/>
  <c r="E1052" i="29"/>
  <c r="G1052" i="29"/>
  <c r="H1052" i="29"/>
  <c r="I1052" i="29"/>
  <c r="J1052" i="29"/>
  <c r="K1052" i="29"/>
  <c r="L1052" i="29"/>
  <c r="M1052" i="29"/>
  <c r="N1052" i="29"/>
  <c r="O1052" i="29"/>
  <c r="P1052" i="29"/>
  <c r="Q1052" i="29"/>
  <c r="R1052" i="29"/>
  <c r="T1052" i="29"/>
  <c r="V1052" i="29"/>
  <c r="X1052" i="29"/>
  <c r="Y1052" i="29"/>
  <c r="Z1052" i="29"/>
  <c r="AD1052" i="29"/>
  <c r="A1053" i="29"/>
  <c r="E1053" i="29"/>
  <c r="G1053" i="29"/>
  <c r="H1053" i="29"/>
  <c r="I1053" i="29"/>
  <c r="J1053" i="29"/>
  <c r="K1053" i="29"/>
  <c r="L1053" i="29"/>
  <c r="M1053" i="29"/>
  <c r="N1053" i="29"/>
  <c r="O1053" i="29"/>
  <c r="P1053" i="29"/>
  <c r="Q1053" i="29"/>
  <c r="R1053" i="29"/>
  <c r="T1053" i="29"/>
  <c r="V1053" i="29"/>
  <c r="X1053" i="29"/>
  <c r="Y1053" i="29"/>
  <c r="Z1053" i="29"/>
  <c r="AD1053" i="29"/>
  <c r="A1054" i="29"/>
  <c r="E1054" i="29"/>
  <c r="G1054" i="29"/>
  <c r="H1054" i="29"/>
  <c r="I1054" i="29"/>
  <c r="J1054" i="29"/>
  <c r="K1054" i="29"/>
  <c r="L1054" i="29"/>
  <c r="M1054" i="29"/>
  <c r="N1054" i="29"/>
  <c r="O1054" i="29"/>
  <c r="P1054" i="29"/>
  <c r="Q1054" i="29"/>
  <c r="R1054" i="29"/>
  <c r="T1054" i="29"/>
  <c r="V1054" i="29"/>
  <c r="X1054" i="29"/>
  <c r="Y1054" i="29"/>
  <c r="Z1054" i="29"/>
  <c r="AD1054" i="29"/>
  <c r="A1055" i="29"/>
  <c r="E1055" i="29"/>
  <c r="G1055" i="29"/>
  <c r="H1055" i="29"/>
  <c r="I1055" i="29"/>
  <c r="J1055" i="29"/>
  <c r="K1055" i="29"/>
  <c r="L1055" i="29"/>
  <c r="M1055" i="29"/>
  <c r="N1055" i="29"/>
  <c r="O1055" i="29"/>
  <c r="P1055" i="29"/>
  <c r="Q1055" i="29"/>
  <c r="R1055" i="29"/>
  <c r="T1055" i="29"/>
  <c r="V1055" i="29"/>
  <c r="X1055" i="29"/>
  <c r="Y1055" i="29"/>
  <c r="Z1055" i="29"/>
  <c r="AD1055" i="29"/>
  <c r="A1056" i="29"/>
  <c r="E1056" i="29"/>
  <c r="G1056" i="29"/>
  <c r="H1056" i="29"/>
  <c r="I1056" i="29"/>
  <c r="J1056" i="29"/>
  <c r="K1056" i="29"/>
  <c r="L1056" i="29"/>
  <c r="M1056" i="29"/>
  <c r="N1056" i="29"/>
  <c r="O1056" i="29"/>
  <c r="P1056" i="29"/>
  <c r="Q1056" i="29"/>
  <c r="R1056" i="29"/>
  <c r="T1056" i="29"/>
  <c r="V1056" i="29"/>
  <c r="X1056" i="29"/>
  <c r="Y1056" i="29"/>
  <c r="Z1056" i="29"/>
  <c r="AD1056" i="29"/>
  <c r="A1057" i="29"/>
  <c r="E1057" i="29"/>
  <c r="G1057" i="29"/>
  <c r="H1057" i="29"/>
  <c r="I1057" i="29"/>
  <c r="J1057" i="29"/>
  <c r="K1057" i="29"/>
  <c r="L1057" i="29"/>
  <c r="M1057" i="29"/>
  <c r="N1057" i="29"/>
  <c r="O1057" i="29"/>
  <c r="P1057" i="29"/>
  <c r="Q1057" i="29"/>
  <c r="R1057" i="29"/>
  <c r="T1057" i="29"/>
  <c r="V1057" i="29"/>
  <c r="X1057" i="29"/>
  <c r="Y1057" i="29"/>
  <c r="Z1057" i="29"/>
  <c r="AD1057" i="29"/>
  <c r="A1058" i="29"/>
  <c r="E1058" i="29"/>
  <c r="G1058" i="29"/>
  <c r="H1058" i="29"/>
  <c r="I1058" i="29"/>
  <c r="J1058" i="29"/>
  <c r="K1058" i="29"/>
  <c r="L1058" i="29"/>
  <c r="M1058" i="29"/>
  <c r="N1058" i="29"/>
  <c r="O1058" i="29"/>
  <c r="P1058" i="29"/>
  <c r="Q1058" i="29"/>
  <c r="R1058" i="29"/>
  <c r="T1058" i="29"/>
  <c r="V1058" i="29"/>
  <c r="X1058" i="29"/>
  <c r="Y1058" i="29"/>
  <c r="Z1058" i="29"/>
  <c r="AD1058" i="29"/>
  <c r="A1059" i="29"/>
  <c r="E1059" i="29"/>
  <c r="G1059" i="29"/>
  <c r="H1059" i="29"/>
  <c r="I1059" i="29"/>
  <c r="J1059" i="29"/>
  <c r="K1059" i="29"/>
  <c r="L1059" i="29"/>
  <c r="M1059" i="29"/>
  <c r="N1059" i="29"/>
  <c r="O1059" i="29"/>
  <c r="P1059" i="29"/>
  <c r="Q1059" i="29"/>
  <c r="R1059" i="29"/>
  <c r="T1059" i="29"/>
  <c r="V1059" i="29"/>
  <c r="X1059" i="29"/>
  <c r="Y1059" i="29"/>
  <c r="Z1059" i="29"/>
  <c r="AD1059" i="29"/>
  <c r="A1060" i="29"/>
  <c r="E1060" i="29"/>
  <c r="G1060" i="29"/>
  <c r="H1060" i="29"/>
  <c r="I1060" i="29"/>
  <c r="J1060" i="29"/>
  <c r="K1060" i="29"/>
  <c r="L1060" i="29"/>
  <c r="M1060" i="29"/>
  <c r="N1060" i="29"/>
  <c r="O1060" i="29"/>
  <c r="P1060" i="29"/>
  <c r="Q1060" i="29"/>
  <c r="R1060" i="29"/>
  <c r="T1060" i="29"/>
  <c r="V1060" i="29"/>
  <c r="X1060" i="29"/>
  <c r="Y1060" i="29"/>
  <c r="Z1060" i="29"/>
  <c r="AD1060" i="29"/>
  <c r="A1061" i="29"/>
  <c r="E1061" i="29"/>
  <c r="G1061" i="29"/>
  <c r="H1061" i="29"/>
  <c r="I1061" i="29"/>
  <c r="J1061" i="29"/>
  <c r="K1061" i="29"/>
  <c r="L1061" i="29"/>
  <c r="M1061" i="29"/>
  <c r="N1061" i="29"/>
  <c r="O1061" i="29"/>
  <c r="P1061" i="29"/>
  <c r="Q1061" i="29"/>
  <c r="R1061" i="29"/>
  <c r="T1061" i="29"/>
  <c r="V1061" i="29"/>
  <c r="X1061" i="29"/>
  <c r="Y1061" i="29"/>
  <c r="Z1061" i="29"/>
  <c r="AD1061" i="29"/>
  <c r="A1062" i="29"/>
  <c r="E1062" i="29"/>
  <c r="G1062" i="29"/>
  <c r="H1062" i="29"/>
  <c r="I1062" i="29"/>
  <c r="J1062" i="29"/>
  <c r="K1062" i="29"/>
  <c r="L1062" i="29"/>
  <c r="M1062" i="29"/>
  <c r="N1062" i="29"/>
  <c r="O1062" i="29"/>
  <c r="P1062" i="29"/>
  <c r="Q1062" i="29"/>
  <c r="R1062" i="29"/>
  <c r="T1062" i="29"/>
  <c r="V1062" i="29"/>
  <c r="X1062" i="29"/>
  <c r="Y1062" i="29"/>
  <c r="Z1062" i="29"/>
  <c r="AD1062" i="29"/>
  <c r="A1063" i="29"/>
  <c r="E1063" i="29"/>
  <c r="G1063" i="29"/>
  <c r="H1063" i="29"/>
  <c r="I1063" i="29"/>
  <c r="J1063" i="29"/>
  <c r="K1063" i="29"/>
  <c r="L1063" i="29"/>
  <c r="M1063" i="29"/>
  <c r="N1063" i="29"/>
  <c r="O1063" i="29"/>
  <c r="P1063" i="29"/>
  <c r="Q1063" i="29"/>
  <c r="R1063" i="29"/>
  <c r="T1063" i="29"/>
  <c r="V1063" i="29"/>
  <c r="X1063" i="29"/>
  <c r="Y1063" i="29"/>
  <c r="Z1063" i="29"/>
  <c r="AD1063" i="29"/>
  <c r="A1064" i="29"/>
  <c r="E1064" i="29"/>
  <c r="G1064" i="29"/>
  <c r="H1064" i="29"/>
  <c r="I1064" i="29"/>
  <c r="J1064" i="29"/>
  <c r="K1064" i="29"/>
  <c r="L1064" i="29"/>
  <c r="M1064" i="29"/>
  <c r="N1064" i="29"/>
  <c r="O1064" i="29"/>
  <c r="P1064" i="29"/>
  <c r="Q1064" i="29"/>
  <c r="R1064" i="29"/>
  <c r="T1064" i="29"/>
  <c r="V1064" i="29"/>
  <c r="X1064" i="29"/>
  <c r="Y1064" i="29"/>
  <c r="Z1064" i="29"/>
  <c r="AD1064" i="29"/>
  <c r="A1065" i="29"/>
  <c r="E1065" i="29"/>
  <c r="G1065" i="29"/>
  <c r="H1065" i="29"/>
  <c r="I1065" i="29"/>
  <c r="J1065" i="29"/>
  <c r="K1065" i="29"/>
  <c r="L1065" i="29"/>
  <c r="M1065" i="29"/>
  <c r="N1065" i="29"/>
  <c r="O1065" i="29"/>
  <c r="P1065" i="29"/>
  <c r="Q1065" i="29"/>
  <c r="R1065" i="29"/>
  <c r="T1065" i="29"/>
  <c r="V1065" i="29"/>
  <c r="X1065" i="29"/>
  <c r="Y1065" i="29"/>
  <c r="Z1065" i="29"/>
  <c r="AD1065" i="29"/>
  <c r="A1066" i="29"/>
  <c r="E1066" i="29"/>
  <c r="G1066" i="29"/>
  <c r="H1066" i="29"/>
  <c r="I1066" i="29"/>
  <c r="J1066" i="29"/>
  <c r="K1066" i="29"/>
  <c r="L1066" i="29"/>
  <c r="M1066" i="29"/>
  <c r="N1066" i="29"/>
  <c r="O1066" i="29"/>
  <c r="P1066" i="29"/>
  <c r="Q1066" i="29"/>
  <c r="R1066" i="29"/>
  <c r="T1066" i="29"/>
  <c r="V1066" i="29"/>
  <c r="X1066" i="29"/>
  <c r="Y1066" i="29"/>
  <c r="Z1066" i="29"/>
  <c r="AD1066" i="29"/>
  <c r="A1067" i="29"/>
  <c r="E1067" i="29"/>
  <c r="G1067" i="29"/>
  <c r="H1067" i="29"/>
  <c r="I1067" i="29"/>
  <c r="J1067" i="29"/>
  <c r="K1067" i="29"/>
  <c r="L1067" i="29"/>
  <c r="M1067" i="29"/>
  <c r="N1067" i="29"/>
  <c r="O1067" i="29"/>
  <c r="P1067" i="29"/>
  <c r="Q1067" i="29"/>
  <c r="R1067" i="29"/>
  <c r="T1067" i="29"/>
  <c r="V1067" i="29"/>
  <c r="X1067" i="29"/>
  <c r="Y1067" i="29"/>
  <c r="Z1067" i="29"/>
  <c r="AD1067" i="29"/>
  <c r="A1068" i="29"/>
  <c r="E1068" i="29"/>
  <c r="G1068" i="29"/>
  <c r="H1068" i="29"/>
  <c r="I1068" i="29"/>
  <c r="J1068" i="29"/>
  <c r="K1068" i="29"/>
  <c r="L1068" i="29"/>
  <c r="M1068" i="29"/>
  <c r="N1068" i="29"/>
  <c r="O1068" i="29"/>
  <c r="P1068" i="29"/>
  <c r="Q1068" i="29"/>
  <c r="R1068" i="29"/>
  <c r="T1068" i="29"/>
  <c r="V1068" i="29"/>
  <c r="X1068" i="29"/>
  <c r="Y1068" i="29"/>
  <c r="Z1068" i="29"/>
  <c r="AD1068" i="29"/>
  <c r="A1069" i="29"/>
  <c r="E1069" i="29"/>
  <c r="G1069" i="29"/>
  <c r="H1069" i="29"/>
  <c r="I1069" i="29"/>
  <c r="J1069" i="29"/>
  <c r="K1069" i="29"/>
  <c r="L1069" i="29"/>
  <c r="M1069" i="29"/>
  <c r="N1069" i="29"/>
  <c r="O1069" i="29"/>
  <c r="P1069" i="29"/>
  <c r="Q1069" i="29"/>
  <c r="R1069" i="29"/>
  <c r="T1069" i="29"/>
  <c r="V1069" i="29"/>
  <c r="X1069" i="29"/>
  <c r="Y1069" i="29"/>
  <c r="Z1069" i="29"/>
  <c r="AB1069" i="29"/>
  <c r="AD1069" i="29"/>
  <c r="A1070" i="29"/>
  <c r="E1070" i="29"/>
  <c r="G1070" i="29"/>
  <c r="H1070" i="29"/>
  <c r="I1070" i="29"/>
  <c r="J1070" i="29"/>
  <c r="K1070" i="29"/>
  <c r="L1070" i="29"/>
  <c r="M1070" i="29"/>
  <c r="N1070" i="29"/>
  <c r="O1070" i="29"/>
  <c r="P1070" i="29"/>
  <c r="Q1070" i="29"/>
  <c r="R1070" i="29"/>
  <c r="T1070" i="29"/>
  <c r="V1070" i="29"/>
  <c r="X1070" i="29"/>
  <c r="Y1070" i="29"/>
  <c r="Z1070" i="29"/>
  <c r="AD1070" i="29"/>
  <c r="A1071" i="29"/>
  <c r="E1071" i="29"/>
  <c r="G1071" i="29"/>
  <c r="H1071" i="29"/>
  <c r="I1071" i="29"/>
  <c r="J1071" i="29"/>
  <c r="K1071" i="29"/>
  <c r="L1071" i="29"/>
  <c r="M1071" i="29"/>
  <c r="N1071" i="29"/>
  <c r="O1071" i="29"/>
  <c r="P1071" i="29"/>
  <c r="Q1071" i="29"/>
  <c r="R1071" i="29"/>
  <c r="T1071" i="29"/>
  <c r="V1071" i="29"/>
  <c r="X1071" i="29"/>
  <c r="Y1071" i="29"/>
  <c r="Z1071" i="29"/>
  <c r="AD1071" i="29"/>
  <c r="A1072" i="29"/>
  <c r="E1072" i="29"/>
  <c r="G1072" i="29"/>
  <c r="H1072" i="29"/>
  <c r="I1072" i="29"/>
  <c r="J1072" i="29"/>
  <c r="K1072" i="29"/>
  <c r="L1072" i="29"/>
  <c r="M1072" i="29"/>
  <c r="N1072" i="29"/>
  <c r="O1072" i="29"/>
  <c r="P1072" i="29"/>
  <c r="Q1072" i="29"/>
  <c r="R1072" i="29"/>
  <c r="T1072" i="29"/>
  <c r="V1072" i="29"/>
  <c r="X1072" i="29"/>
  <c r="Y1072" i="29"/>
  <c r="Z1072" i="29"/>
  <c r="AD1072" i="29"/>
  <c r="A1073" i="29"/>
  <c r="E1073" i="29"/>
  <c r="G1073" i="29"/>
  <c r="H1073" i="29"/>
  <c r="I1073" i="29"/>
  <c r="J1073" i="29"/>
  <c r="K1073" i="29"/>
  <c r="L1073" i="29"/>
  <c r="M1073" i="29"/>
  <c r="N1073" i="29"/>
  <c r="O1073" i="29"/>
  <c r="P1073" i="29"/>
  <c r="Q1073" i="29"/>
  <c r="R1073" i="29"/>
  <c r="T1073" i="29"/>
  <c r="V1073" i="29"/>
  <c r="X1073" i="29"/>
  <c r="Y1073" i="29"/>
  <c r="Z1073" i="29"/>
  <c r="AD1073" i="29"/>
  <c r="A1074" i="29"/>
  <c r="E1074" i="29"/>
  <c r="G1074" i="29"/>
  <c r="H1074" i="29"/>
  <c r="I1074" i="29"/>
  <c r="J1074" i="29"/>
  <c r="K1074" i="29"/>
  <c r="L1074" i="29"/>
  <c r="M1074" i="29"/>
  <c r="N1074" i="29"/>
  <c r="O1074" i="29"/>
  <c r="P1074" i="29"/>
  <c r="Q1074" i="29"/>
  <c r="R1074" i="29"/>
  <c r="T1074" i="29"/>
  <c r="V1074" i="29"/>
  <c r="X1074" i="29"/>
  <c r="Y1074" i="29"/>
  <c r="Z1074" i="29"/>
  <c r="AD1074" i="29"/>
  <c r="A1075" i="29"/>
  <c r="E1075" i="29"/>
  <c r="G1075" i="29"/>
  <c r="H1075" i="29"/>
  <c r="I1075" i="29"/>
  <c r="J1075" i="29"/>
  <c r="K1075" i="29"/>
  <c r="L1075" i="29"/>
  <c r="M1075" i="29"/>
  <c r="N1075" i="29"/>
  <c r="O1075" i="29"/>
  <c r="P1075" i="29"/>
  <c r="Q1075" i="29"/>
  <c r="R1075" i="29"/>
  <c r="T1075" i="29"/>
  <c r="V1075" i="29"/>
  <c r="X1075" i="29"/>
  <c r="Y1075" i="29"/>
  <c r="Z1075" i="29"/>
  <c r="AD1075" i="29"/>
  <c r="A1076" i="29"/>
  <c r="E1076" i="29"/>
  <c r="G1076" i="29"/>
  <c r="H1076" i="29"/>
  <c r="I1076" i="29"/>
  <c r="J1076" i="29"/>
  <c r="K1076" i="29"/>
  <c r="L1076" i="29"/>
  <c r="M1076" i="29"/>
  <c r="N1076" i="29"/>
  <c r="O1076" i="29"/>
  <c r="P1076" i="29"/>
  <c r="Q1076" i="29"/>
  <c r="R1076" i="29"/>
  <c r="T1076" i="29"/>
  <c r="V1076" i="29"/>
  <c r="X1076" i="29"/>
  <c r="Y1076" i="29"/>
  <c r="Z1076" i="29"/>
  <c r="AB1076" i="29"/>
  <c r="AD1076" i="29"/>
  <c r="A1077" i="29"/>
  <c r="E1077" i="29"/>
  <c r="G1077" i="29"/>
  <c r="H1077" i="29"/>
  <c r="I1077" i="29"/>
  <c r="J1077" i="29"/>
  <c r="K1077" i="29"/>
  <c r="L1077" i="29"/>
  <c r="M1077" i="29"/>
  <c r="N1077" i="29"/>
  <c r="O1077" i="29"/>
  <c r="P1077" i="29"/>
  <c r="Q1077" i="29"/>
  <c r="R1077" i="29"/>
  <c r="T1077" i="29"/>
  <c r="V1077" i="29"/>
  <c r="X1077" i="29"/>
  <c r="Y1077" i="29"/>
  <c r="Z1077" i="29"/>
  <c r="AD1077" i="29"/>
  <c r="A1078" i="29"/>
  <c r="E1078" i="29"/>
  <c r="G1078" i="29"/>
  <c r="H1078" i="29"/>
  <c r="I1078" i="29"/>
  <c r="J1078" i="29"/>
  <c r="K1078" i="29"/>
  <c r="L1078" i="29"/>
  <c r="M1078" i="29"/>
  <c r="N1078" i="29"/>
  <c r="O1078" i="29"/>
  <c r="P1078" i="29"/>
  <c r="Q1078" i="29"/>
  <c r="R1078" i="29"/>
  <c r="T1078" i="29"/>
  <c r="V1078" i="29"/>
  <c r="X1078" i="29"/>
  <c r="Y1078" i="29"/>
  <c r="Z1078" i="29"/>
  <c r="AD1078" i="29"/>
  <c r="A1079" i="29"/>
  <c r="E1079" i="29"/>
  <c r="G1079" i="29"/>
  <c r="I1079" i="29"/>
  <c r="J1079" i="29"/>
  <c r="K1079" i="29"/>
  <c r="L1079" i="29"/>
  <c r="M1079" i="29"/>
  <c r="N1079" i="29"/>
  <c r="O1079" i="29"/>
  <c r="P1079" i="29"/>
  <c r="Q1079" i="29"/>
  <c r="R1079" i="29"/>
  <c r="T1079" i="29"/>
  <c r="V1079" i="29"/>
  <c r="X1079" i="29"/>
  <c r="Y1079" i="29"/>
  <c r="Z1079" i="29"/>
  <c r="AD1079" i="29"/>
  <c r="A1080" i="29"/>
  <c r="E1080" i="29"/>
  <c r="G1080" i="29"/>
  <c r="H1080" i="29"/>
  <c r="I1080" i="29"/>
  <c r="J1080" i="29"/>
  <c r="K1080" i="29"/>
  <c r="L1080" i="29"/>
  <c r="M1080" i="29"/>
  <c r="N1080" i="29"/>
  <c r="O1080" i="29"/>
  <c r="P1080" i="29"/>
  <c r="Q1080" i="29"/>
  <c r="R1080" i="29"/>
  <c r="T1080" i="29"/>
  <c r="V1080" i="29"/>
  <c r="X1080" i="29"/>
  <c r="Y1080" i="29"/>
  <c r="Z1080" i="29"/>
  <c r="AD1080" i="29"/>
  <c r="A1081" i="29"/>
  <c r="E1081" i="29"/>
  <c r="G1081" i="29"/>
  <c r="H1081" i="29"/>
  <c r="I1081" i="29"/>
  <c r="J1081" i="29"/>
  <c r="K1081" i="29"/>
  <c r="L1081" i="29"/>
  <c r="M1081" i="29"/>
  <c r="N1081" i="29"/>
  <c r="O1081" i="29"/>
  <c r="P1081" i="29"/>
  <c r="Q1081" i="29"/>
  <c r="R1081" i="29"/>
  <c r="T1081" i="29"/>
  <c r="V1081" i="29"/>
  <c r="X1081" i="29"/>
  <c r="Y1081" i="29"/>
  <c r="Z1081" i="29"/>
  <c r="AD1081" i="29"/>
  <c r="A1082" i="29"/>
  <c r="E1082" i="29"/>
  <c r="G1082" i="29"/>
  <c r="H1082" i="29"/>
  <c r="I1082" i="29"/>
  <c r="J1082" i="29"/>
  <c r="K1082" i="29"/>
  <c r="L1082" i="29"/>
  <c r="M1082" i="29"/>
  <c r="N1082" i="29"/>
  <c r="O1082" i="29"/>
  <c r="P1082" i="29"/>
  <c r="Q1082" i="29"/>
  <c r="R1082" i="29"/>
  <c r="T1082" i="29"/>
  <c r="V1082" i="29"/>
  <c r="X1082" i="29"/>
  <c r="Y1082" i="29"/>
  <c r="Z1082" i="29"/>
  <c r="A1083" i="29"/>
  <c r="G1083" i="29"/>
  <c r="H1083" i="29"/>
  <c r="I1083" i="29"/>
  <c r="J1083" i="29"/>
  <c r="K1083" i="29"/>
  <c r="L1083" i="29"/>
  <c r="M1083" i="29"/>
  <c r="N1083" i="29"/>
  <c r="O1083" i="29"/>
  <c r="P1083" i="29"/>
  <c r="Q1083" i="29"/>
  <c r="R1083" i="29"/>
  <c r="T1083" i="29"/>
  <c r="V1083" i="29"/>
  <c r="X1083" i="29"/>
  <c r="Y1083" i="29"/>
  <c r="Z1083" i="29"/>
  <c r="AB1083" i="29"/>
  <c r="AD1083" i="29"/>
  <c r="A1084" i="29"/>
  <c r="G1084" i="29"/>
  <c r="H1084" i="29"/>
  <c r="I1084" i="29"/>
  <c r="J1084" i="29"/>
  <c r="K1084" i="29"/>
  <c r="L1084" i="29"/>
  <c r="M1084" i="29"/>
  <c r="N1084" i="29"/>
  <c r="O1084" i="29"/>
  <c r="P1084" i="29"/>
  <c r="Q1084" i="29"/>
  <c r="R1084" i="29"/>
  <c r="T1084" i="29"/>
  <c r="V1084" i="29"/>
  <c r="X1084" i="29"/>
  <c r="Y1084" i="29"/>
  <c r="AD1084" i="29"/>
  <c r="A1085" i="29"/>
  <c r="G1085" i="29"/>
  <c r="H1085" i="29"/>
  <c r="I1085" i="29"/>
  <c r="J1085" i="29"/>
  <c r="K1085" i="29"/>
  <c r="L1085" i="29"/>
  <c r="M1085" i="29"/>
  <c r="N1085" i="29"/>
  <c r="O1085" i="29"/>
  <c r="P1085" i="29"/>
  <c r="Q1085" i="29"/>
  <c r="R1085" i="29"/>
  <c r="T1085" i="29"/>
  <c r="V1085" i="29"/>
  <c r="X1085" i="29"/>
  <c r="Y1085" i="29"/>
  <c r="Z1085" i="29"/>
  <c r="AB1085" i="29"/>
  <c r="A1086" i="29"/>
  <c r="G1086" i="29"/>
  <c r="H1086" i="29"/>
  <c r="I1086" i="29"/>
  <c r="J1086" i="29"/>
  <c r="K1086" i="29"/>
  <c r="L1086" i="29"/>
  <c r="M1086" i="29"/>
  <c r="N1086" i="29"/>
  <c r="O1086" i="29"/>
  <c r="P1086" i="29"/>
  <c r="Q1086" i="29"/>
  <c r="R1086" i="29"/>
  <c r="T1086" i="29"/>
  <c r="V1086" i="29"/>
  <c r="X1086" i="29"/>
  <c r="Y1086" i="29"/>
  <c r="Z1086" i="29"/>
  <c r="AB1086" i="29"/>
  <c r="AD1086" i="29"/>
  <c r="A1087" i="29"/>
  <c r="G1087" i="29"/>
  <c r="H1087" i="29"/>
  <c r="I1087" i="29"/>
  <c r="J1087" i="29"/>
  <c r="K1087" i="29"/>
  <c r="L1087" i="29"/>
  <c r="M1087" i="29"/>
  <c r="N1087" i="29"/>
  <c r="O1087" i="29"/>
  <c r="P1087" i="29"/>
  <c r="Q1087" i="29"/>
  <c r="R1087" i="29"/>
  <c r="T1087" i="29"/>
  <c r="V1087" i="29"/>
  <c r="X1087" i="29"/>
  <c r="Y1087" i="29"/>
  <c r="AD1087" i="29"/>
  <c r="A1088" i="29"/>
  <c r="G1088" i="29"/>
  <c r="H1088" i="29"/>
  <c r="I1088" i="29"/>
  <c r="J1088" i="29"/>
  <c r="K1088" i="29"/>
  <c r="L1088" i="29"/>
  <c r="M1088" i="29"/>
  <c r="N1088" i="29"/>
  <c r="O1088" i="29"/>
  <c r="P1088" i="29"/>
  <c r="Q1088" i="29"/>
  <c r="R1088" i="29"/>
  <c r="T1088" i="29"/>
  <c r="V1088" i="29"/>
  <c r="X1088" i="29"/>
  <c r="Y1088" i="29"/>
  <c r="Z1088" i="29"/>
  <c r="AB1088" i="29"/>
  <c r="AD1088" i="29"/>
  <c r="A1089" i="29"/>
  <c r="G1089" i="29"/>
  <c r="H1089" i="29"/>
  <c r="I1089" i="29"/>
  <c r="J1089" i="29"/>
  <c r="K1089" i="29"/>
  <c r="L1089" i="29"/>
  <c r="M1089" i="29"/>
  <c r="N1089" i="29"/>
  <c r="O1089" i="29"/>
  <c r="P1089" i="29"/>
  <c r="Q1089" i="29"/>
  <c r="S111" i="12"/>
  <c r="AD1089" i="29"/>
  <c r="A1090" i="29"/>
  <c r="G1090" i="29"/>
  <c r="H1090" i="29"/>
  <c r="I1090" i="29"/>
  <c r="J1090" i="29"/>
  <c r="K1090" i="29"/>
  <c r="L1090" i="29"/>
  <c r="M1090" i="29"/>
  <c r="N1090" i="29"/>
  <c r="O1090" i="29"/>
  <c r="P1090" i="29"/>
  <c r="Q1090" i="29"/>
  <c r="R1090" i="29"/>
  <c r="T1090" i="29"/>
  <c r="V1090" i="29"/>
  <c r="X1090" i="29"/>
  <c r="Y1090" i="29"/>
  <c r="Z1090" i="29"/>
  <c r="AB1090" i="29"/>
  <c r="AD1090" i="29"/>
  <c r="A1091" i="29"/>
  <c r="G1091" i="29"/>
  <c r="H1091" i="29"/>
  <c r="I1091" i="29"/>
  <c r="J1091" i="29"/>
  <c r="K1091" i="29"/>
  <c r="L1091" i="29"/>
  <c r="M1091" i="29"/>
  <c r="N1091" i="29"/>
  <c r="O1091" i="29"/>
  <c r="P1091" i="29"/>
  <c r="Q1091" i="29"/>
  <c r="R1091" i="29"/>
  <c r="T1091" i="29"/>
  <c r="V1091" i="29"/>
  <c r="X1091" i="29"/>
  <c r="Y1091" i="29"/>
  <c r="Z1091" i="29"/>
  <c r="AD1091" i="29"/>
  <c r="U4" i="12"/>
  <c r="AA58" i="12"/>
  <c r="AA59" i="12"/>
  <c r="AA65" i="12"/>
  <c r="O71" i="12"/>
  <c r="O72" i="12"/>
  <c r="S95" i="12"/>
  <c r="S103" i="12"/>
  <c r="D18" i="33"/>
  <c r="L26" i="32" s="1"/>
  <c r="N26" i="32" s="1"/>
  <c r="D27" i="33"/>
  <c r="L27" i="32" s="1"/>
  <c r="N27" i="32" s="1"/>
  <c r="D37" i="33"/>
  <c r="D44" i="33"/>
  <c r="D48" i="33"/>
  <c r="L30" i="32" s="1"/>
  <c r="N30" i="32" s="1"/>
  <c r="D61" i="33"/>
  <c r="D93" i="33" s="1"/>
  <c r="D72" i="33"/>
  <c r="L33" i="32" s="1"/>
  <c r="N33" i="32" s="1"/>
  <c r="D91" i="33"/>
  <c r="D38" i="2"/>
  <c r="D33" i="2"/>
  <c r="F38" i="2"/>
  <c r="F33" i="2"/>
  <c r="H33" i="2"/>
  <c r="H39" i="2" s="1"/>
  <c r="J33" i="2"/>
  <c r="J39" i="2" s="1"/>
  <c r="L28" i="32"/>
  <c r="N28" i="32" s="1"/>
  <c r="L29" i="32"/>
  <c r="N29" i="32" s="1"/>
  <c r="L32" i="32"/>
  <c r="N32" i="32" s="1"/>
  <c r="L34" i="32"/>
  <c r="N34" i="32" s="1"/>
  <c r="R24" i="2"/>
  <c r="H38" i="2"/>
  <c r="J38" i="2"/>
  <c r="E100" i="27"/>
  <c r="E103" i="27" s="1"/>
  <c r="F100" i="27"/>
  <c r="F103" i="27" s="1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B63" i="31"/>
  <c r="E102" i="31"/>
  <c r="D63" i="31"/>
  <c r="J102" i="31"/>
  <c r="C63" i="31"/>
  <c r="G102" i="31"/>
  <c r="F63" i="31"/>
  <c r="F28" i="31"/>
  <c r="I102" i="31"/>
  <c r="J28" i="31"/>
  <c r="G28" i="31"/>
  <c r="B102" i="31"/>
  <c r="H28" i="31"/>
  <c r="K63" i="31"/>
  <c r="E28" i="31"/>
  <c r="D102" i="31"/>
  <c r="I63" i="31"/>
  <c r="A28" i="31"/>
  <c r="K28" i="31"/>
  <c r="F102" i="31"/>
  <c r="C102" i="31"/>
  <c r="B28" i="31"/>
  <c r="H102" i="31"/>
  <c r="C28" i="31"/>
  <c r="H63" i="31"/>
  <c r="D28" i="31"/>
  <c r="G63" i="31"/>
  <c r="K102" i="31"/>
  <c r="J63" i="31"/>
  <c r="A63" i="31"/>
  <c r="E63" i="31"/>
  <c r="L28" i="31"/>
  <c r="I28" i="31"/>
  <c r="A102" i="31"/>
  <c r="T808" i="29" l="1"/>
  <c r="O46" i="12"/>
  <c r="F20" i="2" s="1"/>
  <c r="N46" i="12"/>
  <c r="D20" i="2" s="1"/>
  <c r="P808" i="29"/>
  <c r="L46" i="12"/>
  <c r="Q13" i="12"/>
  <c r="U35" i="12"/>
  <c r="L18" i="2" s="1"/>
  <c r="N35" i="12"/>
  <c r="D18" i="2" s="1"/>
  <c r="L35" i="12"/>
  <c r="T265" i="29"/>
  <c r="R809" i="29"/>
  <c r="T936" i="29"/>
  <c r="T937" i="29"/>
  <c r="T932" i="29"/>
  <c r="I926" i="29"/>
  <c r="T269" i="29"/>
  <c r="T694" i="29"/>
  <c r="T690" i="29"/>
  <c r="T940" i="29"/>
  <c r="Z688" i="29"/>
  <c r="T681" i="29"/>
  <c r="T272" i="29"/>
  <c r="T927" i="29"/>
  <c r="T682" i="29"/>
  <c r="T154" i="29"/>
  <c r="T110" i="29"/>
  <c r="T691" i="29"/>
  <c r="T95" i="12"/>
  <c r="T939" i="29"/>
  <c r="T680" i="29"/>
  <c r="T899" i="29"/>
  <c r="T934" i="29"/>
  <c r="I922" i="29"/>
  <c r="T938" i="29"/>
  <c r="T929" i="29"/>
  <c r="T271" i="29"/>
  <c r="D21" i="52"/>
  <c r="T698" i="29"/>
  <c r="T129" i="29"/>
  <c r="R4" i="40"/>
  <c r="L28" i="52"/>
  <c r="H81" i="22"/>
  <c r="L31" i="32"/>
  <c r="N31" i="32" s="1"/>
  <c r="G87" i="27"/>
  <c r="T804" i="29"/>
  <c r="T782" i="29"/>
  <c r="R713" i="29"/>
  <c r="T707" i="29"/>
  <c r="Z944" i="29"/>
  <c r="I917" i="29"/>
  <c r="P813" i="29"/>
  <c r="T696" i="29"/>
  <c r="T692" i="29"/>
  <c r="T922" i="29"/>
  <c r="R802" i="29"/>
  <c r="T179" i="29"/>
  <c r="T693" i="29"/>
  <c r="T689" i="29"/>
  <c r="T86" i="29"/>
  <c r="E77" i="22"/>
  <c r="E78" i="22"/>
  <c r="E81" i="22" s="1"/>
  <c r="G55" i="43"/>
  <c r="T270" i="29"/>
  <c r="T786" i="29"/>
  <c r="R783" i="29"/>
  <c r="T679" i="29"/>
  <c r="D39" i="2"/>
  <c r="T842" i="29"/>
  <c r="R680" i="29"/>
  <c r="I81" i="22"/>
  <c r="G107" i="39"/>
  <c r="G108" i="39" s="1"/>
  <c r="G109" i="39" s="1"/>
  <c r="L60" i="52"/>
  <c r="N60" i="52" s="1"/>
  <c r="L37" i="2"/>
  <c r="N37" i="2" s="1"/>
  <c r="E117" i="39"/>
  <c r="G35" i="43"/>
  <c r="H61" i="43" s="1"/>
  <c r="N150" i="41"/>
  <c r="J47" i="40"/>
  <c r="J22" i="40"/>
  <c r="J48" i="40"/>
  <c r="J19" i="40"/>
  <c r="J68" i="40"/>
  <c r="J21" i="40"/>
  <c r="J25" i="40"/>
  <c r="J17" i="40"/>
  <c r="J26" i="40"/>
  <c r="J18" i="40"/>
  <c r="J23" i="40"/>
  <c r="J80" i="40"/>
  <c r="J49" i="40"/>
  <c r="J24" i="40"/>
  <c r="J16" i="40"/>
  <c r="J50" i="40"/>
  <c r="J29" i="40"/>
  <c r="J20" i="40"/>
  <c r="J42" i="40"/>
  <c r="J32" i="40"/>
  <c r="J31" i="40"/>
  <c r="J40" i="40"/>
  <c r="J37" i="40"/>
  <c r="J28" i="40"/>
  <c r="J34" i="40"/>
  <c r="J39" i="40"/>
  <c r="J44" i="40"/>
  <c r="J27" i="40"/>
  <c r="J36" i="40"/>
  <c r="J38" i="40"/>
  <c r="J46" i="40"/>
  <c r="J35" i="40"/>
  <c r="J43" i="40"/>
  <c r="J41" i="40"/>
  <c r="F25" i="52"/>
  <c r="L24" i="52"/>
  <c r="AB959" i="29"/>
  <c r="H2" i="39"/>
  <c r="V4" i="12"/>
  <c r="D25" i="52"/>
  <c r="H7" i="26"/>
  <c r="H22" i="26" s="1"/>
  <c r="Z812" i="29"/>
  <c r="Z808" i="29"/>
  <c r="F1" i="29"/>
  <c r="B1" i="12"/>
  <c r="B1" i="21" s="1"/>
  <c r="B1" i="20"/>
  <c r="D81" i="22"/>
  <c r="F81" i="22"/>
  <c r="L19" i="52"/>
  <c r="L46" i="52"/>
  <c r="D23" i="52"/>
  <c r="D19" i="52"/>
  <c r="G93" i="27"/>
  <c r="F93" i="28" s="1"/>
  <c r="G93" i="28" s="1"/>
  <c r="T103" i="12"/>
  <c r="AB1024" i="29"/>
  <c r="E51" i="27" s="1"/>
  <c r="G51" i="27" s="1"/>
  <c r="F50" i="28" s="1"/>
  <c r="G50" i="28" s="1"/>
  <c r="I941" i="29"/>
  <c r="I32" i="27"/>
  <c r="N161" i="41"/>
  <c r="M66" i="41"/>
  <c r="O73" i="12"/>
  <c r="F30" i="52" s="1"/>
  <c r="I800" i="29"/>
  <c r="T799" i="29"/>
  <c r="AB956" i="29"/>
  <c r="I63" i="27"/>
  <c r="I60" i="27"/>
  <c r="AB277" i="29"/>
  <c r="Y277" i="29"/>
  <c r="P797" i="29"/>
  <c r="I797" i="29"/>
  <c r="I67" i="27"/>
  <c r="R105" i="12"/>
  <c r="AB276" i="29"/>
  <c r="AB283" i="29"/>
  <c r="S105" i="12"/>
  <c r="V101" i="12"/>
  <c r="AB989" i="29" s="1"/>
  <c r="I70" i="27"/>
  <c r="I65" i="27"/>
  <c r="E43" i="27"/>
  <c r="F32" i="27"/>
  <c r="G32" i="27" s="1"/>
  <c r="F32" i="28" s="1"/>
  <c r="G32" i="28" s="1"/>
  <c r="N105" i="12"/>
  <c r="N67" i="12"/>
  <c r="U67" i="12"/>
  <c r="A2" i="41"/>
  <c r="AD959" i="29"/>
  <c r="G21" i="8"/>
  <c r="I21" i="8" s="1"/>
  <c r="H21" i="8"/>
  <c r="G10" i="8"/>
  <c r="H10" i="8"/>
  <c r="I10" i="8" s="1"/>
  <c r="G32" i="8"/>
  <c r="I32" i="8" s="1"/>
  <c r="H32" i="8"/>
  <c r="G43" i="8"/>
  <c r="H43" i="8"/>
  <c r="G12" i="8"/>
  <c r="I12" i="8" s="1"/>
  <c r="H12" i="8"/>
  <c r="G38" i="8"/>
  <c r="H38" i="8"/>
  <c r="I38" i="8" s="1"/>
  <c r="G14" i="8"/>
  <c r="I14" i="8" s="1"/>
  <c r="H14" i="8"/>
  <c r="G24" i="8"/>
  <c r="H24" i="8"/>
  <c r="G26" i="8"/>
  <c r="I26" i="8" s="1"/>
  <c r="H26" i="8"/>
  <c r="G16" i="8"/>
  <c r="H16" i="8"/>
  <c r="I16" i="8" s="1"/>
  <c r="G30" i="8"/>
  <c r="I30" i="8" s="1"/>
  <c r="H30" i="8"/>
  <c r="H29" i="8"/>
  <c r="G29" i="8"/>
  <c r="T765" i="29"/>
  <c r="G100" i="27"/>
  <c r="F101" i="28" s="1"/>
  <c r="F104" i="28" s="1"/>
  <c r="F39" i="2"/>
  <c r="W963" i="29"/>
  <c r="K107" i="39"/>
  <c r="F107" i="39"/>
  <c r="E115" i="39" s="1"/>
  <c r="E107" i="39"/>
  <c r="E110" i="39" s="1"/>
  <c r="E113" i="39" s="1"/>
  <c r="G61" i="43"/>
  <c r="G45" i="43"/>
  <c r="AB281" i="29"/>
  <c r="AB279" i="29"/>
  <c r="I69" i="27"/>
  <c r="I66" i="27"/>
  <c r="I64" i="27"/>
  <c r="I62" i="27"/>
  <c r="I59" i="27"/>
  <c r="G70" i="27"/>
  <c r="F69" i="28" s="1"/>
  <c r="G69" i="28" s="1"/>
  <c r="G69" i="27"/>
  <c r="F68" i="28" s="1"/>
  <c r="G68" i="28" s="1"/>
  <c r="G67" i="27"/>
  <c r="F66" i="28" s="1"/>
  <c r="G66" i="28" s="1"/>
  <c r="G66" i="27"/>
  <c r="F65" i="28" s="1"/>
  <c r="G65" i="28" s="1"/>
  <c r="G65" i="27"/>
  <c r="F64" i="28" s="1"/>
  <c r="G64" i="28" s="1"/>
  <c r="G64" i="27"/>
  <c r="F63" i="28" s="1"/>
  <c r="G63" i="28" s="1"/>
  <c r="G63" i="27"/>
  <c r="F62" i="28" s="1"/>
  <c r="G62" i="28" s="1"/>
  <c r="G62" i="27"/>
  <c r="F61" i="28" s="1"/>
  <c r="G61" i="28" s="1"/>
  <c r="G60" i="27"/>
  <c r="F59" i="28" s="1"/>
  <c r="G59" i="28" s="1"/>
  <c r="G59" i="27"/>
  <c r="F58" i="28" s="1"/>
  <c r="G58" i="28" s="1"/>
  <c r="G58" i="27"/>
  <c r="F57" i="28" s="1"/>
  <c r="G57" i="28" s="1"/>
  <c r="G57" i="27"/>
  <c r="F56" i="28" s="1"/>
  <c r="G56" i="28" s="1"/>
  <c r="G56" i="27"/>
  <c r="F55" i="28" s="1"/>
  <c r="G55" i="28" s="1"/>
  <c r="G55" i="27"/>
  <c r="F54" i="28" s="1"/>
  <c r="G54" i="28" s="1"/>
  <c r="G54" i="27"/>
  <c r="F53" i="28" s="1"/>
  <c r="G53" i="28" s="1"/>
  <c r="B2" i="22"/>
  <c r="B2" i="23" s="1"/>
  <c r="D54" i="8"/>
  <c r="H49" i="8"/>
  <c r="H39" i="8"/>
  <c r="H28" i="8"/>
  <c r="H9" i="8"/>
  <c r="I9" i="8" s="1"/>
  <c r="H40" i="8"/>
  <c r="H48" i="8"/>
  <c r="N138" i="41"/>
  <c r="L48" i="52"/>
  <c r="J42" i="20"/>
  <c r="J43" i="20" s="1"/>
  <c r="G30" i="43"/>
  <c r="M30" i="18"/>
  <c r="F46" i="52"/>
  <c r="N126" i="41"/>
  <c r="N29" i="41"/>
  <c r="N73" i="12"/>
  <c r="O105" i="12"/>
  <c r="AB282" i="29"/>
  <c r="AB280" i="29"/>
  <c r="AB278" i="29"/>
  <c r="O20" i="12"/>
  <c r="Q20" i="12" s="1"/>
  <c r="O18" i="12"/>
  <c r="Q18" i="12" s="1"/>
  <c r="O17" i="12"/>
  <c r="Q17" i="12" s="1"/>
  <c r="O15" i="12"/>
  <c r="Q15" i="12" s="1"/>
  <c r="G53" i="27"/>
  <c r="F52" i="28" s="1"/>
  <c r="G52" i="28" s="1"/>
  <c r="G50" i="27"/>
  <c r="F49" i="28" s="1"/>
  <c r="G49" i="28" s="1"/>
  <c r="G49" i="27"/>
  <c r="F48" i="28" s="1"/>
  <c r="G48" i="28" s="1"/>
  <c r="G48" i="27"/>
  <c r="F47" i="28" s="1"/>
  <c r="G47" i="28" s="1"/>
  <c r="G47" i="27"/>
  <c r="F46" i="28" s="1"/>
  <c r="G46" i="28" s="1"/>
  <c r="G46" i="27"/>
  <c r="F45" i="28" s="1"/>
  <c r="G45" i="28" s="1"/>
  <c r="G45" i="27"/>
  <c r="F44" i="28" s="1"/>
  <c r="G44" i="28" s="1"/>
  <c r="G44" i="27"/>
  <c r="F43" i="28" s="1"/>
  <c r="G43" i="28" s="1"/>
  <c r="I7" i="27"/>
  <c r="G73" i="27"/>
  <c r="F72" i="28" s="1"/>
  <c r="G72" i="28" s="1"/>
  <c r="G42" i="27"/>
  <c r="F41" i="28" s="1"/>
  <c r="G41" i="28" s="1"/>
  <c r="F43" i="27"/>
  <c r="E41" i="27"/>
  <c r="E76" i="27" s="1"/>
  <c r="F12" i="27"/>
  <c r="F10" i="27"/>
  <c r="F8" i="27"/>
  <c r="F24" i="27"/>
  <c r="F22" i="27"/>
  <c r="L102" i="31"/>
  <c r="L105" i="31" s="1"/>
  <c r="F16" i="27"/>
  <c r="O69" i="31"/>
  <c r="E12" i="27" s="1"/>
  <c r="L69" i="31"/>
  <c r="E9" i="27" s="1"/>
  <c r="J69" i="31"/>
  <c r="E7" i="27" s="1"/>
  <c r="H69" i="31"/>
  <c r="E23" i="27" s="1"/>
  <c r="F69" i="31"/>
  <c r="E21" i="27" s="1"/>
  <c r="G21" i="27" s="1"/>
  <c r="F21" i="28" s="1"/>
  <c r="G21" i="28" s="1"/>
  <c r="L63" i="31"/>
  <c r="K64" i="31" s="1"/>
  <c r="A69" i="31"/>
  <c r="D69" i="31"/>
  <c r="E19" i="27" s="1"/>
  <c r="G19" i="27" s="1"/>
  <c r="F19" i="28" s="1"/>
  <c r="G19" i="28" s="1"/>
  <c r="F11" i="27"/>
  <c r="F9" i="27"/>
  <c r="F7" i="27"/>
  <c r="F37" i="27" s="1"/>
  <c r="F78" i="27" s="1"/>
  <c r="F23" i="27"/>
  <c r="F17" i="27"/>
  <c r="M69" i="31"/>
  <c r="E10" i="27" s="1"/>
  <c r="K69" i="31"/>
  <c r="E8" i="27" s="1"/>
  <c r="I69" i="31"/>
  <c r="E24" i="27" s="1"/>
  <c r="G69" i="31"/>
  <c r="E22" i="27" s="1"/>
  <c r="B69" i="31"/>
  <c r="E17" i="27" s="1"/>
  <c r="N69" i="31"/>
  <c r="E11" i="27" s="1"/>
  <c r="E69" i="31"/>
  <c r="E20" i="27" s="1"/>
  <c r="G20" i="27" s="1"/>
  <c r="F20" i="28" s="1"/>
  <c r="G20" i="28" s="1"/>
  <c r="M28" i="31"/>
  <c r="C69" i="31"/>
  <c r="E18" i="27" s="1"/>
  <c r="G18" i="27" s="1"/>
  <c r="F18" i="28" s="1"/>
  <c r="G18" i="28" s="1"/>
  <c r="G82" i="28"/>
  <c r="G86" i="28" s="1"/>
  <c r="F86" i="28"/>
  <c r="G40" i="27"/>
  <c r="A72" i="22"/>
  <c r="A71" i="22"/>
  <c r="A73" i="22" s="1"/>
  <c r="A74" i="22" s="1"/>
  <c r="A75" i="22" s="1"/>
  <c r="G91" i="28"/>
  <c r="G51" i="8"/>
  <c r="H51" i="8"/>
  <c r="G45" i="8"/>
  <c r="H45" i="8"/>
  <c r="G37" i="8"/>
  <c r="H37" i="8"/>
  <c r="G19" i="8"/>
  <c r="F54" i="8"/>
  <c r="H19" i="8"/>
  <c r="I19" i="8" s="1"/>
  <c r="N36" i="32"/>
  <c r="G72" i="27"/>
  <c r="F71" i="28" s="1"/>
  <c r="G71" i="28" s="1"/>
  <c r="E146" i="21"/>
  <c r="E54" i="21"/>
  <c r="E55" i="21" s="1"/>
  <c r="E56" i="21" s="1"/>
  <c r="E57" i="21" s="1"/>
  <c r="E58" i="21" s="1"/>
  <c r="E59" i="21" s="1"/>
  <c r="E60" i="21" s="1"/>
  <c r="E61" i="21" s="1"/>
  <c r="E62" i="21" s="1"/>
  <c r="E63" i="21" s="1"/>
  <c r="E64" i="21" s="1"/>
  <c r="E65" i="21" s="1"/>
  <c r="E66" i="21" s="1"/>
  <c r="E67" i="21" s="1"/>
  <c r="E68" i="21" s="1"/>
  <c r="E69" i="21" s="1"/>
  <c r="E70" i="21" s="1"/>
  <c r="E71" i="21" s="1"/>
  <c r="E72" i="21" s="1"/>
  <c r="E73" i="21" s="1"/>
  <c r="E74" i="21" s="1"/>
  <c r="E75" i="21" s="1"/>
  <c r="E76" i="21" s="1"/>
  <c r="E77" i="21" s="1"/>
  <c r="E78" i="21" s="1"/>
  <c r="E79" i="21" s="1"/>
  <c r="E80" i="21" s="1"/>
  <c r="E81" i="21" s="1"/>
  <c r="E82" i="21" s="1"/>
  <c r="E83" i="21" s="1"/>
  <c r="E84" i="21" s="1"/>
  <c r="E85" i="21" s="1"/>
  <c r="E86" i="21" s="1"/>
  <c r="E87" i="21" s="1"/>
  <c r="E88" i="21" s="1"/>
  <c r="E89" i="21" s="1"/>
  <c r="E90" i="21" s="1"/>
  <c r="E91" i="21" s="1"/>
  <c r="E92" i="21" s="1"/>
  <c r="E93" i="21" s="1"/>
  <c r="E94" i="21" s="1"/>
  <c r="E95" i="21" s="1"/>
  <c r="E96" i="21" s="1"/>
  <c r="E97" i="21" s="1"/>
  <c r="E98" i="21" s="1"/>
  <c r="E108" i="39"/>
  <c r="E109" i="39" s="1"/>
  <c r="F42" i="52"/>
  <c r="I49" i="8"/>
  <c r="I39" i="8"/>
  <c r="I28" i="8"/>
  <c r="G34" i="8"/>
  <c r="H34" i="8"/>
  <c r="G46" i="8"/>
  <c r="H46" i="8"/>
  <c r="G50" i="8"/>
  <c r="H50" i="8"/>
  <c r="G41" i="8"/>
  <c r="H41" i="8"/>
  <c r="G35" i="8"/>
  <c r="H35" i="8"/>
  <c r="I35" i="8" s="1"/>
  <c r="B89" i="8" s="1"/>
  <c r="G22" i="8"/>
  <c r="I22" i="8" s="1"/>
  <c r="H22" i="8"/>
  <c r="G20" i="8"/>
  <c r="H20" i="8"/>
  <c r="G47" i="8"/>
  <c r="H47" i="8"/>
  <c r="G8" i="8"/>
  <c r="H8" i="8"/>
  <c r="I8" i="8" s="1"/>
  <c r="G33" i="8"/>
  <c r="H33" i="8"/>
  <c r="G31" i="8"/>
  <c r="H31" i="8"/>
  <c r="G44" i="8"/>
  <c r="H44" i="8"/>
  <c r="G42" i="8"/>
  <c r="I42" i="8"/>
  <c r="H42" i="8"/>
  <c r="G13" i="8"/>
  <c r="H13" i="8"/>
  <c r="G11" i="8"/>
  <c r="I11" i="8" s="1"/>
  <c r="H11" i="8"/>
  <c r="G15" i="8"/>
  <c r="H15" i="8"/>
  <c r="G25" i="8"/>
  <c r="I25" i="8" s="1"/>
  <c r="H25" i="8"/>
  <c r="G23" i="8"/>
  <c r="H23" i="8"/>
  <c r="G27" i="8"/>
  <c r="H27" i="8"/>
  <c r="G18" i="8"/>
  <c r="H18" i="8"/>
  <c r="G17" i="8"/>
  <c r="H17" i="8"/>
  <c r="I17" i="8" s="1"/>
  <c r="B65" i="8" s="1"/>
  <c r="G36" i="8"/>
  <c r="I36" i="8" s="1"/>
  <c r="H36" i="8"/>
  <c r="M71" i="12"/>
  <c r="M72" i="12"/>
  <c r="R72" i="12" s="1"/>
  <c r="M13" i="12"/>
  <c r="S13" i="12" s="1"/>
  <c r="M15" i="12"/>
  <c r="M17" i="12"/>
  <c r="M18" i="12"/>
  <c r="M20" i="12"/>
  <c r="M22" i="12"/>
  <c r="M24" i="12"/>
  <c r="S24" i="12" s="1"/>
  <c r="M26" i="12"/>
  <c r="S26" i="12" s="1"/>
  <c r="M27" i="12"/>
  <c r="S27" i="12" s="1"/>
  <c r="M50" i="12"/>
  <c r="S50" i="12" s="1"/>
  <c r="M53" i="12"/>
  <c r="S53" i="12" s="1"/>
  <c r="M56" i="12"/>
  <c r="S56" i="12" s="1"/>
  <c r="M59" i="12"/>
  <c r="S59" i="12" s="1"/>
  <c r="M61" i="12"/>
  <c r="S61" i="12" s="1"/>
  <c r="M16" i="12"/>
  <c r="M19" i="12"/>
  <c r="M21" i="12"/>
  <c r="M23" i="12"/>
  <c r="M25" i="12"/>
  <c r="S25" i="12" s="1"/>
  <c r="M28" i="12"/>
  <c r="S28" i="12" s="1"/>
  <c r="M29" i="12"/>
  <c r="S29" i="12" s="1"/>
  <c r="M45" i="12"/>
  <c r="M52" i="12"/>
  <c r="S52" i="12" s="1"/>
  <c r="M54" i="12"/>
  <c r="S54" i="12" s="1"/>
  <c r="M58" i="12"/>
  <c r="S58" i="12" s="1"/>
  <c r="M62" i="12"/>
  <c r="S62" i="12" s="1"/>
  <c r="M63" i="12"/>
  <c r="S63" i="12" s="1"/>
  <c r="M64" i="12"/>
  <c r="S64" i="12" s="1"/>
  <c r="M51" i="12"/>
  <c r="S51" i="12" s="1"/>
  <c r="M55" i="12"/>
  <c r="S55" i="12" s="1"/>
  <c r="M57" i="12"/>
  <c r="S57" i="12" s="1"/>
  <c r="M60" i="12"/>
  <c r="S60" i="12" s="1"/>
  <c r="M65" i="12"/>
  <c r="Q978" i="29"/>
  <c r="Q984" i="29"/>
  <c r="Q981" i="29"/>
  <c r="Q980" i="29"/>
  <c r="Q985" i="29"/>
  <c r="Q986" i="29"/>
  <c r="I40" i="8"/>
  <c r="I48" i="8"/>
  <c r="N92" i="41"/>
  <c r="N79" i="41"/>
  <c r="L42" i="52"/>
  <c r="L44" i="52"/>
  <c r="I43" i="8"/>
  <c r="I24" i="8"/>
  <c r="F48" i="52"/>
  <c r="G8" i="22"/>
  <c r="F44" i="52"/>
  <c r="N39" i="41"/>
  <c r="N40" i="41" s="1"/>
  <c r="N174" i="41"/>
  <c r="N131" i="41"/>
  <c r="N116" i="41"/>
  <c r="F43" i="52"/>
  <c r="L50" i="52"/>
  <c r="F50" i="52"/>
  <c r="F47" i="52"/>
  <c r="T72" i="12" l="1"/>
  <c r="V72" i="12" s="1"/>
  <c r="N76" i="12"/>
  <c r="N79" i="12" s="1"/>
  <c r="O35" i="12"/>
  <c r="Q35" i="12"/>
  <c r="D20" i="52"/>
  <c r="D18" i="52"/>
  <c r="D24" i="52"/>
  <c r="F31" i="52"/>
  <c r="T105" i="12"/>
  <c r="Q67" i="12"/>
  <c r="T926" i="29"/>
  <c r="L25" i="52"/>
  <c r="F21" i="52"/>
  <c r="F24" i="52"/>
  <c r="K41" i="40"/>
  <c r="M41" i="40" s="1"/>
  <c r="K39" i="40"/>
  <c r="M39" i="40" s="1"/>
  <c r="L39" i="40"/>
  <c r="S39" i="40" s="1"/>
  <c r="U39" i="40" s="1"/>
  <c r="V39" i="40" s="1"/>
  <c r="W39" i="40" s="1"/>
  <c r="K20" i="40"/>
  <c r="M20" i="40" s="1"/>
  <c r="K18" i="40"/>
  <c r="M18" i="40" s="1"/>
  <c r="L18" i="40"/>
  <c r="K21" i="40"/>
  <c r="M21" i="40" s="1"/>
  <c r="I23" i="8"/>
  <c r="B71" i="8" s="1"/>
  <c r="I31" i="8"/>
  <c r="B83" i="8" s="1"/>
  <c r="I46" i="8"/>
  <c r="E118" i="39"/>
  <c r="I51" i="8"/>
  <c r="K34" i="40"/>
  <c r="M34" i="40" s="1"/>
  <c r="K29" i="40"/>
  <c r="M29" i="40" s="1"/>
  <c r="L29" i="40"/>
  <c r="S29" i="40" s="1"/>
  <c r="U29" i="40" s="1"/>
  <c r="V29" i="40" s="1"/>
  <c r="K49" i="40"/>
  <c r="M49" i="40" s="1"/>
  <c r="K68" i="40"/>
  <c r="J83" i="40"/>
  <c r="K47" i="40"/>
  <c r="M47" i="40" s="1"/>
  <c r="I13" i="8"/>
  <c r="I54" i="8" s="1"/>
  <c r="I20" i="8"/>
  <c r="B87" i="8" s="1"/>
  <c r="E116" i="39"/>
  <c r="J105" i="39" s="1"/>
  <c r="J107" i="39" s="1"/>
  <c r="J109" i="39" s="1"/>
  <c r="F96" i="28"/>
  <c r="K109" i="39"/>
  <c r="L23" i="52"/>
  <c r="F23" i="52"/>
  <c r="D31" i="52"/>
  <c r="K35" i="40"/>
  <c r="M35" i="40" s="1"/>
  <c r="K27" i="40"/>
  <c r="M27" i="40" s="1"/>
  <c r="L27" i="40"/>
  <c r="K28" i="40"/>
  <c r="M28" i="40" s="1"/>
  <c r="K32" i="40"/>
  <c r="M32" i="40" s="1"/>
  <c r="L32" i="40"/>
  <c r="K50" i="40"/>
  <c r="M50" i="40" s="1"/>
  <c r="K80" i="40"/>
  <c r="M80" i="40" s="1"/>
  <c r="K17" i="40"/>
  <c r="M17" i="40" s="1"/>
  <c r="K19" i="40"/>
  <c r="M19" i="40" s="1"/>
  <c r="L19" i="40"/>
  <c r="S19" i="40" s="1"/>
  <c r="U19" i="40" s="1"/>
  <c r="V19" i="40" s="1"/>
  <c r="L31" i="52"/>
  <c r="K38" i="40"/>
  <c r="M38" i="40" s="1"/>
  <c r="L38" i="40"/>
  <c r="K40" i="40"/>
  <c r="M40" i="40" s="1"/>
  <c r="K24" i="40"/>
  <c r="M24" i="40" s="1"/>
  <c r="L24" i="40"/>
  <c r="K22" i="40"/>
  <c r="M22" i="40" s="1"/>
  <c r="K43" i="40"/>
  <c r="M43" i="40" s="1"/>
  <c r="L43" i="40"/>
  <c r="K36" i="40"/>
  <c r="M36" i="40" s="1"/>
  <c r="K31" i="40"/>
  <c r="M31" i="40" s="1"/>
  <c r="L31" i="40"/>
  <c r="K26" i="40"/>
  <c r="M26" i="40" s="1"/>
  <c r="I27" i="8"/>
  <c r="I33" i="8"/>
  <c r="I34" i="8"/>
  <c r="I45" i="8"/>
  <c r="G96" i="28"/>
  <c r="L36" i="32"/>
  <c r="K46" i="40"/>
  <c r="M46" i="40" s="1"/>
  <c r="L46" i="40"/>
  <c r="K44" i="40"/>
  <c r="M44" i="40" s="1"/>
  <c r="K37" i="40"/>
  <c r="M37" i="40" s="1"/>
  <c r="L37" i="40"/>
  <c r="K42" i="40"/>
  <c r="M42" i="40" s="1"/>
  <c r="K16" i="40"/>
  <c r="J51" i="40"/>
  <c r="K23" i="40"/>
  <c r="M23" i="40" s="1"/>
  <c r="L23" i="40"/>
  <c r="K25" i="40"/>
  <c r="M25" i="40" s="1"/>
  <c r="K48" i="40"/>
  <c r="M48" i="40" s="1"/>
  <c r="L48" i="40"/>
  <c r="H45" i="26"/>
  <c r="H14" i="26"/>
  <c r="H35" i="26"/>
  <c r="H38" i="26"/>
  <c r="G101" i="28"/>
  <c r="G104" i="28" s="1"/>
  <c r="G96" i="27"/>
  <c r="G103" i="27"/>
  <c r="H30" i="26"/>
  <c r="H17" i="26"/>
  <c r="H29" i="26"/>
  <c r="H10" i="26"/>
  <c r="I10" i="26" s="1"/>
  <c r="H27" i="26"/>
  <c r="H43" i="26"/>
  <c r="H12" i="26"/>
  <c r="H20" i="26"/>
  <c r="H28" i="26"/>
  <c r="H36" i="26"/>
  <c r="H44" i="26"/>
  <c r="H13" i="26"/>
  <c r="H25" i="26"/>
  <c r="H41" i="26"/>
  <c r="H16" i="26"/>
  <c r="H24" i="26"/>
  <c r="H32" i="26"/>
  <c r="H40" i="26"/>
  <c r="H21" i="26"/>
  <c r="H11" i="26"/>
  <c r="H33" i="26"/>
  <c r="H23" i="26"/>
  <c r="H31" i="26"/>
  <c r="H15" i="26"/>
  <c r="H18" i="26"/>
  <c r="H26" i="26"/>
  <c r="H34" i="26"/>
  <c r="H42" i="26"/>
  <c r="M9" i="26"/>
  <c r="H19" i="26"/>
  <c r="H37" i="26"/>
  <c r="H39" i="26"/>
  <c r="X789" i="29"/>
  <c r="X785" i="29"/>
  <c r="X778" i="29"/>
  <c r="Q774" i="29"/>
  <c r="Q766" i="29"/>
  <c r="Q762" i="29"/>
  <c r="Q738" i="29"/>
  <c r="Q733" i="29"/>
  <c r="Q726" i="29"/>
  <c r="Q719" i="29"/>
  <c r="Q712" i="29"/>
  <c r="Q786" i="29"/>
  <c r="X782" i="29"/>
  <c r="X779" i="29"/>
  <c r="Q770" i="29"/>
  <c r="Q767" i="29"/>
  <c r="Q763" i="29"/>
  <c r="Q739" i="29"/>
  <c r="Q734" i="29"/>
  <c r="Q727" i="29"/>
  <c r="Q713" i="29"/>
  <c r="X787" i="29"/>
  <c r="X783" i="29"/>
  <c r="Q775" i="29"/>
  <c r="Q207" i="29"/>
  <c r="Q771" i="29"/>
  <c r="Q768" i="29"/>
  <c r="Q764" i="29"/>
  <c r="Q741" i="29"/>
  <c r="Q736" i="29"/>
  <c r="Q728" i="29"/>
  <c r="Q720" i="29"/>
  <c r="Q714" i="29"/>
  <c r="Q788" i="29"/>
  <c r="X784" i="29"/>
  <c r="Q777" i="29"/>
  <c r="Q773" i="29"/>
  <c r="Q769" i="29"/>
  <c r="Q765" i="29"/>
  <c r="Q737" i="29"/>
  <c r="Q731" i="29"/>
  <c r="Q721" i="29"/>
  <c r="M34" i="12"/>
  <c r="Q703" i="29"/>
  <c r="M33" i="12"/>
  <c r="O65" i="12"/>
  <c r="T941" i="29" s="1"/>
  <c r="L21" i="52"/>
  <c r="G24" i="27"/>
  <c r="F24" i="28" s="1"/>
  <c r="G24" i="28" s="1"/>
  <c r="F22" i="2"/>
  <c r="L65" i="12"/>
  <c r="L67" i="12" s="1"/>
  <c r="G11" i="27"/>
  <c r="F11" i="28" s="1"/>
  <c r="G11" i="28" s="1"/>
  <c r="B1" i="22"/>
  <c r="B1" i="23" s="1"/>
  <c r="F27" i="52"/>
  <c r="D22" i="2"/>
  <c r="D30" i="52"/>
  <c r="L21" i="2"/>
  <c r="L29" i="52"/>
  <c r="L18" i="52"/>
  <c r="L27" i="52"/>
  <c r="J19" i="52"/>
  <c r="F28" i="52"/>
  <c r="D21" i="2"/>
  <c r="D29" i="52"/>
  <c r="D28" i="52"/>
  <c r="D27" i="52"/>
  <c r="G43" i="27"/>
  <c r="F42" i="28" s="1"/>
  <c r="G42" i="28" s="1"/>
  <c r="M14" i="12"/>
  <c r="G10" i="27"/>
  <c r="F10" i="28" s="1"/>
  <c r="G10" i="28" s="1"/>
  <c r="G17" i="27"/>
  <c r="F17" i="28" s="1"/>
  <c r="G17" i="28" s="1"/>
  <c r="P800" i="29"/>
  <c r="T796" i="29"/>
  <c r="I796" i="29"/>
  <c r="X796" i="29"/>
  <c r="I799" i="29"/>
  <c r="P799" i="29"/>
  <c r="G41" i="27"/>
  <c r="F40" i="28" s="1"/>
  <c r="G40" i="28" s="1"/>
  <c r="T800" i="29"/>
  <c r="X801" i="29"/>
  <c r="I801" i="29"/>
  <c r="T801" i="29"/>
  <c r="T797" i="29"/>
  <c r="T975" i="29"/>
  <c r="I29" i="8"/>
  <c r="B67" i="8" s="1"/>
  <c r="N30" i="18"/>
  <c r="M31" i="18"/>
  <c r="Z979" i="29"/>
  <c r="I18" i="8"/>
  <c r="B69" i="8" s="1"/>
  <c r="I15" i="8"/>
  <c r="B75" i="8" s="1"/>
  <c r="I44" i="8"/>
  <c r="I47" i="8"/>
  <c r="I41" i="8"/>
  <c r="B91" i="8" s="1"/>
  <c r="F91" i="8" s="1"/>
  <c r="G91" i="8" s="1"/>
  <c r="I50" i="8"/>
  <c r="K52" i="8" s="1"/>
  <c r="I37" i="8"/>
  <c r="G22" i="27"/>
  <c r="F22" i="28" s="1"/>
  <c r="G22" i="28" s="1"/>
  <c r="G8" i="27"/>
  <c r="F8" i="28" s="1"/>
  <c r="G8" i="28" s="1"/>
  <c r="G12" i="27"/>
  <c r="F12" i="28" s="1"/>
  <c r="G12" i="28" s="1"/>
  <c r="E114" i="39"/>
  <c r="E119" i="39" s="1"/>
  <c r="G120" i="39"/>
  <c r="T980" i="29"/>
  <c r="Z980" i="29"/>
  <c r="T986" i="29"/>
  <c r="D91" i="8"/>
  <c r="J44" i="52"/>
  <c r="P984" i="29"/>
  <c r="J50" i="52"/>
  <c r="P980" i="29"/>
  <c r="N178" i="41"/>
  <c r="T979" i="29"/>
  <c r="Z984" i="29"/>
  <c r="J43" i="52"/>
  <c r="P986" i="29"/>
  <c r="F63" i="43"/>
  <c r="G63" i="43" s="1"/>
  <c r="F64" i="43"/>
  <c r="G64" i="43" s="1"/>
  <c r="Q975" i="29"/>
  <c r="Q275" i="29"/>
  <c r="H49" i="52"/>
  <c r="J49" i="52"/>
  <c r="Q983" i="29"/>
  <c r="H37" i="52"/>
  <c r="J37" i="52"/>
  <c r="Q972" i="29"/>
  <c r="H40" i="52"/>
  <c r="J40" i="52"/>
  <c r="Q977" i="29"/>
  <c r="X867" i="29"/>
  <c r="Q867" i="29"/>
  <c r="X863" i="29"/>
  <c r="Q863" i="29"/>
  <c r="X859" i="29"/>
  <c r="Q859" i="29"/>
  <c r="X853" i="29"/>
  <c r="Q853" i="29"/>
  <c r="X849" i="29"/>
  <c r="Q849" i="29"/>
  <c r="X843" i="29"/>
  <c r="Q843" i="29"/>
  <c r="X826" i="29"/>
  <c r="Q826" i="29"/>
  <c r="X805" i="29"/>
  <c r="Q805" i="29"/>
  <c r="Q800" i="29"/>
  <c r="X794" i="29"/>
  <c r="Q794" i="29"/>
  <c r="X772" i="29"/>
  <c r="Q772" i="29"/>
  <c r="X760" i="29"/>
  <c r="Q760" i="29"/>
  <c r="X756" i="29"/>
  <c r="Q756" i="29"/>
  <c r="X752" i="29"/>
  <c r="Q752" i="29"/>
  <c r="X744" i="29"/>
  <c r="Q744" i="29"/>
  <c r="X187" i="29"/>
  <c r="Q187" i="29"/>
  <c r="X179" i="29"/>
  <c r="Q179" i="29"/>
  <c r="X709" i="29"/>
  <c r="Q709" i="29"/>
  <c r="X705" i="29"/>
  <c r="Q705" i="29"/>
  <c r="X701" i="29"/>
  <c r="Q701" i="29"/>
  <c r="X697" i="29"/>
  <c r="Q697" i="29"/>
  <c r="X693" i="29"/>
  <c r="Q693" i="29"/>
  <c r="X689" i="29"/>
  <c r="Q689" i="29"/>
  <c r="X685" i="29"/>
  <c r="Q685" i="29"/>
  <c r="X680" i="29"/>
  <c r="Q680" i="29"/>
  <c r="X627" i="29"/>
  <c r="Q627" i="29"/>
  <c r="X152" i="29"/>
  <c r="Q152" i="29"/>
  <c r="X105" i="29"/>
  <c r="Q105" i="29"/>
  <c r="X866" i="29"/>
  <c r="Q866" i="29"/>
  <c r="X862" i="29"/>
  <c r="Q862" i="29"/>
  <c r="X858" i="29"/>
  <c r="Q858" i="29"/>
  <c r="X852" i="29"/>
  <c r="Q852" i="29"/>
  <c r="X846" i="29"/>
  <c r="Q846" i="29"/>
  <c r="X842" i="29"/>
  <c r="Q842" i="29"/>
  <c r="X825" i="29"/>
  <c r="Q825" i="29"/>
  <c r="Q226" i="29"/>
  <c r="X809" i="29"/>
  <c r="Q809" i="29"/>
  <c r="X804" i="29"/>
  <c r="Q804" i="29"/>
  <c r="Q801" i="29"/>
  <c r="X797" i="29"/>
  <c r="Q797" i="29"/>
  <c r="Q791" i="29"/>
  <c r="X759" i="29"/>
  <c r="Q759" i="29"/>
  <c r="X755" i="29"/>
  <c r="Q755" i="29"/>
  <c r="X751" i="29"/>
  <c r="Q751" i="29"/>
  <c r="X732" i="29"/>
  <c r="Q732" i="29"/>
  <c r="X192" i="29"/>
  <c r="Q192" i="29"/>
  <c r="X180" i="29"/>
  <c r="Q180" i="29"/>
  <c r="X154" i="29"/>
  <c r="Q154" i="29"/>
  <c r="X706" i="29"/>
  <c r="Q706" i="29"/>
  <c r="X702" i="29"/>
  <c r="Q702" i="29"/>
  <c r="X698" i="29"/>
  <c r="Q698" i="29"/>
  <c r="X694" i="29"/>
  <c r="Q694" i="29"/>
  <c r="X690" i="29"/>
  <c r="Q690" i="29"/>
  <c r="X686" i="29"/>
  <c r="Q686" i="29"/>
  <c r="X681" i="29"/>
  <c r="Q681" i="29"/>
  <c r="X631" i="29"/>
  <c r="Q631" i="29"/>
  <c r="X628" i="29"/>
  <c r="Q628" i="29"/>
  <c r="Q624" i="29"/>
  <c r="X149" i="29"/>
  <c r="Q149" i="29"/>
  <c r="X130" i="29"/>
  <c r="Q130" i="29"/>
  <c r="X86" i="29"/>
  <c r="Q86" i="29"/>
  <c r="H36" i="52"/>
  <c r="J36" i="52"/>
  <c r="Q970" i="29"/>
  <c r="Q281" i="29"/>
  <c r="Q279" i="29"/>
  <c r="Q276" i="29"/>
  <c r="D65" i="8"/>
  <c r="F65" i="8"/>
  <c r="B85" i="8"/>
  <c r="O51" i="8"/>
  <c r="D89" i="8"/>
  <c r="F89" i="8"/>
  <c r="T985" i="29"/>
  <c r="B63" i="8"/>
  <c r="B73" i="8"/>
  <c r="B81" i="8"/>
  <c r="G23" i="27"/>
  <c r="F23" i="28" s="1"/>
  <c r="G23" i="28" s="1"/>
  <c r="G9" i="27"/>
  <c r="F9" i="28" s="1"/>
  <c r="G9" i="28" s="1"/>
  <c r="T976" i="29"/>
  <c r="L47" i="52"/>
  <c r="J45" i="52"/>
  <c r="P981" i="29"/>
  <c r="T984" i="29"/>
  <c r="G77" i="22"/>
  <c r="G78" i="22"/>
  <c r="G81" i="22" s="1"/>
  <c r="B77" i="8"/>
  <c r="Z985" i="29"/>
  <c r="J42" i="52"/>
  <c r="P985" i="29"/>
  <c r="AB275" i="29"/>
  <c r="J48" i="52"/>
  <c r="Q979" i="29"/>
  <c r="Q976" i="29"/>
  <c r="X973" i="29"/>
  <c r="Q973" i="29"/>
  <c r="X982" i="29"/>
  <c r="Q982" i="29"/>
  <c r="X869" i="29"/>
  <c r="Q869" i="29"/>
  <c r="X865" i="29"/>
  <c r="Q865" i="29"/>
  <c r="X861" i="29"/>
  <c r="Q861" i="29"/>
  <c r="X855" i="29"/>
  <c r="Q855" i="29"/>
  <c r="X851" i="29"/>
  <c r="Q851" i="29"/>
  <c r="X845" i="29"/>
  <c r="Q845" i="29"/>
  <c r="X841" i="29"/>
  <c r="Q841" i="29"/>
  <c r="Q823" i="29"/>
  <c r="S45" i="12"/>
  <c r="Q808" i="29"/>
  <c r="X803" i="29"/>
  <c r="Q803" i="29"/>
  <c r="Q796" i="29"/>
  <c r="X758" i="29"/>
  <c r="Q758" i="29"/>
  <c r="X754" i="29"/>
  <c r="Q754" i="29"/>
  <c r="X750" i="29"/>
  <c r="Q750" i="29"/>
  <c r="X735" i="29"/>
  <c r="Q735" i="29"/>
  <c r="X194" i="29"/>
  <c r="Q194" i="29"/>
  <c r="X182" i="29"/>
  <c r="Q182" i="29"/>
  <c r="X163" i="29"/>
  <c r="Q163" i="29"/>
  <c r="X707" i="29"/>
  <c r="Q707" i="29"/>
  <c r="X699" i="29"/>
  <c r="Q699" i="29"/>
  <c r="X695" i="29"/>
  <c r="Q695" i="29"/>
  <c r="X691" i="29"/>
  <c r="Q691" i="29"/>
  <c r="X687" i="29"/>
  <c r="Q687" i="29"/>
  <c r="X682" i="29"/>
  <c r="Q682" i="29"/>
  <c r="X629" i="29"/>
  <c r="Q629" i="29"/>
  <c r="X625" i="29"/>
  <c r="Q625" i="29"/>
  <c r="X148" i="29"/>
  <c r="Q148" i="29"/>
  <c r="X129" i="29"/>
  <c r="Q129" i="29"/>
  <c r="X85" i="29"/>
  <c r="Q85" i="29"/>
  <c r="X868" i="29"/>
  <c r="Q868" i="29"/>
  <c r="X864" i="29"/>
  <c r="Q864" i="29"/>
  <c r="X860" i="29"/>
  <c r="Q860" i="29"/>
  <c r="X854" i="29"/>
  <c r="Q854" i="29"/>
  <c r="X850" i="29"/>
  <c r="Q850" i="29"/>
  <c r="X844" i="29"/>
  <c r="Q844" i="29"/>
  <c r="X834" i="29"/>
  <c r="Q834" i="29"/>
  <c r="X813" i="29"/>
  <c r="Q813" i="29"/>
  <c r="X806" i="29"/>
  <c r="Q806" i="29"/>
  <c r="Q802" i="29"/>
  <c r="Q799" i="29"/>
  <c r="X795" i="29"/>
  <c r="Q795" i="29"/>
  <c r="X761" i="29"/>
  <c r="Q761" i="29"/>
  <c r="X757" i="29"/>
  <c r="Q757" i="29"/>
  <c r="X753" i="29"/>
  <c r="Q753" i="29"/>
  <c r="X749" i="29"/>
  <c r="Q749" i="29"/>
  <c r="X183" i="29"/>
  <c r="Q183" i="29"/>
  <c r="X171" i="29"/>
  <c r="Q171" i="29"/>
  <c r="X708" i="29"/>
  <c r="Q708" i="29"/>
  <c r="X704" i="29"/>
  <c r="Q704" i="29"/>
  <c r="X700" i="29"/>
  <c r="Q700" i="29"/>
  <c r="X696" i="29"/>
  <c r="Q696" i="29"/>
  <c r="X692" i="29"/>
  <c r="Q692" i="29"/>
  <c r="X688" i="29"/>
  <c r="Q688" i="29"/>
  <c r="X684" i="29"/>
  <c r="Q684" i="29"/>
  <c r="X679" i="29"/>
  <c r="Q679" i="29"/>
  <c r="X630" i="29"/>
  <c r="Q630" i="29"/>
  <c r="X626" i="29"/>
  <c r="Q626" i="29"/>
  <c r="X116" i="29"/>
  <c r="Q116" i="29"/>
  <c r="X144" i="29"/>
  <c r="Q144" i="29"/>
  <c r="X110" i="29"/>
  <c r="Q110" i="29"/>
  <c r="Q282" i="29"/>
  <c r="Q280" i="29"/>
  <c r="Q278" i="29"/>
  <c r="Q283" i="29"/>
  <c r="Q812" i="29"/>
  <c r="F39" i="28"/>
  <c r="G76" i="27"/>
  <c r="P69" i="31"/>
  <c r="E16" i="27"/>
  <c r="G16" i="27" s="1"/>
  <c r="F16" i="28" s="1"/>
  <c r="G16" i="28" s="1"/>
  <c r="G7" i="27"/>
  <c r="E37" i="27"/>
  <c r="E78" i="27" s="1"/>
  <c r="L45" i="52"/>
  <c r="H54" i="8"/>
  <c r="G54" i="8"/>
  <c r="F20" i="52" l="1"/>
  <c r="F18" i="2"/>
  <c r="Q77" i="12"/>
  <c r="U77" i="12" s="1"/>
  <c r="V77" i="12" s="1"/>
  <c r="Q76" i="12"/>
  <c r="S46" i="12"/>
  <c r="J20" i="2" s="1"/>
  <c r="L20" i="52"/>
  <c r="D23" i="2"/>
  <c r="D25" i="2" s="1"/>
  <c r="D29" i="2" s="1"/>
  <c r="L22" i="52"/>
  <c r="L32" i="52" s="1"/>
  <c r="O67" i="12"/>
  <c r="D22" i="52"/>
  <c r="D32" i="52" s="1"/>
  <c r="D34" i="52" s="1"/>
  <c r="D52" i="52" s="1"/>
  <c r="X777" i="29"/>
  <c r="X712" i="29"/>
  <c r="X788" i="29"/>
  <c r="Q710" i="29"/>
  <c r="Q789" i="29"/>
  <c r="X786" i="29"/>
  <c r="X713" i="29"/>
  <c r="Q780" i="29"/>
  <c r="Q779" i="29"/>
  <c r="S37" i="40"/>
  <c r="T37" i="40"/>
  <c r="U37" i="40" s="1"/>
  <c r="V37" i="40" s="1"/>
  <c r="W37" i="40" s="1"/>
  <c r="Q787" i="29"/>
  <c r="S48" i="40"/>
  <c r="T48" i="40"/>
  <c r="S23" i="40"/>
  <c r="T23" i="40"/>
  <c r="M16" i="40"/>
  <c r="K51" i="40"/>
  <c r="S31" i="40"/>
  <c r="T31" i="40"/>
  <c r="U31" i="40" s="1"/>
  <c r="V31" i="40" s="1"/>
  <c r="W31" i="40" s="1"/>
  <c r="S43" i="40"/>
  <c r="T43" i="40"/>
  <c r="S24" i="40"/>
  <c r="T24" i="40"/>
  <c r="S38" i="40"/>
  <c r="T38" i="40"/>
  <c r="S32" i="40"/>
  <c r="T32" i="40"/>
  <c r="S27" i="40"/>
  <c r="T27" i="40"/>
  <c r="M68" i="40"/>
  <c r="M83" i="40" s="1"/>
  <c r="K83" i="40"/>
  <c r="G65" i="8"/>
  <c r="H65" i="8" s="1"/>
  <c r="I65" i="8" s="1"/>
  <c r="L42" i="40"/>
  <c r="L44" i="40"/>
  <c r="S44" i="40" s="1"/>
  <c r="U44" i="40" s="1"/>
  <c r="V44" i="40" s="1"/>
  <c r="W44" i="40" s="1"/>
  <c r="W19" i="40"/>
  <c r="L80" i="40"/>
  <c r="L47" i="40"/>
  <c r="L68" i="40"/>
  <c r="W29" i="40"/>
  <c r="L21" i="40"/>
  <c r="L20" i="40"/>
  <c r="S20" i="40" s="1"/>
  <c r="U20" i="40" s="1"/>
  <c r="V20" i="40" s="1"/>
  <c r="L41" i="40"/>
  <c r="S46" i="40"/>
  <c r="T46" i="40"/>
  <c r="J84" i="40"/>
  <c r="S18" i="40"/>
  <c r="T18" i="40"/>
  <c r="B79" i="8"/>
  <c r="F79" i="8" s="1"/>
  <c r="G79" i="8" s="1"/>
  <c r="L25" i="40"/>
  <c r="L16" i="40"/>
  <c r="L26" i="40"/>
  <c r="L36" i="40"/>
  <c r="S36" i="40" s="1"/>
  <c r="U36" i="40" s="1"/>
  <c r="V36" i="40" s="1"/>
  <c r="W36" i="40" s="1"/>
  <c r="L22" i="40"/>
  <c r="L40" i="40"/>
  <c r="L17" i="40"/>
  <c r="S17" i="40" s="1"/>
  <c r="U17" i="40" s="1"/>
  <c r="V17" i="40" s="1"/>
  <c r="W17" i="40" s="1"/>
  <c r="L50" i="40"/>
  <c r="S50" i="40" s="1"/>
  <c r="U50" i="40" s="1"/>
  <c r="V50" i="40" s="1"/>
  <c r="W50" i="40" s="1"/>
  <c r="L28" i="40"/>
  <c r="L35" i="40"/>
  <c r="L49" i="40"/>
  <c r="L34" i="40"/>
  <c r="S34" i="40" s="1"/>
  <c r="U34" i="40" s="1"/>
  <c r="V34" i="40" s="1"/>
  <c r="W34" i="40" s="1"/>
  <c r="W20" i="40"/>
  <c r="X775" i="29"/>
  <c r="H50" i="26"/>
  <c r="Q778" i="29"/>
  <c r="Q783" i="29"/>
  <c r="Q782" i="29"/>
  <c r="I11" i="26"/>
  <c r="I12" i="26" s="1"/>
  <c r="I13" i="26" s="1"/>
  <c r="I14" i="26" s="1"/>
  <c r="I15" i="26" s="1"/>
  <c r="I16" i="26" s="1"/>
  <c r="I17" i="26" s="1"/>
  <c r="I18" i="26" s="1"/>
  <c r="I19" i="26" s="1"/>
  <c r="I20" i="26" s="1"/>
  <c r="I21" i="26" s="1"/>
  <c r="I22" i="26" s="1"/>
  <c r="I23" i="26" s="1"/>
  <c r="I24" i="26" s="1"/>
  <c r="I25" i="26" s="1"/>
  <c r="I26" i="26" s="1"/>
  <c r="I27" i="26" s="1"/>
  <c r="I28" i="26" s="1"/>
  <c r="I29" i="26" s="1"/>
  <c r="I30" i="26" s="1"/>
  <c r="I31" i="26" s="1"/>
  <c r="I32" i="26" s="1"/>
  <c r="I33" i="26" s="1"/>
  <c r="I34" i="26" s="1"/>
  <c r="I35" i="26" s="1"/>
  <c r="I36" i="26" s="1"/>
  <c r="I37" i="26" s="1"/>
  <c r="I38" i="26" s="1"/>
  <c r="I39" i="26" s="1"/>
  <c r="I40" i="26" s="1"/>
  <c r="I41" i="26" s="1"/>
  <c r="I42" i="26" s="1"/>
  <c r="I43" i="26" s="1"/>
  <c r="I44" i="26" s="1"/>
  <c r="I45" i="26" s="1"/>
  <c r="Q785" i="29"/>
  <c r="Q784" i="29"/>
  <c r="X714" i="29"/>
  <c r="S34" i="12"/>
  <c r="R34" i="12"/>
  <c r="T34" i="12" s="1"/>
  <c r="V34" i="12" s="1"/>
  <c r="X731" i="29"/>
  <c r="X769" i="29"/>
  <c r="X773" i="29"/>
  <c r="X741" i="29"/>
  <c r="X771" i="29"/>
  <c r="X734" i="29"/>
  <c r="X770" i="29"/>
  <c r="X738" i="29"/>
  <c r="R33" i="12"/>
  <c r="T33" i="12" s="1"/>
  <c r="V33" i="12" s="1"/>
  <c r="S33" i="12"/>
  <c r="X721" i="29"/>
  <c r="X765" i="29"/>
  <c r="X736" i="29"/>
  <c r="X727" i="29"/>
  <c r="X767" i="29"/>
  <c r="X719" i="29"/>
  <c r="X733" i="29"/>
  <c r="X774" i="29"/>
  <c r="X703" i="29"/>
  <c r="J28" i="52"/>
  <c r="X728" i="29"/>
  <c r="X768" i="29"/>
  <c r="X207" i="29"/>
  <c r="X763" i="29"/>
  <c r="X726" i="29"/>
  <c r="X766" i="29"/>
  <c r="X737" i="29"/>
  <c r="X720" i="29"/>
  <c r="X764" i="29"/>
  <c r="X739" i="29"/>
  <c r="X762" i="29"/>
  <c r="S65" i="12"/>
  <c r="S67" i="12" s="1"/>
  <c r="J21" i="2" s="1"/>
  <c r="J47" i="52"/>
  <c r="J39" i="52"/>
  <c r="J46" i="52"/>
  <c r="J38" i="52"/>
  <c r="Z986" i="29"/>
  <c r="L43" i="52"/>
  <c r="F18" i="52"/>
  <c r="J25" i="52"/>
  <c r="T981" i="29"/>
  <c r="F45" i="52"/>
  <c r="R14" i="12"/>
  <c r="T14" i="12" s="1"/>
  <c r="V14" i="12" s="1"/>
  <c r="S14" i="12"/>
  <c r="X800" i="29"/>
  <c r="N87" i="12"/>
  <c r="P796" i="29"/>
  <c r="P801" i="29"/>
  <c r="D67" i="8"/>
  <c r="F67" i="8"/>
  <c r="G67" i="8" s="1"/>
  <c r="H91" i="8"/>
  <c r="I91" i="8" s="1"/>
  <c r="N31" i="18"/>
  <c r="M32" i="18"/>
  <c r="F41" i="52"/>
  <c r="G121" i="39"/>
  <c r="E120" i="39"/>
  <c r="L41" i="52"/>
  <c r="Z981" i="29"/>
  <c r="V982" i="29"/>
  <c r="D77" i="8"/>
  <c r="F77" i="8"/>
  <c r="Z976" i="29"/>
  <c r="D87" i="8"/>
  <c r="F87" i="8"/>
  <c r="G87" i="8"/>
  <c r="D79" i="8"/>
  <c r="D63" i="8"/>
  <c r="F63" i="8"/>
  <c r="G63" i="8"/>
  <c r="D85" i="8"/>
  <c r="F85" i="8"/>
  <c r="G85" i="8" s="1"/>
  <c r="J27" i="2"/>
  <c r="X970" i="29"/>
  <c r="V977" i="29"/>
  <c r="X972" i="29"/>
  <c r="V983" i="29"/>
  <c r="X986" i="29"/>
  <c r="L49" i="52"/>
  <c r="N49" i="52" s="1"/>
  <c r="M983" i="29"/>
  <c r="J41" i="52"/>
  <c r="L85" i="12"/>
  <c r="P978" i="29"/>
  <c r="X980" i="29"/>
  <c r="X984" i="29"/>
  <c r="D83" i="8"/>
  <c r="F83" i="8"/>
  <c r="G89" i="8"/>
  <c r="H89" i="8" s="1"/>
  <c r="I89" i="8" s="1"/>
  <c r="I24" i="27"/>
  <c r="I25" i="27" s="1"/>
  <c r="F7" i="28"/>
  <c r="G37" i="27"/>
  <c r="G78" i="27" s="1"/>
  <c r="G39" i="28"/>
  <c r="G75" i="28" s="1"/>
  <c r="F75" i="28"/>
  <c r="X812" i="29"/>
  <c r="X780" i="29"/>
  <c r="X799" i="29"/>
  <c r="X802" i="29"/>
  <c r="X808" i="29"/>
  <c r="X823" i="29"/>
  <c r="V973" i="29"/>
  <c r="X976" i="29"/>
  <c r="X979" i="29"/>
  <c r="X985" i="29"/>
  <c r="D69" i="8"/>
  <c r="F69" i="8"/>
  <c r="X981" i="29"/>
  <c r="D81" i="8"/>
  <c r="F81" i="8"/>
  <c r="D73" i="8"/>
  <c r="F73" i="8"/>
  <c r="G73" i="8"/>
  <c r="D75" i="8"/>
  <c r="F75" i="8"/>
  <c r="H27" i="2"/>
  <c r="V970" i="29"/>
  <c r="X624" i="29"/>
  <c r="X791" i="29"/>
  <c r="X226" i="29"/>
  <c r="X710" i="29"/>
  <c r="X977" i="29"/>
  <c r="V972" i="29"/>
  <c r="X983" i="29"/>
  <c r="X275" i="29"/>
  <c r="X975" i="29"/>
  <c r="D71" i="8"/>
  <c r="F71" i="8"/>
  <c r="G65" i="43"/>
  <c r="G66" i="43" s="1"/>
  <c r="F21" i="2" l="1"/>
  <c r="O76" i="12"/>
  <c r="S35" i="12"/>
  <c r="J18" i="2" s="1"/>
  <c r="L24" i="2"/>
  <c r="N24" i="2"/>
  <c r="N107" i="12"/>
  <c r="N109" i="12"/>
  <c r="F29" i="52"/>
  <c r="U18" i="40"/>
  <c r="V18" i="40" s="1"/>
  <c r="W18" i="40" s="1"/>
  <c r="S47" i="40"/>
  <c r="T47" i="40"/>
  <c r="S42" i="40"/>
  <c r="T42" i="40"/>
  <c r="U42" i="40" s="1"/>
  <c r="V42" i="40" s="1"/>
  <c r="W42" i="40" s="1"/>
  <c r="U27" i="40"/>
  <c r="V27" i="40" s="1"/>
  <c r="W27" i="40" s="1"/>
  <c r="U38" i="40"/>
  <c r="V38" i="40" s="1"/>
  <c r="W38" i="40" s="1"/>
  <c r="U23" i="40"/>
  <c r="V23" i="40" s="1"/>
  <c r="W23" i="40" s="1"/>
  <c r="G83" i="8"/>
  <c r="G77" i="8"/>
  <c r="S21" i="40"/>
  <c r="T21" i="40"/>
  <c r="T51" i="40" s="1"/>
  <c r="T80" i="40"/>
  <c r="S80" i="40"/>
  <c r="K84" i="40"/>
  <c r="S35" i="40"/>
  <c r="T35" i="40"/>
  <c r="S40" i="40"/>
  <c r="T40" i="40"/>
  <c r="U40" i="40" s="1"/>
  <c r="V40" i="40" s="1"/>
  <c r="W40" i="40" s="1"/>
  <c r="S16" i="40"/>
  <c r="L51" i="40"/>
  <c r="L84" i="40" s="1"/>
  <c r="S41" i="40"/>
  <c r="T41" i="40"/>
  <c r="T68" i="40"/>
  <c r="S68" i="40"/>
  <c r="L83" i="40"/>
  <c r="S28" i="40"/>
  <c r="T28" i="40"/>
  <c r="S22" i="40"/>
  <c r="U22" i="40" s="1"/>
  <c r="V22" i="40" s="1"/>
  <c r="W22" i="40" s="1"/>
  <c r="T22" i="40"/>
  <c r="S25" i="40"/>
  <c r="T25" i="40"/>
  <c r="U43" i="40"/>
  <c r="V43" i="40" s="1"/>
  <c r="W43" i="40" s="1"/>
  <c r="G75" i="8"/>
  <c r="H75" i="8" s="1"/>
  <c r="B101" i="8"/>
  <c r="T49" i="40"/>
  <c r="S49" i="40"/>
  <c r="U49" i="40" s="1"/>
  <c r="V49" i="40" s="1"/>
  <c r="W49" i="40" s="1"/>
  <c r="S26" i="40"/>
  <c r="T26" i="40"/>
  <c r="U46" i="40"/>
  <c r="V46" i="40" s="1"/>
  <c r="W46" i="40" s="1"/>
  <c r="U32" i="40"/>
  <c r="V32" i="40" s="1"/>
  <c r="W32" i="40" s="1"/>
  <c r="U24" i="40"/>
  <c r="V24" i="40" s="1"/>
  <c r="W24" i="40" s="1"/>
  <c r="M51" i="40"/>
  <c r="M84" i="40" s="1"/>
  <c r="M93" i="40" s="1"/>
  <c r="R106" i="40" s="1"/>
  <c r="U48" i="40"/>
  <c r="V48" i="40" s="1"/>
  <c r="W48" i="40" s="1"/>
  <c r="F22" i="52"/>
  <c r="J21" i="52"/>
  <c r="J29" i="52"/>
  <c r="J26" i="52"/>
  <c r="J27" i="52"/>
  <c r="J51" i="52"/>
  <c r="J53" i="52"/>
  <c r="L34" i="52"/>
  <c r="J23" i="52"/>
  <c r="J24" i="52"/>
  <c r="F51" i="52"/>
  <c r="Z1042" i="29"/>
  <c r="G71" i="8"/>
  <c r="H71" i="8" s="1"/>
  <c r="I71" i="8" s="1"/>
  <c r="G69" i="8"/>
  <c r="H79" i="8"/>
  <c r="I79" i="8" s="1"/>
  <c r="H77" i="8"/>
  <c r="I77" i="8" s="1"/>
  <c r="H67" i="8"/>
  <c r="I67" i="8" s="1"/>
  <c r="N32" i="18"/>
  <c r="M33" i="18"/>
  <c r="H73" i="8"/>
  <c r="H63" i="8"/>
  <c r="I63" i="8" s="1"/>
  <c r="H87" i="8"/>
  <c r="I87" i="8" s="1"/>
  <c r="I75" i="8"/>
  <c r="I73" i="8"/>
  <c r="R16" i="12"/>
  <c r="T16" i="12" s="1"/>
  <c r="V16" i="12" s="1"/>
  <c r="R19" i="12"/>
  <c r="T19" i="12" s="1"/>
  <c r="V19" i="12" s="1"/>
  <c r="R21" i="12"/>
  <c r="T21" i="12" s="1"/>
  <c r="V21" i="12" s="1"/>
  <c r="R23" i="12"/>
  <c r="T23" i="12" s="1"/>
  <c r="V23" i="12" s="1"/>
  <c r="R25" i="12"/>
  <c r="T25" i="12" s="1"/>
  <c r="V25" i="12" s="1"/>
  <c r="R28" i="12"/>
  <c r="T28" i="12" s="1"/>
  <c r="V28" i="12" s="1"/>
  <c r="R29" i="12"/>
  <c r="T29" i="12" s="1"/>
  <c r="V29" i="12" s="1"/>
  <c r="R13" i="12"/>
  <c r="R15" i="12"/>
  <c r="T15" i="12" s="1"/>
  <c r="V15" i="12" s="1"/>
  <c r="R17" i="12"/>
  <c r="T17" i="12" s="1"/>
  <c r="V17" i="12" s="1"/>
  <c r="R18" i="12"/>
  <c r="T18" i="12" s="1"/>
  <c r="V18" i="12" s="1"/>
  <c r="R20" i="12"/>
  <c r="T20" i="12" s="1"/>
  <c r="V20" i="12" s="1"/>
  <c r="R22" i="12"/>
  <c r="T22" i="12" s="1"/>
  <c r="V22" i="12" s="1"/>
  <c r="R24" i="12"/>
  <c r="T24" i="12" s="1"/>
  <c r="V24" i="12" s="1"/>
  <c r="R26" i="12"/>
  <c r="T26" i="12" s="1"/>
  <c r="V26" i="12" s="1"/>
  <c r="R27" i="12"/>
  <c r="T27" i="12" s="1"/>
  <c r="V27" i="12" s="1"/>
  <c r="L71" i="12"/>
  <c r="S72" i="12"/>
  <c r="R51" i="12"/>
  <c r="T51" i="12" s="1"/>
  <c r="V51" i="12" s="1"/>
  <c r="R52" i="12"/>
  <c r="R54" i="12"/>
  <c r="R55" i="12"/>
  <c r="R57" i="12"/>
  <c r="R58" i="12"/>
  <c r="R60" i="12"/>
  <c r="R56" i="12"/>
  <c r="R61" i="12"/>
  <c r="R65" i="12"/>
  <c r="R50" i="12"/>
  <c r="R53" i="12"/>
  <c r="R59" i="12"/>
  <c r="R62" i="12"/>
  <c r="R63" i="12"/>
  <c r="R64" i="12"/>
  <c r="Y972" i="29"/>
  <c r="Y973" i="29"/>
  <c r="G7" i="28"/>
  <c r="G36" i="28" s="1"/>
  <c r="G77" i="28" s="1"/>
  <c r="F36" i="28"/>
  <c r="F77" i="28" s="1"/>
  <c r="AB983" i="29"/>
  <c r="Y983" i="29"/>
  <c r="O694" i="29"/>
  <c r="O693" i="29"/>
  <c r="T978" i="29"/>
  <c r="T997" i="29" s="1"/>
  <c r="O85" i="12"/>
  <c r="G81" i="8"/>
  <c r="H81" i="8" s="1"/>
  <c r="I81" i="8" s="1"/>
  <c r="H69" i="8"/>
  <c r="I69" i="8" s="1"/>
  <c r="H83" i="8"/>
  <c r="I83" i="8" s="1"/>
  <c r="H85" i="8"/>
  <c r="I85" i="8" s="1"/>
  <c r="Y970" i="29"/>
  <c r="X978" i="29"/>
  <c r="Z983" i="29"/>
  <c r="Y977" i="29"/>
  <c r="Y982" i="29"/>
  <c r="Z978" i="29"/>
  <c r="O692" i="29"/>
  <c r="S85" i="12"/>
  <c r="S71" i="12" l="1"/>
  <c r="R71" i="12"/>
  <c r="F32" i="52"/>
  <c r="F34" i="52" s="1"/>
  <c r="F52" i="52" s="1"/>
  <c r="J31" i="52"/>
  <c r="N33" i="52"/>
  <c r="O79" i="12"/>
  <c r="F23" i="2"/>
  <c r="F25" i="2" s="1"/>
  <c r="F29" i="2" s="1"/>
  <c r="M118" i="40"/>
  <c r="L106" i="40"/>
  <c r="U68" i="40"/>
  <c r="S83" i="40"/>
  <c r="T83" i="40"/>
  <c r="T84" i="40" s="1"/>
  <c r="U35" i="40"/>
  <c r="V35" i="40" s="1"/>
  <c r="W35" i="40" s="1"/>
  <c r="U25" i="40"/>
  <c r="V25" i="40" s="1"/>
  <c r="W25" i="40" s="1"/>
  <c r="U28" i="40"/>
  <c r="V28" i="40" s="1"/>
  <c r="W28" i="40" s="1"/>
  <c r="U21" i="40"/>
  <c r="V21" i="40" s="1"/>
  <c r="W21" i="40" s="1"/>
  <c r="M117" i="40"/>
  <c r="O117" i="40" s="1"/>
  <c r="L93" i="40"/>
  <c r="I106" i="40" s="1"/>
  <c r="J106" i="40" s="1"/>
  <c r="U16" i="40"/>
  <c r="S51" i="40"/>
  <c r="S84" i="40" s="1"/>
  <c r="U47" i="40"/>
  <c r="V47" i="40" s="1"/>
  <c r="W47" i="40" s="1"/>
  <c r="U26" i="40"/>
  <c r="V26" i="40" s="1"/>
  <c r="W26" i="40" s="1"/>
  <c r="U41" i="40"/>
  <c r="V41" i="40" s="1"/>
  <c r="W41" i="40" s="1"/>
  <c r="U80" i="40"/>
  <c r="V80" i="40" s="1"/>
  <c r="W80" i="40" s="1"/>
  <c r="J22" i="52"/>
  <c r="H26" i="52"/>
  <c r="N26" i="52" s="1"/>
  <c r="J18" i="52"/>
  <c r="J20" i="52"/>
  <c r="S73" i="12"/>
  <c r="S76" i="12" s="1"/>
  <c r="AB1042" i="29"/>
  <c r="N33" i="18"/>
  <c r="M34" i="18"/>
  <c r="L36" i="52"/>
  <c r="N36" i="52" s="1"/>
  <c r="M972" i="29"/>
  <c r="L37" i="52"/>
  <c r="N37" i="52" s="1"/>
  <c r="M973" i="29"/>
  <c r="O708" i="29"/>
  <c r="O689" i="29"/>
  <c r="R45" i="12"/>
  <c r="R46" i="12" s="1"/>
  <c r="H20" i="2" s="1"/>
  <c r="O808" i="29"/>
  <c r="V940" i="29"/>
  <c r="AB940" i="29"/>
  <c r="V936" i="29"/>
  <c r="V931" i="29"/>
  <c r="AB931" i="29"/>
  <c r="V927" i="29"/>
  <c r="T63" i="12"/>
  <c r="V63" i="12" s="1"/>
  <c r="AB927" i="29" s="1"/>
  <c r="V923" i="29"/>
  <c r="T62" i="12"/>
  <c r="V62" i="12" s="1"/>
  <c r="AB923" i="29" s="1"/>
  <c r="V917" i="29"/>
  <c r="AB917" i="29"/>
  <c r="V905" i="29"/>
  <c r="AB905" i="29"/>
  <c r="V894" i="29"/>
  <c r="AB894" i="29"/>
  <c r="AB892" i="29"/>
  <c r="V892" i="29"/>
  <c r="T65" i="12"/>
  <c r="V65" i="12" s="1"/>
  <c r="AB941" i="29" s="1"/>
  <c r="V941" i="29"/>
  <c r="AB937" i="29"/>
  <c r="V937" i="29"/>
  <c r="AB932" i="29"/>
  <c r="V932" i="29"/>
  <c r="AB928" i="29"/>
  <c r="V928" i="29"/>
  <c r="AB924" i="29"/>
  <c r="V924" i="29"/>
  <c r="V919" i="29"/>
  <c r="AB919" i="29"/>
  <c r="V909" i="29"/>
  <c r="AB909" i="29"/>
  <c r="V896" i="29"/>
  <c r="T56" i="12"/>
  <c r="V56" i="12" s="1"/>
  <c r="AB896" i="29" s="1"/>
  <c r="AB882" i="29"/>
  <c r="V882" i="29"/>
  <c r="AB872" i="29"/>
  <c r="V872" i="29"/>
  <c r="AB955" i="29"/>
  <c r="V955" i="29"/>
  <c r="V942" i="29"/>
  <c r="AB918" i="29"/>
  <c r="V918" i="29"/>
  <c r="T60" i="12"/>
  <c r="V60" i="12" s="1"/>
  <c r="AB914" i="29" s="1"/>
  <c r="V914" i="29"/>
  <c r="AB906" i="29"/>
  <c r="V906" i="29"/>
  <c r="T57" i="12"/>
  <c r="V57" i="12" s="1"/>
  <c r="AB901" i="29" s="1"/>
  <c r="V901" i="29"/>
  <c r="T55" i="12"/>
  <c r="V55" i="12" s="1"/>
  <c r="AB895" i="29" s="1"/>
  <c r="V895" i="29"/>
  <c r="V272" i="29"/>
  <c r="AB272" i="29"/>
  <c r="V265" i="29"/>
  <c r="T52" i="12"/>
  <c r="V52" i="12" s="1"/>
  <c r="AB265" i="29" s="1"/>
  <c r="V889" i="29"/>
  <c r="AB889" i="29"/>
  <c r="V884" i="29"/>
  <c r="AB884" i="29"/>
  <c r="V880" i="29"/>
  <c r="AB880" i="29"/>
  <c r="V877" i="29"/>
  <c r="AB877" i="29"/>
  <c r="H28" i="52"/>
  <c r="V870" i="29"/>
  <c r="V950" i="29"/>
  <c r="AB950" i="29"/>
  <c r="AB943" i="29"/>
  <c r="V943" i="29"/>
  <c r="O281" i="29"/>
  <c r="O279" i="29"/>
  <c r="O276" i="29"/>
  <c r="O631" i="29"/>
  <c r="O628" i="29"/>
  <c r="O624" i="29"/>
  <c r="T13" i="12"/>
  <c r="O627" i="29"/>
  <c r="O183" i="29"/>
  <c r="O171" i="29"/>
  <c r="O187" i="29"/>
  <c r="O163" i="29"/>
  <c r="O690" i="29"/>
  <c r="I100" i="8"/>
  <c r="V692" i="29"/>
  <c r="V693" i="29"/>
  <c r="V694" i="29"/>
  <c r="O154" i="29"/>
  <c r="O679" i="29"/>
  <c r="O809" i="29"/>
  <c r="O275" i="29"/>
  <c r="N275" i="29"/>
  <c r="V938" i="29"/>
  <c r="AB938" i="29"/>
  <c r="V934" i="29"/>
  <c r="AB934" i="29"/>
  <c r="V929" i="29"/>
  <c r="T64" i="12"/>
  <c r="V64" i="12" s="1"/>
  <c r="AB929" i="29" s="1"/>
  <c r="V925" i="29"/>
  <c r="AB925" i="29"/>
  <c r="V921" i="29"/>
  <c r="AB921" i="29"/>
  <c r="V913" i="29"/>
  <c r="T59" i="12"/>
  <c r="V59" i="12" s="1"/>
  <c r="AB913" i="29" s="1"/>
  <c r="V900" i="29"/>
  <c r="AB900" i="29"/>
  <c r="T53" i="12"/>
  <c r="V53" i="12" s="1"/>
  <c r="AB269" i="29" s="1"/>
  <c r="V269" i="29"/>
  <c r="T50" i="12"/>
  <c r="V50" i="12" s="1"/>
  <c r="AB885" i="29" s="1"/>
  <c r="V885" i="29"/>
  <c r="AB939" i="29"/>
  <c r="V939" i="29"/>
  <c r="AB935" i="29"/>
  <c r="V935" i="29"/>
  <c r="AB930" i="29"/>
  <c r="V930" i="29"/>
  <c r="AB926" i="29"/>
  <c r="V926" i="29"/>
  <c r="AB922" i="29"/>
  <c r="V922" i="29"/>
  <c r="V915" i="29"/>
  <c r="T61" i="12"/>
  <c r="V61" i="12" s="1"/>
  <c r="AB915" i="29" s="1"/>
  <c r="V903" i="29"/>
  <c r="AB903" i="29"/>
  <c r="AB271" i="29"/>
  <c r="V271" i="29"/>
  <c r="AB878" i="29"/>
  <c r="V878" i="29"/>
  <c r="AB947" i="29"/>
  <c r="V947" i="29"/>
  <c r="AB920" i="29"/>
  <c r="V920" i="29"/>
  <c r="AB916" i="29"/>
  <c r="V916" i="29"/>
  <c r="T58" i="12"/>
  <c r="V58" i="12" s="1"/>
  <c r="AB912" i="29" s="1"/>
  <c r="V912" i="29"/>
  <c r="AB904" i="29"/>
  <c r="V904" i="29"/>
  <c r="AB899" i="29"/>
  <c r="V899" i="29"/>
  <c r="R67" i="12"/>
  <c r="H29" i="52" s="1"/>
  <c r="T54" i="12"/>
  <c r="V893" i="29"/>
  <c r="V270" i="29"/>
  <c r="AB270" i="29"/>
  <c r="V888" i="29"/>
  <c r="AB888" i="29"/>
  <c r="V881" i="29"/>
  <c r="AB881" i="29"/>
  <c r="V879" i="29"/>
  <c r="AB879" i="29"/>
  <c r="V871" i="29"/>
  <c r="AB871" i="29"/>
  <c r="V952" i="29"/>
  <c r="AB952" i="29"/>
  <c r="V948" i="29"/>
  <c r="AB948" i="29"/>
  <c r="O282" i="29"/>
  <c r="O280" i="29"/>
  <c r="O278" i="29"/>
  <c r="O283" i="29"/>
  <c r="O630" i="29"/>
  <c r="O626" i="29"/>
  <c r="O774" i="29"/>
  <c r="O629" i="29"/>
  <c r="O625" i="29"/>
  <c r="O192" i="29"/>
  <c r="O180" i="29"/>
  <c r="O194" i="29"/>
  <c r="O179" i="29"/>
  <c r="O709" i="29"/>
  <c r="O92" i="8"/>
  <c r="I10" i="41" s="1"/>
  <c r="T71" i="12" l="1"/>
  <c r="R73" i="12"/>
  <c r="H18" i="52"/>
  <c r="O87" i="12"/>
  <c r="V16" i="40"/>
  <c r="U51" i="40"/>
  <c r="O118" i="40"/>
  <c r="O119" i="40"/>
  <c r="V68" i="40"/>
  <c r="U83" i="40"/>
  <c r="H31" i="52"/>
  <c r="N31" i="52" s="1"/>
  <c r="H21" i="2"/>
  <c r="N21" i="2" s="1"/>
  <c r="N29" i="52"/>
  <c r="N28" i="52"/>
  <c r="J30" i="52"/>
  <c r="J32" i="52" s="1"/>
  <c r="J34" i="52" s="1"/>
  <c r="J52" i="52" s="1"/>
  <c r="J64" i="52" s="1"/>
  <c r="J67" i="52" s="1"/>
  <c r="D76" i="52" s="1"/>
  <c r="I172" i="41"/>
  <c r="L172" i="41" s="1"/>
  <c r="M172" i="41" s="1"/>
  <c r="I171" i="41"/>
  <c r="L171" i="41" s="1"/>
  <c r="M171" i="41" s="1"/>
  <c r="I170" i="41"/>
  <c r="L170" i="41" s="1"/>
  <c r="M170" i="41" s="1"/>
  <c r="I168" i="41"/>
  <c r="L168" i="41" s="1"/>
  <c r="I166" i="41"/>
  <c r="L166" i="41" s="1"/>
  <c r="M166" i="41" s="1"/>
  <c r="I164" i="41"/>
  <c r="L164" i="41" s="1"/>
  <c r="I159" i="41"/>
  <c r="L159" i="41" s="1"/>
  <c r="M159" i="41" s="1"/>
  <c r="I156" i="41"/>
  <c r="L156" i="41" s="1"/>
  <c r="I154" i="41"/>
  <c r="L154" i="41" s="1"/>
  <c r="M154" i="41" s="1"/>
  <c r="I148" i="41"/>
  <c r="L148" i="41" s="1"/>
  <c r="M148" i="41" s="1"/>
  <c r="I146" i="41"/>
  <c r="L146" i="41" s="1"/>
  <c r="M146" i="41" s="1"/>
  <c r="I145" i="41"/>
  <c r="L145" i="41" s="1"/>
  <c r="I144" i="41"/>
  <c r="L144" i="41" s="1"/>
  <c r="M144" i="41" s="1"/>
  <c r="I143" i="41"/>
  <c r="L143" i="41" s="1"/>
  <c r="M143" i="41" s="1"/>
  <c r="I142" i="41"/>
  <c r="L142" i="41" s="1"/>
  <c r="M142" i="41" s="1"/>
  <c r="I141" i="41"/>
  <c r="L141" i="41" s="1"/>
  <c r="I135" i="41"/>
  <c r="L135" i="41" s="1"/>
  <c r="M135" i="41" s="1"/>
  <c r="I134" i="41"/>
  <c r="L134" i="41" s="1"/>
  <c r="I124" i="41"/>
  <c r="L124" i="41" s="1"/>
  <c r="M124" i="41" s="1"/>
  <c r="I120" i="41"/>
  <c r="L120" i="41" s="1"/>
  <c r="I119" i="41"/>
  <c r="L119" i="41" s="1"/>
  <c r="I112" i="41"/>
  <c r="L112" i="41" s="1"/>
  <c r="I110" i="41"/>
  <c r="L110" i="41" s="1"/>
  <c r="I109" i="41"/>
  <c r="L109" i="41" s="1"/>
  <c r="I107" i="41"/>
  <c r="L107" i="41" s="1"/>
  <c r="M107" i="41" s="1"/>
  <c r="I106" i="41"/>
  <c r="L106" i="41" s="1"/>
  <c r="I105" i="41"/>
  <c r="L105" i="41" s="1"/>
  <c r="I101" i="41"/>
  <c r="L101" i="41" s="1"/>
  <c r="I100" i="41"/>
  <c r="L100" i="41" s="1"/>
  <c r="M100" i="41" s="1"/>
  <c r="I99" i="41"/>
  <c r="L99" i="41" s="1"/>
  <c r="I98" i="41"/>
  <c r="L98" i="41" s="1"/>
  <c r="M98" i="41" s="1"/>
  <c r="I97" i="41"/>
  <c r="L97" i="41" s="1"/>
  <c r="I90" i="41"/>
  <c r="L90" i="41" s="1"/>
  <c r="M90" i="41" s="1"/>
  <c r="I89" i="41"/>
  <c r="L89" i="41" s="1"/>
  <c r="M89" i="41" s="1"/>
  <c r="I88" i="41"/>
  <c r="L88" i="41" s="1"/>
  <c r="M88" i="41" s="1"/>
  <c r="I85" i="41"/>
  <c r="L85" i="41" s="1"/>
  <c r="I84" i="41"/>
  <c r="L84" i="41" s="1"/>
  <c r="M84" i="41" s="1"/>
  <c r="I83" i="41"/>
  <c r="L83" i="41" s="1"/>
  <c r="M83" i="41" s="1"/>
  <c r="I82" i="41"/>
  <c r="L82" i="41" s="1"/>
  <c r="I76" i="41"/>
  <c r="L76" i="41" s="1"/>
  <c r="I69" i="41"/>
  <c r="L69" i="41" s="1"/>
  <c r="M69" i="41" s="1"/>
  <c r="I67" i="41"/>
  <c r="L67" i="41" s="1"/>
  <c r="I64" i="41"/>
  <c r="L64" i="41" s="1"/>
  <c r="M64" i="41" s="1"/>
  <c r="I62" i="41"/>
  <c r="L62" i="41" s="1"/>
  <c r="I59" i="41"/>
  <c r="L59" i="41" s="1"/>
  <c r="M59" i="41" s="1"/>
  <c r="I58" i="41"/>
  <c r="L58" i="41" s="1"/>
  <c r="I56" i="41"/>
  <c r="L56" i="41" s="1"/>
  <c r="I54" i="41"/>
  <c r="L54" i="41" s="1"/>
  <c r="I51" i="41"/>
  <c r="L51" i="41" s="1"/>
  <c r="I48" i="41"/>
  <c r="L48" i="41" s="1"/>
  <c r="M48" i="41" s="1"/>
  <c r="I46" i="41"/>
  <c r="L46" i="41" s="1"/>
  <c r="M46" i="41" s="1"/>
  <c r="I36" i="41"/>
  <c r="L36" i="41" s="1"/>
  <c r="I30" i="41"/>
  <c r="L30" i="41" s="1"/>
  <c r="M30" i="41" s="1"/>
  <c r="I29" i="41"/>
  <c r="L29" i="41" s="1"/>
  <c r="M29" i="41" s="1"/>
  <c r="I28" i="41"/>
  <c r="L28" i="41" s="1"/>
  <c r="M28" i="41" s="1"/>
  <c r="I27" i="41"/>
  <c r="L27" i="41" s="1"/>
  <c r="I169" i="41"/>
  <c r="L169" i="41" s="1"/>
  <c r="M169" i="41" s="1"/>
  <c r="I167" i="41"/>
  <c r="L167" i="41" s="1"/>
  <c r="M167" i="41" s="1"/>
  <c r="I157" i="41"/>
  <c r="L157" i="41" s="1"/>
  <c r="I155" i="41"/>
  <c r="L155" i="41" s="1"/>
  <c r="I153" i="41"/>
  <c r="L153" i="41" s="1"/>
  <c r="I147" i="41"/>
  <c r="L147" i="41" s="1"/>
  <c r="I136" i="41"/>
  <c r="L136" i="41" s="1"/>
  <c r="M136" i="41" s="1"/>
  <c r="I129" i="41"/>
  <c r="L129" i="41" s="1"/>
  <c r="I128" i="41"/>
  <c r="L128" i="41" s="1"/>
  <c r="I127" i="41"/>
  <c r="L127" i="41" s="1"/>
  <c r="M127" i="41" s="1"/>
  <c r="I126" i="41"/>
  <c r="L126" i="41" s="1"/>
  <c r="M126" i="41" s="1"/>
  <c r="I125" i="41"/>
  <c r="L125" i="41" s="1"/>
  <c r="I123" i="41"/>
  <c r="L123" i="41" s="1"/>
  <c r="M123" i="41" s="1"/>
  <c r="I122" i="41"/>
  <c r="L122" i="41" s="1"/>
  <c r="I121" i="41"/>
  <c r="L121" i="41" s="1"/>
  <c r="M121" i="41" s="1"/>
  <c r="I114" i="41"/>
  <c r="L114" i="41" s="1"/>
  <c r="I111" i="41"/>
  <c r="L111" i="41" s="1"/>
  <c r="M111" i="41" s="1"/>
  <c r="I108" i="41"/>
  <c r="L108" i="41" s="1"/>
  <c r="M108" i="41" s="1"/>
  <c r="I104" i="41"/>
  <c r="L104" i="41" s="1"/>
  <c r="M104" i="41" s="1"/>
  <c r="I103" i="41"/>
  <c r="L103" i="41" s="1"/>
  <c r="I102" i="41"/>
  <c r="L102" i="41" s="1"/>
  <c r="M102" i="41" s="1"/>
  <c r="I96" i="41"/>
  <c r="L96" i="41" s="1"/>
  <c r="M96" i="41" s="1"/>
  <c r="I95" i="41"/>
  <c r="L95" i="41" s="1"/>
  <c r="I86" i="41"/>
  <c r="L86" i="41" s="1"/>
  <c r="I77" i="41"/>
  <c r="L77" i="41" s="1"/>
  <c r="M77" i="41" s="1"/>
  <c r="I72" i="41"/>
  <c r="L72" i="41" s="1"/>
  <c r="M72" i="41" s="1"/>
  <c r="I70" i="41"/>
  <c r="L70" i="41" s="1"/>
  <c r="M70" i="41" s="1"/>
  <c r="I68" i="41"/>
  <c r="L68" i="41" s="1"/>
  <c r="I65" i="41"/>
  <c r="L65" i="41" s="1"/>
  <c r="M65" i="41" s="1"/>
  <c r="I63" i="41"/>
  <c r="L63" i="41" s="1"/>
  <c r="M63" i="41" s="1"/>
  <c r="I61" i="41"/>
  <c r="L61" i="41" s="1"/>
  <c r="M61" i="41" s="1"/>
  <c r="I60" i="41"/>
  <c r="L60" i="41" s="1"/>
  <c r="I57" i="41"/>
  <c r="L57" i="41" s="1"/>
  <c r="M57" i="41" s="1"/>
  <c r="I55" i="41"/>
  <c r="L55" i="41" s="1"/>
  <c r="M55" i="41" s="1"/>
  <c r="I53" i="41"/>
  <c r="L53" i="41" s="1"/>
  <c r="M53" i="41" s="1"/>
  <c r="I50" i="41"/>
  <c r="L50" i="41" s="1"/>
  <c r="I47" i="41"/>
  <c r="L47" i="41" s="1"/>
  <c r="M47" i="41" s="1"/>
  <c r="I45" i="41"/>
  <c r="L45" i="41" s="1"/>
  <c r="M45" i="41" s="1"/>
  <c r="I44" i="41"/>
  <c r="L44" i="41" s="1"/>
  <c r="M44" i="41" s="1"/>
  <c r="I43" i="41"/>
  <c r="L43" i="41" s="1"/>
  <c r="I38" i="41"/>
  <c r="L38" i="41" s="1"/>
  <c r="M38" i="41" s="1"/>
  <c r="I37" i="41"/>
  <c r="L37" i="41" s="1"/>
  <c r="M37" i="41" s="1"/>
  <c r="I35" i="41"/>
  <c r="L35" i="41" s="1"/>
  <c r="M35" i="41" s="1"/>
  <c r="I34" i="41"/>
  <c r="L34" i="41" s="1"/>
  <c r="I33" i="41"/>
  <c r="L33" i="41" s="1"/>
  <c r="M33" i="41" s="1"/>
  <c r="I32" i="41"/>
  <c r="L32" i="41" s="1"/>
  <c r="I31" i="41"/>
  <c r="L31" i="41" s="1"/>
  <c r="I26" i="41"/>
  <c r="L26" i="41" s="1"/>
  <c r="I25" i="41"/>
  <c r="L25" i="41" s="1"/>
  <c r="M25" i="41" s="1"/>
  <c r="I24" i="41"/>
  <c r="L24" i="41" s="1"/>
  <c r="M24" i="41" s="1"/>
  <c r="I23" i="41"/>
  <c r="L23" i="41" s="1"/>
  <c r="M23" i="41" s="1"/>
  <c r="I22" i="41"/>
  <c r="L22" i="41" s="1"/>
  <c r="I21" i="41"/>
  <c r="L21" i="41" s="1"/>
  <c r="M21" i="41" s="1"/>
  <c r="I20" i="41"/>
  <c r="L20" i="41" s="1"/>
  <c r="M20" i="41" s="1"/>
  <c r="I19" i="41"/>
  <c r="L19" i="41" s="1"/>
  <c r="M19" i="41" s="1"/>
  <c r="I18" i="41"/>
  <c r="L18" i="41" s="1"/>
  <c r="M18" i="41" s="1"/>
  <c r="I17" i="41"/>
  <c r="L17" i="41" s="1"/>
  <c r="M17" i="41" s="1"/>
  <c r="I16" i="41"/>
  <c r="L16" i="41" s="1"/>
  <c r="I15" i="41"/>
  <c r="L15" i="41" s="1"/>
  <c r="M15" i="41" s="1"/>
  <c r="I14" i="41"/>
  <c r="L14" i="41" s="1"/>
  <c r="E71" i="27"/>
  <c r="G71" i="27" s="1"/>
  <c r="F70" i="28" s="1"/>
  <c r="G70" i="28" s="1"/>
  <c r="I71" i="27"/>
  <c r="AB936" i="29"/>
  <c r="N34" i="18"/>
  <c r="M35" i="18"/>
  <c r="M16" i="41"/>
  <c r="M22" i="41"/>
  <c r="M26" i="41"/>
  <c r="M27" i="41"/>
  <c r="M31" i="41"/>
  <c r="M32" i="41"/>
  <c r="M34" i="41"/>
  <c r="M36" i="41"/>
  <c r="M155" i="41"/>
  <c r="M156" i="41"/>
  <c r="M157" i="41"/>
  <c r="M120" i="41"/>
  <c r="M122" i="41"/>
  <c r="M125" i="41"/>
  <c r="M128" i="41"/>
  <c r="M129" i="41"/>
  <c r="M50" i="41"/>
  <c r="M51" i="41"/>
  <c r="M54" i="41"/>
  <c r="M56" i="41"/>
  <c r="M58" i="41"/>
  <c r="M60" i="41"/>
  <c r="M62" i="41"/>
  <c r="M67" i="41"/>
  <c r="M68" i="41"/>
  <c r="M76" i="41"/>
  <c r="M145" i="41"/>
  <c r="M147" i="41"/>
  <c r="M168" i="41"/>
  <c r="M97" i="41"/>
  <c r="M99" i="41"/>
  <c r="M101" i="41"/>
  <c r="M103" i="41"/>
  <c r="M105" i="41"/>
  <c r="M106" i="41"/>
  <c r="M109" i="41"/>
  <c r="M110" i="41"/>
  <c r="M112" i="41"/>
  <c r="M114" i="41"/>
  <c r="M85" i="41"/>
  <c r="M86" i="41"/>
  <c r="V709" i="29"/>
  <c r="V179" i="29"/>
  <c r="V194" i="29"/>
  <c r="V180" i="29"/>
  <c r="V192" i="29"/>
  <c r="V625" i="29"/>
  <c r="V629" i="29"/>
  <c r="V774" i="29"/>
  <c r="V626" i="29"/>
  <c r="V630" i="29"/>
  <c r="V54" i="12"/>
  <c r="T67" i="12"/>
  <c r="Y67" i="12" s="1"/>
  <c r="AB693" i="29"/>
  <c r="Y693" i="29"/>
  <c r="O706" i="29"/>
  <c r="O702" i="29"/>
  <c r="O698" i="29"/>
  <c r="O705" i="29"/>
  <c r="O701" i="29"/>
  <c r="O691" i="29"/>
  <c r="O797" i="29"/>
  <c r="O791" i="29"/>
  <c r="O794" i="29"/>
  <c r="AB692" i="29"/>
  <c r="Y692" i="29"/>
  <c r="V13" i="12"/>
  <c r="N276" i="29"/>
  <c r="N279" i="29"/>
  <c r="N281" i="29"/>
  <c r="O116" i="29"/>
  <c r="O144" i="29"/>
  <c r="O110" i="29"/>
  <c r="O152" i="29"/>
  <c r="O105" i="29"/>
  <c r="O868" i="29"/>
  <c r="O864" i="29"/>
  <c r="O860" i="29"/>
  <c r="O854" i="29"/>
  <c r="O850" i="29"/>
  <c r="O844" i="29"/>
  <c r="O834" i="29"/>
  <c r="O813" i="29"/>
  <c r="O688" i="29"/>
  <c r="O869" i="29"/>
  <c r="O865" i="29"/>
  <c r="O861" i="29"/>
  <c r="O855" i="29"/>
  <c r="O851" i="29"/>
  <c r="O845" i="29"/>
  <c r="O826" i="29"/>
  <c r="O182" i="29"/>
  <c r="O802" i="29"/>
  <c r="O799" i="29"/>
  <c r="O787" i="29"/>
  <c r="O783" i="29"/>
  <c r="O207" i="29"/>
  <c r="O775" i="29"/>
  <c r="O771" i="29"/>
  <c r="O767" i="29"/>
  <c r="O763" i="29"/>
  <c r="O759" i="29"/>
  <c r="O755" i="29"/>
  <c r="O751" i="29"/>
  <c r="O741" i="29"/>
  <c r="O736" i="29"/>
  <c r="O732" i="29"/>
  <c r="O726" i="29"/>
  <c r="O714" i="29"/>
  <c r="O696" i="29"/>
  <c r="O684" i="29"/>
  <c r="AB953" i="29"/>
  <c r="V953" i="29"/>
  <c r="AB949" i="29"/>
  <c r="V949" i="29"/>
  <c r="O803" i="29"/>
  <c r="O788" i="29"/>
  <c r="O784" i="29"/>
  <c r="O779" i="29"/>
  <c r="O772" i="29"/>
  <c r="O768" i="29"/>
  <c r="O764" i="29"/>
  <c r="O760" i="29"/>
  <c r="O756" i="29"/>
  <c r="O752" i="29"/>
  <c r="O744" i="29"/>
  <c r="O737" i="29"/>
  <c r="O733" i="29"/>
  <c r="O727" i="29"/>
  <c r="O719" i="29"/>
  <c r="O710" i="29"/>
  <c r="O695" i="29"/>
  <c r="O685" i="29"/>
  <c r="V954" i="29"/>
  <c r="AB954" i="29"/>
  <c r="N283" i="29"/>
  <c r="N278" i="29"/>
  <c r="N280" i="29"/>
  <c r="N282" i="29"/>
  <c r="V809" i="29"/>
  <c r="V679" i="29"/>
  <c r="V154" i="29"/>
  <c r="AB694" i="29"/>
  <c r="Y694" i="29"/>
  <c r="O704" i="29"/>
  <c r="O700" i="29"/>
  <c r="O707" i="29"/>
  <c r="O703" i="29"/>
  <c r="O699" i="29"/>
  <c r="O680" i="29"/>
  <c r="O795" i="29"/>
  <c r="O796" i="29"/>
  <c r="V690" i="29"/>
  <c r="V163" i="29"/>
  <c r="V187" i="29"/>
  <c r="V171" i="29"/>
  <c r="V183" i="29"/>
  <c r="V627" i="29"/>
  <c r="V624" i="29"/>
  <c r="V628" i="29"/>
  <c r="V631" i="29"/>
  <c r="H23" i="52"/>
  <c r="V808" i="29"/>
  <c r="T45" i="12"/>
  <c r="V689" i="29"/>
  <c r="V708" i="29"/>
  <c r="O149" i="29"/>
  <c r="O130" i="29"/>
  <c r="O86" i="29"/>
  <c r="O148" i="29"/>
  <c r="O129" i="29"/>
  <c r="O85" i="29"/>
  <c r="O866" i="29"/>
  <c r="O862" i="29"/>
  <c r="O858" i="29"/>
  <c r="O852" i="29"/>
  <c r="O846" i="29"/>
  <c r="O842" i="29"/>
  <c r="O825" i="29"/>
  <c r="O226" i="29"/>
  <c r="O806" i="29"/>
  <c r="O867" i="29"/>
  <c r="O863" i="29"/>
  <c r="O859" i="29"/>
  <c r="O853" i="29"/>
  <c r="O849" i="29"/>
  <c r="O843" i="29"/>
  <c r="O823" i="29"/>
  <c r="O805" i="29"/>
  <c r="O812" i="29"/>
  <c r="Z973" i="29"/>
  <c r="AB973" i="29"/>
  <c r="Z972" i="29"/>
  <c r="O804" i="29"/>
  <c r="O801" i="29"/>
  <c r="O789" i="29"/>
  <c r="O785" i="29"/>
  <c r="O780" i="29"/>
  <c r="O778" i="29"/>
  <c r="O773" i="29"/>
  <c r="O769" i="29"/>
  <c r="O765" i="29"/>
  <c r="O761" i="29"/>
  <c r="O757" i="29"/>
  <c r="O753" i="29"/>
  <c r="O749" i="29"/>
  <c r="O738" i="29"/>
  <c r="O734" i="29"/>
  <c r="O728" i="29"/>
  <c r="O720" i="29"/>
  <c r="O712" i="29"/>
  <c r="O686" i="29"/>
  <c r="O681" i="29"/>
  <c r="AB951" i="29"/>
  <c r="V951" i="29"/>
  <c r="O841" i="29"/>
  <c r="O800" i="29"/>
  <c r="O786" i="29"/>
  <c r="O782" i="29"/>
  <c r="O777" i="29"/>
  <c r="O770" i="29"/>
  <c r="O766" i="29"/>
  <c r="O762" i="29"/>
  <c r="O758" i="29"/>
  <c r="O754" i="29"/>
  <c r="O750" i="29"/>
  <c r="O739" i="29"/>
  <c r="O735" i="29"/>
  <c r="O731" i="29"/>
  <c r="O721" i="29"/>
  <c r="O713" i="29"/>
  <c r="O697" i="29"/>
  <c r="O687" i="29"/>
  <c r="O682" i="29"/>
  <c r="V944" i="29"/>
  <c r="AB944" i="29"/>
  <c r="H30" i="52" l="1"/>
  <c r="N30" i="52" s="1"/>
  <c r="H22" i="2"/>
  <c r="N22" i="2" s="1"/>
  <c r="V71" i="12"/>
  <c r="V73" i="12" s="1"/>
  <c r="P30" i="52" s="1"/>
  <c r="T73" i="12"/>
  <c r="Y73" i="12" s="1"/>
  <c r="T46" i="12"/>
  <c r="R35" i="12"/>
  <c r="O107" i="12"/>
  <c r="O109" i="12"/>
  <c r="AB972" i="29"/>
  <c r="AD974" i="29" s="1"/>
  <c r="F30" i="27" s="1"/>
  <c r="U84" i="40"/>
  <c r="W68" i="40"/>
  <c r="W83" i="40" s="1"/>
  <c r="V83" i="40"/>
  <c r="V51" i="40"/>
  <c r="V84" i="40" s="1"/>
  <c r="W16" i="40"/>
  <c r="W51" i="40" s="1"/>
  <c r="W84" i="40" s="1"/>
  <c r="U117" i="40" s="1"/>
  <c r="E624" i="29"/>
  <c r="H19" i="52"/>
  <c r="N19" i="52" s="1"/>
  <c r="H25" i="52"/>
  <c r="N25" i="52" s="1"/>
  <c r="N23" i="52"/>
  <c r="N18" i="52"/>
  <c r="L39" i="41"/>
  <c r="L40" i="41" s="1"/>
  <c r="L116" i="41"/>
  <c r="L131" i="41"/>
  <c r="L79" i="41"/>
  <c r="L161" i="41"/>
  <c r="L174" i="41"/>
  <c r="L92" i="41"/>
  <c r="L138" i="41"/>
  <c r="L150" i="41"/>
  <c r="E625" i="29"/>
  <c r="E626" i="29"/>
  <c r="N35" i="18"/>
  <c r="M36" i="18"/>
  <c r="AB689" i="29"/>
  <c r="Y689" i="29"/>
  <c r="V45" i="12"/>
  <c r="Y808" i="29"/>
  <c r="AB631" i="29"/>
  <c r="Y631" i="29"/>
  <c r="AB628" i="29"/>
  <c r="Y628" i="29"/>
  <c r="Y624" i="29"/>
  <c r="AB627" i="29"/>
  <c r="Y627" i="29"/>
  <c r="AB187" i="29"/>
  <c r="Y187" i="29"/>
  <c r="AB163" i="29"/>
  <c r="Y163" i="29"/>
  <c r="V685" i="29"/>
  <c r="V695" i="29"/>
  <c r="V710" i="29"/>
  <c r="V719" i="29"/>
  <c r="V727" i="29"/>
  <c r="V733" i="29"/>
  <c r="V737" i="29"/>
  <c r="V744" i="29"/>
  <c r="V752" i="29"/>
  <c r="V756" i="29"/>
  <c r="V760" i="29"/>
  <c r="V764" i="29"/>
  <c r="V768" i="29"/>
  <c r="V772" i="29"/>
  <c r="V779" i="29"/>
  <c r="V784" i="29"/>
  <c r="V788" i="29"/>
  <c r="V803" i="29"/>
  <c r="V684" i="29"/>
  <c r="V696" i="29"/>
  <c r="V714" i="29"/>
  <c r="V726" i="29"/>
  <c r="V732" i="29"/>
  <c r="V736" i="29"/>
  <c r="V741" i="29"/>
  <c r="V751" i="29"/>
  <c r="V755" i="29"/>
  <c r="V759" i="29"/>
  <c r="V763" i="29"/>
  <c r="V767" i="29"/>
  <c r="V771" i="29"/>
  <c r="V775" i="29"/>
  <c r="V207" i="29"/>
  <c r="V783" i="29"/>
  <c r="V787" i="29"/>
  <c r="V799" i="29"/>
  <c r="V802" i="29"/>
  <c r="V182" i="29"/>
  <c r="V826" i="29"/>
  <c r="V845" i="29"/>
  <c r="V851" i="29"/>
  <c r="V855" i="29"/>
  <c r="V861" i="29"/>
  <c r="V865" i="29"/>
  <c r="V869" i="29"/>
  <c r="V688" i="29"/>
  <c r="V813" i="29"/>
  <c r="V834" i="29"/>
  <c r="V844" i="29"/>
  <c r="V850" i="29"/>
  <c r="V854" i="29"/>
  <c r="V860" i="29"/>
  <c r="V864" i="29"/>
  <c r="V868" i="29"/>
  <c r="V105" i="29"/>
  <c r="V152" i="29"/>
  <c r="V110" i="29"/>
  <c r="V144" i="29"/>
  <c r="V116" i="29"/>
  <c r="AB942" i="29"/>
  <c r="AB870" i="29"/>
  <c r="X281" i="29"/>
  <c r="P281" i="29"/>
  <c r="X279" i="29"/>
  <c r="P279" i="29"/>
  <c r="X276" i="29"/>
  <c r="P276" i="29"/>
  <c r="V794" i="29"/>
  <c r="V791" i="29"/>
  <c r="V797" i="29"/>
  <c r="V691" i="29"/>
  <c r="V701" i="29"/>
  <c r="V705" i="29"/>
  <c r="V698" i="29"/>
  <c r="V702" i="29"/>
  <c r="V706" i="29"/>
  <c r="V67" i="12"/>
  <c r="AB893" i="29"/>
  <c r="AB630" i="29"/>
  <c r="Y630" i="29"/>
  <c r="AB626" i="29"/>
  <c r="Y626" i="29"/>
  <c r="AB774" i="29"/>
  <c r="Y774" i="29"/>
  <c r="AB192" i="29"/>
  <c r="Y192" i="29"/>
  <c r="AB180" i="29"/>
  <c r="Y180" i="29"/>
  <c r="H43" i="52"/>
  <c r="N43" i="52" s="1"/>
  <c r="M82" i="41"/>
  <c r="M92" i="41" s="1"/>
  <c r="H45" i="52"/>
  <c r="N45" i="52" s="1"/>
  <c r="M119" i="41"/>
  <c r="M131" i="41" s="1"/>
  <c r="H48" i="52"/>
  <c r="N48" i="52" s="1"/>
  <c r="M153" i="41"/>
  <c r="M161" i="41" s="1"/>
  <c r="M134" i="41"/>
  <c r="M138" i="41" s="1"/>
  <c r="V682" i="29"/>
  <c r="V687" i="29"/>
  <c r="V697" i="29"/>
  <c r="V713" i="29"/>
  <c r="V721" i="29"/>
  <c r="V731" i="29"/>
  <c r="V735" i="29"/>
  <c r="V739" i="29"/>
  <c r="V750" i="29"/>
  <c r="V754" i="29"/>
  <c r="V758" i="29"/>
  <c r="V762" i="29"/>
  <c r="V766" i="29"/>
  <c r="V770" i="29"/>
  <c r="V777" i="29"/>
  <c r="V782" i="29"/>
  <c r="V786" i="29"/>
  <c r="V800" i="29"/>
  <c r="V841" i="29"/>
  <c r="V681" i="29"/>
  <c r="V686" i="29"/>
  <c r="V712" i="29"/>
  <c r="V720" i="29"/>
  <c r="V728" i="29"/>
  <c r="V734" i="29"/>
  <c r="V738" i="29"/>
  <c r="V749" i="29"/>
  <c r="V753" i="29"/>
  <c r="V757" i="29"/>
  <c r="V761" i="29"/>
  <c r="V765" i="29"/>
  <c r="V769" i="29"/>
  <c r="V773" i="29"/>
  <c r="V778" i="29"/>
  <c r="V780" i="29"/>
  <c r="V785" i="29"/>
  <c r="V789" i="29"/>
  <c r="V801" i="29"/>
  <c r="V804" i="29"/>
  <c r="V812" i="29"/>
  <c r="V805" i="29"/>
  <c r="V823" i="29"/>
  <c r="V843" i="29"/>
  <c r="V849" i="29"/>
  <c r="V853" i="29"/>
  <c r="V859" i="29"/>
  <c r="V863" i="29"/>
  <c r="V867" i="29"/>
  <c r="V806" i="29"/>
  <c r="V226" i="29"/>
  <c r="V825" i="29"/>
  <c r="V842" i="29"/>
  <c r="V846" i="29"/>
  <c r="V852" i="29"/>
  <c r="V858" i="29"/>
  <c r="V862" i="29"/>
  <c r="V866" i="29"/>
  <c r="V85" i="29"/>
  <c r="V129" i="29"/>
  <c r="V148" i="29"/>
  <c r="V86" i="29"/>
  <c r="V130" i="29"/>
  <c r="V149" i="29"/>
  <c r="AB708" i="29"/>
  <c r="Y708" i="29"/>
  <c r="AB183" i="29"/>
  <c r="Y183" i="29"/>
  <c r="AB171" i="29"/>
  <c r="Y171" i="29"/>
  <c r="AB690" i="29"/>
  <c r="Y690" i="29"/>
  <c r="V796" i="29"/>
  <c r="V795" i="29"/>
  <c r="V680" i="29"/>
  <c r="V699" i="29"/>
  <c r="V703" i="29"/>
  <c r="V707" i="29"/>
  <c r="V700" i="29"/>
  <c r="V704" i="29"/>
  <c r="AB154" i="29"/>
  <c r="Y154" i="29"/>
  <c r="AB679" i="29"/>
  <c r="Y679" i="29"/>
  <c r="AB809" i="29"/>
  <c r="Y809" i="29"/>
  <c r="X282" i="29"/>
  <c r="P282" i="29"/>
  <c r="X280" i="29"/>
  <c r="P280" i="29"/>
  <c r="X278" i="29"/>
  <c r="P278" i="29"/>
  <c r="L73" i="12"/>
  <c r="L76" i="12" s="1"/>
  <c r="P283" i="29"/>
  <c r="P25" i="52"/>
  <c r="AB629" i="29"/>
  <c r="Y629" i="29"/>
  <c r="AB625" i="29"/>
  <c r="Y625" i="29"/>
  <c r="AB194" i="29"/>
  <c r="Y194" i="29"/>
  <c r="AB179" i="29"/>
  <c r="Y179" i="29"/>
  <c r="AB709" i="29"/>
  <c r="Y709" i="29"/>
  <c r="H44" i="52"/>
  <c r="N44" i="52" s="1"/>
  <c r="M95" i="41"/>
  <c r="M116" i="41" s="1"/>
  <c r="H50" i="52"/>
  <c r="N50" i="52" s="1"/>
  <c r="M164" i="41"/>
  <c r="M174" i="41" s="1"/>
  <c r="M141" i="41"/>
  <c r="M150" i="41" s="1"/>
  <c r="H42" i="52"/>
  <c r="N42" i="52" s="1"/>
  <c r="M43" i="41"/>
  <c r="M79" i="41" s="1"/>
  <c r="M14" i="41"/>
  <c r="P29" i="52" l="1"/>
  <c r="R76" i="12"/>
  <c r="H18" i="2"/>
  <c r="N18" i="2" s="1"/>
  <c r="V46" i="12"/>
  <c r="T35" i="12"/>
  <c r="T76" i="12" s="1"/>
  <c r="D41" i="2"/>
  <c r="F65" i="52"/>
  <c r="H20" i="52"/>
  <c r="N20" i="52" s="1"/>
  <c r="H27" i="52"/>
  <c r="N27" i="52" s="1"/>
  <c r="H46" i="52"/>
  <c r="N46" i="52" s="1"/>
  <c r="H38" i="52"/>
  <c r="H21" i="52"/>
  <c r="N21" i="52" s="1"/>
  <c r="H47" i="52"/>
  <c r="N47" i="52" s="1"/>
  <c r="H39" i="52"/>
  <c r="H24" i="52"/>
  <c r="N24" i="52" s="1"/>
  <c r="P18" i="52"/>
  <c r="P28" i="52"/>
  <c r="P31" i="52"/>
  <c r="N19" i="2"/>
  <c r="L178" i="41"/>
  <c r="E627" i="29"/>
  <c r="R21" i="2"/>
  <c r="R22" i="2"/>
  <c r="N36" i="18"/>
  <c r="M37" i="18"/>
  <c r="E30" i="27"/>
  <c r="G30" i="27" s="1"/>
  <c r="F30" i="28" s="1"/>
  <c r="G30" i="28" s="1"/>
  <c r="I30" i="27"/>
  <c r="M39" i="41"/>
  <c r="M40" i="41" s="1"/>
  <c r="M176" i="41" s="1"/>
  <c r="L79" i="12"/>
  <c r="L87" i="12" s="1"/>
  <c r="AB704" i="29"/>
  <c r="Y704" i="29"/>
  <c r="AB700" i="29"/>
  <c r="Y700" i="29"/>
  <c r="AB796" i="29"/>
  <c r="Y796" i="29"/>
  <c r="AB149" i="29"/>
  <c r="Y149" i="29"/>
  <c r="AB130" i="29"/>
  <c r="Y130" i="29"/>
  <c r="AB86" i="29"/>
  <c r="Y86" i="29"/>
  <c r="Y85" i="29"/>
  <c r="AB806" i="29"/>
  <c r="Y806" i="29"/>
  <c r="AB805" i="29"/>
  <c r="Y805" i="29"/>
  <c r="Y812" i="29"/>
  <c r="AB804" i="29"/>
  <c r="Y804" i="29"/>
  <c r="AB778" i="29"/>
  <c r="Y778" i="29"/>
  <c r="AB773" i="29"/>
  <c r="Y773" i="29"/>
  <c r="AB769" i="29"/>
  <c r="Y769" i="29"/>
  <c r="AB765" i="29"/>
  <c r="Y765" i="29"/>
  <c r="AB734" i="29"/>
  <c r="Y734" i="29"/>
  <c r="AB728" i="29"/>
  <c r="Y728" i="29"/>
  <c r="AB720" i="29"/>
  <c r="Y720" i="29"/>
  <c r="AB712" i="29"/>
  <c r="Y712" i="29"/>
  <c r="AB841" i="29"/>
  <c r="Y841" i="29"/>
  <c r="AB800" i="29"/>
  <c r="Y800" i="29"/>
  <c r="AB762" i="29"/>
  <c r="Y762" i="29"/>
  <c r="AB758" i="29"/>
  <c r="Y758" i="29"/>
  <c r="AB754" i="29"/>
  <c r="Y754" i="29"/>
  <c r="AB750" i="29"/>
  <c r="Y750" i="29"/>
  <c r="AB739" i="29"/>
  <c r="Y739" i="29"/>
  <c r="AB735" i="29"/>
  <c r="Y735" i="29"/>
  <c r="AB697" i="29"/>
  <c r="Y697" i="29"/>
  <c r="AB687" i="29"/>
  <c r="Y687" i="29"/>
  <c r="AB682" i="29"/>
  <c r="Y682" i="29"/>
  <c r="AB705" i="29"/>
  <c r="Y705" i="29"/>
  <c r="AB701" i="29"/>
  <c r="Y701" i="29"/>
  <c r="AB691" i="29"/>
  <c r="Y691" i="29"/>
  <c r="AB797" i="29"/>
  <c r="Y797" i="29"/>
  <c r="Y791" i="29"/>
  <c r="AB794" i="29"/>
  <c r="Y794" i="29"/>
  <c r="AB116" i="29"/>
  <c r="Y116" i="29"/>
  <c r="AB144" i="29"/>
  <c r="Y144" i="29"/>
  <c r="AB110" i="29"/>
  <c r="Y110" i="29"/>
  <c r="AB868" i="29"/>
  <c r="Y868" i="29"/>
  <c r="AB864" i="29"/>
  <c r="Y864" i="29"/>
  <c r="AB860" i="29"/>
  <c r="Y860" i="29"/>
  <c r="AB854" i="29"/>
  <c r="Y854" i="29"/>
  <c r="AB850" i="29"/>
  <c r="Y850" i="29"/>
  <c r="AB844" i="29"/>
  <c r="Y844" i="29"/>
  <c r="AB834" i="29"/>
  <c r="Y834" i="29"/>
  <c r="AB813" i="29"/>
  <c r="Y813" i="29"/>
  <c r="AB688" i="29"/>
  <c r="Y688" i="29"/>
  <c r="Y802" i="29"/>
  <c r="Y799" i="29"/>
  <c r="AB763" i="29"/>
  <c r="Y763" i="29"/>
  <c r="AB759" i="29"/>
  <c r="Y759" i="29"/>
  <c r="AB755" i="29"/>
  <c r="Y755" i="29"/>
  <c r="AB751" i="29"/>
  <c r="Y751" i="29"/>
  <c r="AB741" i="29"/>
  <c r="Y741" i="29"/>
  <c r="AB736" i="29"/>
  <c r="Y736" i="29"/>
  <c r="AB696" i="29"/>
  <c r="Y696" i="29"/>
  <c r="AB684" i="29"/>
  <c r="Y684" i="29"/>
  <c r="AB788" i="29"/>
  <c r="Y788" i="29"/>
  <c r="AB784" i="29"/>
  <c r="Y784" i="29"/>
  <c r="AB779" i="29"/>
  <c r="Y779" i="29"/>
  <c r="AB772" i="29"/>
  <c r="Y772" i="29"/>
  <c r="AB768" i="29"/>
  <c r="Y768" i="29"/>
  <c r="AB733" i="29"/>
  <c r="Y733" i="29"/>
  <c r="AB727" i="29"/>
  <c r="Y727" i="29"/>
  <c r="AB719" i="29"/>
  <c r="Y719" i="29"/>
  <c r="B7" i="26"/>
  <c r="AB808" i="29"/>
  <c r="V985" i="29"/>
  <c r="V976" i="29"/>
  <c r="V980" i="29"/>
  <c r="V984" i="29"/>
  <c r="X283" i="29"/>
  <c r="AB707" i="29"/>
  <c r="Y707" i="29"/>
  <c r="AB703" i="29"/>
  <c r="Y703" i="29"/>
  <c r="AB699" i="29"/>
  <c r="Y699" i="29"/>
  <c r="AB680" i="29"/>
  <c r="Y680" i="29"/>
  <c r="AB795" i="29"/>
  <c r="Y795" i="29"/>
  <c r="AB148" i="29"/>
  <c r="Y148" i="29"/>
  <c r="AB129" i="29"/>
  <c r="Y129" i="29"/>
  <c r="AB866" i="29"/>
  <c r="Y866" i="29"/>
  <c r="AB862" i="29"/>
  <c r="Y862" i="29"/>
  <c r="AB858" i="29"/>
  <c r="Y858" i="29"/>
  <c r="AB852" i="29"/>
  <c r="Y852" i="29"/>
  <c r="AB846" i="29"/>
  <c r="Y846" i="29"/>
  <c r="AB842" i="29"/>
  <c r="Y842" i="29"/>
  <c r="AB825" i="29"/>
  <c r="Y825" i="29"/>
  <c r="Y226" i="29"/>
  <c r="AB867" i="29"/>
  <c r="Y867" i="29"/>
  <c r="AB863" i="29"/>
  <c r="Y863" i="29"/>
  <c r="AB859" i="29"/>
  <c r="Y859" i="29"/>
  <c r="AB853" i="29"/>
  <c r="Y853" i="29"/>
  <c r="AB849" i="29"/>
  <c r="Y849" i="29"/>
  <c r="AB843" i="29"/>
  <c r="Y843" i="29"/>
  <c r="Y823" i="29"/>
  <c r="AB801" i="29"/>
  <c r="Y801" i="29"/>
  <c r="AB789" i="29"/>
  <c r="Y789" i="29"/>
  <c r="AB785" i="29"/>
  <c r="Y785" i="29"/>
  <c r="Y780" i="29"/>
  <c r="AB761" i="29"/>
  <c r="Y761" i="29"/>
  <c r="AB757" i="29"/>
  <c r="Y757" i="29"/>
  <c r="AB753" i="29"/>
  <c r="Y753" i="29"/>
  <c r="AB749" i="29"/>
  <c r="Y749" i="29"/>
  <c r="AB738" i="29"/>
  <c r="Y738" i="29"/>
  <c r="AB686" i="29"/>
  <c r="Y686" i="29"/>
  <c r="AB681" i="29"/>
  <c r="Y681" i="29"/>
  <c r="AB786" i="29"/>
  <c r="Y786" i="29"/>
  <c r="AB782" i="29"/>
  <c r="Y782" i="29"/>
  <c r="AB777" i="29"/>
  <c r="Y777" i="29"/>
  <c r="AB770" i="29"/>
  <c r="Y770" i="29"/>
  <c r="AB766" i="29"/>
  <c r="Y766" i="29"/>
  <c r="AB731" i="29"/>
  <c r="Y731" i="29"/>
  <c r="AB721" i="29"/>
  <c r="Y721" i="29"/>
  <c r="AB713" i="29"/>
  <c r="Y713" i="29"/>
  <c r="V975" i="29"/>
  <c r="V979" i="29"/>
  <c r="V981" i="29"/>
  <c r="V986" i="29"/>
  <c r="AB706" i="29"/>
  <c r="Y706" i="29"/>
  <c r="AB702" i="29"/>
  <c r="Y702" i="29"/>
  <c r="AB698" i="29"/>
  <c r="Y698" i="29"/>
  <c r="AB152" i="29"/>
  <c r="Y152" i="29"/>
  <c r="AB105" i="29"/>
  <c r="Y105" i="29"/>
  <c r="AB869" i="29"/>
  <c r="Y869" i="29"/>
  <c r="AB865" i="29"/>
  <c r="Y865" i="29"/>
  <c r="AB861" i="29"/>
  <c r="Y861" i="29"/>
  <c r="AB855" i="29"/>
  <c r="Y855" i="29"/>
  <c r="AB851" i="29"/>
  <c r="Y851" i="29"/>
  <c r="AB845" i="29"/>
  <c r="Y845" i="29"/>
  <c r="AB826" i="29"/>
  <c r="Y826" i="29"/>
  <c r="AB182" i="29"/>
  <c r="Y182" i="29"/>
  <c r="AB787" i="29"/>
  <c r="Y787" i="29"/>
  <c r="AB783" i="29"/>
  <c r="Y783" i="29"/>
  <c r="AB207" i="29"/>
  <c r="Y207" i="29"/>
  <c r="AB775" i="29"/>
  <c r="Y775" i="29"/>
  <c r="AB771" i="29"/>
  <c r="Y771" i="29"/>
  <c r="AB767" i="29"/>
  <c r="Y767" i="29"/>
  <c r="AB732" i="29"/>
  <c r="Y732" i="29"/>
  <c r="AB726" i="29"/>
  <c r="Y726" i="29"/>
  <c r="AB714" i="29"/>
  <c r="Y714" i="29"/>
  <c r="AB803" i="29"/>
  <c r="Y803" i="29"/>
  <c r="AB764" i="29"/>
  <c r="Y764" i="29"/>
  <c r="AB760" i="29"/>
  <c r="Y760" i="29"/>
  <c r="AB756" i="29"/>
  <c r="Y756" i="29"/>
  <c r="AB752" i="29"/>
  <c r="Y752" i="29"/>
  <c r="AB744" i="29"/>
  <c r="Y744" i="29"/>
  <c r="AB737" i="29"/>
  <c r="Y737" i="29"/>
  <c r="Y710" i="29"/>
  <c r="AB695" i="29"/>
  <c r="Y695" i="29"/>
  <c r="AB685" i="29"/>
  <c r="Y685" i="29"/>
  <c r="AB624" i="29"/>
  <c r="U76" i="12" l="1"/>
  <c r="U79" i="12" s="1"/>
  <c r="L20" i="2"/>
  <c r="N20" i="2" s="1"/>
  <c r="V35" i="12"/>
  <c r="V76" i="12" s="1"/>
  <c r="R85" i="12"/>
  <c r="H41" i="52"/>
  <c r="N41" i="52" s="1"/>
  <c r="H22" i="52"/>
  <c r="N22" i="52" s="1"/>
  <c r="N32" i="52" s="1"/>
  <c r="P23" i="52"/>
  <c r="R79" i="12"/>
  <c r="E628" i="29"/>
  <c r="N37" i="18"/>
  <c r="M38" i="18"/>
  <c r="AB981" i="29"/>
  <c r="Y981" i="29"/>
  <c r="AB823" i="29"/>
  <c r="AB984" i="29"/>
  <c r="Y984" i="29"/>
  <c r="AB976" i="29"/>
  <c r="Y976" i="29"/>
  <c r="AB985" i="29"/>
  <c r="Y985" i="29"/>
  <c r="AB802" i="29"/>
  <c r="E7" i="26"/>
  <c r="K7" i="26" s="1"/>
  <c r="AB812" i="29"/>
  <c r="V978" i="29"/>
  <c r="V997" i="29" s="1"/>
  <c r="T85" i="12"/>
  <c r="AB710" i="29"/>
  <c r="AB986" i="29"/>
  <c r="Y986" i="29"/>
  <c r="AB979" i="29"/>
  <c r="Y979" i="29"/>
  <c r="AB975" i="29"/>
  <c r="Y975" i="29"/>
  <c r="AB780" i="29"/>
  <c r="AB226" i="29"/>
  <c r="AB980" i="29"/>
  <c r="Y980" i="29"/>
  <c r="B14" i="26"/>
  <c r="B15" i="26"/>
  <c r="B16" i="26"/>
  <c r="B17" i="26"/>
  <c r="B18" i="26"/>
  <c r="B19" i="26"/>
  <c r="B20" i="26"/>
  <c r="B21" i="26"/>
  <c r="B22" i="26"/>
  <c r="B23" i="26"/>
  <c r="B24" i="26"/>
  <c r="B26" i="26"/>
  <c r="B28" i="26"/>
  <c r="B30" i="26"/>
  <c r="B32" i="26"/>
  <c r="B34" i="26"/>
  <c r="B36" i="26"/>
  <c r="B38" i="26"/>
  <c r="B40" i="26"/>
  <c r="B42" i="26"/>
  <c r="B44" i="26"/>
  <c r="B46" i="26"/>
  <c r="B47" i="26"/>
  <c r="B48" i="26"/>
  <c r="B49" i="26"/>
  <c r="Q49" i="26" s="1"/>
  <c r="B10" i="26"/>
  <c r="B11" i="26"/>
  <c r="B12" i="26"/>
  <c r="B13" i="26"/>
  <c r="B25" i="26"/>
  <c r="B27" i="26"/>
  <c r="B29" i="26"/>
  <c r="B31" i="26"/>
  <c r="B33" i="26"/>
  <c r="B35" i="26"/>
  <c r="B37" i="26"/>
  <c r="B39" i="26"/>
  <c r="B41" i="26"/>
  <c r="B43" i="26"/>
  <c r="B45" i="26"/>
  <c r="AB799" i="29"/>
  <c r="AB791" i="29"/>
  <c r="Y35" i="12"/>
  <c r="AB85" i="29"/>
  <c r="M178" i="41"/>
  <c r="R87" i="12" l="1"/>
  <c r="R109" i="12" s="1"/>
  <c r="H32" i="52"/>
  <c r="H34" i="52" s="1"/>
  <c r="H51" i="52"/>
  <c r="P20" i="52"/>
  <c r="P21" i="52"/>
  <c r="P24" i="52"/>
  <c r="N34" i="52"/>
  <c r="T79" i="12"/>
  <c r="P27" i="52"/>
  <c r="E629" i="29"/>
  <c r="H23" i="2"/>
  <c r="H25" i="2" s="1"/>
  <c r="N38" i="18"/>
  <c r="M39" i="18"/>
  <c r="AB35" i="12"/>
  <c r="AB978" i="29"/>
  <c r="Y978" i="29"/>
  <c r="B50" i="26"/>
  <c r="C10" i="26"/>
  <c r="C11" i="26" s="1"/>
  <c r="C12" i="26" s="1"/>
  <c r="C13" i="26" s="1"/>
  <c r="C14" i="26" s="1"/>
  <c r="C15" i="26" s="1"/>
  <c r="C16" i="26" s="1"/>
  <c r="C17" i="26" s="1"/>
  <c r="C18" i="26" s="1"/>
  <c r="C19" i="26" s="1"/>
  <c r="C20" i="26" s="1"/>
  <c r="C21" i="26" s="1"/>
  <c r="C22" i="26" s="1"/>
  <c r="C23" i="26" s="1"/>
  <c r="C24" i="26" s="1"/>
  <c r="C25" i="26" s="1"/>
  <c r="C26" i="26" s="1"/>
  <c r="C27" i="26" s="1"/>
  <c r="C28" i="26" s="1"/>
  <c r="C29" i="26" s="1"/>
  <c r="C30" i="26" s="1"/>
  <c r="C31" i="26" s="1"/>
  <c r="C32" i="26" s="1"/>
  <c r="C33" i="26" s="1"/>
  <c r="C34" i="26" s="1"/>
  <c r="C35" i="26" s="1"/>
  <c r="C36" i="26" s="1"/>
  <c r="C37" i="26" s="1"/>
  <c r="C38" i="26" s="1"/>
  <c r="C39" i="26" s="1"/>
  <c r="C40" i="26" s="1"/>
  <c r="C41" i="26" s="1"/>
  <c r="C42" i="26" s="1"/>
  <c r="C43" i="26" s="1"/>
  <c r="C44" i="26" s="1"/>
  <c r="C45" i="26" s="1"/>
  <c r="C46" i="26" s="1"/>
  <c r="C47" i="26" s="1"/>
  <c r="C48" i="26" s="1"/>
  <c r="C49" i="26" s="1"/>
  <c r="E10" i="26"/>
  <c r="E11" i="26"/>
  <c r="K11" i="26" s="1"/>
  <c r="M11" i="26" s="1"/>
  <c r="E12" i="26"/>
  <c r="K12" i="26" s="1"/>
  <c r="M12" i="26" s="1"/>
  <c r="E13" i="26"/>
  <c r="K13" i="26" s="1"/>
  <c r="M13" i="26" s="1"/>
  <c r="E14" i="26"/>
  <c r="K14" i="26" s="1"/>
  <c r="M14" i="26" s="1"/>
  <c r="E15" i="26"/>
  <c r="K15" i="26" s="1"/>
  <c r="M15" i="26" s="1"/>
  <c r="E16" i="26"/>
  <c r="K16" i="26" s="1"/>
  <c r="M16" i="26" s="1"/>
  <c r="E17" i="26"/>
  <c r="K17" i="26" s="1"/>
  <c r="M17" i="26" s="1"/>
  <c r="E18" i="26"/>
  <c r="K18" i="26" s="1"/>
  <c r="M18" i="26" s="1"/>
  <c r="E19" i="26"/>
  <c r="K19" i="26" s="1"/>
  <c r="M19" i="26" s="1"/>
  <c r="E20" i="26"/>
  <c r="K20" i="26" s="1"/>
  <c r="M20" i="26" s="1"/>
  <c r="E21" i="26"/>
  <c r="K21" i="26" s="1"/>
  <c r="M21" i="26" s="1"/>
  <c r="E22" i="26"/>
  <c r="E23" i="26"/>
  <c r="K23" i="26" s="1"/>
  <c r="M23" i="26" s="1"/>
  <c r="E24" i="26"/>
  <c r="K24" i="26" s="1"/>
  <c r="M24" i="26" s="1"/>
  <c r="E25" i="26"/>
  <c r="K25" i="26" s="1"/>
  <c r="M25" i="26" s="1"/>
  <c r="E26" i="26"/>
  <c r="K26" i="26" s="1"/>
  <c r="M26" i="26" s="1"/>
  <c r="E27" i="26"/>
  <c r="K27" i="26" s="1"/>
  <c r="M27" i="26" s="1"/>
  <c r="E28" i="26"/>
  <c r="K28" i="26" s="1"/>
  <c r="M28" i="26" s="1"/>
  <c r="E29" i="26"/>
  <c r="K29" i="26" s="1"/>
  <c r="M29" i="26" s="1"/>
  <c r="E30" i="26"/>
  <c r="K30" i="26" s="1"/>
  <c r="M30" i="26" s="1"/>
  <c r="E31" i="26"/>
  <c r="K31" i="26" s="1"/>
  <c r="M31" i="26" s="1"/>
  <c r="E32" i="26"/>
  <c r="K32" i="26" s="1"/>
  <c r="M32" i="26" s="1"/>
  <c r="E33" i="26"/>
  <c r="K33" i="26" s="1"/>
  <c r="M33" i="26" s="1"/>
  <c r="E34" i="26"/>
  <c r="K34" i="26" s="1"/>
  <c r="M34" i="26" s="1"/>
  <c r="E35" i="26"/>
  <c r="K35" i="26" s="1"/>
  <c r="M35" i="26" s="1"/>
  <c r="E36" i="26"/>
  <c r="K36" i="26" s="1"/>
  <c r="M36" i="26" s="1"/>
  <c r="E37" i="26"/>
  <c r="K37" i="26" s="1"/>
  <c r="M37" i="26" s="1"/>
  <c r="E38" i="26"/>
  <c r="K38" i="26" s="1"/>
  <c r="M38" i="26" s="1"/>
  <c r="E39" i="26"/>
  <c r="K39" i="26" s="1"/>
  <c r="M39" i="26" s="1"/>
  <c r="E40" i="26"/>
  <c r="K40" i="26" s="1"/>
  <c r="M40" i="26" s="1"/>
  <c r="E41" i="26"/>
  <c r="K41" i="26" s="1"/>
  <c r="M41" i="26" s="1"/>
  <c r="E42" i="26"/>
  <c r="K42" i="26" s="1"/>
  <c r="M42" i="26" s="1"/>
  <c r="E43" i="26"/>
  <c r="K43" i="26" s="1"/>
  <c r="M43" i="26" s="1"/>
  <c r="E44" i="26"/>
  <c r="K44" i="26" s="1"/>
  <c r="M44" i="26" s="1"/>
  <c r="E45" i="26"/>
  <c r="K45" i="26" s="1"/>
  <c r="M45" i="26" s="1"/>
  <c r="K22" i="26"/>
  <c r="M22" i="26" s="1"/>
  <c r="T991" i="29" l="1"/>
  <c r="M982" i="29"/>
  <c r="H52" i="52"/>
  <c r="D77" i="52" s="1"/>
  <c r="M977" i="29"/>
  <c r="L40" i="52"/>
  <c r="N40" i="52" s="1"/>
  <c r="L39" i="52"/>
  <c r="N39" i="52" s="1"/>
  <c r="R107" i="12"/>
  <c r="T993" i="29"/>
  <c r="P22" i="52"/>
  <c r="P32" i="52"/>
  <c r="E630" i="29"/>
  <c r="H29" i="2"/>
  <c r="Y76" i="12"/>
  <c r="Y79" i="12"/>
  <c r="T87" i="12"/>
  <c r="T107" i="12" s="1"/>
  <c r="N39" i="18"/>
  <c r="M40" i="18"/>
  <c r="E50" i="26"/>
  <c r="F10" i="26"/>
  <c r="F11" i="26" s="1"/>
  <c r="F12" i="26" s="1"/>
  <c r="F13" i="26" s="1"/>
  <c r="F14" i="26" s="1"/>
  <c r="F15" i="26" s="1"/>
  <c r="F16" i="26" s="1"/>
  <c r="F17" i="26" s="1"/>
  <c r="F18" i="26" s="1"/>
  <c r="F19" i="26" s="1"/>
  <c r="F20" i="26" s="1"/>
  <c r="F21" i="26" s="1"/>
  <c r="F22" i="26" s="1"/>
  <c r="F23" i="26" s="1"/>
  <c r="F24" i="26" s="1"/>
  <c r="F25" i="26" s="1"/>
  <c r="F26" i="26" s="1"/>
  <c r="F27" i="26" s="1"/>
  <c r="F28" i="26" s="1"/>
  <c r="F29" i="26" s="1"/>
  <c r="F30" i="26" s="1"/>
  <c r="F31" i="26" s="1"/>
  <c r="F32" i="26" s="1"/>
  <c r="F33" i="26" s="1"/>
  <c r="F34" i="26" s="1"/>
  <c r="F35" i="26" s="1"/>
  <c r="F36" i="26" s="1"/>
  <c r="F37" i="26" s="1"/>
  <c r="F38" i="26" s="1"/>
  <c r="F39" i="26" s="1"/>
  <c r="F40" i="26" s="1"/>
  <c r="F41" i="26" s="1"/>
  <c r="F42" i="26" s="1"/>
  <c r="F43" i="26" s="1"/>
  <c r="F44" i="26" s="1"/>
  <c r="F45" i="26" s="1"/>
  <c r="K10" i="26"/>
  <c r="Z977" i="29"/>
  <c r="AB977" i="29"/>
  <c r="Z982" i="29"/>
  <c r="AB982" i="29"/>
  <c r="L23" i="2"/>
  <c r="L25" i="2" s="1"/>
  <c r="F40" i="2" l="1"/>
  <c r="F63" i="52"/>
  <c r="F64" i="52" s="1"/>
  <c r="V79" i="12"/>
  <c r="E631" i="29"/>
  <c r="R23" i="2"/>
  <c r="N40" i="18"/>
  <c r="M41" i="18"/>
  <c r="N23" i="2"/>
  <c r="J30" i="2"/>
  <c r="AD990" i="29"/>
  <c r="L10" i="26"/>
  <c r="L11" i="26" s="1"/>
  <c r="L12" i="26" s="1"/>
  <c r="L13" i="26" s="1"/>
  <c r="L14" i="26" s="1"/>
  <c r="L15" i="26" s="1"/>
  <c r="L16" i="26" s="1"/>
  <c r="L17" i="26" s="1"/>
  <c r="L18" i="26" s="1"/>
  <c r="L19" i="26" s="1"/>
  <c r="L20" i="26" s="1"/>
  <c r="L21" i="26" s="1"/>
  <c r="L22" i="26" s="1"/>
  <c r="L23" i="26" s="1"/>
  <c r="L24" i="26" s="1"/>
  <c r="L25" i="26" s="1"/>
  <c r="L26" i="26" s="1"/>
  <c r="L27" i="26" s="1"/>
  <c r="L28" i="26" s="1"/>
  <c r="L29" i="26" s="1"/>
  <c r="L30" i="26" s="1"/>
  <c r="L31" i="26" s="1"/>
  <c r="L32" i="26" s="1"/>
  <c r="L33" i="26" s="1"/>
  <c r="L34" i="26" s="1"/>
  <c r="L35" i="26" s="1"/>
  <c r="L36" i="26" s="1"/>
  <c r="L37" i="26" s="1"/>
  <c r="L38" i="26" s="1"/>
  <c r="L39" i="26" s="1"/>
  <c r="L40" i="26" s="1"/>
  <c r="L41" i="26" s="1"/>
  <c r="L42" i="26" s="1"/>
  <c r="L43" i="26" s="1"/>
  <c r="L44" i="26" s="1"/>
  <c r="L45" i="26" s="1"/>
  <c r="M10" i="26"/>
  <c r="M50" i="26" s="1"/>
  <c r="K50" i="26"/>
  <c r="U83" i="12" l="1"/>
  <c r="V83" i="12"/>
  <c r="R25" i="2"/>
  <c r="P34" i="52"/>
  <c r="E85" i="29"/>
  <c r="N41" i="18"/>
  <c r="M42" i="18"/>
  <c r="E28" i="27"/>
  <c r="I28" i="27"/>
  <c r="F28" i="27"/>
  <c r="N25" i="2"/>
  <c r="T994" i="29" l="1"/>
  <c r="F66" i="52"/>
  <c r="F67" i="52" s="1"/>
  <c r="O111" i="12"/>
  <c r="F41" i="2"/>
  <c r="F42" i="2"/>
  <c r="F18" i="32" s="1"/>
  <c r="F39" i="32" s="1"/>
  <c r="F40" i="32" s="1"/>
  <c r="F42" i="32" s="1"/>
  <c r="F47" i="32" s="1"/>
  <c r="N42" i="18"/>
  <c r="M43" i="18"/>
  <c r="G28" i="27"/>
  <c r="F28" i="28" s="1"/>
  <c r="G28" i="28" s="1"/>
  <c r="O113" i="12" l="1"/>
  <c r="O140" i="12" s="1"/>
  <c r="T1089" i="29" s="1"/>
  <c r="D40" i="2"/>
  <c r="D64" i="52"/>
  <c r="N43" i="18"/>
  <c r="M44" i="18"/>
  <c r="D42" i="2" l="1"/>
  <c r="N44" i="18"/>
  <c r="M45" i="18"/>
  <c r="E86" i="29" l="1"/>
  <c r="R993" i="29"/>
  <c r="D66" i="52"/>
  <c r="R994" i="29"/>
  <c r="E105" i="29"/>
  <c r="N45" i="18"/>
  <c r="M46" i="18"/>
  <c r="D18" i="32" l="1"/>
  <c r="D39" i="32" s="1"/>
  <c r="D40" i="32" s="1"/>
  <c r="D42" i="32" s="1"/>
  <c r="D47" i="32" s="1"/>
  <c r="D67" i="52"/>
  <c r="E110" i="29"/>
  <c r="E130" i="29"/>
  <c r="N46" i="18"/>
  <c r="M47" i="18"/>
  <c r="E129" i="29" l="1"/>
  <c r="E144" i="29"/>
  <c r="N47" i="18"/>
  <c r="M48" i="18"/>
  <c r="E148" i="29" l="1"/>
  <c r="N48" i="18"/>
  <c r="M49" i="18"/>
  <c r="E149" i="29" l="1"/>
  <c r="N49" i="18"/>
  <c r="M50" i="18"/>
  <c r="E152" i="29" l="1"/>
  <c r="N50" i="18"/>
  <c r="M51" i="18"/>
  <c r="E116" i="29" l="1"/>
  <c r="N51" i="18"/>
  <c r="M52" i="18"/>
  <c r="E679" i="29" l="1"/>
  <c r="N52" i="18"/>
  <c r="M53" i="18"/>
  <c r="E680" i="29" l="1"/>
  <c r="N53" i="18"/>
  <c r="M54" i="18"/>
  <c r="E681" i="29" l="1"/>
  <c r="N54" i="18"/>
  <c r="M55" i="18"/>
  <c r="E682" i="29" l="1"/>
  <c r="N55" i="18"/>
  <c r="M56" i="18"/>
  <c r="E684" i="29" l="1"/>
  <c r="N56" i="18"/>
  <c r="M57" i="18"/>
  <c r="E685" i="29" l="1"/>
  <c r="N57" i="18"/>
  <c r="M58" i="18"/>
  <c r="E686" i="29" l="1"/>
  <c r="N58" i="18"/>
  <c r="M59" i="18"/>
  <c r="E687" i="29" l="1"/>
  <c r="N59" i="18"/>
  <c r="M60" i="18"/>
  <c r="E688" i="29" l="1"/>
  <c r="N60" i="18"/>
  <c r="M61" i="18"/>
  <c r="E689" i="29" l="1"/>
  <c r="M62" i="18"/>
  <c r="N61" i="18"/>
  <c r="E690" i="29" l="1"/>
  <c r="M63" i="18"/>
  <c r="N63" i="18" s="1"/>
  <c r="N62" i="18"/>
  <c r="E691" i="29" l="1"/>
  <c r="E692" i="29" l="1"/>
  <c r="E693" i="29" l="1"/>
  <c r="E694" i="29" l="1"/>
  <c r="E695" i="29" l="1"/>
  <c r="E696" i="29" l="1"/>
  <c r="E697" i="29" l="1"/>
  <c r="E698" i="29" l="1"/>
  <c r="E699" i="29" l="1"/>
  <c r="E700" i="29" l="1"/>
  <c r="E701" i="29" l="1"/>
  <c r="E702" i="29" l="1"/>
  <c r="E703" i="29" l="1"/>
  <c r="E704" i="29" l="1"/>
  <c r="E705" i="29" l="1"/>
  <c r="E706" i="29" l="1"/>
  <c r="E707" i="29" l="1"/>
  <c r="E708" i="29" l="1"/>
  <c r="E709" i="29" l="1"/>
  <c r="E154" i="29" l="1"/>
  <c r="E163" i="29" l="1"/>
  <c r="E171" i="29" l="1"/>
  <c r="E179" i="29" l="1"/>
  <c r="E180" i="29" l="1"/>
  <c r="E182" i="29" l="1"/>
  <c r="E183" i="29" l="1"/>
  <c r="E187" i="29" l="1"/>
  <c r="E192" i="29" l="1"/>
  <c r="E194" i="29" l="1"/>
  <c r="E710" i="29" l="1"/>
  <c r="E712" i="29" l="1"/>
  <c r="E713" i="29" l="1"/>
  <c r="E714" i="29" l="1"/>
  <c r="E719" i="29" l="1"/>
  <c r="V132" i="12" l="1"/>
  <c r="R991" i="29"/>
  <c r="U132" i="12"/>
  <c r="Z1045" i="29" s="1"/>
  <c r="E720" i="29"/>
  <c r="N70" i="52" l="1"/>
  <c r="N45" i="2"/>
  <c r="E721" i="29"/>
  <c r="E726" i="29" l="1"/>
  <c r="E727" i="29" l="1"/>
  <c r="E732" i="29"/>
  <c r="E728" i="29" l="1"/>
  <c r="E731" i="29" l="1"/>
  <c r="E733" i="29" l="1"/>
  <c r="E734" i="29" l="1"/>
  <c r="E735" i="29" l="1"/>
  <c r="E736" i="29" l="1"/>
  <c r="E737" i="29" l="1"/>
  <c r="E738" i="29" l="1"/>
  <c r="E739" i="29" l="1"/>
  <c r="E741" i="29" l="1"/>
  <c r="E749" i="29"/>
  <c r="E744" i="29" l="1"/>
  <c r="E750" i="29" l="1"/>
  <c r="E751" i="29"/>
  <c r="E752" i="29" l="1"/>
  <c r="E753" i="29" l="1"/>
  <c r="E754" i="29" l="1"/>
  <c r="E755" i="29" l="1"/>
  <c r="E756" i="29" l="1"/>
  <c r="E757" i="29" l="1"/>
  <c r="E758" i="29" l="1"/>
  <c r="E759" i="29" l="1"/>
  <c r="E760" i="29" l="1"/>
  <c r="E761" i="29" l="1"/>
  <c r="E762" i="29" l="1"/>
  <c r="E763" i="29" l="1"/>
  <c r="E764" i="29" l="1"/>
  <c r="E765" i="29" l="1"/>
  <c r="E766" i="29" l="1"/>
  <c r="E767" i="29" l="1"/>
  <c r="E768" i="29" l="1"/>
  <c r="E769" i="29" l="1"/>
  <c r="E770" i="29" l="1"/>
  <c r="E771" i="29" l="1"/>
  <c r="E772" i="29" l="1"/>
  <c r="E773" i="29" l="1"/>
  <c r="E774" i="29" l="1"/>
  <c r="E775" i="29" l="1"/>
  <c r="E777" i="29" l="1"/>
  <c r="E778" i="29" l="1"/>
  <c r="E779" i="29" l="1"/>
  <c r="E207" i="29" l="1"/>
  <c r="E780" i="29" l="1"/>
  <c r="E782" i="29" l="1"/>
  <c r="E783" i="29" l="1"/>
  <c r="E784" i="29" l="1"/>
  <c r="E785" i="29" l="1"/>
  <c r="E786" i="29" l="1"/>
  <c r="E787" i="29" l="1"/>
  <c r="E788" i="29" l="1"/>
  <c r="E789" i="29" l="1"/>
  <c r="E791" i="29" l="1"/>
  <c r="E794" i="29" l="1"/>
  <c r="E795" i="29" l="1"/>
  <c r="E796" i="29" l="1"/>
  <c r="E797" i="29" l="1"/>
  <c r="E799" i="29" l="1"/>
  <c r="E800" i="29" l="1"/>
  <c r="E801" i="29" l="1"/>
  <c r="E802" i="29" l="1"/>
  <c r="E803" i="29" l="1"/>
  <c r="E804" i="29" l="1"/>
  <c r="E805" i="29" l="1"/>
  <c r="E806" i="29" l="1"/>
  <c r="E808" i="29" l="1"/>
  <c r="E809" i="29" l="1"/>
  <c r="E812" i="29" l="1"/>
  <c r="E813" i="29" l="1"/>
  <c r="E226" i="29" l="1"/>
  <c r="E823" i="29" l="1"/>
  <c r="E825" i="29" l="1"/>
  <c r="E826" i="29" l="1"/>
  <c r="E834" i="29" l="1"/>
  <c r="E841" i="29" l="1"/>
  <c r="E842" i="29" l="1"/>
  <c r="E843" i="29" l="1"/>
  <c r="E844" i="29" l="1"/>
  <c r="E845" i="29" l="1"/>
  <c r="E846" i="29" l="1"/>
  <c r="E849" i="29" l="1"/>
  <c r="E850" i="29" l="1"/>
  <c r="E851" i="29" l="1"/>
  <c r="E852" i="29" l="1"/>
  <c r="E853" i="29" l="1"/>
  <c r="E854" i="29" l="1"/>
  <c r="E855" i="29" l="1"/>
  <c r="E858" i="29" l="1"/>
  <c r="E859" i="29" l="1"/>
  <c r="E860" i="29" l="1"/>
  <c r="E861" i="29" l="1"/>
  <c r="E862" i="29" l="1"/>
  <c r="E863" i="29" l="1"/>
  <c r="E864" i="29" l="1"/>
  <c r="E865" i="29" l="1"/>
  <c r="E866" i="29" l="1"/>
  <c r="E867" i="29" l="1"/>
  <c r="E868" i="29" l="1"/>
  <c r="E869" i="29" l="1"/>
  <c r="E878" i="29" l="1"/>
  <c r="E916" i="29" l="1"/>
  <c r="E928" i="29" l="1"/>
  <c r="E275" i="29" l="1"/>
  <c r="E283" i="29" l="1"/>
  <c r="E276" i="29" l="1"/>
  <c r="E277" i="29" l="1"/>
  <c r="E278" i="29" l="1"/>
  <c r="E279" i="29" l="1"/>
  <c r="E280" i="29" l="1"/>
  <c r="E281" i="29" l="1"/>
  <c r="E282" i="29" l="1"/>
  <c r="E284" i="29" l="1"/>
  <c r="J22" i="2" l="1"/>
  <c r="J23" i="2" s="1"/>
  <c r="J25" i="2" s="1"/>
  <c r="J29" i="2" s="1"/>
  <c r="J40" i="2" s="1"/>
  <c r="J42" i="2" s="1"/>
  <c r="S79" i="12"/>
  <c r="S87" i="12" l="1"/>
  <c r="D79" i="52" s="1"/>
  <c r="J18" i="32"/>
  <c r="J47" i="32" s="1"/>
  <c r="D50" i="2"/>
  <c r="D51" i="2" l="1"/>
  <c r="D65" i="18"/>
  <c r="M970" i="29"/>
  <c r="L38" i="52"/>
  <c r="D53" i="2"/>
  <c r="S107" i="12"/>
  <c r="S113" i="12" s="1"/>
  <c r="S140" i="12" l="1"/>
  <c r="X1089" i="29" s="1"/>
  <c r="L51" i="52"/>
  <c r="L52" i="52" s="1"/>
  <c r="N38" i="52"/>
  <c r="U85" i="12"/>
  <c r="Z970" i="29"/>
  <c r="D32" i="18"/>
  <c r="C32" i="18" s="1"/>
  <c r="D40" i="18"/>
  <c r="C40" i="18" s="1"/>
  <c r="D48" i="18"/>
  <c r="C48" i="18" s="1"/>
  <c r="D56" i="18"/>
  <c r="C56" i="18" s="1"/>
  <c r="D62" i="18"/>
  <c r="C62" i="18" s="1"/>
  <c r="D43" i="18"/>
  <c r="C43" i="18" s="1"/>
  <c r="D59" i="18"/>
  <c r="C59" i="18" s="1"/>
  <c r="D41" i="18"/>
  <c r="C41" i="18" s="1"/>
  <c r="D30" i="18"/>
  <c r="C30" i="18" s="1"/>
  <c r="D38" i="18"/>
  <c r="C38" i="18" s="1"/>
  <c r="D46" i="18"/>
  <c r="C46" i="18" s="1"/>
  <c r="D54" i="18"/>
  <c r="C54" i="18" s="1"/>
  <c r="D63" i="18"/>
  <c r="C63" i="18" s="1"/>
  <c r="D39" i="18"/>
  <c r="C39" i="18" s="1"/>
  <c r="D55" i="18"/>
  <c r="C55" i="18" s="1"/>
  <c r="D37" i="18"/>
  <c r="C37" i="18" s="1"/>
  <c r="D53" i="18"/>
  <c r="C53" i="18" s="1"/>
  <c r="D49" i="18"/>
  <c r="C49" i="18" s="1"/>
  <c r="D28" i="18"/>
  <c r="D36" i="18"/>
  <c r="C36" i="18" s="1"/>
  <c r="D44" i="18"/>
  <c r="C44" i="18" s="1"/>
  <c r="D52" i="18"/>
  <c r="C52" i="18" s="1"/>
  <c r="D60" i="18"/>
  <c r="C60" i="18" s="1"/>
  <c r="D35" i="18"/>
  <c r="C35" i="18" s="1"/>
  <c r="D51" i="18"/>
  <c r="C51" i="18" s="1"/>
  <c r="D33" i="18"/>
  <c r="C33" i="18" s="1"/>
  <c r="D57" i="18"/>
  <c r="C57" i="18" s="1"/>
  <c r="D34" i="18"/>
  <c r="C34" i="18" s="1"/>
  <c r="D42" i="18"/>
  <c r="C42" i="18" s="1"/>
  <c r="D50" i="18"/>
  <c r="C50" i="18" s="1"/>
  <c r="D58" i="18"/>
  <c r="C58" i="18" s="1"/>
  <c r="D31" i="18"/>
  <c r="C31" i="18" s="1"/>
  <c r="D47" i="18"/>
  <c r="C47" i="18" s="1"/>
  <c r="D29" i="18"/>
  <c r="C29" i="18" s="1"/>
  <c r="D45" i="18"/>
  <c r="C45" i="18" s="1"/>
  <c r="D61" i="18"/>
  <c r="C61" i="18" s="1"/>
  <c r="N51" i="52" l="1"/>
  <c r="C28" i="18"/>
  <c r="D64" i="18"/>
  <c r="AB970" i="29"/>
  <c r="V85" i="12"/>
  <c r="Y85" i="12"/>
  <c r="U87" i="12"/>
  <c r="U109" i="12" s="1"/>
  <c r="L29" i="2"/>
  <c r="P51" i="52" l="1"/>
  <c r="N27" i="2"/>
  <c r="Y87" i="12"/>
  <c r="N52" i="52"/>
  <c r="R28" i="2"/>
  <c r="V87" i="12"/>
  <c r="N28" i="2"/>
  <c r="AD971" i="29"/>
  <c r="I29" i="27"/>
  <c r="I99" i="12" l="1"/>
  <c r="I91" i="12"/>
  <c r="I100" i="12"/>
  <c r="P52" i="52"/>
  <c r="N29" i="2"/>
  <c r="R29" i="2"/>
  <c r="F29" i="27"/>
  <c r="E29" i="27"/>
  <c r="M988" i="29" l="1"/>
  <c r="U100" i="12"/>
  <c r="U92" i="12"/>
  <c r="M968" i="29"/>
  <c r="M1009" i="29"/>
  <c r="U99" i="12"/>
  <c r="L58" i="52" s="1"/>
  <c r="M967" i="29"/>
  <c r="U91" i="12"/>
  <c r="G29" i="27"/>
  <c r="F29" i="28" s="1"/>
  <c r="G29" i="28" s="1"/>
  <c r="L59" i="52" l="1"/>
  <c r="N59" i="52" s="1"/>
  <c r="L55" i="52"/>
  <c r="N55" i="52" s="1"/>
  <c r="N58" i="52"/>
  <c r="Z967" i="29"/>
  <c r="V91" i="12"/>
  <c r="U95" i="12"/>
  <c r="L32" i="2" s="1"/>
  <c r="L33" i="2" s="1"/>
  <c r="Z988" i="29"/>
  <c r="V100" i="12"/>
  <c r="AB988" i="29" s="1"/>
  <c r="L36" i="2"/>
  <c r="N36" i="2" s="1"/>
  <c r="Z968" i="29"/>
  <c r="V92" i="12"/>
  <c r="AB968" i="29" s="1"/>
  <c r="Z1009" i="29"/>
  <c r="L35" i="2"/>
  <c r="V99" i="12"/>
  <c r="U103" i="12"/>
  <c r="L61" i="52" l="1"/>
  <c r="L56" i="52"/>
  <c r="N56" i="52"/>
  <c r="N61" i="52"/>
  <c r="V103" i="12"/>
  <c r="P61" i="52" s="1"/>
  <c r="AB1009" i="29"/>
  <c r="Y103" i="12"/>
  <c r="U105" i="12"/>
  <c r="L38" i="2"/>
  <c r="L39" i="2" s="1"/>
  <c r="N35" i="2"/>
  <c r="V95" i="12"/>
  <c r="N32" i="2" s="1"/>
  <c r="AB967" i="29"/>
  <c r="Z997" i="29"/>
  <c r="Y95" i="12"/>
  <c r="L62" i="52" l="1"/>
  <c r="N62" i="52"/>
  <c r="R33" i="2"/>
  <c r="P56" i="52"/>
  <c r="N33" i="2"/>
  <c r="N38" i="2"/>
  <c r="AB997" i="29"/>
  <c r="AD969" i="29"/>
  <c r="V105" i="12"/>
  <c r="R38" i="2"/>
  <c r="U107" i="12"/>
  <c r="V107" i="12" s="1"/>
  <c r="F68" i="27"/>
  <c r="I68" i="27"/>
  <c r="AD1085" i="29"/>
  <c r="I76" i="27" s="1"/>
  <c r="E68" i="27"/>
  <c r="G68" i="27" l="1"/>
  <c r="F67" i="28" s="1"/>
  <c r="G67" i="28" s="1"/>
  <c r="I36" i="27"/>
  <c r="AD999" i="29"/>
  <c r="AD1000" i="29"/>
  <c r="AB1003" i="29"/>
  <c r="Y107" i="12"/>
  <c r="I33" i="27"/>
  <c r="E33" i="27"/>
  <c r="F33" i="27"/>
  <c r="N39" i="2"/>
  <c r="G33" i="27" l="1"/>
  <c r="AD1001" i="29"/>
  <c r="W1000" i="29" s="1"/>
  <c r="W999" i="29" l="1"/>
  <c r="L41" i="2" l="1"/>
  <c r="L63" i="52"/>
  <c r="Z991" i="29"/>
  <c r="AD992" i="29" s="1"/>
  <c r="L64" i="52" l="1"/>
  <c r="L40" i="2"/>
  <c r="E35" i="27"/>
  <c r="F35" i="27"/>
  <c r="I35" i="27"/>
  <c r="L65" i="52" l="1"/>
  <c r="Z993" i="29"/>
  <c r="U111" i="12"/>
  <c r="U113" i="12" s="1"/>
  <c r="G35" i="27"/>
  <c r="F34" i="28" s="1"/>
  <c r="G34" i="28" s="1"/>
  <c r="L66" i="52"/>
  <c r="Z994" i="29"/>
  <c r="L42" i="2"/>
  <c r="L18" i="32" l="1"/>
  <c r="L67" i="52"/>
  <c r="L39" i="32" l="1"/>
  <c r="L40" i="32" s="1"/>
  <c r="L42" i="32" l="1"/>
  <c r="L47" i="32" s="1"/>
  <c r="N111" i="12" l="1"/>
  <c r="N113" i="12" s="1"/>
  <c r="N140" i="12" l="1"/>
  <c r="R1089" i="29" s="1"/>
  <c r="E870" i="29" l="1"/>
  <c r="E871" i="29" l="1"/>
  <c r="E872" i="29" l="1"/>
  <c r="E877" i="29" l="1"/>
  <c r="E879" i="29" l="1"/>
  <c r="E880" i="29" l="1"/>
  <c r="E881" i="29" l="1"/>
  <c r="E882" i="29" l="1"/>
  <c r="E884" i="29" l="1"/>
  <c r="E885" i="29" l="1"/>
  <c r="E888" i="29" l="1"/>
  <c r="E889" i="29" l="1"/>
  <c r="E892" i="29" l="1"/>
  <c r="E265" i="29" l="1"/>
  <c r="E269" i="29" l="1"/>
  <c r="E270" i="29" l="1"/>
  <c r="E271" i="29" l="1"/>
  <c r="E272" i="29" l="1"/>
  <c r="E893" i="29" l="1"/>
  <c r="E894" i="29" l="1"/>
  <c r="E895" i="29" l="1"/>
  <c r="E896" i="29" l="1"/>
  <c r="E899" i="29" l="1"/>
  <c r="E900" i="29" l="1"/>
  <c r="E901" i="29" l="1"/>
  <c r="E903" i="29" l="1"/>
  <c r="E904" i="29" l="1"/>
  <c r="E905" i="29" l="1"/>
  <c r="E906" i="29" l="1"/>
  <c r="E909" i="29" l="1"/>
  <c r="E912" i="29" l="1"/>
  <c r="E913" i="29" l="1"/>
  <c r="E914" i="29" l="1"/>
  <c r="E915" i="29" l="1"/>
  <c r="E917" i="29" l="1"/>
  <c r="E918" i="29" l="1"/>
  <c r="E919" i="29" l="1"/>
  <c r="E920" i="29" l="1"/>
  <c r="E921" i="29" l="1"/>
  <c r="E922" i="29" l="1"/>
  <c r="E923" i="29" l="1"/>
  <c r="E924" i="29" l="1"/>
  <c r="E925" i="29" l="1"/>
  <c r="E926" i="29" l="1"/>
  <c r="E927" i="29" l="1"/>
  <c r="E929" i="29" l="1"/>
  <c r="E930" i="29" l="1"/>
  <c r="E931" i="29" l="1"/>
  <c r="E932" i="29" l="1"/>
  <c r="E934" i="29" l="1"/>
  <c r="E935" i="29" l="1"/>
  <c r="E936" i="29" l="1"/>
  <c r="E937" i="29" l="1"/>
  <c r="E938" i="29" l="1"/>
  <c r="E939" i="29" l="1"/>
  <c r="E940" i="29" l="1"/>
  <c r="E941" i="29" l="1"/>
  <c r="E942" i="29" l="1"/>
  <c r="E943" i="29" l="1"/>
  <c r="E944" i="29"/>
  <c r="E947" i="29" l="1"/>
  <c r="E948" i="29"/>
  <c r="E949" i="29" l="1"/>
  <c r="E1091" i="29" l="1"/>
  <c r="E950" i="29"/>
  <c r="E951" i="29" l="1"/>
  <c r="E1090" i="29" l="1"/>
  <c r="E952" i="29"/>
  <c r="E953" i="29" l="1"/>
  <c r="E954" i="29" l="1"/>
  <c r="E955" i="29" l="1"/>
  <c r="E956" i="29" l="1"/>
  <c r="E970" i="29" l="1"/>
  <c r="E972" i="29" l="1"/>
  <c r="E973" i="29" l="1"/>
  <c r="E975" i="29" l="1"/>
  <c r="E976" i="29" l="1"/>
  <c r="E977" i="29" l="1"/>
  <c r="E978" i="29" l="1"/>
  <c r="E979" i="29" l="1"/>
  <c r="E980" i="29" l="1"/>
  <c r="E981" i="29" l="1"/>
  <c r="E982" i="29" l="1"/>
  <c r="E983" i="29" l="1"/>
  <c r="E984" i="29" l="1"/>
  <c r="E985" i="29" l="1"/>
  <c r="E986" i="29" l="1"/>
  <c r="E967" i="29" l="1"/>
  <c r="E968" i="29" l="1"/>
  <c r="E1009" i="29" l="1"/>
  <c r="E988" i="29" l="1"/>
  <c r="E989" i="29" l="1"/>
  <c r="E991" i="29" l="1"/>
  <c r="E993" i="29" l="1"/>
  <c r="E994" i="29" l="1"/>
  <c r="E1010" i="29" l="1"/>
  <c r="E1011" i="29" l="1"/>
  <c r="E1012" i="29" l="1"/>
  <c r="E1014" i="29" l="1"/>
  <c r="E1015" i="29" l="1"/>
  <c r="E1016" i="29" l="1"/>
  <c r="E1017" i="29" l="1"/>
  <c r="E1018" i="29" l="1"/>
  <c r="E1019" i="29" l="1"/>
  <c r="E1020" i="29" l="1"/>
  <c r="E1021" i="29" l="1"/>
  <c r="E1022" i="29" l="1"/>
  <c r="E1023" i="29" l="1"/>
  <c r="E1024" i="29" l="1"/>
  <c r="E1025" i="29" l="1"/>
  <c r="E1026" i="29" l="1"/>
  <c r="E1027" i="29" l="1"/>
  <c r="E1028" i="29" l="1"/>
  <c r="E1029" i="29" l="1"/>
  <c r="E1030" i="29" l="1"/>
  <c r="E1032" i="29" l="1"/>
  <c r="E1033" i="29" l="1"/>
  <c r="E1034" i="29" l="1"/>
  <c r="E1035" i="29" l="1"/>
  <c r="E1036" i="29" l="1"/>
  <c r="E1037" i="29" l="1"/>
  <c r="E1038" i="29" l="1"/>
  <c r="E1039" i="29" l="1"/>
  <c r="E1041" i="29" l="1"/>
  <c r="E1042" i="29" l="1"/>
  <c r="E1043" i="29" l="1"/>
  <c r="E1044" i="29" l="1"/>
  <c r="E1045" i="29" l="1"/>
  <c r="E1046" i="29" l="1"/>
  <c r="E1083" i="29" l="1"/>
  <c r="E1084" i="29" l="1"/>
  <c r="E1085" i="29" l="1"/>
  <c r="E1086" i="29" l="1"/>
  <c r="E1087" i="29" l="1"/>
  <c r="E1088" i="29" l="1"/>
  <c r="E1089" i="29"/>
  <c r="H63" i="52" l="1"/>
  <c r="V991" i="29"/>
  <c r="H41" i="2" l="1"/>
  <c r="N41" i="2" s="1"/>
  <c r="T109" i="12"/>
  <c r="V109" i="12" s="1"/>
  <c r="R41" i="2" s="1"/>
  <c r="Y991" i="29"/>
  <c r="F34" i="27"/>
  <c r="E34" i="27"/>
  <c r="I34" i="27"/>
  <c r="J35" i="27" s="1"/>
  <c r="N63" i="52"/>
  <c r="N64" i="52" s="1"/>
  <c r="H64" i="52"/>
  <c r="H40" i="2"/>
  <c r="AB991" i="29" l="1"/>
  <c r="J36" i="27" s="1"/>
  <c r="N40" i="2"/>
  <c r="V994" i="29"/>
  <c r="H66" i="52"/>
  <c r="N66" i="52" s="1"/>
  <c r="V993" i="29"/>
  <c r="H65" i="52"/>
  <c r="N65" i="52" s="1"/>
  <c r="R111" i="12"/>
  <c r="G34" i="27"/>
  <c r="F33" i="28" s="1"/>
  <c r="G33" i="28" s="1"/>
  <c r="R113" i="12" l="1"/>
  <c r="R140" i="12" s="1"/>
  <c r="V1089" i="29" s="1"/>
  <c r="N42" i="2"/>
  <c r="H42" i="2"/>
  <c r="H18" i="32" s="1"/>
  <c r="H39" i="32" s="1"/>
  <c r="N67" i="52"/>
  <c r="N68" i="52" s="1"/>
  <c r="H67" i="52"/>
  <c r="Y994" i="29"/>
  <c r="Y993" i="29"/>
  <c r="T111" i="12"/>
  <c r="T113" i="12" s="1"/>
  <c r="P64" i="52"/>
  <c r="P77" i="52"/>
  <c r="P40" i="2" l="1"/>
  <c r="P42" i="2"/>
  <c r="P41" i="2"/>
  <c r="N18" i="32"/>
  <c r="N39" i="32" s="1"/>
  <c r="AB994" i="29"/>
  <c r="P66" i="52"/>
  <c r="P65" i="52"/>
  <c r="AB993" i="29"/>
  <c r="V111" i="12"/>
  <c r="V113" i="12" s="1"/>
  <c r="P19" i="2"/>
  <c r="P23" i="2"/>
  <c r="P32" i="2"/>
  <c r="P36" i="2"/>
  <c r="N43" i="2"/>
  <c r="N20" i="32" s="1"/>
  <c r="P27" i="2"/>
  <c r="P20" i="2"/>
  <c r="P33" i="2"/>
  <c r="P24" i="2"/>
  <c r="P22" i="2"/>
  <c r="P18" i="2"/>
  <c r="P39" i="2"/>
  <c r="P29" i="2"/>
  <c r="P28" i="2"/>
  <c r="P25" i="2"/>
  <c r="P38" i="2"/>
  <c r="P37" i="2"/>
  <c r="P21" i="2"/>
  <c r="P35" i="2"/>
  <c r="H40" i="32"/>
  <c r="N57" i="2" l="1"/>
  <c r="R42" i="2"/>
  <c r="AD995" i="29"/>
  <c r="E31" i="27" s="1"/>
  <c r="H42" i="32"/>
  <c r="H47" i="32" s="1"/>
  <c r="N40" i="32"/>
  <c r="Y113" i="12"/>
  <c r="T140" i="12"/>
  <c r="Y1089" i="29" s="1"/>
  <c r="P67" i="52"/>
  <c r="AB960" i="29"/>
  <c r="AB1004" i="29"/>
  <c r="U135" i="12"/>
  <c r="N7" i="26"/>
  <c r="G65" i="18"/>
  <c r="N83" i="52"/>
  <c r="F31" i="27" l="1"/>
  <c r="G31" i="27" s="1"/>
  <c r="F31" i="28" s="1"/>
  <c r="G31" i="28" s="1"/>
  <c r="I31" i="27"/>
  <c r="N45" i="26"/>
  <c r="Q45" i="26" s="1"/>
  <c r="N24" i="26"/>
  <c r="Q24" i="26" s="1"/>
  <c r="N11" i="26"/>
  <c r="Q11" i="26" s="1"/>
  <c r="W11" i="26" s="1"/>
  <c r="N35" i="26"/>
  <c r="Q35" i="26" s="1"/>
  <c r="N17" i="26"/>
  <c r="Q17" i="26" s="1"/>
  <c r="W17" i="26" s="1"/>
  <c r="N19" i="26"/>
  <c r="Q19" i="26" s="1"/>
  <c r="W19" i="26" s="1"/>
  <c r="N10" i="26"/>
  <c r="Q10" i="26" s="1"/>
  <c r="W10" i="26" s="1"/>
  <c r="N43" i="26"/>
  <c r="Q43" i="26" s="1"/>
  <c r="N16" i="26"/>
  <c r="Q16" i="26" s="1"/>
  <c r="W16" i="26" s="1"/>
  <c r="N28" i="26"/>
  <c r="Q28" i="26" s="1"/>
  <c r="N26" i="26"/>
  <c r="Q26" i="26" s="1"/>
  <c r="N29" i="26"/>
  <c r="Q29" i="26" s="1"/>
  <c r="Q7" i="26"/>
  <c r="T8" i="26" s="1"/>
  <c r="N39" i="26"/>
  <c r="Q39" i="26" s="1"/>
  <c r="N48" i="26"/>
  <c r="Q48" i="26" s="1"/>
  <c r="N44" i="26"/>
  <c r="Q44" i="26" s="1"/>
  <c r="N14" i="26"/>
  <c r="Q14" i="26" s="1"/>
  <c r="W14" i="26" s="1"/>
  <c r="N34" i="26"/>
  <c r="Q34" i="26" s="1"/>
  <c r="N15" i="26"/>
  <c r="Q15" i="26" s="1"/>
  <c r="W15" i="26" s="1"/>
  <c r="N21" i="26"/>
  <c r="Q21" i="26" s="1"/>
  <c r="W21" i="26" s="1"/>
  <c r="N40" i="26"/>
  <c r="Q40" i="26" s="1"/>
  <c r="N25" i="26"/>
  <c r="Q25" i="26" s="1"/>
  <c r="N33" i="26"/>
  <c r="Q33" i="26" s="1"/>
  <c r="N46" i="26"/>
  <c r="Q46" i="26" s="1"/>
  <c r="N32" i="26"/>
  <c r="Q32" i="26" s="1"/>
  <c r="N13" i="26"/>
  <c r="Q13" i="26" s="1"/>
  <c r="W13" i="26" s="1"/>
  <c r="N42" i="26"/>
  <c r="Q42" i="26" s="1"/>
  <c r="N23" i="26"/>
  <c r="Q23" i="26" s="1"/>
  <c r="W23" i="26" s="1"/>
  <c r="N20" i="26"/>
  <c r="Q20" i="26" s="1"/>
  <c r="W20" i="26" s="1"/>
  <c r="N30" i="26"/>
  <c r="Q30" i="26" s="1"/>
  <c r="N18" i="26"/>
  <c r="Q18" i="26" s="1"/>
  <c r="W18" i="26" s="1"/>
  <c r="N38" i="26"/>
  <c r="Q38" i="26" s="1"/>
  <c r="N22" i="26"/>
  <c r="Q22" i="26" s="1"/>
  <c r="W22" i="26" s="1"/>
  <c r="N9" i="26"/>
  <c r="N37" i="26"/>
  <c r="Q37" i="26" s="1"/>
  <c r="N47" i="26"/>
  <c r="Q47" i="26" s="1"/>
  <c r="N36" i="26"/>
  <c r="Q36" i="26" s="1"/>
  <c r="N27" i="26"/>
  <c r="Q27" i="26" s="1"/>
  <c r="N41" i="26"/>
  <c r="Q41" i="26" s="1"/>
  <c r="N31" i="26"/>
  <c r="Q31" i="26" s="1"/>
  <c r="N12" i="26"/>
  <c r="Q12" i="26" s="1"/>
  <c r="W12" i="26" s="1"/>
  <c r="G12" i="18"/>
  <c r="I12" i="18" s="1"/>
  <c r="O12" i="18" s="1"/>
  <c r="G34" i="18"/>
  <c r="I34" i="18" s="1"/>
  <c r="O34" i="18" s="1"/>
  <c r="G23" i="18"/>
  <c r="I23" i="18" s="1"/>
  <c r="O23" i="18" s="1"/>
  <c r="G41" i="18"/>
  <c r="I41" i="18" s="1"/>
  <c r="O41" i="18" s="1"/>
  <c r="G61" i="18"/>
  <c r="I61" i="18" s="1"/>
  <c r="O61" i="18" s="1"/>
  <c r="G9" i="18"/>
  <c r="I9" i="18" s="1"/>
  <c r="O9" i="18" s="1"/>
  <c r="G48" i="18"/>
  <c r="I48" i="18" s="1"/>
  <c r="O48" i="18" s="1"/>
  <c r="G51" i="18"/>
  <c r="I51" i="18" s="1"/>
  <c r="O51" i="18" s="1"/>
  <c r="G20" i="18"/>
  <c r="I20" i="18" s="1"/>
  <c r="O20" i="18" s="1"/>
  <c r="G16" i="18"/>
  <c r="I16" i="18" s="1"/>
  <c r="O16" i="18" s="1"/>
  <c r="G10" i="18"/>
  <c r="I10" i="18" s="1"/>
  <c r="O10" i="18" s="1"/>
  <c r="G42" i="18"/>
  <c r="I42" i="18" s="1"/>
  <c r="O42" i="18" s="1"/>
  <c r="G52" i="18"/>
  <c r="I52" i="18" s="1"/>
  <c r="O52" i="18" s="1"/>
  <c r="G56" i="18"/>
  <c r="I56" i="18" s="1"/>
  <c r="O56" i="18" s="1"/>
  <c r="G59" i="18"/>
  <c r="I59" i="18" s="1"/>
  <c r="O59" i="18" s="1"/>
  <c r="G11" i="18"/>
  <c r="I11" i="18" s="1"/>
  <c r="O11" i="18" s="1"/>
  <c r="G37" i="18"/>
  <c r="I37" i="18" s="1"/>
  <c r="O37" i="18" s="1"/>
  <c r="G8" i="18"/>
  <c r="I8" i="18" s="1"/>
  <c r="O8" i="18" s="1"/>
  <c r="G62" i="18"/>
  <c r="I62" i="18" s="1"/>
  <c r="O62" i="18" s="1"/>
  <c r="G25" i="18"/>
  <c r="I25" i="18" s="1"/>
  <c r="O25" i="18" s="1"/>
  <c r="G18" i="18"/>
  <c r="I18" i="18" s="1"/>
  <c r="O18" i="18" s="1"/>
  <c r="G31" i="18"/>
  <c r="I31" i="18" s="1"/>
  <c r="O31" i="18" s="1"/>
  <c r="G40" i="18"/>
  <c r="I40" i="18" s="1"/>
  <c r="O40" i="18" s="1"/>
  <c r="G50" i="18"/>
  <c r="I50" i="18" s="1"/>
  <c r="O50" i="18" s="1"/>
  <c r="G38" i="18"/>
  <c r="I38" i="18" s="1"/>
  <c r="O38" i="18" s="1"/>
  <c r="G60" i="18"/>
  <c r="I60" i="18" s="1"/>
  <c r="O60" i="18" s="1"/>
  <c r="G17" i="18"/>
  <c r="I17" i="18" s="1"/>
  <c r="O17" i="18" s="1"/>
  <c r="G58" i="18"/>
  <c r="I58" i="18" s="1"/>
  <c r="O58" i="18" s="1"/>
  <c r="G33" i="18"/>
  <c r="I33" i="18" s="1"/>
  <c r="O33" i="18" s="1"/>
  <c r="G44" i="18"/>
  <c r="I44" i="18" s="1"/>
  <c r="O44" i="18" s="1"/>
  <c r="G35" i="18"/>
  <c r="I35" i="18" s="1"/>
  <c r="O35" i="18" s="1"/>
  <c r="G54" i="18"/>
  <c r="I54" i="18" s="1"/>
  <c r="O54" i="18" s="1"/>
  <c r="G27" i="18"/>
  <c r="I27" i="18" s="1"/>
  <c r="O27" i="18" s="1"/>
  <c r="G39" i="18"/>
  <c r="I39" i="18" s="1"/>
  <c r="O39" i="18" s="1"/>
  <c r="G28" i="18"/>
  <c r="I28" i="18" s="1"/>
  <c r="O28" i="18" s="1"/>
  <c r="G47" i="18"/>
  <c r="I47" i="18" s="1"/>
  <c r="O47" i="18" s="1"/>
  <c r="G24" i="18"/>
  <c r="I24" i="18" s="1"/>
  <c r="O24" i="18" s="1"/>
  <c r="G13" i="18"/>
  <c r="I13" i="18" s="1"/>
  <c r="O13" i="18" s="1"/>
  <c r="G46" i="18"/>
  <c r="I46" i="18" s="1"/>
  <c r="O46" i="18" s="1"/>
  <c r="G63" i="18"/>
  <c r="I63" i="18" s="1"/>
  <c r="O63" i="18" s="1"/>
  <c r="G57" i="18"/>
  <c r="I57" i="18" s="1"/>
  <c r="O57" i="18" s="1"/>
  <c r="G55" i="18"/>
  <c r="I55" i="18" s="1"/>
  <c r="O55" i="18" s="1"/>
  <c r="G32" i="18"/>
  <c r="I32" i="18" s="1"/>
  <c r="O32" i="18" s="1"/>
  <c r="G26" i="18"/>
  <c r="I26" i="18" s="1"/>
  <c r="O26" i="18" s="1"/>
  <c r="G30" i="18"/>
  <c r="I30" i="18" s="1"/>
  <c r="O30" i="18" s="1"/>
  <c r="G45" i="18"/>
  <c r="I45" i="18" s="1"/>
  <c r="O45" i="18" s="1"/>
  <c r="G7" i="18"/>
  <c r="G19" i="18"/>
  <c r="I19" i="18" s="1"/>
  <c r="O19" i="18" s="1"/>
  <c r="G29" i="18"/>
  <c r="I29" i="18" s="1"/>
  <c r="O29" i="18" s="1"/>
  <c r="G49" i="18"/>
  <c r="I49" i="18" s="1"/>
  <c r="O49" i="18" s="1"/>
  <c r="G22" i="18"/>
  <c r="I22" i="18" s="1"/>
  <c r="O22" i="18" s="1"/>
  <c r="G53" i="18"/>
  <c r="I53" i="18" s="1"/>
  <c r="O53" i="18" s="1"/>
  <c r="G43" i="18"/>
  <c r="I43" i="18" s="1"/>
  <c r="O43" i="18" s="1"/>
  <c r="G14" i="18"/>
  <c r="I14" i="18" s="1"/>
  <c r="O14" i="18" s="1"/>
  <c r="G36" i="18"/>
  <c r="I36" i="18" s="1"/>
  <c r="O36" i="18" s="1"/>
  <c r="G21" i="18"/>
  <c r="I21" i="18" s="1"/>
  <c r="O21" i="18" s="1"/>
  <c r="G15" i="18"/>
  <c r="I15" i="18" s="1"/>
  <c r="O15" i="18" s="1"/>
  <c r="N42" i="32"/>
  <c r="N47" i="32" s="1"/>
  <c r="P40" i="32"/>
  <c r="Z1084" i="29"/>
  <c r="U138" i="12"/>
  <c r="V135" i="12"/>
  <c r="S47" i="32" l="1"/>
  <c r="N49" i="32"/>
  <c r="G64" i="18"/>
  <c r="O7" i="18"/>
  <c r="Y138" i="12"/>
  <c r="Z1087" i="29"/>
  <c r="U140" i="12"/>
  <c r="V138" i="12"/>
  <c r="N50" i="26"/>
  <c r="O9" i="26"/>
  <c r="O10" i="26" s="1"/>
  <c r="O11" i="26" s="1"/>
  <c r="O12" i="26" s="1"/>
  <c r="O13" i="26" s="1"/>
  <c r="O14" i="26" s="1"/>
  <c r="O15" i="26" s="1"/>
  <c r="O16" i="26" s="1"/>
  <c r="O17" i="26" s="1"/>
  <c r="O18" i="26" s="1"/>
  <c r="O19" i="26" s="1"/>
  <c r="O20" i="26" s="1"/>
  <c r="O21" i="26" s="1"/>
  <c r="O22" i="26" s="1"/>
  <c r="O23" i="26" s="1"/>
  <c r="O24" i="26" s="1"/>
  <c r="O25" i="26" s="1"/>
  <c r="O26" i="26" s="1"/>
  <c r="O27" i="26" s="1"/>
  <c r="O28" i="26" s="1"/>
  <c r="O29" i="26" s="1"/>
  <c r="O30" i="26" s="1"/>
  <c r="O31" i="26" s="1"/>
  <c r="O32" i="26" s="1"/>
  <c r="O33" i="26" s="1"/>
  <c r="O34" i="26" s="1"/>
  <c r="O35" i="26" s="1"/>
  <c r="O36" i="26" s="1"/>
  <c r="O37" i="26" s="1"/>
  <c r="O38" i="26" s="1"/>
  <c r="O39" i="26" s="1"/>
  <c r="O40" i="26" s="1"/>
  <c r="O41" i="26" s="1"/>
  <c r="O42" i="26" s="1"/>
  <c r="O43" i="26" s="1"/>
  <c r="O44" i="26" s="1"/>
  <c r="O45" i="26" s="1"/>
  <c r="O46" i="26" s="1"/>
  <c r="O47" i="26" s="1"/>
  <c r="O48" i="26" s="1"/>
  <c r="Q9" i="26"/>
  <c r="N71" i="52"/>
  <c r="N72" i="52" s="1"/>
  <c r="N73" i="52" s="1"/>
  <c r="N46" i="2"/>
  <c r="N47" i="2" s="1"/>
  <c r="N48" i="2" s="1"/>
  <c r="AB1084" i="29"/>
  <c r="O64" i="18" l="1"/>
  <c r="O66" i="18" s="1"/>
  <c r="I7" i="18"/>
  <c r="I74" i="27"/>
  <c r="F74" i="27"/>
  <c r="E74" i="27"/>
  <c r="AB1087" i="29"/>
  <c r="V140" i="12"/>
  <c r="W9" i="26"/>
  <c r="Q50" i="26"/>
  <c r="R50" i="26" s="1"/>
  <c r="R9" i="26"/>
  <c r="R10" i="26" s="1"/>
  <c r="R11" i="26" s="1"/>
  <c r="R12" i="26" s="1"/>
  <c r="R13" i="26" s="1"/>
  <c r="R14" i="26" s="1"/>
  <c r="R15" i="26" s="1"/>
  <c r="R16" i="26" s="1"/>
  <c r="R17" i="26" s="1"/>
  <c r="R18" i="26" s="1"/>
  <c r="R19" i="26" s="1"/>
  <c r="R20" i="26" s="1"/>
  <c r="R21" i="26" s="1"/>
  <c r="R22" i="26" s="1"/>
  <c r="R23" i="26" s="1"/>
  <c r="R24" i="26" s="1"/>
  <c r="R25" i="26" s="1"/>
  <c r="R26" i="26" s="1"/>
  <c r="R27" i="26" s="1"/>
  <c r="R28" i="26" s="1"/>
  <c r="R29" i="26" s="1"/>
  <c r="R30" i="26" s="1"/>
  <c r="R31" i="26" s="1"/>
  <c r="R32" i="26" s="1"/>
  <c r="R33" i="26" s="1"/>
  <c r="R34" i="26" s="1"/>
  <c r="R35" i="26" s="1"/>
  <c r="R36" i="26" s="1"/>
  <c r="R37" i="26" s="1"/>
  <c r="R38" i="26" s="1"/>
  <c r="R39" i="26" s="1"/>
  <c r="R40" i="26" s="1"/>
  <c r="R41" i="26" s="1"/>
  <c r="R42" i="26" s="1"/>
  <c r="R43" i="26" s="1"/>
  <c r="R44" i="26" s="1"/>
  <c r="R45" i="26" s="1"/>
  <c r="R46" i="26" s="1"/>
  <c r="R47" i="26" s="1"/>
  <c r="R48" i="26" s="1"/>
  <c r="R49" i="26" s="1"/>
  <c r="Y140" i="12"/>
  <c r="Z1089" i="29"/>
  <c r="P72" i="52" l="1"/>
  <c r="V142" i="12"/>
  <c r="AB1089" i="29"/>
  <c r="R47" i="2"/>
  <c r="G74" i="27"/>
  <c r="F73" i="28" s="1"/>
  <c r="G73" i="28" s="1"/>
  <c r="I64" i="18"/>
  <c r="K7" i="18"/>
  <c r="K8" i="18" s="1"/>
  <c r="K9" i="18" s="1"/>
  <c r="K10" i="18" s="1"/>
  <c r="K11" i="18" s="1"/>
  <c r="K12" i="18" s="1"/>
  <c r="K13" i="18" s="1"/>
  <c r="K14" i="18" s="1"/>
  <c r="K15" i="18" s="1"/>
  <c r="K16" i="18" s="1"/>
  <c r="K17" i="18" s="1"/>
  <c r="K18" i="18" s="1"/>
  <c r="K19" i="18" s="1"/>
  <c r="K20" i="18" s="1"/>
  <c r="K21" i="18" s="1"/>
  <c r="K22" i="18" s="1"/>
  <c r="K23" i="18" s="1"/>
  <c r="K24" i="18" s="1"/>
  <c r="K25" i="18" s="1"/>
  <c r="K26" i="18" s="1"/>
  <c r="K27" i="18" s="1"/>
  <c r="K28" i="18" s="1"/>
  <c r="K29" i="18" s="1"/>
  <c r="K30" i="18" s="1"/>
  <c r="K31" i="18" s="1"/>
  <c r="K32" i="18" s="1"/>
  <c r="K33" i="18" s="1"/>
  <c r="K34" i="18" s="1"/>
  <c r="K35" i="18" s="1"/>
  <c r="K36" i="18" s="1"/>
  <c r="K37" i="18" s="1"/>
  <c r="K38" i="18" s="1"/>
  <c r="K39" i="18" s="1"/>
  <c r="K40" i="18" s="1"/>
  <c r="K41" i="18" s="1"/>
  <c r="K42" i="18" s="1"/>
  <c r="K43" i="18" s="1"/>
  <c r="K44" i="18" s="1"/>
  <c r="K45" i="18" s="1"/>
  <c r="K46" i="18" s="1"/>
  <c r="K47" i="18" s="1"/>
  <c r="K48" i="18" s="1"/>
  <c r="K49" i="18" s="1"/>
  <c r="K50" i="18" s="1"/>
  <c r="K51" i="18" s="1"/>
  <c r="K52" i="18" s="1"/>
  <c r="K53" i="18" s="1"/>
  <c r="K54" i="18" s="1"/>
  <c r="K55" i="18" s="1"/>
  <c r="K56" i="18" s="1"/>
  <c r="K57" i="18" s="1"/>
  <c r="K58" i="18" s="1"/>
  <c r="K59" i="18" s="1"/>
  <c r="K60" i="18" s="1"/>
  <c r="K61" i="18" s="1"/>
  <c r="K62" i="18" s="1"/>
  <c r="K63" i="18" s="1"/>
  <c r="AB1091" i="29" l="1"/>
  <c r="P73" i="52"/>
  <c r="R48" i="2"/>
  <c r="I78" i="27"/>
  <c r="AB1094" i="29"/>
</calcChain>
</file>

<file path=xl/comments1.xml><?xml version="1.0" encoding="utf-8"?>
<comments xmlns="http://schemas.openxmlformats.org/spreadsheetml/2006/main">
  <authors>
    <author>Dave Sillence</author>
  </authors>
  <commentList>
    <comment ref="D13" authorId="0">
      <text>
        <r>
          <rPr>
            <b/>
            <sz val="8"/>
            <color indexed="81"/>
            <rFont val="Tahoma"/>
            <family val="2"/>
          </rPr>
          <t>Insert the appropriate expense class from the table at the bottom of the page S,R,L</t>
        </r>
      </text>
    </comment>
    <comment ref="E13" authorId="0">
      <text>
        <r>
          <rPr>
            <b/>
            <sz val="8"/>
            <color indexed="81"/>
            <rFont val="Tahoma"/>
            <family val="2"/>
          </rPr>
          <t>Indicate whether travel is appropriate for the individual, enter T from the table at the bottom of the page.</t>
        </r>
      </text>
    </comment>
    <comment ref="M13" authorId="0">
      <text>
        <r>
          <rPr>
            <sz val="8"/>
            <color indexed="81"/>
            <rFont val="Tahoma"/>
            <family val="2"/>
          </rPr>
          <t>Insert the appropriate staff salary multiplier here</t>
        </r>
      </text>
    </comment>
    <comment ref="D110" authorId="0">
      <text>
        <r>
          <rPr>
            <b/>
            <sz val="8"/>
            <color indexed="81"/>
            <rFont val="Tahoma"/>
            <family val="2"/>
          </rPr>
          <t>Insert the appropriate expense class from the table at the bottom of the page S,R,L</t>
        </r>
      </text>
    </comment>
    <comment ref="E110" authorId="0">
      <text>
        <r>
          <rPr>
            <b/>
            <sz val="8"/>
            <color indexed="81"/>
            <rFont val="Tahoma"/>
            <family val="2"/>
          </rPr>
          <t>Indicate whether travel is appropriate for the individual, enter T from the table at the bottom of the page.</t>
        </r>
      </text>
    </comment>
    <comment ref="M110" authorId="0">
      <text>
        <r>
          <rPr>
            <sz val="8"/>
            <color indexed="81"/>
            <rFont val="Tahoma"/>
            <family val="2"/>
          </rPr>
          <t>Insert the appropriate staff salary multiplier here</t>
        </r>
      </text>
    </comment>
  </commentList>
</comments>
</file>

<file path=xl/comments2.xml><?xml version="1.0" encoding="utf-8"?>
<comments xmlns="http://schemas.openxmlformats.org/spreadsheetml/2006/main">
  <authors>
    <author>Dave Sillence</author>
  </authors>
  <commentList>
    <comment ref="I10" authorId="0">
      <text>
        <r>
          <rPr>
            <b/>
            <sz val="8"/>
            <color indexed="81"/>
            <rFont val="Tahoma"/>
            <family val="2"/>
          </rPr>
          <t>Enter the direct cost of labor for indirect work here</t>
        </r>
      </text>
    </comment>
    <comment ref="D13" authorId="0">
      <text>
        <r>
          <rPr>
            <b/>
            <sz val="8"/>
            <color indexed="81"/>
            <rFont val="Tahoma"/>
            <family val="2"/>
          </rPr>
          <t>Enter the onsite project duration here</t>
        </r>
      </text>
    </comment>
  </commentList>
</comments>
</file>

<file path=xl/sharedStrings.xml><?xml version="1.0" encoding="utf-8"?>
<sst xmlns="http://schemas.openxmlformats.org/spreadsheetml/2006/main" count="7589" uniqueCount="2547">
  <si>
    <t>OI5</t>
  </si>
  <si>
    <t>OI6</t>
  </si>
  <si>
    <t>OI7</t>
  </si>
  <si>
    <t>OI8</t>
  </si>
  <si>
    <t>OI9</t>
  </si>
  <si>
    <t>Units 1 &amp; 2 Boiler Cumulative</t>
  </si>
  <si>
    <t>Units 1 &amp; 2 Turbine Cumulative</t>
  </si>
  <si>
    <t>EPC Cumulative</t>
  </si>
  <si>
    <t>Owner Cumulative</t>
  </si>
  <si>
    <t>Total Cumulative</t>
  </si>
  <si>
    <t>Construction</t>
  </si>
  <si>
    <t xml:space="preserve">Pumps - aux cooling water </t>
  </si>
  <si>
    <t>Pumps - boiler feed start-up pump</t>
  </si>
  <si>
    <t>Pumps - boiler feedwater</t>
  </si>
  <si>
    <t>Pumps - boiler fill pumps</t>
  </si>
  <si>
    <t>PI1d</t>
  </si>
  <si>
    <t>Warehousing Craft &amp; Equipment Shelving</t>
  </si>
  <si>
    <t>Owner Quarterly Meetings &amp; Lunches</t>
  </si>
  <si>
    <t>Monthly Scheduled Meetings &amp; Lunches</t>
  </si>
  <si>
    <t>Non-site Staff Surveying</t>
  </si>
  <si>
    <t>Signs/Hazard ID/Barricades/GO-FER</t>
  </si>
  <si>
    <t>Safety Lunches</t>
  </si>
  <si>
    <t>Permits EPC/GC</t>
  </si>
  <si>
    <t>Permits elevators/Others</t>
  </si>
  <si>
    <t>- Technology and Site Selection</t>
  </si>
  <si>
    <t>- Taxes (Sales, Other)</t>
  </si>
  <si>
    <t>- Land Purchase/Options/Rezoning</t>
  </si>
  <si>
    <t>- Tax Assistance</t>
  </si>
  <si>
    <t>- Soil or Groundwater Remediation/Treatment</t>
  </si>
  <si>
    <t>- Marketing and Environmental Consultants</t>
  </si>
  <si>
    <t>- Transmission/Gas Pipeline/Rail Rights of Way</t>
  </si>
  <si>
    <t>- Owner's Legal Expenses (Internal/External)</t>
  </si>
  <si>
    <t>- Access Rail/Road Modifications &amp; Upgrades</t>
  </si>
  <si>
    <t xml:space="preserve">       ~ Power Purchase Agreement (PAP)</t>
  </si>
  <si>
    <t>- Demolition and Site Clearing</t>
  </si>
  <si>
    <t xml:space="preserve">       ~ Interconnect Agreements</t>
  </si>
  <si>
    <t>- Environmental Permitting/Offsets</t>
  </si>
  <si>
    <t xml:space="preserve">       ~ Contracts-Procurement and Construction</t>
  </si>
  <si>
    <t>- Public Relations/Community Development</t>
  </si>
  <si>
    <t xml:space="preserve">       ~ Property Transfer</t>
  </si>
  <si>
    <t>Project Development Subtotal</t>
  </si>
  <si>
    <t>Taxes/Advisory Fees/Legal Subtotal</t>
  </si>
  <si>
    <t>Utility and Other Interconnections</t>
  </si>
  <si>
    <t>Owner's Security and Contingency</t>
  </si>
  <si>
    <t>Water Infrastructure/Supply to the Site</t>
  </si>
  <si>
    <t>Fuel- Coal</t>
  </si>
  <si>
    <t>Fuel - Fuel oil</t>
  </si>
  <si>
    <t>Variable O&amp;M - Water, Chemicals, Etc</t>
  </si>
  <si>
    <t>EPC Contracting Approach</t>
  </si>
  <si>
    <r>
      <t xml:space="preserve">100% Union Labor </t>
    </r>
    <r>
      <rPr>
        <sz val="10"/>
        <rFont val="Arial"/>
        <family val="2"/>
      </rPr>
      <t>(COD Basis)</t>
    </r>
  </si>
  <si>
    <t>Initial Fuel Inventory - Coal</t>
  </si>
  <si>
    <t>Station Batteries 125 Volt DC</t>
  </si>
  <si>
    <t>Transformer Aux Power</t>
  </si>
  <si>
    <t>Transformer GSU</t>
  </si>
  <si>
    <t>Hangers &amp; Supports - (large bore rigid)</t>
  </si>
  <si>
    <t>Grade Supports</t>
  </si>
  <si>
    <t>Mechanical Accessories &amp; Misc.</t>
  </si>
  <si>
    <t xml:space="preserve">Expansion Joints - circ water </t>
  </si>
  <si>
    <t>Fire Protection Systems - hydrants &amp; accessories</t>
  </si>
  <si>
    <t>Fire Pumps - main &amp; jockey</t>
  </si>
  <si>
    <t>Flushes &amp; Hydro Test</t>
  </si>
  <si>
    <t>Site Finishing - Grading around foundations</t>
  </si>
  <si>
    <t>sy</t>
  </si>
  <si>
    <t>72' x 96'</t>
  </si>
  <si>
    <t>6' x 4000'</t>
  </si>
  <si>
    <t>Electric Ductbank 6 x 6 &amp; Cable Vaults</t>
  </si>
  <si>
    <t xml:space="preserve">       - Builders Risk Insurance</t>
  </si>
  <si>
    <t>Owner Contingency</t>
  </si>
  <si>
    <t>Varies</t>
  </si>
  <si>
    <t xml:space="preserve">                Calculated costs for Project Indirects and Owner Indirects are included in this spreadsheet (bottom portion)</t>
  </si>
  <si>
    <t>Codes incorported from SMP spreadsheet</t>
  </si>
  <si>
    <t>Mat</t>
  </si>
  <si>
    <t>Labor</t>
  </si>
  <si>
    <t>S/C</t>
  </si>
  <si>
    <t xml:space="preserve"> WC % Rate</t>
  </si>
  <si>
    <t>Sheetmetal</t>
  </si>
  <si>
    <t>(applied to base rate)</t>
  </si>
  <si>
    <t>On-Site Railroad</t>
  </si>
  <si>
    <t>RR Right-of-way foundation work, grade &amp; drainage</t>
  </si>
  <si>
    <t>RR Ballast</t>
  </si>
  <si>
    <t>RR Track on wood ties</t>
  </si>
  <si>
    <t>RR Switches Remote Operation</t>
  </si>
  <si>
    <t>RR Turnouts Manual Operation &amp; Track Bumpers</t>
  </si>
  <si>
    <t>Units 1 &amp; 2 CTG Cumulative</t>
  </si>
  <si>
    <t>Office Telephone Equipment/installation</t>
  </si>
  <si>
    <t>Total Esclation Percent =</t>
  </si>
  <si>
    <t>Blowdown Tank</t>
  </si>
  <si>
    <t>Electrical</t>
  </si>
  <si>
    <t xml:space="preserve">Miscellaneous Specialties </t>
  </si>
  <si>
    <t>Equipment</t>
  </si>
  <si>
    <t>Truck Scale</t>
  </si>
  <si>
    <t>20' x 80'</t>
  </si>
  <si>
    <t>Conditioning</t>
  </si>
  <si>
    <t>Equip Rm</t>
  </si>
  <si>
    <t>70' Dia</t>
  </si>
  <si>
    <t>80' Dia</t>
  </si>
  <si>
    <t>Supply</t>
  </si>
  <si>
    <t>72' Dia</t>
  </si>
  <si>
    <t>Absorber Hold Tank</t>
  </si>
  <si>
    <t>Design</t>
  </si>
  <si>
    <t xml:space="preserve"> Total Direct Cost</t>
  </si>
  <si>
    <t xml:space="preserve"> Sub-Total Construction Indirects and Services</t>
  </si>
  <si>
    <t xml:space="preserve"> Total Construction Cost</t>
  </si>
  <si>
    <t>Unclassified Initial Fills (Fluids,Resins,Lubes)</t>
  </si>
  <si>
    <t>Unclassified Vendor Technical Assistance</t>
  </si>
  <si>
    <t>Fuel Oil Tank Foundation</t>
  </si>
  <si>
    <t>Grouting (equipment &amp; steel)</t>
  </si>
  <si>
    <t>Potable Water</t>
  </si>
  <si>
    <t>Pre-Treatment Water to Service Water tank</t>
  </si>
  <si>
    <t>Sanitary Waste</t>
  </si>
  <si>
    <t>Seal Oil</t>
  </si>
  <si>
    <t>Service Air</t>
  </si>
  <si>
    <t>Stator Cooling</t>
  </si>
  <si>
    <t>Painting - equipment</t>
  </si>
  <si>
    <t>H</t>
  </si>
  <si>
    <t xml:space="preserve">  WC Supervision</t>
  </si>
  <si>
    <t xml:space="preserve"> Union Based</t>
  </si>
  <si>
    <t>Communication Radios</t>
  </si>
  <si>
    <t>OI36</t>
  </si>
  <si>
    <t>Driver Hours</t>
  </si>
  <si>
    <t xml:space="preserve">Driver </t>
  </si>
  <si>
    <t>Operator Hours</t>
  </si>
  <si>
    <t>Dump Trucks Tandem, 12 tons</t>
  </si>
  <si>
    <t>Scrapers - self propelled 24 cy</t>
  </si>
  <si>
    <t>Hydraulic Excavator 5 Cy</t>
  </si>
  <si>
    <t>$/Hour</t>
  </si>
  <si>
    <t>Total Owner Indirects</t>
  </si>
  <si>
    <t>TOTAL PROJECT COST</t>
  </si>
  <si>
    <t>$/kW</t>
  </si>
  <si>
    <t xml:space="preserve">Operator </t>
  </si>
  <si>
    <t>Hours</t>
  </si>
  <si>
    <t>Soil Erosion Control Measures</t>
  </si>
  <si>
    <t>Site Improvements - Site Entrance Sign and Landscaping</t>
  </si>
  <si>
    <t xml:space="preserve">Site Finishing - Stone Surfacing </t>
  </si>
  <si>
    <t>SUI**</t>
  </si>
  <si>
    <t>Sales Tax &amp; Duties</t>
  </si>
  <si>
    <t>Escalation of Owners Costs</t>
  </si>
  <si>
    <t>Financing Fees</t>
  </si>
  <si>
    <t>AFUDC</t>
  </si>
  <si>
    <t>Project Contingency</t>
  </si>
  <si>
    <t>Pump Fuel Oil Unloading</t>
  </si>
  <si>
    <t>Survey &amp; Field Engineering Supplies</t>
  </si>
  <si>
    <t>Project Overnight/Emerg. Postage Costs</t>
  </si>
  <si>
    <t xml:space="preserve">Office Telephone Bill </t>
  </si>
  <si>
    <t xml:space="preserve">       - Comprehensive General Liability (CGL) Insurance</t>
  </si>
  <si>
    <t>Foundations &amp; Concrete</t>
  </si>
  <si>
    <t>Site Development</t>
  </si>
  <si>
    <t>Total EPC Contractor Project Indirect Cost</t>
  </si>
  <si>
    <t xml:space="preserve">       - EPC Contractor Contingency</t>
  </si>
  <si>
    <t>Enclosure</t>
  </si>
  <si>
    <t>Process Water</t>
  </si>
  <si>
    <t>Lighting</t>
  </si>
  <si>
    <t>Domestic Water</t>
  </si>
  <si>
    <t>Sanitary Sewer</t>
  </si>
  <si>
    <t>Drains</t>
  </si>
  <si>
    <t>H&amp;V</t>
  </si>
  <si>
    <t>HVAC</t>
  </si>
  <si>
    <t>I&amp;C</t>
  </si>
  <si>
    <t>Pre-Engr Steel</t>
  </si>
  <si>
    <t>480/208/120V</t>
  </si>
  <si>
    <t>Int/Ext</t>
  </si>
  <si>
    <t>X</t>
  </si>
  <si>
    <t>R,ESh,M</t>
  </si>
  <si>
    <t>Ofc</t>
  </si>
  <si>
    <t>Ext</t>
  </si>
  <si>
    <t>R,Sh,ESh,K,M</t>
  </si>
  <si>
    <t>Overall Project Complexity and Size Affecting Book Labor</t>
  </si>
  <si>
    <t>Peak Manpower of &gt;800</t>
  </si>
  <si>
    <t>Peak Manpower of 400-800</t>
  </si>
  <si>
    <t>Peak Manpower of &lt;400</t>
  </si>
  <si>
    <t>Potential for Congested Work Areas and More Than One Craft Congestion Issues Affecting Productivity</t>
  </si>
  <si>
    <t>Moderate</t>
  </si>
  <si>
    <t>PI3/PI4</t>
  </si>
  <si>
    <t>Labor Escalation*</t>
  </si>
  <si>
    <t>Construction Indirects*</t>
  </si>
  <si>
    <t>Project Management &amp; Engineering*</t>
  </si>
  <si>
    <t>Materials Escalation*</t>
  </si>
  <si>
    <t xml:space="preserve">Auxiliary Boiler Steel Stack </t>
  </si>
  <si>
    <t xml:space="preserve">Brine Concentrator </t>
  </si>
  <si>
    <t>Closed Cooling Water Exchanger</t>
  </si>
  <si>
    <t xml:space="preserve"> Sub-Total Project Indirects</t>
  </si>
  <si>
    <t>Combustion Turbine fdn</t>
  </si>
  <si>
    <t xml:space="preserve">1 - 40' x 120' </t>
  </si>
  <si>
    <t>25.7 x 35.7</t>
  </si>
  <si>
    <t>Compressed Gas Storage System (H2)</t>
  </si>
  <si>
    <t>Compressed Gas Storage System (N2)</t>
  </si>
  <si>
    <t>Crane Crawler 230 Ton (Duct/Fans/ESP/FGD)</t>
  </si>
  <si>
    <t>Crane Crawler 300 Ton (Out Buildings)</t>
  </si>
  <si>
    <t>Crane Crawler 500 Ton (Boiler/SGBuilding)</t>
  </si>
  <si>
    <t>Startup Craft Support @ 75% Peak</t>
  </si>
  <si>
    <t>PRELIMINARY FOR PLANNING PURPOSES</t>
  </si>
  <si>
    <t>Subtotal Construction Permits</t>
  </si>
  <si>
    <t>Independent Testing (Soils)</t>
  </si>
  <si>
    <t>Independent Testing (Steel)</t>
  </si>
  <si>
    <t>Independent Testing (Electrical)</t>
  </si>
  <si>
    <t>Coal Reclaim Hopper Conveyor Tunnel (1)</t>
  </si>
  <si>
    <t>Coal Conveyor Belt Tension Enclosure</t>
  </si>
  <si>
    <t>Limestone/Gypsum Conveyor Belt Tension Enclosure</t>
  </si>
  <si>
    <t xml:space="preserve">Office Trailers </t>
  </si>
  <si>
    <t>Office Furniture</t>
  </si>
  <si>
    <t>Copy Machine</t>
  </si>
  <si>
    <t>Fax Machine</t>
  </si>
  <si>
    <t>Computers &amp; Peripheral Equipment</t>
  </si>
  <si>
    <t>Drawing Reproduction Equipment</t>
  </si>
  <si>
    <t>Other Office Equipment</t>
  </si>
  <si>
    <t>Office &amp; Engineering Supplies</t>
  </si>
  <si>
    <t>T&amp;I</t>
  </si>
  <si>
    <t>Fill in Data in Aqua Colored cells</t>
  </si>
  <si>
    <t>CRAFT</t>
  </si>
  <si>
    <t/>
  </si>
  <si>
    <t>BASE</t>
  </si>
  <si>
    <t>Have not work together OR have not worked on this type of project</t>
  </si>
  <si>
    <t>Have worked together AND have worked on this type of project</t>
  </si>
  <si>
    <t>Work Hours Productivity Adjustment</t>
  </si>
  <si>
    <t>Project Craft Completion Incentive/Holiday/etc</t>
  </si>
  <si>
    <t>5 X 10 + 5</t>
  </si>
  <si>
    <t>Laborer GF</t>
  </si>
  <si>
    <t xml:space="preserve">Operator Lead/Foreman </t>
  </si>
  <si>
    <t>Operator Light Crane</t>
  </si>
  <si>
    <t>Painter F</t>
  </si>
  <si>
    <t>Roofer F</t>
  </si>
  <si>
    <t>Roofer J</t>
  </si>
  <si>
    <t>Teamster Semi/Heavy Truck</t>
  </si>
  <si>
    <t xml:space="preserve">Column Averages </t>
  </si>
  <si>
    <t>Owners Construction Office Building</t>
  </si>
  <si>
    <t>Owners Construction Warehouses</t>
  </si>
  <si>
    <t>Document Control Manager</t>
  </si>
  <si>
    <t>Chief Office Engineer</t>
  </si>
  <si>
    <t>Office Bldg Mod/Maintenance</t>
  </si>
  <si>
    <t>Craft Change Building</t>
  </si>
  <si>
    <t>Craft Bldg Mod/Maintenance</t>
  </si>
  <si>
    <t>Printers</t>
  </si>
  <si>
    <t>Potable Water Storage Tank</t>
  </si>
  <si>
    <t>Steam Turbine Building Sumps</t>
  </si>
  <si>
    <t xml:space="preserve">Steam Turbine Generator Building Fill Slab </t>
  </si>
  <si>
    <t>`</t>
  </si>
  <si>
    <t>Contractor Home Office Expenses</t>
  </si>
  <si>
    <t>JV Expenses</t>
  </si>
  <si>
    <t>LD Insurance</t>
  </si>
  <si>
    <t>Comprehensive General Liability (CGL) Insurance</t>
  </si>
  <si>
    <t>Warranty Reserve</t>
  </si>
  <si>
    <t>Legal &amp; Accounting Expenses</t>
  </si>
  <si>
    <t>Start-Up and Commissioning, Testing</t>
  </si>
  <si>
    <t>Consumables, Commissioning &amp; First Year Spares</t>
  </si>
  <si>
    <t>Performance Bond</t>
  </si>
  <si>
    <t>PROJECT INDIRECTS</t>
  </si>
  <si>
    <t>Project Management (PM, CM &amp; Procurement)</t>
  </si>
  <si>
    <t>Power Plant Design Engineering</t>
  </si>
  <si>
    <t>Labor Escalation</t>
  </si>
  <si>
    <t>Material Escalation</t>
  </si>
  <si>
    <t>OWNER COSTS</t>
  </si>
  <si>
    <t>Project Development</t>
  </si>
  <si>
    <t>Construction Power</t>
  </si>
  <si>
    <t>Owner Operations Personnel</t>
  </si>
  <si>
    <t>Owner's Project Management</t>
  </si>
  <si>
    <t>Owner's Legal Counsel</t>
  </si>
  <si>
    <t>S,M</t>
  </si>
  <si>
    <t>Boiler Building Sumps</t>
  </si>
  <si>
    <t>30' Dia</t>
  </si>
  <si>
    <t>Sanitary Water Treatment Plant</t>
  </si>
  <si>
    <t>40' x 60'</t>
  </si>
  <si>
    <t>20' Dia</t>
  </si>
  <si>
    <t>PH - Pumphouse</t>
  </si>
  <si>
    <t>Water Infrastructure / Supply to Site</t>
  </si>
  <si>
    <t>Grand Total</t>
  </si>
  <si>
    <t>$$</t>
  </si>
  <si>
    <t>CODE</t>
  </si>
  <si>
    <t>Sum of $$</t>
  </si>
  <si>
    <t>Common - Material</t>
  </si>
  <si>
    <t>Common - Procurement</t>
  </si>
  <si>
    <t>Common - Labor</t>
  </si>
  <si>
    <t>check = $0</t>
  </si>
  <si>
    <t>Total C3</t>
  </si>
  <si>
    <t>Total C4</t>
  </si>
  <si>
    <t>Total C5</t>
  </si>
  <si>
    <t>MATERIAL Purchase or Unit Cost</t>
  </si>
  <si>
    <t xml:space="preserve">Substation Trench </t>
  </si>
  <si>
    <t xml:space="preserve">Substation Overhead Line Structures </t>
  </si>
  <si>
    <t xml:space="preserve">        - Construction Field Staff</t>
  </si>
  <si>
    <t xml:space="preserve">        - Construction Field Staff Expenses</t>
  </si>
  <si>
    <t xml:space="preserve">        - Construction Equipment</t>
  </si>
  <si>
    <t xml:space="preserve">        - Small Tools</t>
  </si>
  <si>
    <t>Architectural &amp; Metals</t>
  </si>
  <si>
    <t>Cathodic Protection System</t>
  </si>
  <si>
    <t>Above Ground Small Bore Systems</t>
  </si>
  <si>
    <t>Alloy - SS</t>
  </si>
  <si>
    <t>A53 Std 2" and Under</t>
  </si>
  <si>
    <t xml:space="preserve">A106B </t>
  </si>
  <si>
    <t>Demin Water</t>
  </si>
  <si>
    <t>Instrument Air</t>
  </si>
  <si>
    <t>Instrument Piping</t>
  </si>
  <si>
    <t>Instrument Air Supply</t>
  </si>
  <si>
    <t>Service Air Piping</t>
  </si>
  <si>
    <t>Below Ground Large Bore</t>
  </si>
  <si>
    <t>A53 Std CS 8"</t>
  </si>
  <si>
    <t>A106B Std CS 4"</t>
  </si>
  <si>
    <t>Circulating Water</t>
  </si>
  <si>
    <t>Service Water</t>
  </si>
  <si>
    <t>Mechanical Valves</t>
  </si>
  <si>
    <t>Finish Grading Around Foundations</t>
  </si>
  <si>
    <t>Roads - asphalt paving main site roads &amp; parking lots</t>
  </si>
  <si>
    <t xml:space="preserve">Roads - earthwork - main roads excavation &amp; grading </t>
  </si>
  <si>
    <t>Roads - main roads aggregate base course</t>
  </si>
  <si>
    <t>Roads - haul roads treated gravel</t>
  </si>
  <si>
    <t xml:space="preserve">Roads - construction roads treated gravel </t>
  </si>
  <si>
    <t xml:space="preserve"> </t>
  </si>
  <si>
    <t xml:space="preserve">Summary Major Owner </t>
  </si>
  <si>
    <t>EPC Package</t>
  </si>
  <si>
    <t>Unit 1 - Subcontract</t>
  </si>
  <si>
    <t>UNIT 1 TOTAL</t>
  </si>
  <si>
    <t>Total C2</t>
  </si>
  <si>
    <t>Total C1</t>
  </si>
  <si>
    <t>Total P1</t>
  </si>
  <si>
    <t>Structural Rock Excav. Circ Water Pipes, Header &amp; Intake Str.</t>
  </si>
  <si>
    <t>Average</t>
  </si>
  <si>
    <t>Low</t>
  </si>
  <si>
    <t>High</t>
  </si>
  <si>
    <t>Climate/Weather Influencing Labor Book Productifity</t>
  </si>
  <si>
    <t>Gulf Coast</t>
  </si>
  <si>
    <t>Middle States</t>
  </si>
  <si>
    <t>Far North</t>
  </si>
  <si>
    <t>Rail Car Limestone Unloading Hopper</t>
  </si>
  <si>
    <t>Rail Car Maintenance Building</t>
  </si>
  <si>
    <t>Railroad Bridge Overpass</t>
  </si>
  <si>
    <t>Reactant Prep &amp; Dewatering Building Foundation</t>
  </si>
  <si>
    <t>Sanitary Waste (Brine) Treatment Facility Foundation</t>
  </si>
  <si>
    <t xml:space="preserve">Side Stream Softening Equipment </t>
  </si>
  <si>
    <t>Tractor Backhoe 1.5 cy</t>
  </si>
  <si>
    <t>Meeting Trips</t>
  </si>
  <si>
    <t>Home</t>
  </si>
  <si>
    <t xml:space="preserve">  05 Limits</t>
  </si>
  <si>
    <t>Monthly</t>
  </si>
  <si>
    <t>Grader 40,000lb</t>
  </si>
  <si>
    <t xml:space="preserve"> Payments</t>
  </si>
  <si>
    <t>Payments</t>
  </si>
  <si>
    <t>Steam Turbine Tools</t>
  </si>
  <si>
    <t>Pick-up truck, 3/4 ton, 4WD, Crew</t>
  </si>
  <si>
    <t>Pick-up truck, 1/2 ton, 4WD, Crew</t>
  </si>
  <si>
    <t>Concrete Pumps</t>
  </si>
  <si>
    <t>National</t>
  </si>
  <si>
    <t>Crane Crawler 300 Ton (Power Block/BOP)</t>
  </si>
  <si>
    <t xml:space="preserve">Rail Car Fuel Oil Unloading Facilities </t>
  </si>
  <si>
    <t>Rail Car Limestone Unloading Conveyor Tunnel</t>
  </si>
  <si>
    <t>Absorber Building fdns</t>
  </si>
  <si>
    <t>BFP motor driven fdn (1)</t>
  </si>
  <si>
    <t xml:space="preserve">Boiler Building Mat fdn </t>
  </si>
  <si>
    <t>Condensate Storage Tank fdn</t>
  </si>
  <si>
    <t>Ductwork Support fdns</t>
  </si>
  <si>
    <t xml:space="preserve">FD Fan fdn </t>
  </si>
  <si>
    <t>ID Fan fdns and pedestals (2)</t>
  </si>
  <si>
    <t>Main Step-Up Transformer fdn/Walls Unit 1</t>
  </si>
  <si>
    <t xml:space="preserve">Misc Boiler Building Equipment Pads and fdns </t>
  </si>
  <si>
    <t>Power Plant Utilities LF</t>
  </si>
  <si>
    <t xml:space="preserve">        - Construction Permits</t>
  </si>
  <si>
    <t xml:space="preserve">        - Construction Testing</t>
  </si>
  <si>
    <t xml:space="preserve">        - Performance Testing</t>
  </si>
  <si>
    <t xml:space="preserve">        - Start-up Supervision</t>
  </si>
  <si>
    <t>Welding machine 250/300 Amp Diesel</t>
  </si>
  <si>
    <t>Welding Rod Oven 300#</t>
  </si>
  <si>
    <t>Weld Test Bender</t>
  </si>
  <si>
    <t xml:space="preserve">Coal Conveyor Belt Tension Enclosures </t>
  </si>
  <si>
    <t>Coal Handling Eqt Maintenance Facility</t>
  </si>
  <si>
    <t>Coal Storage Shed for Coal Stack/Reclaim</t>
  </si>
  <si>
    <t xml:space="preserve">Cooling Tower, pre-engineered - Elect, Chem. Feed, I&amp;C Bldg. </t>
  </si>
  <si>
    <t>Elevator - freight</t>
  </si>
  <si>
    <t>Elevator - passenger (for ea boiler unit)</t>
  </si>
  <si>
    <t>Exterior Doors - steel</t>
  </si>
  <si>
    <t>Fire Pumphouse Structure</t>
  </si>
  <si>
    <t>Fuel Oil Forwarding Pump House</t>
  </si>
  <si>
    <t>Gypsum Storage Shed for Stack/Reclaim</t>
  </si>
  <si>
    <t>HVAC System Allowance</t>
  </si>
  <si>
    <t>Interior Doors - steel</t>
  </si>
  <si>
    <t>Ammonia Feed to SCR</t>
  </si>
  <si>
    <t>Ash Conditioning Water</t>
  </si>
  <si>
    <t>Ash Recirc Water</t>
  </si>
  <si>
    <t>Aux Condensate Return</t>
  </si>
  <si>
    <t>Aux Steam</t>
  </si>
  <si>
    <t>Auxiliary Steam Drains Returns</t>
  </si>
  <si>
    <t>BFP Seal Injection</t>
  </si>
  <si>
    <t>Boiler Drains</t>
  </si>
  <si>
    <t>Building Drains</t>
  </si>
  <si>
    <t>DCS Simulator</t>
  </si>
  <si>
    <t>DCS 1/2 Unit Interface</t>
  </si>
  <si>
    <t>Vibration Monitoring</t>
  </si>
  <si>
    <t>Fabrication &amp; Storage Fixture/Tables</t>
  </si>
  <si>
    <t>Outdoor Laydown Storage &amp; Storage Area Clean-up</t>
  </si>
  <si>
    <t>Laydown Dunnage/Timbers/Misc. Lumber</t>
  </si>
  <si>
    <t>Payroll</t>
  </si>
  <si>
    <t>Expense</t>
  </si>
  <si>
    <t>Benefit</t>
  </si>
  <si>
    <t>Chief Field Engineer</t>
  </si>
  <si>
    <t>Construction Indirects &amp; Services</t>
  </si>
  <si>
    <t xml:space="preserve">Special Insurance: </t>
  </si>
  <si>
    <t>Masonry Walls CMU</t>
  </si>
  <si>
    <t>Overhead Rolling Doors - steel</t>
  </si>
  <si>
    <t>TOTAL EPC PROJECT COST</t>
  </si>
  <si>
    <t>Condensing</t>
  </si>
  <si>
    <t>ITEMS IMPACTING PRODUCTIVITY</t>
  </si>
  <si>
    <t>Selected Factor</t>
  </si>
  <si>
    <t>% of Project Time Condition Applies</t>
  </si>
  <si>
    <t>Extended Factor</t>
  </si>
  <si>
    <t>Misc Turbine Building Equipment Pads and fdns</t>
  </si>
  <si>
    <t xml:space="preserve">PA Fan fdn </t>
  </si>
  <si>
    <t>Plant Auxiliary Power Transformers fdn/Walls</t>
  </si>
  <si>
    <t>Project Indirects</t>
  </si>
  <si>
    <t>EPC Indirects</t>
  </si>
  <si>
    <t>River Intake - Phase 1</t>
  </si>
  <si>
    <t xml:space="preserve"> - Excavation &amp; Regrade</t>
  </si>
  <si>
    <t xml:space="preserve"> - Piles </t>
  </si>
  <si>
    <t>VF</t>
  </si>
  <si>
    <t xml:space="preserve"> - Access Road</t>
  </si>
  <si>
    <t>LS</t>
  </si>
  <si>
    <t xml:space="preserve"> - 36" DI River Intake Lines </t>
  </si>
  <si>
    <t xml:space="preserve"> - Concrete Wetwell ( w/ re-steel) </t>
  </si>
  <si>
    <t xml:space="preserve"> - Raw Water Pumps ( 8,000 GPM, 300 Hp)</t>
  </si>
  <si>
    <t>EA</t>
  </si>
  <si>
    <t xml:space="preserve"> - Variable Frequency Drives</t>
  </si>
  <si>
    <t xml:space="preserve"> - Check Valves</t>
  </si>
  <si>
    <t xml:space="preserve"> - Isolation Valves</t>
  </si>
  <si>
    <t xml:space="preserve"> - Flow Meter</t>
  </si>
  <si>
    <t xml:space="preserve"> - Traveling Screens</t>
  </si>
  <si>
    <t xml:space="preserve"> - Water Jet/Basin Cleaning Equipment</t>
  </si>
  <si>
    <t xml:space="preserve"> - Pump Discharge Piping  </t>
  </si>
  <si>
    <t xml:space="preserve"> - Sump Pump</t>
  </si>
  <si>
    <t xml:space="preserve"> - PEM Building (incl/ roof) </t>
  </si>
  <si>
    <t xml:space="preserve"> - Walkways/Grating</t>
  </si>
  <si>
    <t xml:space="preserve"> - Electical Connection </t>
  </si>
  <si>
    <t xml:space="preserve"> - Building HVAC</t>
  </si>
  <si>
    <t>Raw Water Intake Subtotal</t>
  </si>
  <si>
    <t xml:space="preserve">2. </t>
  </si>
  <si>
    <t xml:space="preserve"> Raw Water Transmission Line - Phase 1</t>
  </si>
  <si>
    <t xml:space="preserve"> - 42" DI Piping </t>
  </si>
  <si>
    <t xml:space="preserve"> - Air Release Valves</t>
  </si>
  <si>
    <t>Raw Water Transmission Line Subtotal</t>
  </si>
  <si>
    <t xml:space="preserve"> WTP - Actiflo Facility - Phase 1</t>
  </si>
  <si>
    <t xml:space="preserve"> - Concrete</t>
  </si>
  <si>
    <t xml:space="preserve"> - Interior CMU Walls</t>
  </si>
  <si>
    <t xml:space="preserve"> - Grating &amp; Stairs</t>
  </si>
  <si>
    <t xml:space="preserve"> - Actiflo Equipment</t>
  </si>
  <si>
    <t xml:space="preserve"> - Piping </t>
  </si>
  <si>
    <t xml:space="preserve"> - Isolation Valves (w/ actuators)</t>
  </si>
  <si>
    <t xml:space="preserve"> - ROF Controllers</t>
  </si>
  <si>
    <t>WTP - Actiflo Facility - Phase 1 Sub total</t>
  </si>
  <si>
    <t xml:space="preserve"> Chemical Feed Systems</t>
  </si>
  <si>
    <t xml:space="preserve"> - Polymer Preparation &amp; Feed System</t>
  </si>
  <si>
    <t xml:space="preserve"> - Coagulant Feed System</t>
  </si>
  <si>
    <t xml:space="preserve"> - Coagulant Bulk Tank</t>
  </si>
  <si>
    <t xml:space="preserve"> - pH Adjustment Feed System </t>
  </si>
  <si>
    <t xml:space="preserve"> - pH Adjustment Bulk Tank</t>
  </si>
  <si>
    <t xml:space="preserve"> - Containment Methods</t>
  </si>
  <si>
    <t xml:space="preserve"> - Electrical </t>
  </si>
  <si>
    <t xml:space="preserve"> - Miscellaneous Metals/Grating</t>
  </si>
  <si>
    <t>Chemical Feed Systems Sub total</t>
  </si>
  <si>
    <t>Discharge Outfall Structure</t>
  </si>
  <si>
    <t xml:space="preserve"> - 36" DI Outfall Line</t>
  </si>
  <si>
    <t xml:space="preserve"> - 6' Diameter Manholes</t>
  </si>
  <si>
    <t xml:space="preserve"> - Diffuser Assembly</t>
  </si>
  <si>
    <t xml:space="preserve"> - Concrete Anchors/Cradles</t>
  </si>
  <si>
    <t xml:space="preserve"> Discharge Outfall Structure Sub total</t>
  </si>
  <si>
    <t xml:space="preserve"> Miscellaneous - Phase 1</t>
  </si>
  <si>
    <t xml:space="preserve"> - Miscellaneous Construction (10%,)</t>
  </si>
  <si>
    <t xml:space="preserve"> - Contractor Overhead &amp; Profit (@15%)</t>
  </si>
  <si>
    <t>Miscellaneous Construction - Phase 1 Subtotal</t>
  </si>
  <si>
    <t>Total Estimated Construction Cost</t>
  </si>
  <si>
    <t>Raw Water Intake/Discharge  Facilities</t>
  </si>
  <si>
    <t>Unclassified Scaffolding &amp; Shoring (allowance)</t>
  </si>
  <si>
    <t>Electrical Equipment</t>
  </si>
  <si>
    <t>Electrical Commodities</t>
  </si>
  <si>
    <t>Craft Labor Availability Shortage</t>
  </si>
  <si>
    <t>2:1 Availability</t>
  </si>
  <si>
    <t>1.5:1</t>
  </si>
  <si>
    <t>Construction Permits</t>
  </si>
  <si>
    <t>Construction Testing</t>
  </si>
  <si>
    <t>Performance Testing</t>
  </si>
  <si>
    <t>Start-up Supervision</t>
  </si>
  <si>
    <t>Coal Car Train Positioner fdn</t>
  </si>
  <si>
    <t>Coal Conveyor Belt Tension fdns</t>
  </si>
  <si>
    <t>Coal Conveyor Bent fdns</t>
  </si>
  <si>
    <t>SUBTOTAL HOME OFFICE SUPPORT COSTS</t>
  </si>
  <si>
    <t>TOTAL EXPENSES</t>
  </si>
  <si>
    <t>Payroll Taxes &amp; Insurance</t>
  </si>
  <si>
    <t xml:space="preserve">     %</t>
  </si>
  <si>
    <t>Modifier</t>
  </si>
  <si>
    <t>State</t>
  </si>
  <si>
    <t xml:space="preserve"> Expense Classification</t>
  </si>
  <si>
    <t>DCS w/ configuration, interfaces, field support, bulks</t>
  </si>
  <si>
    <t>Impact of Shift Work</t>
  </si>
  <si>
    <t>Day</t>
  </si>
  <si>
    <t>Project/ General Superintendent</t>
  </si>
  <si>
    <t>Assistant Controls Manager</t>
  </si>
  <si>
    <t>Grade for Coal Pile Open Trench Storm Drains</t>
  </si>
  <si>
    <t>Grade for Main Site Open Trench Storm Drains</t>
  </si>
  <si>
    <t>Limestone Area Sedimentation Basin Earthwork</t>
  </si>
  <si>
    <t>Limestone Area Sedimentation Basin Berm</t>
  </si>
  <si>
    <t xml:space="preserve">Limestone Area Sedimentation Basin Liner </t>
  </si>
  <si>
    <t>Oil Water Separators, Coal, Plant, Fuel Oil Areas</t>
  </si>
  <si>
    <t>Wastewater Treatment Buildings, enclosures &amp; tank foundations</t>
  </si>
  <si>
    <t>Wastewater/Silos</t>
  </si>
  <si>
    <t>Water Recycle Basin &amp; Pumphouse</t>
  </si>
  <si>
    <t>Water Treatment Facilities &amp; Chemical Tank Foundations</t>
  </si>
  <si>
    <t>Wet FGD &amp; Wet Precipitator Foundations</t>
  </si>
  <si>
    <t xml:space="preserve">Excavation </t>
  </si>
  <si>
    <t>Backfill</t>
  </si>
  <si>
    <t>Fdn. Concrete</t>
  </si>
  <si>
    <t>Distance from</t>
  </si>
  <si>
    <t>Cable Terminations - low voltage</t>
  </si>
  <si>
    <t>Lighting - Outdoor Fixtures, pole</t>
  </si>
  <si>
    <t>Hangers &amp; Supports - (large bore engineered)</t>
  </si>
  <si>
    <t>Environmental Monitoring</t>
  </si>
  <si>
    <t>CONSTRUCTION INDIRECTS</t>
  </si>
  <si>
    <t>Construction Site</t>
  </si>
  <si>
    <t>Construction Field Staff</t>
  </si>
  <si>
    <t>Construction Field Staff Expenses</t>
  </si>
  <si>
    <t>Scaffolding</t>
  </si>
  <si>
    <t xml:space="preserve">Project Indirects </t>
  </si>
  <si>
    <t>Total Project Indirects</t>
  </si>
  <si>
    <t>Sub-Total EPC Contractor Indirects</t>
  </si>
  <si>
    <t xml:space="preserve">PROJECT # </t>
  </si>
  <si>
    <t>PC Boiler - Supercritical</t>
  </si>
  <si>
    <t>PC/SCR/FGD</t>
  </si>
  <si>
    <t xml:space="preserve">     -   System  -  Condensate</t>
  </si>
  <si>
    <t xml:space="preserve">     -   System  -  Cooling water</t>
  </si>
  <si>
    <t>Material Handler RT-60</t>
  </si>
  <si>
    <t>Outside Equipment Insurance</t>
  </si>
  <si>
    <t>U</t>
  </si>
  <si>
    <t xml:space="preserve">  WC Clerical</t>
  </si>
  <si>
    <t>Annual Rate</t>
  </si>
  <si>
    <t xml:space="preserve"> Calculated</t>
  </si>
  <si>
    <t xml:space="preserve">Fuel Oil Storage Spill Containment Liner </t>
  </si>
  <si>
    <t>Fuel Oil Sump Discharge Piping to Plant Oily Wastewater</t>
  </si>
  <si>
    <t>Site Improvements - Site Security Boundary Fencing</t>
  </si>
  <si>
    <t>Rail Car Fueling (5)</t>
  </si>
  <si>
    <t>50' Dia</t>
  </si>
  <si>
    <t>Mobile Equipment Fueling Pump House</t>
  </si>
  <si>
    <t>Steel Canopy</t>
  </si>
  <si>
    <t>Startup Testing (Incl Fuel &amp; Power Sales)</t>
  </si>
  <si>
    <t>Fuel - coal</t>
  </si>
  <si>
    <t>Fuel - fuel oil</t>
  </si>
  <si>
    <t>Operator Training</t>
  </si>
  <si>
    <t>Owner Startup Engineering</t>
  </si>
  <si>
    <t>Permitting, License Fees &amp; Environmental Compliance</t>
  </si>
  <si>
    <t>Highway Improvements &amp; Misc. Mitigation</t>
  </si>
  <si>
    <t>Land</t>
  </si>
  <si>
    <t>Water Rights</t>
  </si>
  <si>
    <t>Transmission Interconnections/Upgrades</t>
  </si>
  <si>
    <t>Operating Spare Parts</t>
  </si>
  <si>
    <t>Permanent Plant Equipment &amp; Furnishings</t>
  </si>
  <si>
    <t>Workshop &amp; Test Equipment</t>
  </si>
  <si>
    <t>Warehouse Shelving/Storage Components</t>
  </si>
  <si>
    <t>Check =</t>
  </si>
  <si>
    <t>Demolition  (10-lab,3-oper)</t>
  </si>
  <si>
    <t>Steel</t>
  </si>
  <si>
    <t>Siding</t>
  </si>
  <si>
    <t>Masonry</t>
  </si>
  <si>
    <t>Base Rate</t>
  </si>
  <si>
    <t>Asbestos Worker J (insulator)</t>
  </si>
  <si>
    <t>Boilermaking</t>
  </si>
  <si>
    <t>Boilermaker GF</t>
  </si>
  <si>
    <t>Boilermaker F</t>
  </si>
  <si>
    <t>Boilermaker J</t>
  </si>
  <si>
    <t>Piping</t>
  </si>
  <si>
    <t>Bricklayer F</t>
  </si>
  <si>
    <t>Carpenter F</t>
  </si>
  <si>
    <t>Excavation</t>
  </si>
  <si>
    <t>Carpenter J</t>
  </si>
  <si>
    <t>Electrician GF</t>
  </si>
  <si>
    <t>Electrician F</t>
  </si>
  <si>
    <t>Electrician J</t>
  </si>
  <si>
    <t>Estimate Supporting Documentation</t>
  </si>
  <si>
    <t>Permitting, License Fees, &amp; Environmental Compliance</t>
  </si>
  <si>
    <t>Highway Improvements, Miscellaneous Mitigation</t>
  </si>
  <si>
    <t>Rail to the Site</t>
  </si>
  <si>
    <t>OI130</t>
  </si>
  <si>
    <t>Train Cars*</t>
  </si>
  <si>
    <t>Transmission Interconnection / Upgrades*</t>
  </si>
  <si>
    <t>Builder's Risk Insurance*</t>
  </si>
  <si>
    <t>Storm Drains Lift Station Structure w/ pumps</t>
  </si>
  <si>
    <t>D.O.R. Purch. Resp.</t>
  </si>
  <si>
    <t>Const. Resp.</t>
  </si>
  <si>
    <t>Building Furniture/Equipment</t>
  </si>
  <si>
    <t>Builders Risk Insurance</t>
  </si>
  <si>
    <t>Structural Backfill  (using excavated material)</t>
  </si>
  <si>
    <t>Construction Warehouse &amp; Office</t>
  </si>
  <si>
    <t>60' x 200' x 7' d</t>
  </si>
  <si>
    <t>Steam Turbine-Generator &amp; BFP Drive</t>
  </si>
  <si>
    <t>Sub-Total Direct Costs</t>
  </si>
  <si>
    <t>Tugger 2,000 L/P  single drum</t>
  </si>
  <si>
    <t>Tugger 5,000 L/P  double drum</t>
  </si>
  <si>
    <t xml:space="preserve">     -   System  -  STG Steam Seal (vendor supplied)</t>
  </si>
  <si>
    <t>BOP Instrument Devices</t>
  </si>
  <si>
    <t>Instrument Racks &amp; Enclosures</t>
  </si>
  <si>
    <t xml:space="preserve">Control Valves - </t>
  </si>
  <si>
    <t>Instrument Calibration</t>
  </si>
  <si>
    <t>Other</t>
  </si>
  <si>
    <t>Closed Cooling Water Inhibitor Mixing Pot</t>
  </si>
  <si>
    <t>Compressed Gas Storage System (CO2)</t>
  </si>
  <si>
    <t>Cooling Tower - mechanical draft</t>
  </si>
  <si>
    <t>Deaerator Heater 6</t>
  </si>
  <si>
    <t>ID Fans</t>
  </si>
  <si>
    <t>Oil/Water Separator</t>
  </si>
  <si>
    <t>Labor Productivity Factor</t>
  </si>
  <si>
    <t xml:space="preserve">Performance Bond: </t>
  </si>
  <si>
    <t xml:space="preserve">Lead Estimator:     </t>
  </si>
  <si>
    <t>Air Compressor 425 CFM</t>
  </si>
  <si>
    <t>Start-up Salary + Expense=</t>
  </si>
  <si>
    <t>Unclassified Tools @ &gt;$500 &lt;$1,500</t>
  </si>
  <si>
    <t xml:space="preserve">Executive-in-Charge:     </t>
  </si>
  <si>
    <t>COST DATE BASIS: May 2007</t>
  </si>
  <si>
    <t>Prod.</t>
  </si>
  <si>
    <t>Turbine Drains</t>
  </si>
  <si>
    <t>Turbine Lube Oil</t>
  </si>
  <si>
    <t>Turbine Oil Purification</t>
  </si>
  <si>
    <t>Wastewater Treatment</t>
  </si>
  <si>
    <t>Water Quality Analysis</t>
  </si>
  <si>
    <t>* 60% of Total Cost Unit 1 and 40% Unit 2</t>
  </si>
  <si>
    <t>Is Company Familiar with The Type of Work Being Performed</t>
  </si>
  <si>
    <t>Familiar</t>
  </si>
  <si>
    <t>Unfamiliar</t>
  </si>
  <si>
    <t>Skill Level of Project and Craft Superintendents</t>
  </si>
  <si>
    <t>Have never worked together nor on this type of project</t>
  </si>
  <si>
    <t>Temp. Fence, Barriers &amp; Signs</t>
  </si>
  <si>
    <t>Subtotal Temp Facilities</t>
  </si>
  <si>
    <t>Manhours w/o productivity</t>
  </si>
  <si>
    <t>PROCUREMENT MAJOR EQUIP. TOTAL $</t>
  </si>
  <si>
    <t>Coal pile runoff pond (8'd)</t>
  </si>
  <si>
    <t>Coal Car unloader Building and Hopper</t>
  </si>
  <si>
    <t>Coal Car unloader Conveyor Tunnel - Single Conveyor</t>
  </si>
  <si>
    <t>55' x 55'' x 35'd</t>
  </si>
  <si>
    <t>10' x 17' x 140'</t>
  </si>
  <si>
    <t xml:space="preserve">Limestone Truck Unloading </t>
  </si>
  <si>
    <t>80 'x 80' x 90' H</t>
  </si>
  <si>
    <t>Unclassified Startup Spare Parts &amp; Filters</t>
  </si>
  <si>
    <t>Unclassified I&amp;C Loopchecks &amp; Functional Testing</t>
  </si>
  <si>
    <t xml:space="preserve">Unclassified HV/LV Relay,Protection Testing </t>
  </si>
  <si>
    <t>Unclassified EPC/GC Operations Manuals</t>
  </si>
  <si>
    <t>In &amp; Out</t>
  </si>
  <si>
    <t>Costs</t>
  </si>
  <si>
    <t xml:space="preserve">Rental </t>
  </si>
  <si>
    <t>Crane Crawler 150 Ton (Fab/LDA Yards)</t>
  </si>
  <si>
    <t>Gypsum Rail Car Loading Facility Hoppers</t>
  </si>
  <si>
    <t>Gypsum Storage Area for Stack/Reclaim</t>
  </si>
  <si>
    <t xml:space="preserve">Mat Foundation Boiler Building </t>
  </si>
  <si>
    <t>Mat Foundation Steam Turbine Bldg</t>
  </si>
  <si>
    <t>Miscellaneous - pipe/elec/platforms/yard</t>
  </si>
  <si>
    <t>Mobile Equipment Fuel Oil Forwarding Pumphouse</t>
  </si>
  <si>
    <t>All-In at 50 Hours/Week Base</t>
  </si>
  <si>
    <t>High Voltage Electrical Switchyard</t>
  </si>
  <si>
    <t>500kV Disconnect Switch</t>
  </si>
  <si>
    <t>Steel Support Structures</t>
  </si>
  <si>
    <t>Pipe - Below Ground - Large Bore</t>
  </si>
  <si>
    <t>Steam Blows</t>
  </si>
  <si>
    <t>Coal Storage Eqt Foundations for Stack/Reclaim</t>
  </si>
  <si>
    <t>Cooling Tower Water Treatment &amp; Elect. Facility Foundation</t>
  </si>
  <si>
    <t>Boiler Area Elevated Slabs</t>
  </si>
  <si>
    <t>Boiler Area Floor Drains Sump</t>
  </si>
  <si>
    <t>Boiler Area Floor Fill Slab</t>
  </si>
  <si>
    <t>Coal Car Dumper Power &amp; Control Building</t>
  </si>
  <si>
    <t>Small Tools</t>
  </si>
  <si>
    <t>Consumable Materials &amp; Safety Supplies</t>
  </si>
  <si>
    <t>Field Office Expenses</t>
  </si>
  <si>
    <t>Temporary Facilities</t>
  </si>
  <si>
    <t>Temporary Utilities</t>
  </si>
  <si>
    <t>Support Craft &amp; Site Services</t>
  </si>
  <si>
    <t>Site Safety</t>
  </si>
  <si>
    <t xml:space="preserve"> Manweeks</t>
  </si>
  <si>
    <t>L</t>
  </si>
  <si>
    <t xml:space="preserve">       - EPC Contractor G&amp;A and Profit</t>
  </si>
  <si>
    <t>FUI</t>
  </si>
  <si>
    <t>FICA</t>
  </si>
  <si>
    <t>CT with HRSG &amp; STG</t>
  </si>
  <si>
    <t>Nat Gas</t>
  </si>
  <si>
    <t>Site - Topsoil stripping/stockpiling</t>
  </si>
  <si>
    <t>Site - Drainage - Pipe Culverts (Assume 12" dia)</t>
  </si>
  <si>
    <t xml:space="preserve">Site Finishing - stone surfacing </t>
  </si>
  <si>
    <t>Crushed Stone 6"</t>
  </si>
  <si>
    <t>Spoil Disposal</t>
  </si>
  <si>
    <t>Steam Turbine Island Equipment</t>
  </si>
  <si>
    <t>Combustion Turbine Equipment</t>
  </si>
  <si>
    <t>CT</t>
  </si>
  <si>
    <t xml:space="preserve"> - Spare Parts and Non-Capital Equipment</t>
  </si>
  <si>
    <t xml:space="preserve"> - Owner's Project Management</t>
  </si>
  <si>
    <t xml:space="preserve"> - Other Community/Jurisdictional Permits &amp; Fees</t>
  </si>
  <si>
    <t xml:space="preserve"> - Plant Startup/Construction Support</t>
  </si>
  <si>
    <t xml:space="preserve"> - Taxes/Advisory Fees/Legal</t>
  </si>
  <si>
    <t xml:space="preserve"> - Owner's Security and Contingency</t>
  </si>
  <si>
    <t xml:space="preserve"> - Financing</t>
  </si>
  <si>
    <t>Subtotal Project Indirects</t>
  </si>
  <si>
    <t>60' x 40' x 25' d</t>
  </si>
  <si>
    <t>Pump Skid Chemical Feed - circ water scale corrosion inhibitor</t>
  </si>
  <si>
    <t>Pump Skid Chemical Feed - circ water sodium hypochlorite</t>
  </si>
  <si>
    <t>Pumps - circulating water</t>
  </si>
  <si>
    <t>Pumps - circulating water blowdown</t>
  </si>
  <si>
    <t>Pumps - aux boiler reed</t>
  </si>
  <si>
    <t>Pumps - aux boiler fuel oil</t>
  </si>
  <si>
    <t xml:space="preserve">ELY ENERGY CENTER </t>
  </si>
  <si>
    <t>Outside Equipment Overtime Costs</t>
  </si>
  <si>
    <t>Status Date:</t>
  </si>
  <si>
    <t>Concrete Trucks</t>
  </si>
  <si>
    <t>Ironworker F (Resteel)</t>
  </si>
  <si>
    <t>Ironworker J (Resteel)</t>
  </si>
  <si>
    <t>Laborer F</t>
  </si>
  <si>
    <t>Millwright GF</t>
  </si>
  <si>
    <t>Millwright F</t>
  </si>
  <si>
    <t>Millwright J</t>
  </si>
  <si>
    <t xml:space="preserve">Operator Large Crane </t>
  </si>
  <si>
    <t>Operator Crane</t>
  </si>
  <si>
    <t>Operator Crane Oiler</t>
  </si>
  <si>
    <t>Limestone Rail car unloading hopper</t>
  </si>
  <si>
    <t>Grader 25,000lb</t>
  </si>
  <si>
    <t>Sheepsfoot Compactor 150hp</t>
  </si>
  <si>
    <t>Dump Trucks Tandem, 40 tons</t>
  </si>
  <si>
    <t>Totals Main Power Block</t>
  </si>
  <si>
    <t>R - Restroom</t>
  </si>
  <si>
    <t>K - Kitchen</t>
  </si>
  <si>
    <t>Total Site</t>
  </si>
  <si>
    <t>Sh - Shower</t>
  </si>
  <si>
    <t>ESh - Emergency Shower/Eyewash</t>
  </si>
  <si>
    <t>Emissions Testing</t>
  </si>
  <si>
    <t>Assistant Project Manager</t>
  </si>
  <si>
    <t>Project Supt. Assist./Cordin</t>
  </si>
  <si>
    <t>Construction Coordinator</t>
  </si>
  <si>
    <t>Safety Engineers</t>
  </si>
  <si>
    <t>Superintendent - Piping</t>
  </si>
  <si>
    <t>Superintendent - Electrical / I&amp;C</t>
  </si>
  <si>
    <t>Superintendent - Yard/BOP</t>
  </si>
  <si>
    <t>Superintendent - Civil</t>
  </si>
  <si>
    <t>Discipline Field Engineers</t>
  </si>
  <si>
    <t>Discipline Area/Island Engineers</t>
  </si>
  <si>
    <t>Discipline Welding Engineers</t>
  </si>
  <si>
    <t>Office Engineers</t>
  </si>
  <si>
    <t>QA/QC Inspectors</t>
  </si>
  <si>
    <t>QC Systems Engineers</t>
  </si>
  <si>
    <t>Field Drafting &amp; Clerking</t>
  </si>
  <si>
    <t>QA/QC Auditors &amp; Clerks</t>
  </si>
  <si>
    <t>Payables &amp; Accountants</t>
  </si>
  <si>
    <t>Payroll/Account/Timekeeper</t>
  </si>
  <si>
    <t>Billing/Accountant/Timekeeper</t>
  </si>
  <si>
    <t>Safety Coaches</t>
  </si>
  <si>
    <t>Cost Engineers</t>
  </si>
  <si>
    <t>Schedule Engineers</t>
  </si>
  <si>
    <t>Estimators</t>
  </si>
  <si>
    <t>Buyer/Agents</t>
  </si>
  <si>
    <t>Expeditors</t>
  </si>
  <si>
    <t>Lead Purchasing Agent/Buyer</t>
  </si>
  <si>
    <t>IT Computer Support</t>
  </si>
  <si>
    <t>QC Coaches</t>
  </si>
  <si>
    <t>Material Control Engineers</t>
  </si>
  <si>
    <t>Material Control Clerks</t>
  </si>
  <si>
    <t>Document Control Clerks</t>
  </si>
  <si>
    <t>Administrative &amp; Department Clerks</t>
  </si>
  <si>
    <t>Project Management Admin's.</t>
  </si>
  <si>
    <t>Department Secretary</t>
  </si>
  <si>
    <t>NGCC New Baseload Unit</t>
  </si>
  <si>
    <t>TOTAL ADDITIONAL COST</t>
  </si>
  <si>
    <t>TOTAL OPTIONAL COST</t>
  </si>
  <si>
    <t>TOTAL TRANSMISSION COST</t>
  </si>
  <si>
    <t>Ash Haul Truck Maintenance Building</t>
  </si>
  <si>
    <t>Instrument Tubing - copper</t>
  </si>
  <si>
    <t>Emergency Coal Reclaim (2)</t>
  </si>
  <si>
    <t>40' x 80'x75'd</t>
  </si>
  <si>
    <t>20' x 20'</t>
  </si>
  <si>
    <t>PH</t>
  </si>
  <si>
    <t xml:space="preserve">Manager Safety </t>
  </si>
  <si>
    <t>Project Manager</t>
  </si>
  <si>
    <t>- Preparation of Bid Documents and Selection of EPC Contractors, OEM's and Other Suppliers</t>
  </si>
  <si>
    <t>- Project Management Staff Salaries</t>
  </si>
  <si>
    <t>- Performance of Engineering Due Diligence and Acquisition Costs for all Permits</t>
  </si>
  <si>
    <t>- Hiring Costs and Salaries for Site Construction Management</t>
  </si>
  <si>
    <t>Owner's Project Management Subtotal</t>
  </si>
  <si>
    <t>Tight</t>
  </si>
  <si>
    <t>Modified by RGS 10/29/09</t>
  </si>
  <si>
    <t>50/40</t>
  </si>
  <si>
    <t>Ave. 50Mths.</t>
  </si>
  <si>
    <t>Permanent Plant Warehouse temp. use</t>
  </si>
  <si>
    <t>Temp Electric Project Utility Bill (by E.ON)</t>
  </si>
  <si>
    <t>Project Craft Per Diem</t>
  </si>
  <si>
    <t>* Wage Source:  Kentucky Dept of Labor, Prevailing wage Determination for Muhlenburg County July 9, 2007</t>
  </si>
  <si>
    <t>** SUI Source: Quickbooks Unemployment Insurance rates by State, average of minimum and maximum rates for 2007</t>
  </si>
  <si>
    <t>2007 Muhlenburg County, Kentucky Prevailing Wage Rates*</t>
  </si>
  <si>
    <t>Average Journeyman Billing Rate/Hour</t>
  </si>
  <si>
    <t>Ave. Journeyman Base w/Fringes Rate/Hr.</t>
  </si>
  <si>
    <t>Ave. Craft  Wage without Escalation</t>
  </si>
  <si>
    <t xml:space="preserve">    - Startup Power</t>
  </si>
  <si>
    <t xml:space="preserve">    - Test Power Sales</t>
  </si>
  <si>
    <t>04</t>
  </si>
  <si>
    <t>MATERIAL HANDLING EQUIPMENT</t>
  </si>
  <si>
    <t>Coal Handling System</t>
  </si>
  <si>
    <t>Rail Car Dumper &amp; Positioner</t>
  </si>
  <si>
    <t>Rail Car Positioner</t>
  </si>
  <si>
    <t>Rail Car Weigh Scale</t>
  </si>
  <si>
    <t>Mobile Coal Handling Equipment</t>
  </si>
  <si>
    <t>Gypsum Handling and Storage System</t>
  </si>
  <si>
    <t>Gypsum Dewatering</t>
  </si>
  <si>
    <t>Limestone Handling &amp; Storage System</t>
  </si>
  <si>
    <t>Ash System</t>
  </si>
  <si>
    <t>Truck Weigh Scale</t>
  </si>
  <si>
    <t>05</t>
  </si>
  <si>
    <t>CHIMNEY</t>
  </si>
  <si>
    <t>06</t>
  </si>
  <si>
    <t>RAILROAD</t>
  </si>
  <si>
    <t>Administration/Control Bldg Elevated Floor Slabs</t>
  </si>
  <si>
    <t>Administration/Control Building foundation</t>
  </si>
  <si>
    <t xml:space="preserve">Air Cooled Condenser </t>
  </si>
  <si>
    <t>Ammonia Storage Tanks &amp; Pumps Foundations</t>
  </si>
  <si>
    <t>Ammonia Unloading Facility</t>
  </si>
  <si>
    <t>Building</t>
  </si>
  <si>
    <t>Required Services</t>
  </si>
  <si>
    <t>Dimensions</t>
  </si>
  <si>
    <t>SF</t>
  </si>
  <si>
    <t>Earth CY</t>
  </si>
  <si>
    <t>Rock CY</t>
  </si>
  <si>
    <t>CY</t>
  </si>
  <si>
    <t>Construction Equipment</t>
  </si>
  <si>
    <t>Esh - Emergency Shower/Eyewash</t>
  </si>
  <si>
    <t>Totals Main Power Block Unit 1</t>
  </si>
  <si>
    <t>Equip. @</t>
  </si>
  <si>
    <t>By Use Formula</t>
  </si>
  <si>
    <t xml:space="preserve">By Calulation </t>
  </si>
  <si>
    <t>Sheepsfoot Compactor 50hp</t>
  </si>
  <si>
    <t>Bulldozer - 500hp</t>
  </si>
  <si>
    <t>Bulldozer - 200hp</t>
  </si>
  <si>
    <t>Raw Water Storage Pond earthwork</t>
  </si>
  <si>
    <t>Sanitary Plant Discharge Piping to Wastewater Basin</t>
  </si>
  <si>
    <t>Fire Protection - piping &amp; hydrants, ductile iron</t>
  </si>
  <si>
    <t>Fuel Oil Storage Spill Containment Berm</t>
  </si>
  <si>
    <t>155' x 300'x 4.5' d</t>
  </si>
  <si>
    <t xml:space="preserve"> Sub-Total EPC Contractor Insur. &amp; Misc. Costs</t>
  </si>
  <si>
    <t>Carpentry</t>
  </si>
  <si>
    <t>Boiler Erection</t>
  </si>
  <si>
    <t>High Voltage Switchyard</t>
  </si>
  <si>
    <t>Timekeeper/Brassing System</t>
  </si>
  <si>
    <t>Install Batch Plant Water Pond</t>
  </si>
  <si>
    <t>Install Vehicle/Eqt Fuel Storage Facility</t>
  </si>
  <si>
    <t>Install Bottle Gas Facility</t>
  </si>
  <si>
    <t>Operators</t>
  </si>
  <si>
    <t>Painting</t>
  </si>
  <si>
    <t>ESCALATION</t>
  </si>
  <si>
    <t>T &amp; I</t>
  </si>
  <si>
    <t>WC Ins</t>
  </si>
  <si>
    <t>TOTAL</t>
  </si>
  <si>
    <t>EXP DATE</t>
  </si>
  <si>
    <t>Percent</t>
  </si>
  <si>
    <t>Asbestos Worker F (insulator)</t>
  </si>
  <si>
    <t>Main Gate Security Building</t>
  </si>
  <si>
    <t>Site Fire Protection Pumphouse</t>
  </si>
  <si>
    <t xml:space="preserve">     -   System  -  Cooling tower makeup water Pipe</t>
  </si>
  <si>
    <t>Commuting Time (each way)</t>
  </si>
  <si>
    <t>Less than 30 minutes</t>
  </si>
  <si>
    <t>&lt;30 Min</t>
  </si>
  <si>
    <t>60 Min</t>
  </si>
  <si>
    <t>Single Craft Population</t>
  </si>
  <si>
    <t>Less than 100</t>
  </si>
  <si>
    <t>&lt;100</t>
  </si>
  <si>
    <t>100-200</t>
  </si>
  <si>
    <t>&gt;200</t>
  </si>
  <si>
    <t>QA/QC</t>
  </si>
  <si>
    <t>Routine quality control activity</t>
  </si>
  <si>
    <t>Routine</t>
  </si>
  <si>
    <t>Nuclear Grade</t>
  </si>
  <si>
    <t>Adequate</t>
  </si>
  <si>
    <t>Moderately Tight</t>
  </si>
  <si>
    <t>5 each</t>
  </si>
  <si>
    <t>Limestone Prep/Gypsum Dewatering Building</t>
  </si>
  <si>
    <t xml:space="preserve">60' x 90' </t>
  </si>
  <si>
    <t>Site Finishing -  Seed Site Earthwork</t>
  </si>
  <si>
    <t>47'Dia</t>
  </si>
  <si>
    <t>Cooling Tower/Stack Foundation</t>
  </si>
  <si>
    <t>AQCS Wet Precipitator</t>
  </si>
  <si>
    <t>Owner Indirects</t>
  </si>
  <si>
    <t>Yard Maintenance Building</t>
  </si>
  <si>
    <t>Structural Architectural</t>
  </si>
  <si>
    <t>Ammonia Unloading &amp; Storage Canopies</t>
  </si>
  <si>
    <t>Boiler Building - adjustable wall louvers</t>
  </si>
  <si>
    <t>Boiler Building - built-up roof</t>
  </si>
  <si>
    <t>Boiler Building - metal siding</t>
  </si>
  <si>
    <t>Steam Turbine Generator Building Mat fdn</t>
  </si>
  <si>
    <t>Steam Turbine Generator Mat fdn</t>
  </si>
  <si>
    <t>COMMERCIAL OPERATION DATE:</t>
  </si>
  <si>
    <t>Turbine Building Operating Floor Slab</t>
  </si>
  <si>
    <t xml:space="preserve">Railroad bridge overpass </t>
  </si>
  <si>
    <t>30' x 150'</t>
  </si>
  <si>
    <t>30' x 120'</t>
  </si>
  <si>
    <t>117 ea</t>
  </si>
  <si>
    <t>21 ea</t>
  </si>
  <si>
    <t>Locker Room Furniture</t>
  </si>
  <si>
    <t>Building Furniture</t>
  </si>
  <si>
    <t>Builder's Risk Insurance</t>
  </si>
  <si>
    <t>SUBCONT or OTHER $</t>
  </si>
  <si>
    <t>PROJECT TOTAL $</t>
  </si>
  <si>
    <t>Evaporation Pond Ground Water Monitoring Wells</t>
  </si>
  <si>
    <t xml:space="preserve">Relocated Employee </t>
  </si>
  <si>
    <t xml:space="preserve"> Each </t>
  </si>
  <si>
    <t>Laboratory Equipment &amp; Furniture</t>
  </si>
  <si>
    <t>Kitchen Furniture &amp; Equipment</t>
  </si>
  <si>
    <t>Locker Room Furniture/Fixtures</t>
  </si>
  <si>
    <t>Engineering Manager</t>
  </si>
  <si>
    <t>Construction Manager</t>
  </si>
  <si>
    <t>Manager QA/QC</t>
  </si>
  <si>
    <t xml:space="preserve">Auxiliary Boiler </t>
  </si>
  <si>
    <t>Turbine Room Bridge Crane - 100T</t>
  </si>
  <si>
    <t>Composite Crews</t>
  </si>
  <si>
    <t>Wages</t>
  </si>
  <si>
    <t>Composite</t>
  </si>
  <si>
    <t>Use</t>
  </si>
  <si>
    <t>Sitework (3-Lab, 3-Oper)</t>
  </si>
  <si>
    <t>Temporary Const  (carp)</t>
  </si>
  <si>
    <t>Wire - Lighting 1/C No 12</t>
  </si>
  <si>
    <t>- Construction All-Risk or Builder's Risk Insurance</t>
  </si>
  <si>
    <t>- Acceptance Testing</t>
  </si>
  <si>
    <t>- Supply of Trained Operators to Support Equipment Testing and Commissioning</t>
  </si>
  <si>
    <t>Plant Startup/Construction Support Subtotal</t>
  </si>
  <si>
    <t>Total Owners Cost</t>
  </si>
  <si>
    <t>Above Ground Piping</t>
  </si>
  <si>
    <t>Below Ground Piping</t>
  </si>
  <si>
    <t>Above Ground Electrical</t>
  </si>
  <si>
    <t>Below Ground Electrical</t>
  </si>
  <si>
    <t xml:space="preserve">Coal Handling Area Earthwork </t>
  </si>
  <si>
    <t>Coal Pile Area  Impermeable Liner</t>
  </si>
  <si>
    <t>Coal Pile Area Liner Protective Cover</t>
  </si>
  <si>
    <t>Coal Pile Ground Water Monitoring Wells</t>
  </si>
  <si>
    <t>Coal Pile run-off Pipe to Water Recycle Basin</t>
  </si>
  <si>
    <t>Coal Pile run-off Sedimentation Basin Berm</t>
  </si>
  <si>
    <t>Raw Water Storage Pond berm</t>
  </si>
  <si>
    <t xml:space="preserve"> Part Time or Temporary</t>
  </si>
  <si>
    <t>Check with Estimate Details = $0</t>
  </si>
  <si>
    <t>Subtotal Preoperational Testing, Startup &amp; Commissioning</t>
  </si>
  <si>
    <t xml:space="preserve">     -   System  -  Cooling tower blowdown</t>
  </si>
  <si>
    <t>Pipe - Above Ground - Small Bore</t>
  </si>
  <si>
    <t xml:space="preserve">     -   System  -  STG lube oil (vendor supplied)</t>
  </si>
  <si>
    <t xml:space="preserve">     -   System  -  STG Seal Oil (vendor supplied)</t>
  </si>
  <si>
    <t>TOTAL EPC w/ Indirects</t>
  </si>
  <si>
    <t>Stone Surfacing - site construction parking</t>
  </si>
  <si>
    <t>Stone Surfacing - construction laydown areas</t>
  </si>
  <si>
    <t>Stone Surfacing - site construction trailers</t>
  </si>
  <si>
    <t>Stone Surfacing - site finishing</t>
  </si>
  <si>
    <t>Storm Drain Manholes &amp; Catch Basins w/ cover</t>
  </si>
  <si>
    <t>Storm Drain Piping &amp; Culverts</t>
  </si>
  <si>
    <t>Unclassified Site &amp; Equipment Repairs</t>
  </si>
  <si>
    <t>Staff Orientation &amp; Staff Meeting Lunches</t>
  </si>
  <si>
    <t>Pre-Employment Drug Lab Test Cost</t>
  </si>
  <si>
    <t>Acoustical Testing</t>
  </si>
  <si>
    <t>Air Cooled Condenser Performance Test</t>
  </si>
  <si>
    <t>Rough Terrain Hydraulic Picker 60 ton</t>
  </si>
  <si>
    <t>Rough Terrain Hydraulic Picker 40 ton</t>
  </si>
  <si>
    <t>Rough Terrain Hydraulic Picker 15 ton</t>
  </si>
  <si>
    <t xml:space="preserve">Wire feeders </t>
  </si>
  <si>
    <t>(available: needed)</t>
  </si>
  <si>
    <t>Facilities More than 10 Minute Walk From Work Area</t>
  </si>
  <si>
    <t>Peak Manpower of 200-400</t>
  </si>
  <si>
    <t xml:space="preserve">        - Field Office Expense</t>
  </si>
  <si>
    <t xml:space="preserve">        - Temporary Facilities</t>
  </si>
  <si>
    <t xml:space="preserve">        - Temporary Utilities</t>
  </si>
  <si>
    <t xml:space="preserve">        - Support Craft &amp; Site Services</t>
  </si>
  <si>
    <t xml:space="preserve">        - Site Safety</t>
  </si>
  <si>
    <t xml:space="preserve">        - Preop Testing, Start-up</t>
  </si>
  <si>
    <t xml:space="preserve">       - Warranty Reserve</t>
  </si>
  <si>
    <t xml:space="preserve">Performance Guarantees: </t>
  </si>
  <si>
    <t xml:space="preserve">Liquidated Damages: </t>
  </si>
  <si>
    <t xml:space="preserve">Project Manager:     </t>
  </si>
  <si>
    <t>Field Labor Type</t>
  </si>
  <si>
    <t>Construction Power (Service Installation and Energy)</t>
  </si>
  <si>
    <t>N/A</t>
  </si>
  <si>
    <t>E-On Green River Power Generating Station</t>
  </si>
  <si>
    <t xml:space="preserve">Preliminary Opinion of Probable Construction Costs </t>
  </si>
  <si>
    <t>October 10, 2007</t>
  </si>
  <si>
    <t>Item</t>
  </si>
  <si>
    <t xml:space="preserve">Unit </t>
  </si>
  <si>
    <t xml:space="preserve">Total </t>
  </si>
  <si>
    <t>No.</t>
  </si>
  <si>
    <t xml:space="preserve">Item </t>
  </si>
  <si>
    <t>Qty.</t>
  </si>
  <si>
    <t xml:space="preserve">Price </t>
  </si>
  <si>
    <t>Price</t>
  </si>
  <si>
    <t xml:space="preserve">1. </t>
  </si>
  <si>
    <t>TOTAL IMPACT</t>
  </si>
  <si>
    <t>PRODUCTIVITY MULTIPLIER</t>
  </si>
  <si>
    <t>Union Shop</t>
  </si>
  <si>
    <t>5-8's + casual OT</t>
  </si>
  <si>
    <t xml:space="preserve">5-10's </t>
  </si>
  <si>
    <t>1.05 - 1.10</t>
  </si>
  <si>
    <t xml:space="preserve">Total Equipment Rental </t>
  </si>
  <si>
    <t>Escalation of Equipment Costs</t>
  </si>
  <si>
    <t xml:space="preserve">Equipment Freight &amp; Shipping Charges </t>
  </si>
  <si>
    <t>Equipment Assembly/Disassembly</t>
  </si>
  <si>
    <t xml:space="preserve">Equipment Fuels </t>
  </si>
  <si>
    <t>Equipment Maintenance &amp; Repairs</t>
  </si>
  <si>
    <t xml:space="preserve">TOTAL MAJOR CONSTRUCTION EQUIPMENT </t>
  </si>
  <si>
    <t xml:space="preserve">NET MW RATING: </t>
  </si>
  <si>
    <t>Activated Carbon Injection System</t>
  </si>
  <si>
    <t xml:space="preserve"> Cumulative</t>
  </si>
  <si>
    <t>Cumulative</t>
  </si>
  <si>
    <t>Workshop Tools &amp; Test Equipment</t>
  </si>
  <si>
    <t>Warehouse Shelves</t>
  </si>
  <si>
    <t>200' x 30'</t>
  </si>
  <si>
    <t>6.9kV/480/208/120V</t>
  </si>
  <si>
    <t>Escalation of Owner's Indirects</t>
  </si>
  <si>
    <r>
      <t xml:space="preserve">Start-up/Testing </t>
    </r>
    <r>
      <rPr>
        <sz val="10"/>
        <rFont val="Arial"/>
        <family val="2"/>
      </rPr>
      <t>(Includes Fuel &amp; Power Sales)</t>
    </r>
  </si>
  <si>
    <t>Steam Turbine Generator &amp; Boiler Feed Pump Drives</t>
  </si>
  <si>
    <t>OWNER PROJECT INDIRECTS SUBTOTAL</t>
  </si>
  <si>
    <t>Optional Costs not Capitalized</t>
  </si>
  <si>
    <t>Transmission Costs</t>
  </si>
  <si>
    <t>Mobile Equipment</t>
  </si>
  <si>
    <t>Probable Cost Estimate</t>
  </si>
  <si>
    <t>Cable Tray</t>
  </si>
  <si>
    <t>Conduit - above ground (AG)</t>
  </si>
  <si>
    <t>Conduit - below ground (BG)</t>
  </si>
  <si>
    <t>Conduit - lighting  AG</t>
  </si>
  <si>
    <t>Purchasing Manager</t>
  </si>
  <si>
    <t>Office Manager</t>
  </si>
  <si>
    <t>In-Processing/Payroll/Billing Leads (3)</t>
  </si>
  <si>
    <t xml:space="preserve">Yearly </t>
  </si>
  <si>
    <t>Permits BUILDING/Inspections</t>
  </si>
  <si>
    <t>Unspecified Non-Subcontract Construction Testing</t>
  </si>
  <si>
    <t>Independent Testing (Concrete)</t>
  </si>
  <si>
    <t>Other Community/Jurisdictional Permits &amp; Fees</t>
  </si>
  <si>
    <t>- Building and Zoning Permits/Fees</t>
  </si>
  <si>
    <t>Other Community/Jurisdictional Permits &amp; Fees Subtotal</t>
  </si>
  <si>
    <t>Plant Startup/Construction Support</t>
  </si>
  <si>
    <t>- Owner's Site Mobilization</t>
  </si>
  <si>
    <t>- Owner's O&amp;M Staff Training</t>
  </si>
  <si>
    <t>- Initial Fills - Fluids and Lubricants</t>
  </si>
  <si>
    <t>- Initial Inventory of Chemicals/Reagents</t>
  </si>
  <si>
    <t>- Consumables</t>
  </si>
  <si>
    <t>- Cost of Startup Fuel (not recovered in startup power sales) and Other Products</t>
  </si>
  <si>
    <t>- Auxiliary Power Purchase</t>
  </si>
  <si>
    <t>Modified by RGS 10/1/07</t>
  </si>
  <si>
    <t>Modified by RGS 10/4/08</t>
  </si>
  <si>
    <t>RR Road Crossings (flashers, gates, sensors, signs)</t>
  </si>
  <si>
    <t>RR Road Crossings (signs only)</t>
  </si>
  <si>
    <t>RR Misc signal lights, electrical and I&amp;C</t>
  </si>
  <si>
    <t>RR Bridge</t>
  </si>
  <si>
    <t>Site Switching Locomotive (optional)</t>
  </si>
  <si>
    <t>RR Coal Cars (optional)</t>
  </si>
  <si>
    <t>07</t>
  </si>
  <si>
    <t>HIGH VOLTAGE ELECTRICAL SWITCH YARD</t>
  </si>
  <si>
    <t>sf</t>
  </si>
  <si>
    <t>Miscellaneous Trolleys &amp; Hoists</t>
  </si>
  <si>
    <t>lot</t>
  </si>
  <si>
    <t>Limestone Conveyor Bent Foundations</t>
  </si>
  <si>
    <t>Gypsum Conveyor Bent Foundations</t>
  </si>
  <si>
    <t>Limestone Conveyor Belt Tension Foundations</t>
  </si>
  <si>
    <t>Gypsum Conveyor Belt Tension Foundations</t>
  </si>
  <si>
    <t>LP Heater 1</t>
  </si>
  <si>
    <t>LP Heater 2</t>
  </si>
  <si>
    <t>LP Heater 3</t>
  </si>
  <si>
    <t>LP Heater 4</t>
  </si>
  <si>
    <t>LP Heater 5</t>
  </si>
  <si>
    <t>HP Heater 7</t>
  </si>
  <si>
    <t>Award OFE/LNTP</t>
  </si>
  <si>
    <t>HRSG Block 1</t>
  </si>
  <si>
    <t>Steam Turbine Block 1</t>
  </si>
  <si>
    <t>Combustion Turbines Block 1</t>
  </si>
  <si>
    <t>Furnished Equipment</t>
  </si>
  <si>
    <t>Steam Turbine - gland wxhausters</t>
  </si>
  <si>
    <t>Steam Turbine - gland steam condenser</t>
  </si>
  <si>
    <t>Tank - 100,000 gal treated water surge - field erected</t>
  </si>
  <si>
    <t xml:space="preserve">Coal Storage </t>
  </si>
  <si>
    <t>Emergency Diesel Generator Enclosure</t>
  </si>
  <si>
    <t>Ductwork - Wet FGD to Stack - Alloy</t>
  </si>
  <si>
    <t xml:space="preserve">Limestone Reclaim Hopper  </t>
  </si>
  <si>
    <t>Fuel Platform fdn</t>
  </si>
  <si>
    <t xml:space="preserve">Fuel oil tank fdn </t>
  </si>
  <si>
    <t>60' x 60'</t>
  </si>
  <si>
    <t>Site Service Water / Fire Protection Pump House</t>
  </si>
  <si>
    <t>Circulating Water Pipe</t>
  </si>
  <si>
    <t>Insulation &amp; Lagging Steam Generator</t>
  </si>
  <si>
    <t>03</t>
  </si>
  <si>
    <t>AQCS EQUIPMENT</t>
  </si>
  <si>
    <t xml:space="preserve">CONSTRUCTION NTP - Mob: </t>
  </si>
  <si>
    <t>NTP PERIOD:</t>
  </si>
  <si>
    <t xml:space="preserve">Cooling Tower Basin </t>
  </si>
  <si>
    <t>200' x 248'</t>
  </si>
  <si>
    <t>200' x 248'x 6'd</t>
  </si>
  <si>
    <t>6' x 800'</t>
  </si>
  <si>
    <t xml:space="preserve">Pumps - fire water - diesel driven </t>
  </si>
  <si>
    <t>Project Manager Vehicles</t>
  </si>
  <si>
    <t>Front End :Loader/RT Forklift</t>
  </si>
  <si>
    <t xml:space="preserve">Bottom Ash Storage Bunker </t>
  </si>
  <si>
    <t>Structures</t>
  </si>
  <si>
    <t>Foundations</t>
  </si>
  <si>
    <t>127' x 208'</t>
  </si>
  <si>
    <t>350'Dia</t>
  </si>
  <si>
    <t>Wet/Scrubber</t>
  </si>
  <si>
    <t>80'x72'</t>
  </si>
  <si>
    <t>36'Dia</t>
  </si>
  <si>
    <t>Maintenance Shop Building</t>
  </si>
  <si>
    <t>40' Dia</t>
  </si>
  <si>
    <t>FGD Make-up Wash Water Tank fdn</t>
  </si>
  <si>
    <t>160' x 300'</t>
  </si>
  <si>
    <t>32' Dia</t>
  </si>
  <si>
    <t>Gypsum Load-out Building</t>
  </si>
  <si>
    <t>Chloride Purge Tank fdn</t>
  </si>
  <si>
    <t>28' Dia</t>
  </si>
  <si>
    <t>52'Dia</t>
  </si>
  <si>
    <t>Bottom Ash Silo</t>
  </si>
  <si>
    <t>Yard Mainteneance  Building</t>
  </si>
  <si>
    <t>80' x 140'</t>
  </si>
  <si>
    <t>Administration Building Elevated Floors (5 Floors)</t>
  </si>
  <si>
    <t>Month</t>
  </si>
  <si>
    <t>Annual Totals</t>
  </si>
  <si>
    <t>Cummulative Total</t>
  </si>
  <si>
    <t>HP Heater 8</t>
  </si>
  <si>
    <t>HP Heater 9</t>
  </si>
  <si>
    <t>SUB-TOTAL CONSTRUCTION COST</t>
  </si>
  <si>
    <t>Secondary Unit Substations</t>
  </si>
  <si>
    <t>Boiler Island</t>
  </si>
  <si>
    <t>Scrubber/Baghouse</t>
  </si>
  <si>
    <t>Material Handling System</t>
  </si>
  <si>
    <t>Railroad</t>
  </si>
  <si>
    <t>Switchyard</t>
  </si>
  <si>
    <t>Civil/Structural Construction</t>
  </si>
  <si>
    <t>Mechanical Construction</t>
  </si>
  <si>
    <t>Electrical / I&amp;C Construction</t>
  </si>
  <si>
    <t>Overall Project Indirects</t>
  </si>
  <si>
    <t>Materials Escalation</t>
  </si>
  <si>
    <t>TOTAL CONSTRUCTION COST</t>
  </si>
  <si>
    <t>Owner's Start-up Engineering</t>
  </si>
  <si>
    <t>45/40</t>
  </si>
  <si>
    <t xml:space="preserve"> Start-up Engineers (5)</t>
  </si>
  <si>
    <t>Pump Chemical Feed - sulfuric acid feed skid</t>
  </si>
  <si>
    <r>
      <t xml:space="preserve">Office Electric Maint./Mods </t>
    </r>
    <r>
      <rPr>
        <sz val="8"/>
        <rFont val="Verdana"/>
        <family val="2"/>
      </rPr>
      <t>(power cost by NPC)</t>
    </r>
  </si>
  <si>
    <t>NOTE: Coded Costs for Units 1, 2 and Common have been calculated in a separate PIVOT TABLE spreadsheet</t>
  </si>
  <si>
    <t>Sitework</t>
  </si>
  <si>
    <t>lf</t>
  </si>
  <si>
    <t>Sub</t>
  </si>
  <si>
    <t>Contr</t>
  </si>
  <si>
    <t>cy</t>
  </si>
  <si>
    <t>ls</t>
  </si>
  <si>
    <t>Local Labor Rules Impacting Book Values</t>
  </si>
  <si>
    <t>Union</t>
  </si>
  <si>
    <t>10' x 17' x 320'</t>
  </si>
  <si>
    <t>208/120V</t>
  </si>
  <si>
    <t>Int</t>
  </si>
  <si>
    <t>Conduit UnderGround (UG) - concrete ductbank incl excav</t>
  </si>
  <si>
    <t>Grounding</t>
  </si>
  <si>
    <t>Lighting - emergency</t>
  </si>
  <si>
    <t>Lighting - exit</t>
  </si>
  <si>
    <t>Lighting - fixtures</t>
  </si>
  <si>
    <t>Lighting - fixtures - fluorescent</t>
  </si>
  <si>
    <t>Lighting - light mast</t>
  </si>
  <si>
    <t>Lighting - outdoor fixtures</t>
  </si>
  <si>
    <t>Lighting - outdoor gixtures - pole</t>
  </si>
  <si>
    <t>Lighting - receptacles &amp; switches</t>
  </si>
  <si>
    <t>Balance of Plant (BOP) Mechanical Equipment</t>
  </si>
  <si>
    <t>ac</t>
  </si>
  <si>
    <t>Eqt Fdn - transformer rire walls</t>
  </si>
  <si>
    <t>Fire &amp; Service Water Storage Tank Foundation</t>
  </si>
  <si>
    <t xml:space="preserve">Fly Ash Silos  </t>
  </si>
  <si>
    <t>Footings - condenser support</t>
  </si>
  <si>
    <t>Fuel Oil Spill Containment Sump</t>
  </si>
  <si>
    <t>Fuel Oil Tank Containment Berm</t>
  </si>
  <si>
    <t xml:space="preserve">Underground Piping - rock excavation </t>
  </si>
  <si>
    <t>Waste Water Collection - basin &amp; pumphouse</t>
  </si>
  <si>
    <t xml:space="preserve">Water Recycle  - basin &amp; pumphouse </t>
  </si>
  <si>
    <t>Foundation Earthwork</t>
  </si>
  <si>
    <t>Pump Chemical Feed - amine feed</t>
  </si>
  <si>
    <t>Pump Chemical Feed - dispersant feed skid</t>
  </si>
  <si>
    <t>Pump Chemical Feed - oxygen savenger skid</t>
  </si>
  <si>
    <t>Structural Rock Excavation Main Power Block Structures</t>
  </si>
  <si>
    <t>Structural Earth Excavation - site out buildings &amp; structures</t>
  </si>
  <si>
    <t>Painting - structural steel, grating, handrail finish coat</t>
  </si>
  <si>
    <t>Painting - structures</t>
  </si>
  <si>
    <t>Painting - turbine room floor epoxy finish</t>
  </si>
  <si>
    <t>Topsoil Stripping/Stockpiling</t>
  </si>
  <si>
    <t>START-UP (All Units)</t>
  </si>
  <si>
    <t xml:space="preserve">Water Wagons </t>
  </si>
  <si>
    <t>Acid Gas Dry Sorbent Silo (2)</t>
  </si>
  <si>
    <t>50' x 50' x 50'd</t>
  </si>
  <si>
    <t>Active Coal Storage reclaim hopper fdns and tunnel</t>
  </si>
  <si>
    <t>30' x 70' x 50'd</t>
  </si>
  <si>
    <t>S - Service</t>
  </si>
  <si>
    <t>Powder Activated Carbon Silo (2)</t>
  </si>
  <si>
    <t xml:space="preserve">       - Builders Risk</t>
  </si>
  <si>
    <t>Site Improvements - site security boundary fencing</t>
  </si>
  <si>
    <t>09</t>
  </si>
  <si>
    <t>MECHANICAL CONSTRUCTION</t>
  </si>
  <si>
    <t>Critical Piping Systems</t>
  </si>
  <si>
    <t>Main Steam</t>
  </si>
  <si>
    <t>Hot Reheat</t>
  </si>
  <si>
    <t>Cold Reheat</t>
  </si>
  <si>
    <t>Boiler Feed Water</t>
  </si>
  <si>
    <t>Extraction to BFP Turbine</t>
  </si>
  <si>
    <t>Above Ground Large Bore Systems</t>
  </si>
  <si>
    <t>Ammonia Bulk Storage</t>
  </si>
  <si>
    <t>Bus 13.8kV non-seg</t>
  </si>
  <si>
    <t>Bus Excitor DC</t>
  </si>
  <si>
    <t>Bus Isolated Phase</t>
  </si>
  <si>
    <t>Emergency Diesel Generator</t>
  </si>
  <si>
    <t>Generator Breaker</t>
  </si>
  <si>
    <t>Generator Bus Duct</t>
  </si>
  <si>
    <t xml:space="preserve">Lighting Transformers </t>
  </si>
  <si>
    <t>LV Switchgear - 480V</t>
  </si>
  <si>
    <t>Motor Control Centers - LV 480V</t>
  </si>
  <si>
    <t>MV Switchgear - 13.8kV</t>
  </si>
  <si>
    <t>Panelboards 480/120 &amp; 480/277/120</t>
  </si>
  <si>
    <t>Plant Network System</t>
  </si>
  <si>
    <t>Administration Building Mat Fdn</t>
  </si>
  <si>
    <t>Parking Lot Base &amp; Bumpers</t>
  </si>
  <si>
    <t xml:space="preserve">     -   System  -  Turbine drains</t>
  </si>
  <si>
    <t>NOTE: Builders Risk Insurance Included in EPC (Has been moved to Owner Cost for IRP)</t>
  </si>
  <si>
    <t>Note: Builders Risk Ins. moved to Owners indirects</t>
  </si>
  <si>
    <t>Piers - condenser support</t>
  </si>
  <si>
    <t>Power Block Area Sump &amp; Pumphouse</t>
  </si>
  <si>
    <t>Rail Car Fuel Oil Tank Containment Berm</t>
  </si>
  <si>
    <t>Water Treatment Facilities</t>
  </si>
  <si>
    <t>Well Water Pre-Treatment Building (Incl. w/ waste Trtmt building)</t>
  </si>
  <si>
    <t>Site Finishing &amp; Misc.</t>
  </si>
  <si>
    <t>DeMob &amp; Demolition of Temporary Facilities</t>
  </si>
  <si>
    <t>Install Constr Oxygen/MAPP System</t>
  </si>
  <si>
    <t>Outdoor Laydown &amp; Storage Area Base</t>
  </si>
  <si>
    <t>Temp Area Electric Maintenance</t>
  </si>
  <si>
    <t>Temp Area Electric Lighting</t>
  </si>
  <si>
    <t>Daily Office/WH Periodic Clean-up Supplies/ Labor</t>
  </si>
  <si>
    <t>Unclassified &amp; Final Clean-up</t>
  </si>
  <si>
    <t>Structural Steel - ladders - caged</t>
  </si>
  <si>
    <t>Structural Steel - misc. pipe/elec supports</t>
  </si>
  <si>
    <t>Structural Steel - misc. platforms</t>
  </si>
  <si>
    <t>Structural Steel - stair treads</t>
  </si>
  <si>
    <t>Structural Steel - turbine roof deck</t>
  </si>
  <si>
    <t>Trench Floor Drain Cover</t>
  </si>
  <si>
    <t>Truck Fly Ash Loading Facilities</t>
  </si>
  <si>
    <t>ELECTRICAL CONSTRUCTION</t>
  </si>
  <si>
    <t>Bus-Duct - 6.9kV Copper w/ fittings &amp; supports</t>
  </si>
  <si>
    <t>Bus-Duct - 480V Copper w/ fittings &amp; supports</t>
  </si>
  <si>
    <t xml:space="preserve">Cable - control </t>
  </si>
  <si>
    <t>EPC Contractor Insurance &amp; Misc Costs</t>
  </si>
  <si>
    <t xml:space="preserve">Pumps - heater drain pumps </t>
  </si>
  <si>
    <t xml:space="preserve">Pumps - miscellaneous </t>
  </si>
  <si>
    <t>Pumps - service water</t>
  </si>
  <si>
    <t>Pumps - sump - blowdown, waste water</t>
  </si>
  <si>
    <t>Pumps - sump - truck dump</t>
  </si>
  <si>
    <t>Pumps - treated water transfer to serv water tank</t>
  </si>
  <si>
    <t>Sample Analysis Panel</t>
  </si>
  <si>
    <t>Service Water Multi-Media Pressure Filters System</t>
  </si>
  <si>
    <t>Steam &amp; Water Sample Panel w/ Coolers</t>
  </si>
  <si>
    <t>Tank - treated water surge - field erected</t>
  </si>
  <si>
    <t>Tank - potable water storage - field erected</t>
  </si>
  <si>
    <t>Asbestos Worker GF (insulator)</t>
  </si>
  <si>
    <t>Cement Mason F</t>
  </si>
  <si>
    <t>Sheetmetal GF</t>
  </si>
  <si>
    <t>WORK WEEK</t>
  </si>
  <si>
    <t>SUBTOTAL</t>
  </si>
  <si>
    <t>PER DIEM</t>
  </si>
  <si>
    <t>Project Contingency*</t>
  </si>
  <si>
    <t>Install Dust Control Water Tank</t>
  </si>
  <si>
    <t>Remote Timekeeper/Brassing Shacks</t>
  </si>
  <si>
    <t>First Aid Facility</t>
  </si>
  <si>
    <t>Sanitary Facilities/Sanitorial Service</t>
  </si>
  <si>
    <t>Remote Sanitary Trailer Facilities</t>
  </si>
  <si>
    <t>Eqt Fdn - BFP turbine pedestal</t>
  </si>
  <si>
    <t>Eqt Fdn - ID fans</t>
  </si>
  <si>
    <t>Coal Transfer House</t>
  </si>
  <si>
    <t>Coal Car Thaw Shed</t>
  </si>
  <si>
    <t>Structural Earth Excavation Main Power Block Structures</t>
  </si>
  <si>
    <t>Truck Fuel Oil Unloading Facilities</t>
  </si>
  <si>
    <t>Turbine Area Floor Drains Sump</t>
  </si>
  <si>
    <t>Turbine Area Floor Fill Slab</t>
  </si>
  <si>
    <t xml:space="preserve">Coal Yard Air Compressors </t>
  </si>
  <si>
    <t>6.9kV/480/220/120V</t>
  </si>
  <si>
    <t>30' x 30'</t>
  </si>
  <si>
    <t>Steel siding/roof</t>
  </si>
  <si>
    <t>1 Lot</t>
  </si>
  <si>
    <t>Less 10% Adjustment</t>
  </si>
  <si>
    <t>EPC Unescalated Amount</t>
  </si>
  <si>
    <t>EPC Manhours</t>
  </si>
  <si>
    <t>EPC Escalated Amount</t>
  </si>
  <si>
    <t>4%/Year</t>
  </si>
  <si>
    <t>Total C6</t>
  </si>
  <si>
    <t>Total C7</t>
  </si>
  <si>
    <t>Total C8</t>
  </si>
  <si>
    <t>Total C9</t>
  </si>
  <si>
    <t>Total P2</t>
  </si>
  <si>
    <t>Total P3</t>
  </si>
  <si>
    <t>Total P4</t>
  </si>
  <si>
    <t>Total P5</t>
  </si>
  <si>
    <t>Total P6</t>
  </si>
  <si>
    <t>check= $0</t>
  </si>
  <si>
    <t>Common - Subcontract</t>
  </si>
  <si>
    <t>COMMON TOTAL</t>
  </si>
  <si>
    <t>Unit 1 - Procurement</t>
  </si>
  <si>
    <t>Unit 1 - Material</t>
  </si>
  <si>
    <t>Security/Guardhouse</t>
  </si>
  <si>
    <t>Temp Onsite Roads &amp; Parking</t>
  </si>
  <si>
    <t>Remote Sanitary Trailer Servicing</t>
  </si>
  <si>
    <t>Remote Craft Change Trailers</t>
  </si>
  <si>
    <t>Tool Storage Trailers</t>
  </si>
  <si>
    <t>Tool Storage Containers Sea Vans</t>
  </si>
  <si>
    <t>Snow Removal</t>
  </si>
  <si>
    <t>Dust Control</t>
  </si>
  <si>
    <t>100' x 150'</t>
  </si>
  <si>
    <t>Coal Transfer House (4)</t>
  </si>
  <si>
    <t>Coal Mill fdns (6)</t>
  </si>
  <si>
    <t>x</t>
  </si>
  <si>
    <t xml:space="preserve"> Sub-Total</t>
  </si>
  <si>
    <t>Total Craft Labor Hours</t>
  </si>
  <si>
    <t xml:space="preserve">    Estimated Subcontract Labor Hours</t>
  </si>
  <si>
    <t>Waste Concrete @ 1.5%</t>
  </si>
  <si>
    <t>P1</t>
  </si>
  <si>
    <t>P2</t>
  </si>
  <si>
    <t>P3</t>
  </si>
  <si>
    <t>P4</t>
  </si>
  <si>
    <t>P5</t>
  </si>
  <si>
    <t>P6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</si>
  <si>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</si>
  <si>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</si>
  <si>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</si>
  <si>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</si>
  <si>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</si>
  <si>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</si>
  <si>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</si>
  <si>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</si>
  <si>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</si>
  <si>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OI1</t>
  </si>
  <si>
    <t>PI1</t>
  </si>
  <si>
    <t>PI2</t>
  </si>
  <si>
    <t>PI3</t>
  </si>
  <si>
    <t>PI4</t>
  </si>
  <si>
    <t>OI2</t>
  </si>
  <si>
    <t>OI3</t>
  </si>
  <si>
    <t>OI4</t>
  </si>
  <si>
    <t xml:space="preserve"> Employee + 1 Dep</t>
  </si>
  <si>
    <t>M</t>
  </si>
  <si>
    <t xml:space="preserve">  FICA (PART 2)</t>
  </si>
  <si>
    <t>total</t>
  </si>
  <si>
    <t xml:space="preserve">Local Hire </t>
  </si>
  <si>
    <t xml:space="preserve"> Single</t>
  </si>
  <si>
    <t>T</t>
  </si>
  <si>
    <t>Coal Crusher fdn</t>
  </si>
  <si>
    <t>Dry Ash Silo fdn</t>
  </si>
  <si>
    <t>Emergency Diesel Generator fdn</t>
  </si>
  <si>
    <t xml:space="preserve">Fire and service water storage tank fdns </t>
  </si>
  <si>
    <t>Fly Ash Silo fdns (2)</t>
  </si>
  <si>
    <t>Limestone Conveyor Belt fdns</t>
  </si>
  <si>
    <t>Limestone Conveyor Belt Tension fdns</t>
  </si>
  <si>
    <t>Limestone Prep Ball Mill fdns/Ped.</t>
  </si>
  <si>
    <t>Rail Car Fuel Oil Storage Tank fdn</t>
  </si>
  <si>
    <t>Reclaim Water Tank fdns</t>
  </si>
  <si>
    <t>Main Power Block Buildings, Structures and fdns</t>
  </si>
  <si>
    <t>Absorber Tower w Reaction Tank fdns (2)</t>
  </si>
  <si>
    <t>Line #</t>
  </si>
  <si>
    <t>Unit 1 &amp; 2 Total Original</t>
  </si>
  <si>
    <t>Unit 1 &amp; 2 Total Current</t>
  </si>
  <si>
    <t>Potential Additional Costs</t>
  </si>
  <si>
    <t>PA1</t>
  </si>
  <si>
    <t>PA2</t>
  </si>
  <si>
    <t>PA3</t>
  </si>
  <si>
    <t>E.ON US</t>
  </si>
  <si>
    <t>SCPC New Baseload Unit</t>
  </si>
  <si>
    <t xml:space="preserve">Unit 1 - </t>
  </si>
  <si>
    <t>BOILER:</t>
  </si>
  <si>
    <t>STEAM TURBINE:</t>
  </si>
  <si>
    <t>800 MW - Pulv. Coal</t>
  </si>
  <si>
    <t>Welding machine, 2 Arc, 300 Tig Rig</t>
  </si>
  <si>
    <t>Welding machine, Remote Electric Frames</t>
  </si>
  <si>
    <t>Welding Rod Oven 50#</t>
  </si>
  <si>
    <t>Concrete Tools</t>
  </si>
  <si>
    <t>Surveyor's Standard Theodolite</t>
  </si>
  <si>
    <t>Miscellaneous Structures Concrete @ 3%</t>
  </si>
  <si>
    <t>Factor</t>
  </si>
  <si>
    <t>MATERIAL $</t>
  </si>
  <si>
    <t>LABOR $</t>
  </si>
  <si>
    <t xml:space="preserve"> MHRS</t>
  </si>
  <si>
    <t>SUBTOTAL $</t>
  </si>
  <si>
    <t>BASIS NOTES</t>
  </si>
  <si>
    <t>60' Deep EA</t>
  </si>
  <si>
    <t xml:space="preserve"> 60' Deep EA</t>
  </si>
  <si>
    <t xml:space="preserve">     -   System  -  Service Water</t>
  </si>
  <si>
    <t>Pipefitter GF</t>
  </si>
  <si>
    <t>Pipefitter F</t>
  </si>
  <si>
    <t>Pipefitter J</t>
  </si>
  <si>
    <t>Sheetmetal F</t>
  </si>
  <si>
    <t>Sheetmetal J</t>
  </si>
  <si>
    <t>Total</t>
  </si>
  <si>
    <t>Dock Superintendant</t>
  </si>
  <si>
    <t>Superintendent - Structural/Equip. (4)</t>
  </si>
  <si>
    <t>- Natural Gas Service and System Upgrades</t>
  </si>
  <si>
    <t>- Owner's Security Costs (Bonds, LOC, Other)</t>
  </si>
  <si>
    <t>- Solid Fuel and Limestone Delivery Systems</t>
  </si>
  <si>
    <t>- Owner's Uncertainty (and costs pending final negotiation)</t>
  </si>
  <si>
    <t>- Electrical Transmission System</t>
  </si>
  <si>
    <t xml:space="preserve">       ~ Unidentified Project Scope Increases</t>
  </si>
  <si>
    <t>- Telecommunications Systems</t>
  </si>
  <si>
    <t xml:space="preserve">       ~ Unidentified Project Requirements</t>
  </si>
  <si>
    <t>- Clean (Potable) and Cooling Water</t>
  </si>
  <si>
    <t xml:space="preserve">       ~ Costs Pending Final Agreements (e.g. interconnection contract costs)</t>
  </si>
  <si>
    <t>- Wastewater Disposal and Sewer</t>
  </si>
  <si>
    <t>Utility and Other Interconnections Subtotal</t>
  </si>
  <si>
    <t>Owner's Security and Contingency Subtotal</t>
  </si>
  <si>
    <t>Spare Parts and Non-Capital Equipment</t>
  </si>
  <si>
    <t>Financing</t>
  </si>
  <si>
    <t>- AQCS Materials, Supplies, and Parts</t>
  </si>
  <si>
    <t>- Financial Advisor, Lender's Legal. Market Analyst, Engineer and Other Advisors</t>
  </si>
  <si>
    <t>- Acid Gas Treating Materials, Supplies, and Parts</t>
  </si>
  <si>
    <t>- Securing of Financing Sufficient to meet Project Obligations or Alternate Sources of Lending</t>
  </si>
  <si>
    <t>- Steam Generator, Steam Turbine/Generator, and Other Spare Parts</t>
  </si>
  <si>
    <t>- Balance-of-Plant Maintenance Equipment/Tools</t>
  </si>
  <si>
    <t>- Allowances for Funds used during Construction (AFUDC) and Other Financing Costs</t>
  </si>
  <si>
    <t>- Maintenance Facilities/Equipment</t>
  </si>
  <si>
    <t>- Loan Administration and Commitment Fees</t>
  </si>
  <si>
    <t>- Rail Cars and Other Fuel Delivery Equipment</t>
  </si>
  <si>
    <t>- Plant Furnishings, Labs, and Supplies</t>
  </si>
  <si>
    <t>Spare Parts and Non-Capital Equipment Subtotal</t>
  </si>
  <si>
    <t>Financing Subtotal</t>
  </si>
  <si>
    <t>Initial Fuel Inventory - Fuel Oil</t>
  </si>
  <si>
    <t>Train Cars</t>
  </si>
  <si>
    <t xml:space="preserve">New River Intake/Water Treatment/ Discharge Structure (NGCC) </t>
  </si>
  <si>
    <t>Hogger</t>
  </si>
  <si>
    <t>Truck Dumper</t>
  </si>
  <si>
    <t>70' x 70'</t>
  </si>
  <si>
    <t>150' x 100'</t>
  </si>
  <si>
    <t>80' x 30'</t>
  </si>
  <si>
    <t>85' x 45'</t>
  </si>
  <si>
    <t>60' x 120'</t>
  </si>
  <si>
    <t>155' x 300'</t>
  </si>
  <si>
    <t xml:space="preserve">Waste Water Sumps </t>
  </si>
  <si>
    <t xml:space="preserve">Waste Water Pretreatment Clarifiers </t>
  </si>
  <si>
    <t>Division #9.0 - Project Indirects</t>
  </si>
  <si>
    <t>Misc. Office Staff Travel Expenses</t>
  </si>
  <si>
    <t>Home Office/Field Director/VP</t>
  </si>
  <si>
    <t>FIELD STAFF (Exempt Employees)</t>
  </si>
  <si>
    <t>FIELD ADMINISTRATION (Non-Exempt)</t>
  </si>
  <si>
    <t>Subtotal Field Supervision</t>
  </si>
  <si>
    <t>TOTAL STAFF SALARY COST</t>
  </si>
  <si>
    <t>Ave. Pay$/week</t>
  </si>
  <si>
    <t xml:space="preserve">Fringe Balance </t>
  </si>
  <si>
    <t>Ave. Cost$/week</t>
  </si>
  <si>
    <t>TOTAL COST</t>
  </si>
  <si>
    <t>PEAK FIELD STAFF =</t>
  </si>
  <si>
    <t>Construction Office Building</t>
  </si>
  <si>
    <t>Tank - 20,000 gal potable water storage - field erected</t>
  </si>
  <si>
    <t>Tank Chemical Feed - circ water sodium hypochlorite</t>
  </si>
  <si>
    <t>Tank Chemical Feed - circ water sulfuric acid storage</t>
  </si>
  <si>
    <t>Coal Pile run-off Sedimentation Basin Earthwork</t>
  </si>
  <si>
    <t xml:space="preserve">Coal Pile run-off Sedimentation Basin Liner </t>
  </si>
  <si>
    <t>Coal Pile run-off Sump &amp; Lift Station</t>
  </si>
  <si>
    <t>Dewatering</t>
  </si>
  <si>
    <t>Erosion Control Measures</t>
  </si>
  <si>
    <t>Evaporation Pond Berm</t>
  </si>
  <si>
    <t xml:space="preserve">Evaporation Pond Earthwork </t>
  </si>
  <si>
    <t>20' x 120'</t>
  </si>
  <si>
    <t>Rotary Dumper Aux Bldg #1 &amp; 2</t>
  </si>
  <si>
    <t>Steam Turbine Generator Building Operating Floor Slab</t>
  </si>
  <si>
    <t>Steel Platform</t>
  </si>
  <si>
    <t xml:space="preserve">Tripper Deck </t>
  </si>
  <si>
    <t>80' x 230'</t>
  </si>
  <si>
    <t>Demineralized Water Storage Tank (2)</t>
  </si>
  <si>
    <t>4 - 10' x 40'</t>
  </si>
  <si>
    <t>30' x 40'</t>
  </si>
  <si>
    <t>Wood Truck Dumper</t>
  </si>
  <si>
    <t>40' x 80'</t>
  </si>
  <si>
    <t>Wood Storage</t>
  </si>
  <si>
    <t>600' x 600'</t>
  </si>
  <si>
    <t>230' x 1200'</t>
  </si>
  <si>
    <t>Site Run-off Pond @4'd</t>
  </si>
  <si>
    <t>40' x 120'</t>
  </si>
  <si>
    <t>Limestone Truck Unloading  (30' x 70')</t>
  </si>
  <si>
    <t>IRP CODE</t>
  </si>
  <si>
    <t>Labor Camps</t>
  </si>
  <si>
    <t>50' x 100'</t>
  </si>
  <si>
    <t>60' Dia</t>
  </si>
  <si>
    <t>5' x 5' x 5' d</t>
  </si>
  <si>
    <t>40' x 100'</t>
  </si>
  <si>
    <t>Steam Generator w/ SCR, Struct Steel &amp; Misc. Eqt.</t>
  </si>
  <si>
    <t>Transformer non-seg Bus</t>
  </si>
  <si>
    <t>Transformer Station Service</t>
  </si>
  <si>
    <t>UPS (120VAC) Gas Cleaning Area</t>
  </si>
  <si>
    <t>UPS (120VAC) Main Power House</t>
  </si>
  <si>
    <t>UPS (120VAC) Coal Area</t>
  </si>
  <si>
    <t>DCS &amp; CEMS Equipment</t>
  </si>
  <si>
    <t>Structural Rock Excavation - site out buildings &amp; structures</t>
  </si>
  <si>
    <t>Turbine Building Built-up Roof</t>
  </si>
  <si>
    <t>Chimney Foundation</t>
  </si>
  <si>
    <t>Cooling Tower Basin</t>
  </si>
  <si>
    <t>Circulating Water Pump Structure</t>
  </si>
  <si>
    <t>Demineralized Water Tank Foundation</t>
  </si>
  <si>
    <t>Condensate Storage Tank Foundation</t>
  </si>
  <si>
    <t>Gypsum Temp storage area for reclaim to landfill</t>
  </si>
  <si>
    <t>Limestone Reclaim Hopper</t>
  </si>
  <si>
    <t>Wet/Dry Cooling</t>
  </si>
  <si>
    <t>EPC Contractor Insurance &amp; Misc Costs (% of Total Const. Cost)</t>
  </si>
  <si>
    <t>Well Water to Pre-Treatment Facility</t>
  </si>
  <si>
    <t>CS A53 Std</t>
  </si>
  <si>
    <t>CS A106B</t>
  </si>
  <si>
    <t>Rail Car Fuel Oil Tank Foundation</t>
  </si>
  <si>
    <t>Site Out Buildings, Structures and fdns</t>
  </si>
  <si>
    <t>Aqueous Ammonia storage tanks and pumps fdns</t>
  </si>
  <si>
    <t>Chimney fdn</t>
  </si>
  <si>
    <t xml:space="preserve"> Start-up Manager</t>
  </si>
  <si>
    <t>Subtotal Start-up Supervision</t>
  </si>
  <si>
    <t>CONSTRUCTION INDIRECTS and SERVICES</t>
  </si>
  <si>
    <t xml:space="preserve">Reclaim Water Tank Foundation </t>
  </si>
  <si>
    <t>Reagent Feed Tank</t>
  </si>
  <si>
    <t>Emergency Coal Reclaim</t>
  </si>
  <si>
    <t>Powdered Activated Carbon Silo</t>
  </si>
  <si>
    <t>ITEM DESCRIPTION</t>
  </si>
  <si>
    <t>Quantity</t>
  </si>
  <si>
    <t>Unit</t>
  </si>
  <si>
    <t>Rental Rate</t>
  </si>
  <si>
    <t>Purchase $</t>
  </si>
  <si>
    <t>Rental Cost</t>
  </si>
  <si>
    <t>Purchase Cost</t>
  </si>
  <si>
    <t>Labor Cost</t>
  </si>
  <si>
    <t>Total Cost</t>
  </si>
  <si>
    <t>Instrumentation &amp; Controls</t>
  </si>
  <si>
    <t xml:space="preserve">Limestone Transfer Houses </t>
  </si>
  <si>
    <t xml:space="preserve">Check w/ estimate details: </t>
  </si>
  <si>
    <t>Auxiliary Boiler Steel Stack 160' High</t>
  </si>
  <si>
    <t>Brine Concentrator (turn key installation)</t>
  </si>
  <si>
    <t xml:space="preserve">Lube Oil Purifier Boiler Feed Pump Turbine </t>
  </si>
  <si>
    <t>Pumps - aux boiler feed</t>
  </si>
  <si>
    <t>Pumps - boiler feed start-up</t>
  </si>
  <si>
    <t>Pumps - boiler feed turbine drives</t>
  </si>
  <si>
    <t xml:space="preserve">Pumps - boiler fill </t>
  </si>
  <si>
    <t>Pumps - diesel driven fire</t>
  </si>
  <si>
    <t>Pumps - heater drain pumps 1 x 100% LP</t>
  </si>
  <si>
    <t>Steam Generator with SCR, Struct Steel &amp; Misc. Eqt.</t>
  </si>
  <si>
    <t>30' x 20' x 2400'</t>
  </si>
  <si>
    <t>w/o Circ Water Pipes</t>
  </si>
  <si>
    <t>Road Water Truck</t>
  </si>
  <si>
    <t>Teamster or</t>
  </si>
  <si>
    <t>Air Compressor 1,500 CFM</t>
  </si>
  <si>
    <t>Subtotal Outside Equipment Rental Costs</t>
  </si>
  <si>
    <t>Outside Equipment Sales/Use Taxes</t>
  </si>
  <si>
    <t>Esh</t>
  </si>
  <si>
    <t>Limestone Area Sedimentation Pond Pump House</t>
  </si>
  <si>
    <t>Nat Aver.</t>
  </si>
  <si>
    <t>Dry Fly Ash Transfer Tanks Foundations</t>
  </si>
  <si>
    <t>Emergency Diesel Generator &amp; Tank Foundation</t>
  </si>
  <si>
    <t xml:space="preserve">Eqt Fdn - auxiliary power transformers  </t>
  </si>
  <si>
    <t>Relaying, Metering, UPS &amp; Control Equipment &amp; Enclosures</t>
  </si>
  <si>
    <t>500kV Interconnecting Cable &amp; Raceway</t>
  </si>
  <si>
    <t>500kV Aux Power Interconnect</t>
  </si>
  <si>
    <t>Equipment Foundations</t>
  </si>
  <si>
    <t>Electrical Controls Building Foundation</t>
  </si>
  <si>
    <t>08</t>
  </si>
  <si>
    <t>CIVIL/STRUCTURAL CONSTRUCTION</t>
  </si>
  <si>
    <t>Demolition</t>
  </si>
  <si>
    <t>TOTAL UNIT 1 and COMMON</t>
  </si>
  <si>
    <t>Unit 2 - Procurement</t>
  </si>
  <si>
    <t>Unit 2 - Material</t>
  </si>
  <si>
    <t>Unit 2 - Labor</t>
  </si>
  <si>
    <t>Owner Furnished Equipment &amp; EPC Cash Flows</t>
  </si>
  <si>
    <t>Coal Truck Unloading</t>
  </si>
  <si>
    <t xml:space="preserve">30' x 70' </t>
  </si>
  <si>
    <t>Unit 2 - Subcontract</t>
  </si>
  <si>
    <t>Spread Footings &amp; Piers Duct Supports</t>
  </si>
  <si>
    <t>Spread Footings &amp; Piers Pipe Racks</t>
  </si>
  <si>
    <t>Variable O&amp;M - water, chemicals, etc.</t>
  </si>
  <si>
    <t>Start-up Power</t>
  </si>
  <si>
    <t>Test Power Sales</t>
  </si>
  <si>
    <t>Site Security</t>
  </si>
  <si>
    <t>Rail to Site</t>
  </si>
  <si>
    <t xml:space="preserve">      EPC Price per kW</t>
  </si>
  <si>
    <t xml:space="preserve">      Total Project Cost per kW</t>
  </si>
  <si>
    <t xml:space="preserve"> Sub-Total Direct Costs:</t>
  </si>
  <si>
    <t>Construction Indirects</t>
  </si>
  <si>
    <t>10' x 40'</t>
  </si>
  <si>
    <t>Temp Electric Distribution Equip. &amp; Installation</t>
  </si>
  <si>
    <t>TOTAL DIRECT COSTS</t>
  </si>
  <si>
    <t>Instrument Air Receivers</t>
  </si>
  <si>
    <t xml:space="preserve">Baghouse Air Compressors </t>
  </si>
  <si>
    <t>Baghouse Air Dryers</t>
  </si>
  <si>
    <t>Baghouse Air Receivers</t>
  </si>
  <si>
    <t>Coal Car Train Positioner Shed</t>
  </si>
  <si>
    <t>Coal Car Dumper Building</t>
  </si>
  <si>
    <t>Coal Car Dumper Conveyor Tunnel</t>
  </si>
  <si>
    <t>Amount</t>
  </si>
  <si>
    <t>Start Const Oct 10</t>
  </si>
  <si>
    <t>500kV Circuit Breaker</t>
  </si>
  <si>
    <t>ea</t>
  </si>
  <si>
    <t>PI1a</t>
  </si>
  <si>
    <t>PI1b</t>
  </si>
  <si>
    <t>PI1c</t>
  </si>
  <si>
    <t>EPC Contractor Contingency, G&amp;A, &amp; Profit</t>
  </si>
  <si>
    <t>Construction Field Staff &amp; Expenses</t>
  </si>
  <si>
    <t>CODES UPDATED:</t>
  </si>
  <si>
    <t>OI10</t>
  </si>
  <si>
    <t>OI11</t>
  </si>
  <si>
    <t>OI12</t>
  </si>
  <si>
    <t>OI15</t>
  </si>
  <si>
    <t>OI16</t>
  </si>
  <si>
    <t>OI17</t>
  </si>
  <si>
    <t>OI18</t>
  </si>
  <si>
    <t>OI19</t>
  </si>
  <si>
    <t>OI20</t>
  </si>
  <si>
    <t>OI21</t>
  </si>
  <si>
    <t>OI22</t>
  </si>
  <si>
    <t>OI24</t>
  </si>
  <si>
    <t>OI25</t>
  </si>
  <si>
    <t>OI26</t>
  </si>
  <si>
    <t>OI27</t>
  </si>
  <si>
    <t>OI28</t>
  </si>
  <si>
    <t>OI29</t>
  </si>
  <si>
    <t>OI30</t>
  </si>
  <si>
    <t>OI31</t>
  </si>
  <si>
    <t>OI32</t>
  </si>
  <si>
    <t>OI33</t>
  </si>
  <si>
    <t>OI34</t>
  </si>
  <si>
    <t>OI35</t>
  </si>
  <si>
    <t>Transmission Interconnection / Upgrades</t>
  </si>
  <si>
    <r>
      <t xml:space="preserve">Owner Operations Personnel </t>
    </r>
    <r>
      <rPr>
        <sz val="10"/>
        <rFont val="Arial"/>
        <family val="2"/>
      </rPr>
      <t>(Prior to Commercial Operation)</t>
    </r>
  </si>
  <si>
    <t>OC1</t>
  </si>
  <si>
    <t>OC2</t>
  </si>
  <si>
    <t>OC3</t>
  </si>
  <si>
    <t>OC4</t>
  </si>
  <si>
    <t>T1</t>
  </si>
  <si>
    <t>T2</t>
  </si>
  <si>
    <t>Rail Car Scale</t>
  </si>
  <si>
    <t>Totals Site Out Buildings &amp; Structures</t>
  </si>
  <si>
    <t>Abbreviations</t>
  </si>
  <si>
    <t>Wastewater Treatment Buildings &amp; Enclosures</t>
  </si>
  <si>
    <t>Mobilization/Demob Unclassified Labor</t>
  </si>
  <si>
    <t>Craft Drinking Water</t>
  </si>
  <si>
    <t>Mechanics &amp; Vehicle Service</t>
  </si>
  <si>
    <t>Coal Yard Air Receivers</t>
  </si>
  <si>
    <t>Air Cooled Condenser</t>
  </si>
  <si>
    <t>Polisher - Condensate</t>
  </si>
  <si>
    <t>Main Condenser</t>
  </si>
  <si>
    <t>Milestones</t>
  </si>
  <si>
    <t>No. Craft</t>
  </si>
  <si>
    <t>Wage Scale Impacts Affecting Book Productivity</t>
  </si>
  <si>
    <t>Coal Conveyor Bent Foundations</t>
  </si>
  <si>
    <t>Coal Conveyor Belt Tension Foundations</t>
  </si>
  <si>
    <t>Impact Wrench 1"/1.5" Air</t>
  </si>
  <si>
    <t xml:space="preserve">Underground Piping - earth excavation </t>
  </si>
  <si>
    <t>$ X 1,000</t>
  </si>
  <si>
    <t>Cable - data highway</t>
  </si>
  <si>
    <t>Cable - fiber optic</t>
  </si>
  <si>
    <t>Cable - instrument</t>
  </si>
  <si>
    <t xml:space="preserve">Cable - lighting </t>
  </si>
  <si>
    <t>Miscellaneous Strainers, Traps, Expansion Joints</t>
  </si>
  <si>
    <t>Piping non Destructive Examination</t>
  </si>
  <si>
    <t>Stress Relieving LB Alloy</t>
  </si>
  <si>
    <t>Coal Reclaim Hopper Conveyor Tunnel</t>
  </si>
  <si>
    <t>Auxiliary Boiler Building</t>
  </si>
  <si>
    <t>Structural Earth Excav. Circ Water Pipes, Header &amp; Intake Str.</t>
  </si>
  <si>
    <t>Pre-Engineered Circ Water Pump House</t>
  </si>
  <si>
    <t>Safety Shower &amp; Eyewash Stations</t>
  </si>
  <si>
    <t>Sanitary Treatment Enclosure</t>
  </si>
  <si>
    <t>Structural Steel - boiler &amp; turbine buildings</t>
  </si>
  <si>
    <t>Structural Steel - boiler roof deck</t>
  </si>
  <si>
    <t>Structural Steel - checkered plate</t>
  </si>
  <si>
    <t>Structural Steel - coal silos</t>
  </si>
  <si>
    <t>Structural Steel - duct support steel</t>
  </si>
  <si>
    <t>Structural Steel - grating</t>
  </si>
  <si>
    <t>Structural Steel - handrails with toe plate</t>
  </si>
  <si>
    <t>50' x 50'</t>
  </si>
  <si>
    <t>Coal Live Storage Dome (2)</t>
  </si>
  <si>
    <t>Ash Haul Truck Maintenance</t>
  </si>
  <si>
    <t>70' x 140'</t>
  </si>
  <si>
    <t>Cost Differential</t>
  </si>
  <si>
    <t>.</t>
  </si>
  <si>
    <t>Turbine Building Metal Siding</t>
  </si>
  <si>
    <t>Waste Water Collection Basin &amp; Pumphouse</t>
  </si>
  <si>
    <t>Unit 1 - Labor</t>
  </si>
  <si>
    <t>TOTALS</t>
  </si>
  <si>
    <t>Fringe</t>
  </si>
  <si>
    <t>Schedule</t>
  </si>
  <si>
    <t>Base</t>
  </si>
  <si>
    <t>Straight</t>
  </si>
  <si>
    <t>Premium Time</t>
  </si>
  <si>
    <t>SALARY</t>
  </si>
  <si>
    <t>MATERIAL Purchase  or Unit Cost</t>
  </si>
  <si>
    <t>INSTALL. Labor MH/UM</t>
  </si>
  <si>
    <t>Labor    Wage Rate</t>
  </si>
  <si>
    <t xml:space="preserve">Evaporation Pond Liner </t>
  </si>
  <si>
    <t>Excavate for Construction Laydown</t>
  </si>
  <si>
    <t>Excavate for Construction Offices</t>
  </si>
  <si>
    <t>Excavate for Construction Parking</t>
  </si>
  <si>
    <t>Excavate for Water Recycle Basin &amp; Pumphouse</t>
  </si>
  <si>
    <t>Excavate Wastewater Collection Basin &amp; Pumphouse</t>
  </si>
  <si>
    <t>500kV Substation - misc. items, permitting</t>
  </si>
  <si>
    <t>Piping, Valves, Support, Accessories</t>
  </si>
  <si>
    <t>Chimney</t>
  </si>
  <si>
    <t>Coal Yard Air Dryers</t>
  </si>
  <si>
    <t xml:space="preserve">        - Consumable Materials &amp; Safety Supplies</t>
  </si>
  <si>
    <t>150'x248' less pedistal</t>
  </si>
  <si>
    <t xml:space="preserve">10' x 14' x 220' </t>
  </si>
  <si>
    <t xml:space="preserve">10' x 14' x 140' </t>
  </si>
  <si>
    <t>Hangers &amp; Supports - (small bore rigid)</t>
  </si>
  <si>
    <t>Junction Boxes</t>
  </si>
  <si>
    <t>Cable - 600 Volt Power</t>
  </si>
  <si>
    <t>Temporary &amp; non-Direct Heating Equip. &amp; Install</t>
  </si>
  <si>
    <t>Temporary &amp; non-Direct Area Weather Protection</t>
  </si>
  <si>
    <t>Equals Scope by Owner</t>
  </si>
  <si>
    <t>Escalation @ 0.0%</t>
  </si>
  <si>
    <t>UNIT 2</t>
  </si>
  <si>
    <t>Site Improvements - landscaping at admin building</t>
  </si>
  <si>
    <t>Site Finishing - seed &amp; stabilize earthwork</t>
  </si>
  <si>
    <t>Site Improvements - main gate security facilities</t>
  </si>
  <si>
    <t>Site Improvements - road lighting fixtures &amp; cable</t>
  </si>
  <si>
    <t>Site Improvements - site entrance sign &amp; landscaping</t>
  </si>
  <si>
    <t>Subtotal Temp Utilities</t>
  </si>
  <si>
    <t>Trash Disposal Dumpsters</t>
  </si>
  <si>
    <t>Other $</t>
  </si>
  <si>
    <t>Road/Laydown Maintenance Labor</t>
  </si>
  <si>
    <t>Craft Drinking Water Distribution Labor</t>
  </si>
  <si>
    <t>Welders Test</t>
  </si>
  <si>
    <t>Craft Orientation</t>
  </si>
  <si>
    <t>Subtotal Site Services</t>
  </si>
  <si>
    <t>Safety Training</t>
  </si>
  <si>
    <t>Safety Supplies/Equipment</t>
  </si>
  <si>
    <t>First Aid Supplies</t>
  </si>
  <si>
    <t>Fire Protection/Prevention</t>
  </si>
  <si>
    <t>Spoil Disposal - site out buildings &amp; structures</t>
  </si>
  <si>
    <t>Int - Interior</t>
  </si>
  <si>
    <t>Ext - Exterior</t>
  </si>
  <si>
    <t>Fabric Filter Baghouse Foundation</t>
  </si>
  <si>
    <t>Sanitary Sewer Lift Stations</t>
  </si>
  <si>
    <t>Sanitary Treatment Plant, Extended Aeration</t>
  </si>
  <si>
    <t>Sanitary Waste Piping &amp; Manholes</t>
  </si>
  <si>
    <t>Large Bore HP 3800#</t>
  </si>
  <si>
    <t xml:space="preserve">Large Bore HP 900# to 3800# </t>
  </si>
  <si>
    <t>Air Compressors - receivers &amp; dryers</t>
  </si>
  <si>
    <t>Limestone rail car unloading conveyor tunnel</t>
  </si>
  <si>
    <t>Instrument Piping 2&amp;3 - valve manifolds</t>
  </si>
  <si>
    <t>Instrument Tubing - stainless steel</t>
  </si>
  <si>
    <t>Plant Control System</t>
  </si>
  <si>
    <t>PLC Hardware w/ configuation, aux controls, bulks</t>
  </si>
  <si>
    <t>Owners Warehouse</t>
  </si>
  <si>
    <t>Coal Car Maintenance Facility</t>
  </si>
  <si>
    <t>Coal Crusher Building</t>
  </si>
  <si>
    <t>Spoil Disposal - Circ Water Pipes, Header, Intake Str.</t>
  </si>
  <si>
    <t>SCR Foundations</t>
  </si>
  <si>
    <t>Wage</t>
  </si>
  <si>
    <t xml:space="preserve"> Start-up Administrative Assistant</t>
  </si>
  <si>
    <t>Logistics Coordinator</t>
  </si>
  <si>
    <t>Document Control Supervisor</t>
  </si>
  <si>
    <t>QC Manager</t>
  </si>
  <si>
    <t>Structural Backfill Circ Water Pipes, Header, Intake Str.</t>
  </si>
  <si>
    <t>Structural Earth Excavation Cooling Tower Basin</t>
  </si>
  <si>
    <t>Install Batch Plant &amp; Water Tank/Infrastructure</t>
  </si>
  <si>
    <t>Install Const. Air Compressor/Tank Infrastr</t>
  </si>
  <si>
    <t>Install Const Power &amp; Welding Grid</t>
  </si>
  <si>
    <t>Office Computer Network Set-up</t>
  </si>
  <si>
    <t>Subtotal Field Office Expenses</t>
  </si>
  <si>
    <t xml:space="preserve">Plant Startup Transformer fdns </t>
  </si>
  <si>
    <t>Rough Terrain Hydraulic Picker 50 ton</t>
  </si>
  <si>
    <t>Rough Terrain Hydraulic Picker 35 ton</t>
  </si>
  <si>
    <t>Rough Terrain Hydraulic Picker 30 ton</t>
  </si>
  <si>
    <t>Rough Terrain Hydraulic Picker 25 ton</t>
  </si>
  <si>
    <t>Rough Terrain Hydraulic Picker 20 ton</t>
  </si>
  <si>
    <t>Air Chain Hoist 20 - 25 ton</t>
  </si>
  <si>
    <t>Air Chain Hoist 15 - 20 ton</t>
  </si>
  <si>
    <t>Air Chain Hoist 10 - 15 Ton</t>
  </si>
  <si>
    <t>Air Chain Hoist  5 - 10 Ton</t>
  </si>
  <si>
    <t>Come-a-long 6 - 10 Ton</t>
  </si>
  <si>
    <t>Come-a-long 4 -6 Ton</t>
  </si>
  <si>
    <t>Equipment/Millwright &amp; Ironworker</t>
  </si>
  <si>
    <t>Insulation</t>
  </si>
  <si>
    <t>Owner Indirect Costs</t>
  </si>
  <si>
    <t>Independent Testing (Piping NDE)</t>
  </si>
  <si>
    <t>Independent Testing (Boiler NDE)</t>
  </si>
  <si>
    <t>Assistant Project Engineer</t>
  </si>
  <si>
    <t>Come-a-long 3 - 6 Ton</t>
  </si>
  <si>
    <t>Welding machine, 8 Arc,  250 Amp</t>
  </si>
  <si>
    <t>Coal Crusher/Control Building</t>
  </si>
  <si>
    <t xml:space="preserve">Mechanical Draft Cooling Tower </t>
  </si>
  <si>
    <t>Spoil Disposal - main structures</t>
  </si>
  <si>
    <t xml:space="preserve">  SUI</t>
  </si>
  <si>
    <t xml:space="preserve">  FUI</t>
  </si>
  <si>
    <t>EPC Contractor Profit Margin</t>
  </si>
  <si>
    <t>Merit Shop</t>
  </si>
  <si>
    <t>Blended Coal</t>
  </si>
  <si>
    <t>Tank - 400,000 gal fire/service water - field erected</t>
  </si>
  <si>
    <t>Crane Crawler 200 Ton (Coal &amp; Mat. Handl.)</t>
  </si>
  <si>
    <t>Fuel Oil Truck Unloading Facility</t>
  </si>
  <si>
    <t>20' x 90'</t>
  </si>
  <si>
    <t>Weekly Rate</t>
  </si>
  <si>
    <t>Subsistence/Cost of Living</t>
  </si>
  <si>
    <t>Man months</t>
  </si>
  <si>
    <t>Project USA Postage Costs</t>
  </si>
  <si>
    <t xml:space="preserve">      - Owner Contingency</t>
  </si>
  <si>
    <t>Preoperational Testing, Startup &amp; Commissioning</t>
  </si>
  <si>
    <t>%</t>
  </si>
  <si>
    <t>Sub-Total</t>
  </si>
  <si>
    <t>Subtotal</t>
  </si>
  <si>
    <t xml:space="preserve">TECHNOLOGY: </t>
  </si>
  <si>
    <t xml:space="preserve">NO. OF UNITS: </t>
  </si>
  <si>
    <t>BOP Mechanical Equipment</t>
  </si>
  <si>
    <t>$$ percent</t>
  </si>
  <si>
    <t>BFP Turbine drive Pedestals to Oper Flr.(2)</t>
  </si>
  <si>
    <t>Chargeable</t>
  </si>
  <si>
    <t>Const. Water Equip. &amp; Installation</t>
  </si>
  <si>
    <t>Const. Water Utility Bill</t>
  </si>
  <si>
    <t>Temp Heating Fuel Costs</t>
  </si>
  <si>
    <t>Scaffolding, cribbing and dunage</t>
  </si>
  <si>
    <t>SHIPPING</t>
  </si>
  <si>
    <t>Man-months</t>
  </si>
  <si>
    <t>Equipment Rental</t>
  </si>
  <si>
    <t>(months)</t>
  </si>
  <si>
    <t>Steam Seal</t>
  </si>
  <si>
    <t>TOTAL CONSTRUCTION INDIRECTS and SERVICES</t>
  </si>
  <si>
    <t>Operator</t>
  </si>
  <si>
    <t>QTY</t>
  </si>
  <si>
    <t>DURATION</t>
  </si>
  <si>
    <t>RATE</t>
  </si>
  <si>
    <t>Cellular Telephones</t>
  </si>
  <si>
    <t>Office Gas (LP, etc) Bill</t>
  </si>
  <si>
    <t>Office Water (bottled, etc)</t>
  </si>
  <si>
    <t>Surveyors Level Automatic</t>
  </si>
  <si>
    <t xml:space="preserve">Pipe Beveling Machine Equip </t>
  </si>
  <si>
    <t>Pipe Threading Machine (Rigid 535)</t>
  </si>
  <si>
    <t xml:space="preserve">Hydro Pump </t>
  </si>
  <si>
    <t>Truck 5 ton Stake</t>
  </si>
  <si>
    <t>Scissorlifts 40'</t>
  </si>
  <si>
    <t>Sky climber motors w/ basket</t>
  </si>
  <si>
    <t>Auto Laser Level</t>
  </si>
  <si>
    <t>Grout Mixer/Pump</t>
  </si>
  <si>
    <t>Coal Live Storage Dome/Barn</t>
  </si>
  <si>
    <t>Coal Pile run-off Sump &amp; Pumphouse</t>
  </si>
  <si>
    <t>Building Fire Protection</t>
  </si>
  <si>
    <t>Building Sump Pumps</t>
  </si>
  <si>
    <t>Caustic &amp; Acid Fill</t>
  </si>
  <si>
    <t>Chemical Cleaning</t>
  </si>
  <si>
    <t>Chemical Feed</t>
  </si>
  <si>
    <t>Chilled Water</t>
  </si>
  <si>
    <t>Circulating Water at Condenser</t>
  </si>
  <si>
    <t>Circulating Water Chlorination</t>
  </si>
  <si>
    <t>Condensate</t>
  </si>
  <si>
    <t>Condensate Polishing</t>
  </si>
  <si>
    <t xml:space="preserve">Condensate to Demin </t>
  </si>
  <si>
    <t>Condenser Air Removal</t>
  </si>
  <si>
    <t>Condenser Tube Cleaning</t>
  </si>
  <si>
    <t>Cooling Tower Blowdown</t>
  </si>
  <si>
    <t>Cooling Tower Makeup Water Pipe</t>
  </si>
  <si>
    <t>Cooling Water</t>
  </si>
  <si>
    <t>Deaerator Vent</t>
  </si>
  <si>
    <t>Demineralized Water</t>
  </si>
  <si>
    <t>Equipment Vents</t>
  </si>
  <si>
    <t>Extraction Steam</t>
  </si>
  <si>
    <t>Fire Pumps</t>
  </si>
  <si>
    <t>Fly Ash</t>
  </si>
  <si>
    <t>Total Cable</t>
  </si>
  <si>
    <t>HV Electrical</t>
  </si>
  <si>
    <t>Const Indirects</t>
  </si>
  <si>
    <t>Operations Personnel (by E ON)</t>
  </si>
  <si>
    <t>Startup Fuels &amp; Power (by E ON)</t>
  </si>
  <si>
    <t xml:space="preserve"> Benefit Classification</t>
  </si>
  <si>
    <t xml:space="preserve"> Fixed</t>
  </si>
  <si>
    <t xml:space="preserve"> Per Week</t>
  </si>
  <si>
    <t xml:space="preserve"> Family</t>
  </si>
  <si>
    <t>Per Week</t>
  </si>
  <si>
    <t xml:space="preserve">  FICA (PART 1)</t>
  </si>
  <si>
    <t>Pipe - Above Ground - Large Bore Average "</t>
  </si>
  <si>
    <t>LF</t>
  </si>
  <si>
    <t>Inert Gas</t>
  </si>
  <si>
    <t>Intake Pump House Trash Rack Cleaning</t>
  </si>
  <si>
    <t>Natural Gas</t>
  </si>
  <si>
    <t>Freeze Protection System</t>
  </si>
  <si>
    <t>Electrical Circuit Testing</t>
  </si>
  <si>
    <t xml:space="preserve">Eqt Fdn - main step-up transformer </t>
  </si>
  <si>
    <t>Eqt Fdn - PA fan pedestals</t>
  </si>
  <si>
    <t>Eqt Fdn - pumps &amp; misc. equipment</t>
  </si>
  <si>
    <t>Eqt Fdn - SA fan pedestals</t>
  </si>
  <si>
    <t xml:space="preserve">Eqt Fdn - secondary aux power transformers </t>
  </si>
  <si>
    <t>Eqt Fdn - steam turbine pedestal</t>
  </si>
  <si>
    <t>TOTAL COMMON</t>
  </si>
  <si>
    <t>TOTAL UNIT 2</t>
  </si>
  <si>
    <t>TOTAL UNIT 1</t>
  </si>
  <si>
    <t>TOTAL EPC</t>
  </si>
  <si>
    <t xml:space="preserve">Percentage </t>
  </si>
  <si>
    <t>TOTAL PROJECT INDIRECTS</t>
  </si>
  <si>
    <t>Check with Estimate Details (less project indirects) = 0</t>
  </si>
  <si>
    <t>UNIT 1 &amp; COMMON</t>
  </si>
  <si>
    <t xml:space="preserve"> EPC</t>
  </si>
  <si>
    <t>Facilities Adjacent to Work Area</t>
  </si>
  <si>
    <t>Open Shop</t>
  </si>
  <si>
    <t>Graveyard</t>
  </si>
  <si>
    <t>90 Min</t>
  </si>
  <si>
    <t>Allowance based on info from other projects</t>
  </si>
  <si>
    <t>Owners Engineer</t>
  </si>
  <si>
    <t>40' x 180'</t>
  </si>
  <si>
    <t>FGD System Absorber</t>
  </si>
  <si>
    <t>Pulse Jet Fabric Filter</t>
  </si>
  <si>
    <t xml:space="preserve">Air Compressors </t>
  </si>
  <si>
    <t>Air Dryers</t>
  </si>
  <si>
    <t>Air Receivers</t>
  </si>
  <si>
    <t>Dry ESP</t>
  </si>
  <si>
    <t>Wet ESP</t>
  </si>
  <si>
    <t>Ductwork - wet FGD to stack - alloy</t>
  </si>
  <si>
    <t>Limestone Slurry System</t>
  </si>
  <si>
    <t>Subtotal Field Administration</t>
  </si>
  <si>
    <t>SUBTOTAL FIELD STAFF COSTS</t>
  </si>
  <si>
    <t>Senior Schedule Engineer</t>
  </si>
  <si>
    <t>Senior Cost Engineer</t>
  </si>
  <si>
    <t>Project Controls Manager</t>
  </si>
  <si>
    <t>Nurse/Medic/EMT</t>
  </si>
  <si>
    <t>Material Control Manager</t>
  </si>
  <si>
    <t>Field Accounting Manager</t>
  </si>
  <si>
    <t xml:space="preserve">Cable - medium voltage  (15kV cable) </t>
  </si>
  <si>
    <t xml:space="preserve">Cable - medium voltage  (6.9kV Cable) </t>
  </si>
  <si>
    <t xml:space="preserve">Welding machine, 4 Arc, 300 Amp </t>
  </si>
  <si>
    <t>Generator Seal Oil</t>
  </si>
  <si>
    <t>Gypsum Slurry to Dewatering</t>
  </si>
  <si>
    <t>Heater Drains</t>
  </si>
  <si>
    <t>Heater Vents &amp; Drains</t>
  </si>
  <si>
    <t>Ignition Fuel Oil</t>
  </si>
  <si>
    <t>Laboratory Equipment &amp; Furnishings</t>
  </si>
  <si>
    <t>Kitchen Furniture</t>
  </si>
  <si>
    <t xml:space="preserve">COMMERCIAL OP. DATE:     </t>
  </si>
  <si>
    <t>Painting - non-insulated piping</t>
  </si>
  <si>
    <t>Roof Drains</t>
  </si>
  <si>
    <t>LEAD ESTIMATOR:</t>
  </si>
  <si>
    <t xml:space="preserve">       - Power Plant Design Engineering</t>
  </si>
  <si>
    <t>Sub-Total Project Indirects</t>
  </si>
  <si>
    <t>Construction Elevator, - 7,500lb</t>
  </si>
  <si>
    <t>Construction Elevator, - 5,000lb</t>
  </si>
  <si>
    <t>Equip. Assembly/Disassembly Operators</t>
  </si>
  <si>
    <t>Pick-up truck, 1/2 ton, 4WD</t>
  </si>
  <si>
    <t>Pick-up truck, 3/4 ton, 4WD</t>
  </si>
  <si>
    <t>Base Equip.</t>
  </si>
  <si>
    <t>Structural Steel</t>
  </si>
  <si>
    <t>lb</t>
  </si>
  <si>
    <t>HOME OFFICE SUPPORT</t>
  </si>
  <si>
    <t>Trips</t>
  </si>
  <si>
    <t>Expenses</t>
  </si>
  <si>
    <t>Air Fair</t>
  </si>
  <si>
    <t>Rate</t>
  </si>
  <si>
    <t>Warehouse</t>
  </si>
  <si>
    <t>OWNER INDIRECTS</t>
  </si>
  <si>
    <t>Unclassified Scaffolding</t>
  </si>
  <si>
    <t>Owner</t>
  </si>
  <si>
    <t>Electric Ductbank 6 x 4 &amp; Cable Vaults</t>
  </si>
  <si>
    <t>6 ea</t>
  </si>
  <si>
    <t>Aqueous Ammonia Rail Car Unloading</t>
  </si>
  <si>
    <t>Coal Yard Truck Maintenance Facility</t>
  </si>
  <si>
    <t>Sales Tax - on consumable materials and equipment rental</t>
  </si>
  <si>
    <t>Construction Start-up Support</t>
  </si>
  <si>
    <t xml:space="preserve">Boiler Building Fill Slab </t>
  </si>
  <si>
    <t>Steam Turbine Pedestal</t>
  </si>
  <si>
    <t xml:space="preserve">AQCS Pulse Jet Fabric Filter </t>
  </si>
  <si>
    <t>Plant Security System</t>
  </si>
  <si>
    <t>Plant Telephone System</t>
  </si>
  <si>
    <t>Relay Panels</t>
  </si>
  <si>
    <t>Tank - condensate storage - field erected</t>
  </si>
  <si>
    <t>Tank - fire/service water - field erected</t>
  </si>
  <si>
    <t>Tank - aux cooling surge tank</t>
  </si>
  <si>
    <t>Tank - closed cooling water expansion</t>
  </si>
  <si>
    <t>Tank - demin water storage</t>
  </si>
  <si>
    <t>Tank - instrument air receiver</t>
  </si>
  <si>
    <t>Tank - plant fuel oil storage</t>
  </si>
  <si>
    <t>Tank - RR refueling oil storage</t>
  </si>
  <si>
    <t>Tank - turbine drains</t>
  </si>
  <si>
    <t>Tank Chemical Feed - circulating water sodium hypochlorite</t>
  </si>
  <si>
    <t>Tank Chemical Feed - circulating water sulfuric acid storage</t>
  </si>
  <si>
    <t>Turbine Room Bridge Crane</t>
  </si>
  <si>
    <t xml:space="preserve">Construction Manager:     </t>
  </si>
  <si>
    <t>Temporary Construction Facilities and Laydown Location is Inadequate causing an Impact to Productivity</t>
  </si>
  <si>
    <t>Good Layout</t>
  </si>
  <si>
    <t>More than 2 Miles</t>
  </si>
  <si>
    <t>More than 1 Mile</t>
  </si>
  <si>
    <t>Adjacent</t>
  </si>
  <si>
    <t>Site Conditions During Life of Project (I.e. Ground Conditions, Existing Environmental Conditions)</t>
  </si>
  <si>
    <t xml:space="preserve">FUEL TYPE: </t>
  </si>
  <si>
    <t>COOLING TYPE:</t>
  </si>
  <si>
    <t>TOTAL COSTS</t>
  </si>
  <si>
    <t>Procurement</t>
  </si>
  <si>
    <t>Contractor</t>
  </si>
  <si>
    <t>Subcontractor or</t>
  </si>
  <si>
    <t>Project</t>
  </si>
  <si>
    <t>DIVISION OF WORK</t>
  </si>
  <si>
    <t>Major Equipment</t>
  </si>
  <si>
    <t>Material $</t>
  </si>
  <si>
    <t>Labor $</t>
  </si>
  <si>
    <t>Total $</t>
  </si>
  <si>
    <t>Level</t>
  </si>
  <si>
    <t>Unit 1</t>
  </si>
  <si>
    <t>Unit 2</t>
  </si>
  <si>
    <t>Common Facilities</t>
  </si>
  <si>
    <t>01</t>
  </si>
  <si>
    <t>PROCUREMENTS</t>
  </si>
  <si>
    <t>Steam Turbine Generator</t>
  </si>
  <si>
    <t>Boiler Feed Turbine Drives</t>
  </si>
  <si>
    <t>Mechanical Equipment</t>
  </si>
  <si>
    <t>Air Compressors - receivers, dryers</t>
  </si>
  <si>
    <t>Aqueous Ammonia System - unloading, storage, forwarding</t>
  </si>
  <si>
    <t>I/A Supply Filter Regulators</t>
  </si>
  <si>
    <r>
      <t>M A J O R   C O N S T R U C T I O N   E Q U I P M E N T:</t>
    </r>
    <r>
      <rPr>
        <b/>
        <sz val="12"/>
        <color indexed="8"/>
        <rFont val="Verdana"/>
        <family val="2"/>
      </rPr>
      <t xml:space="preserve">  </t>
    </r>
    <r>
      <rPr>
        <b/>
        <u/>
        <sz val="14"/>
        <color indexed="8"/>
        <rFont val="Verdana"/>
        <family val="2"/>
      </rPr>
      <t>E.ON Green River  U N I T  #1 &amp; Common</t>
    </r>
  </si>
  <si>
    <t xml:space="preserve">Moormam </t>
  </si>
  <si>
    <t xml:space="preserve">Current KY </t>
  </si>
  <si>
    <t>Crane Crawler 275 Ton (Cond/Xfmr.)</t>
  </si>
  <si>
    <t xml:space="preserve">     - Escalation to Midpoint @ %/Yr</t>
  </si>
  <si>
    <t xml:space="preserve"> - E.ON US Project Contingency</t>
  </si>
  <si>
    <t>TOTAL E.ON US Owner's Cost</t>
  </si>
  <si>
    <t>Total Project Cost</t>
  </si>
  <si>
    <t>Price per KW</t>
  </si>
  <si>
    <t>Taxes/Advisory Fees/Legal</t>
  </si>
  <si>
    <t>Control Valves - supply</t>
  </si>
  <si>
    <t>Control Valves - LB alloy</t>
  </si>
  <si>
    <t xml:space="preserve">Control Valves - SB alloy </t>
  </si>
  <si>
    <t>Pumps - closed cooling water</t>
  </si>
  <si>
    <t>Pumps - condensate</t>
  </si>
  <si>
    <t>Pumps - condensate transfer</t>
  </si>
  <si>
    <t>Pumps - demin water transfer</t>
  </si>
  <si>
    <t>2:1</t>
  </si>
  <si>
    <t>1:1</t>
  </si>
  <si>
    <t>Total Unit 1</t>
  </si>
  <si>
    <t>FRINGES</t>
  </si>
  <si>
    <t>55 Hours</t>
  </si>
  <si>
    <t>Taxable</t>
  </si>
  <si>
    <t>Billing</t>
  </si>
  <si>
    <t>All in 2007</t>
  </si>
  <si>
    <t>Bricklayer J</t>
  </si>
  <si>
    <t>Ironworker GF (Structural)</t>
  </si>
  <si>
    <t>Ironworker F (Structural)</t>
  </si>
  <si>
    <t>Ironworker J (Structural)</t>
  </si>
  <si>
    <t>Painter J</t>
  </si>
  <si>
    <t>Teamster Light Truck</t>
  </si>
  <si>
    <t>Pump Ignition Fuel Oil Forwarding</t>
  </si>
  <si>
    <t>Good Conditions</t>
  </si>
  <si>
    <t>Muddy w/high water table</t>
  </si>
  <si>
    <t>Clay but relatively dry</t>
  </si>
  <si>
    <t>Good</t>
  </si>
  <si>
    <t>Site Access and Egress of Employees</t>
  </si>
  <si>
    <t>Parking and Craft Facilities Adjacent to site</t>
  </si>
  <si>
    <t>Facilities More than 15 Minute Walk From Work Area</t>
  </si>
  <si>
    <t xml:space="preserve">Owners Project Management </t>
  </si>
  <si>
    <t>Owners Legal Counsel</t>
  </si>
  <si>
    <t>Limestone Storage Reclaim Conveyor Tunnel</t>
  </si>
  <si>
    <t>Fuel oil spill containment sump</t>
  </si>
  <si>
    <t>Division #8.0 - Construction and Indirect Services</t>
  </si>
  <si>
    <t>RDB</t>
  </si>
  <si>
    <t>Total Direct Cost</t>
  </si>
  <si>
    <t>STATUS DATE:</t>
  </si>
  <si>
    <t>LOCATION:</t>
  </si>
  <si>
    <t>PLANT TYPE:</t>
  </si>
  <si>
    <t>CLIENT:</t>
  </si>
  <si>
    <t>ESTIMATE TYPE:</t>
  </si>
  <si>
    <t>Grounding - Buried Ground Conductor</t>
  </si>
  <si>
    <t>Grounding - Ground Rods Copper</t>
  </si>
  <si>
    <t>Grounding - Exothermic Connections</t>
  </si>
  <si>
    <t xml:space="preserve">       - Escalation (Eqt, Materials &amp; Labor)</t>
  </si>
  <si>
    <t>PLC Hardware w/ configuration, bulks, aux controls</t>
  </si>
  <si>
    <t>Continuous Emissions Monitoring Equipment (CEMS)</t>
  </si>
  <si>
    <t>Water Treatment Equipment</t>
  </si>
  <si>
    <t>Demineralized System Dual 100% Trains</t>
  </si>
  <si>
    <t>Well Water Pre-Treatment System</t>
  </si>
  <si>
    <t>Mixed Bed Ion Exchange Tank</t>
  </si>
  <si>
    <t>Polisher - condensate</t>
  </si>
  <si>
    <t>Miscellaneous Equipment</t>
  </si>
  <si>
    <t>(To Be Determined)</t>
  </si>
  <si>
    <t>02</t>
  </si>
  <si>
    <t>BOILER ISLAND EQUIPMENT</t>
  </si>
  <si>
    <t>Water and Waste Water Treatment Building</t>
  </si>
  <si>
    <t>104' x 72'</t>
  </si>
  <si>
    <t>Limestone Area Sedimentation Pond Pumphouse</t>
  </si>
  <si>
    <t>Personal Protective Equipment</t>
  </si>
  <si>
    <t>Fall Protection Equipment</t>
  </si>
  <si>
    <t>Safety Incentives</t>
  </si>
  <si>
    <t>Safety Awards</t>
  </si>
  <si>
    <t>Subtotal Site Safety</t>
  </si>
  <si>
    <t>Coal pile runoff sump and pumphouse</t>
  </si>
  <si>
    <t>Tank - 250,000 gal condensate storage - field erected</t>
  </si>
  <si>
    <t xml:space="preserve">Freight Elevator </t>
  </si>
  <si>
    <t>Budget</t>
  </si>
  <si>
    <t>Concrete</t>
  </si>
  <si>
    <t>CONSTRUCTION PROJECT TOTALS</t>
  </si>
  <si>
    <t>Millwright</t>
  </si>
  <si>
    <t>Manhours</t>
  </si>
  <si>
    <t xml:space="preserve">Laborer J </t>
  </si>
  <si>
    <t>Operator Scraper</t>
  </si>
  <si>
    <t>Cement Mason J</t>
  </si>
  <si>
    <t>CONTRACTOR</t>
  </si>
  <si>
    <t>DISCIPLINE</t>
  </si>
  <si>
    <t>DESCRIPTION</t>
  </si>
  <si>
    <t>Qty</t>
  </si>
  <si>
    <t>UM</t>
  </si>
  <si>
    <t>Tripper, tripper belt, dust suppression</t>
  </si>
  <si>
    <t>Chipping/Concrete Hammers Air</t>
  </si>
  <si>
    <t xml:space="preserve">Electric &amp; Wiring Tools </t>
  </si>
  <si>
    <t>Trailer, Semi, High Flat 35' - 40'</t>
  </si>
  <si>
    <t>Trailer, Semi, Lowboys, 35' - 40'</t>
  </si>
  <si>
    <t>Truck 2 ton Stake</t>
  </si>
  <si>
    <t>Truck 1 ton Stake</t>
  </si>
  <si>
    <t>JLG Manlifts &lt;90'</t>
  </si>
  <si>
    <t>JLG Manlifts &gt;90'</t>
  </si>
  <si>
    <t>Truck, Semi Tractor 2x8</t>
  </si>
  <si>
    <t>Truck, Semi Tractor 2x4</t>
  </si>
  <si>
    <t>Independent Testing Authorized Inspector</t>
  </si>
  <si>
    <t>Independent Testing (Other)</t>
  </si>
  <si>
    <t>Subtotal Construction Testing</t>
  </si>
  <si>
    <t>Capacity Testing</t>
  </si>
  <si>
    <t>Reliability Testing</t>
  </si>
  <si>
    <t>Subtotal Performance Testing</t>
  </si>
  <si>
    <t>Period</t>
  </si>
  <si>
    <t>Site Surveying</t>
  </si>
  <si>
    <t>Boiler Instrument Devices</t>
  </si>
  <si>
    <t>Flow Element - nozzle (supply)</t>
  </si>
  <si>
    <t>EPC Price per KW</t>
  </si>
  <si>
    <t>E.ON US OWNERS COSTS</t>
  </si>
  <si>
    <t xml:space="preserve"> - Project Development</t>
  </si>
  <si>
    <t xml:space="preserve"> - Utility and Other Development</t>
  </si>
  <si>
    <t>Fuel Oil Sump Well &amp; Pump</t>
  </si>
  <si>
    <t>General Excavation</t>
  </si>
  <si>
    <t>General Fill</t>
  </si>
  <si>
    <t>Key Code</t>
  </si>
  <si>
    <t>Per Day</t>
  </si>
  <si>
    <t>Week</t>
  </si>
  <si>
    <t>Wire 600V Power 3/c # 10 ave. size</t>
  </si>
  <si>
    <t xml:space="preserve">       - Project Engineering (Eng, PM, CM &amp; Procurement)</t>
  </si>
  <si>
    <t>Welding Receptacles</t>
  </si>
  <si>
    <t>Plan</t>
  </si>
  <si>
    <t>Structure</t>
  </si>
  <si>
    <t>Structural Rock Excavation Cooling Tower Basin</t>
  </si>
  <si>
    <t>Structural Backfill - cooling tower basin</t>
  </si>
  <si>
    <t>Spoil Disposal - cooling tower basin</t>
  </si>
  <si>
    <t>Piling &amp; Caissons</t>
  </si>
  <si>
    <t>Bearing Piles</t>
  </si>
  <si>
    <t>Sheetpiles</t>
  </si>
  <si>
    <t>Concrete Work</t>
  </si>
  <si>
    <t>Material Control Clerk</t>
  </si>
  <si>
    <t>Warehouse Manager</t>
  </si>
  <si>
    <t>Systems Engineers (4)</t>
  </si>
  <si>
    <t xml:space="preserve"> Start-up Clerks</t>
  </si>
  <si>
    <t>Swing</t>
  </si>
  <si>
    <t>Altitude</t>
  </si>
  <si>
    <t>Near Sea Level</t>
  </si>
  <si>
    <t>Less than 5000'</t>
  </si>
  <si>
    <t>6000-7000'</t>
  </si>
  <si>
    <t>&gt;7000'</t>
  </si>
  <si>
    <t>55' x 70'</t>
  </si>
  <si>
    <t>Ofc - Office Area</t>
  </si>
  <si>
    <t>PH - Pump House</t>
  </si>
  <si>
    <t>M - Maintenance</t>
  </si>
  <si>
    <t>X - Service Required</t>
  </si>
  <si>
    <t>Waste Water Treatment System</t>
  </si>
  <si>
    <t>Aux Boiler Deaerator</t>
  </si>
  <si>
    <t>Pump Lube Oil Transfer</t>
  </si>
  <si>
    <t>Steam Turbine Lube Oil Purifier</t>
  </si>
  <si>
    <t>Steam Turbine Clean/Dirty Lube Oil Reservoir</t>
  </si>
  <si>
    <t>Bottom Ash Handling System</t>
  </si>
  <si>
    <t>Fly Ash Handling System</t>
  </si>
  <si>
    <t>Fly Ash Silo</t>
  </si>
  <si>
    <t>Misc Field Office Expenses</t>
  </si>
  <si>
    <t>Large Bore LP Circ Water</t>
  </si>
  <si>
    <t>Large Bore General Service</t>
  </si>
  <si>
    <t>Small Bore HP 3800# Alloy</t>
  </si>
  <si>
    <t>Small Bore HP 1500# Alloy &amp; CS</t>
  </si>
  <si>
    <t>Small Bore Class 800</t>
  </si>
  <si>
    <t>Small Bore Bronze</t>
  </si>
  <si>
    <t>Small Bore - instrument piping</t>
  </si>
  <si>
    <t>I/A Supply</t>
  </si>
  <si>
    <t>Mechanical Insulation &amp; Coatings</t>
  </si>
  <si>
    <t>Piping Large Bore High Temp</t>
  </si>
  <si>
    <t>Piping Large Bore BOP</t>
  </si>
  <si>
    <t>Piping Small Bore</t>
  </si>
  <si>
    <t>Piping Freeze Protection</t>
  </si>
  <si>
    <t>BOP Equipment</t>
  </si>
  <si>
    <t>Engineered Hangers &amp; Supports</t>
  </si>
  <si>
    <t>WBS Sort Codes                       LEVEL</t>
  </si>
  <si>
    <t>Performance Testing, Startup and Commissioning</t>
  </si>
  <si>
    <t>Wet Cooling Tower Performance Test</t>
  </si>
  <si>
    <t xml:space="preserve">Benefit </t>
  </si>
  <si>
    <t>Burden</t>
  </si>
  <si>
    <t>Salary &amp;</t>
  </si>
  <si>
    <t>Overhead</t>
  </si>
  <si>
    <t>Class</t>
  </si>
  <si>
    <t>Weeks</t>
  </si>
  <si>
    <t>Cost</t>
  </si>
  <si>
    <t>Escalation</t>
  </si>
  <si>
    <t>COST</t>
  </si>
  <si>
    <t>Insurance</t>
  </si>
  <si>
    <t>S</t>
  </si>
  <si>
    <t>F</t>
  </si>
  <si>
    <t>R</t>
  </si>
  <si>
    <t>Straight time at 40 Hours/Week</t>
  </si>
  <si>
    <t>All-In at 40 Hours/Week Base</t>
  </si>
  <si>
    <t>Duration</t>
  </si>
  <si>
    <t>Salary</t>
  </si>
  <si>
    <t>Time</t>
  </si>
  <si>
    <t>Allowance</t>
  </si>
  <si>
    <t>W/ Multiplier</t>
  </si>
  <si>
    <t xml:space="preserve">Expense </t>
  </si>
  <si>
    <t>Travel</t>
  </si>
  <si>
    <t>EXPENSE</t>
  </si>
  <si>
    <t xml:space="preserve">Taxes &amp; </t>
  </si>
  <si>
    <t xml:space="preserve">Cable - overhead conductor to substation </t>
  </si>
  <si>
    <t>Cable - permanent telephone line</t>
  </si>
  <si>
    <t>Cable Terminations</t>
  </si>
  <si>
    <t>Operator Months</t>
  </si>
  <si>
    <t>Driver Months</t>
  </si>
  <si>
    <t>Pumps - miscellaneous 2 x %100</t>
  </si>
  <si>
    <t>Steam and Water Sample Panel w/ Coolers</t>
  </si>
  <si>
    <t>SEE BELOW</t>
  </si>
  <si>
    <t>Revision</t>
  </si>
  <si>
    <t>Project Data</t>
  </si>
  <si>
    <t>Date of Revision</t>
  </si>
  <si>
    <t>Project location - State</t>
  </si>
  <si>
    <t>Kentucky</t>
  </si>
  <si>
    <t>Wage Rates Union or Open Shop</t>
  </si>
  <si>
    <t>Taxes and Insurance</t>
  </si>
  <si>
    <t>Limit</t>
  </si>
  <si>
    <t>Tax</t>
  </si>
  <si>
    <t>On first $7000 of earnings</t>
  </si>
  <si>
    <t>FICA Part 2</t>
  </si>
  <si>
    <t>SUI</t>
  </si>
  <si>
    <t>Sum</t>
  </si>
  <si>
    <t>Sum adjusted</t>
  </si>
  <si>
    <t>Contractors EMR</t>
  </si>
  <si>
    <t>Scheduled work hours</t>
  </si>
  <si>
    <t>4 - 10s</t>
  </si>
  <si>
    <t>Base rate adjustment</t>
  </si>
  <si>
    <t>Construction Duration</t>
  </si>
  <si>
    <t>mo</t>
  </si>
  <si>
    <t>Site Work - Mass</t>
  </si>
  <si>
    <t>Site Work - Fnd &amp; UG</t>
  </si>
  <si>
    <t>Temp Consturc</t>
  </si>
  <si>
    <t>Struc Steel</t>
  </si>
  <si>
    <t>PreEngineered Bldg</t>
  </si>
  <si>
    <t>Carpentry - Formwork</t>
  </si>
  <si>
    <t>Carpentry - Build</t>
  </si>
  <si>
    <t>Scaffold</t>
  </si>
  <si>
    <t>Ducts &amp; Tanks</t>
  </si>
  <si>
    <t>Instrumentation - PF</t>
  </si>
  <si>
    <t>Equipment MW &amp; IW</t>
  </si>
  <si>
    <t>Electrical - Inside</t>
  </si>
  <si>
    <t>Electrical - HV</t>
  </si>
  <si>
    <t>Site Services</t>
  </si>
  <si>
    <t>Roofing</t>
  </si>
  <si>
    <t>BASE*</t>
  </si>
  <si>
    <t>FRINGES***</t>
  </si>
  <si>
    <t>S-1</t>
  </si>
  <si>
    <t>S-2</t>
  </si>
  <si>
    <t>TC-1</t>
  </si>
  <si>
    <t>Dem-1</t>
  </si>
  <si>
    <t>Con-1</t>
  </si>
  <si>
    <t>SStl-1</t>
  </si>
  <si>
    <t>Pre-Eng</t>
  </si>
  <si>
    <t>Sid - 1</t>
  </si>
  <si>
    <t xml:space="preserve">Mas -1 </t>
  </si>
  <si>
    <t>C-1</t>
  </si>
  <si>
    <t>C-2</t>
  </si>
  <si>
    <t>Scaf</t>
  </si>
  <si>
    <t>BM-1</t>
  </si>
  <si>
    <t>BM-2</t>
  </si>
  <si>
    <t>PF-1</t>
  </si>
  <si>
    <t>PF-2</t>
  </si>
  <si>
    <t>MW-1</t>
  </si>
  <si>
    <t>I-1</t>
  </si>
  <si>
    <t>E-1</t>
  </si>
  <si>
    <t>E-2</t>
  </si>
  <si>
    <t>SS-1</t>
  </si>
  <si>
    <t>P-1</t>
  </si>
  <si>
    <t>RF-1</t>
  </si>
  <si>
    <t>Craft</t>
  </si>
  <si>
    <t xml:space="preserve">Insulator GF </t>
  </si>
  <si>
    <t>Insulator F</t>
  </si>
  <si>
    <t xml:space="preserve">Insulator J </t>
  </si>
  <si>
    <t>Bricklayer j</t>
  </si>
  <si>
    <t>Cement Mason GF</t>
  </si>
  <si>
    <t>Ironworker GF (Struct)</t>
  </si>
  <si>
    <t>Ironworker F (Struct)</t>
  </si>
  <si>
    <t>Ironworker J (Struct)</t>
  </si>
  <si>
    <t>Operator Crane / Excavator</t>
  </si>
  <si>
    <t>Operator Crane Oiler / Utility</t>
  </si>
  <si>
    <t>Operator - Mechanic</t>
  </si>
  <si>
    <t>Painter</t>
  </si>
  <si>
    <t>Pipefitter Sub F</t>
  </si>
  <si>
    <t>Teamster</t>
  </si>
  <si>
    <t>Activity</t>
  </si>
  <si>
    <t>Crew</t>
  </si>
  <si>
    <t>Composite Rate</t>
  </si>
  <si>
    <t>Sitework - Mass Earthwork</t>
  </si>
  <si>
    <t>Sitework - Foundations &amp; Utilities</t>
  </si>
  <si>
    <t xml:space="preserve">Temporary Const  </t>
  </si>
  <si>
    <t xml:space="preserve">Demolition </t>
  </si>
  <si>
    <t>Pre-Engineered Bldg</t>
  </si>
  <si>
    <t>Pre-Engin</t>
  </si>
  <si>
    <t>Carpentry - Building</t>
  </si>
  <si>
    <t>Workmens Comp Calc</t>
  </si>
  <si>
    <t>Scaf-1</t>
  </si>
  <si>
    <t>Trade</t>
  </si>
  <si>
    <t>State Rate</t>
  </si>
  <si>
    <t>Adjust to 40 hr/wk</t>
  </si>
  <si>
    <t>EMR</t>
  </si>
  <si>
    <t>Carpentry - General</t>
  </si>
  <si>
    <t>Electrical (Inside)</t>
  </si>
  <si>
    <t>Excavation - earth</t>
  </si>
  <si>
    <t>Excavation - rock</t>
  </si>
  <si>
    <t>Pile Driving</t>
  </si>
  <si>
    <t>Plumbing</t>
  </si>
  <si>
    <t>Sheet Metal (HVAC)</t>
  </si>
  <si>
    <t>Electrical - Building</t>
  </si>
  <si>
    <t>Steel erection - structure</t>
  </si>
  <si>
    <t>Wrecking (demolition)</t>
  </si>
  <si>
    <t>Operating Engineers</t>
  </si>
  <si>
    <t>Estimate</t>
  </si>
  <si>
    <t>Carp Rate</t>
  </si>
  <si>
    <t>Boilermaker</t>
  </si>
  <si>
    <t xml:space="preserve"> [Water, janitorial roads &amp; snow plow?]</t>
  </si>
  <si>
    <t>Pipefitter</t>
  </si>
  <si>
    <t>Laborer</t>
  </si>
  <si>
    <t>Average rate</t>
  </si>
  <si>
    <t>Conceptual</t>
  </si>
  <si>
    <t>CDF</t>
  </si>
  <si>
    <t>2 x 1  FA Combined Cycle Unit EPC Cash Flow - Merit Shop - With Escalation</t>
  </si>
  <si>
    <t>Pipe - MS, HR, CR, BFW, LPS</t>
  </si>
  <si>
    <t xml:space="preserve">     -   System  -  Potable Water to site facilities</t>
  </si>
  <si>
    <t xml:space="preserve">     -   System  -  Natural Gas High Pressure - CS</t>
  </si>
  <si>
    <t xml:space="preserve">     -   System  -  Natural Gas Low Pressure - CS</t>
  </si>
  <si>
    <t xml:space="preserve">      - Total Owner Indirects</t>
  </si>
  <si>
    <t>Office Administrative Assistants</t>
  </si>
  <si>
    <t>Fabrication shops (1@5,000 sf)</t>
  </si>
  <si>
    <t>HRSG Equipment</t>
  </si>
  <si>
    <t>Sales Tax Included for Non-Production Facilities</t>
  </si>
  <si>
    <t>SALES TAX $</t>
  </si>
  <si>
    <t>TAXABLE</t>
  </si>
  <si>
    <t>YES</t>
  </si>
  <si>
    <t>NO</t>
  </si>
  <si>
    <t>Sales Tax - State (Plant Production Equipment is Exempt)</t>
  </si>
  <si>
    <t>State Sales Tax (Non-Production Material Only)</t>
  </si>
  <si>
    <t>Hourly T&amp;I Rate 
Assume aver annual</t>
  </si>
  <si>
    <t>OASDI</t>
  </si>
  <si>
    <t>On first$ 106,800 of earnings</t>
  </si>
  <si>
    <t>On first $8000 of earnings</t>
  </si>
  <si>
    <t>Craft Distribution</t>
  </si>
  <si>
    <t>Possible $2.15 addition 10/1/10</t>
  </si>
  <si>
    <t>IW Mag</t>
  </si>
  <si>
    <t>As posted on local web page</t>
  </si>
  <si>
    <t>As posted in newsletter</t>
  </si>
  <si>
    <t>Wage and fringe rates taken rom RS Means Labor Rates 2011</t>
  </si>
  <si>
    <t>Rate / $100 of payroll</t>
  </si>
  <si>
    <t>RS Means</t>
  </si>
  <si>
    <t>smp</t>
  </si>
  <si>
    <t>Data Entry:</t>
  </si>
  <si>
    <t>Date:</t>
  </si>
  <si>
    <t xml:space="preserve">     -   System  -  Condenser Air Extraction</t>
  </si>
  <si>
    <t xml:space="preserve">     -   System  -  Circulating Water </t>
  </si>
  <si>
    <t>HDR|CB Estimated cost</t>
  </si>
  <si>
    <t>HDR|CB Estimated Quantity</t>
  </si>
  <si>
    <t>HDR|CB Estimated Quantity &amp; Cost</t>
  </si>
  <si>
    <t>Budget estimated by HDR|CB</t>
  </si>
  <si>
    <t>Budget provided by LG&amp;E</t>
  </si>
  <si>
    <t>Taxes</t>
  </si>
  <si>
    <t xml:space="preserve">     -   System  -  Cold Reheat (Carbon)</t>
  </si>
  <si>
    <t xml:space="preserve">     -   System  -  Hot Reheat (Alloy)</t>
  </si>
  <si>
    <t xml:space="preserve">     -   System  -  Main Steam (Alloy) </t>
  </si>
  <si>
    <t xml:space="preserve">     -   System  -  Low Pressure Steam Steam (Alloy) </t>
  </si>
  <si>
    <t xml:space="preserve">     -   System  -  Boilers, Vents and Drains </t>
  </si>
  <si>
    <t xml:space="preserve">     -   System  -  Aux steam drain returns</t>
  </si>
  <si>
    <t xml:space="preserve">     -   System  -  Building drains</t>
  </si>
  <si>
    <t xml:space="preserve">     -   System  -  Building fire protection</t>
  </si>
  <si>
    <t xml:space="preserve">     -   System  -  Building sump pumps</t>
  </si>
  <si>
    <t xml:space="preserve">     -   System  -  Demineralized water</t>
  </si>
  <si>
    <t xml:space="preserve">     -   System  -  Fire Protection</t>
  </si>
  <si>
    <t xml:space="preserve">     -   System  -  Natural Gas High Pressure - SS</t>
  </si>
  <si>
    <t xml:space="preserve">     -   System  -  Potable water</t>
  </si>
  <si>
    <t xml:space="preserve">     -   System  -  Sanitary waste</t>
  </si>
  <si>
    <t xml:space="preserve">     -   System  -  STG oil purification (Vendor Supplied)</t>
  </si>
  <si>
    <t xml:space="preserve">     -   System  -  STG Stator cooling (Vendor Supplied)</t>
  </si>
  <si>
    <t xml:space="preserve">     -   System  -  HRSG Blowdown</t>
  </si>
  <si>
    <t xml:space="preserve">     -   System  -  Cycle Makeup</t>
  </si>
  <si>
    <t xml:space="preserve">     -   System  -  Water Cycle Sample - Alloy</t>
  </si>
  <si>
    <t xml:space="preserve">     -   System  -  CT Auxilarie</t>
  </si>
  <si>
    <t xml:space="preserve">     -   System  -  Instrument Air -Copper</t>
  </si>
  <si>
    <t xml:space="preserve">     -   System  -  Instrument Air supply</t>
  </si>
  <si>
    <t xml:space="preserve">     -   System  -  Service Air piping - Cooper</t>
  </si>
  <si>
    <t xml:space="preserve">     -   System  -  Instrument Air </t>
  </si>
  <si>
    <t xml:space="preserve">     -   System  -  Service Water </t>
  </si>
  <si>
    <t xml:space="preserve">     -   System  -  Cycle Chemical Feed</t>
  </si>
  <si>
    <t xml:space="preserve">     -   System  -  Boiler Vents &amp; Drains - Alloy</t>
  </si>
  <si>
    <t xml:space="preserve">     -   System  -  (HP) Main Steam  - Alloy</t>
  </si>
  <si>
    <t xml:space="preserve">     -   System  -  (LP) Steam - Carbon</t>
  </si>
  <si>
    <t xml:space="preserve">     -   System  -  Hot Reheat Steam - Alloy</t>
  </si>
  <si>
    <t xml:space="preserve">     -   System  -  Cold Reheat Steam - Alloy</t>
  </si>
  <si>
    <t xml:space="preserve">     -   System  -  Aux Steam - Carbon</t>
  </si>
  <si>
    <t xml:space="preserve">     -   System  -  STG Seals and Drains - Alloy</t>
  </si>
  <si>
    <t xml:space="preserve">     -   System  -  CT System - Carbon</t>
  </si>
  <si>
    <t xml:space="preserve">     -   System  -  Hydrogen - Carbon</t>
  </si>
  <si>
    <t xml:space="preserve">     -   System  -  Carbon Dioxide - Carbon</t>
  </si>
  <si>
    <t xml:space="preserve">     -   System  -  Ammonia Feed</t>
  </si>
  <si>
    <t xml:space="preserve">     -   System  -  Condensate - Carbon</t>
  </si>
  <si>
    <t xml:space="preserve">     -   System  -  Closed  Cycle Cooling Water - Carbon</t>
  </si>
  <si>
    <t xml:space="preserve">     -   System  -  Fuel Gas - Carbon</t>
  </si>
  <si>
    <t xml:space="preserve">     -   System  -  Condensed Air Extraction - Carbon</t>
  </si>
  <si>
    <t xml:space="preserve">     -   System  -  CW Chemical Feed - Carbon</t>
  </si>
  <si>
    <t xml:space="preserve">     -   System  -  Nitrogen Gas System</t>
  </si>
  <si>
    <t xml:space="preserve">     -   System  -  Waste Water Coll &amp; Treatment - Carbon</t>
  </si>
  <si>
    <t xml:space="preserve">     -   System  -  Chemical Waste Treatment</t>
  </si>
  <si>
    <t xml:space="preserve">     -   System  -  Miscellaneous Systems Piping</t>
  </si>
  <si>
    <t xml:space="preserve">     -   System  -  Hydrogen</t>
  </si>
  <si>
    <t xml:space="preserve">     -   System  -  Fuel Gas</t>
  </si>
  <si>
    <t xml:space="preserve">     -   System  -  Main Circ. </t>
  </si>
  <si>
    <t xml:space="preserve">     -   System  -  Sanitary Sewer</t>
  </si>
  <si>
    <t xml:space="preserve">     -   System  -  A53 Std CS 8" coated and wrapped</t>
  </si>
  <si>
    <t>Structural Excavation (Included in Earthwork)</t>
  </si>
  <si>
    <t>Structural Backfill  (Included in Earthwork)</t>
  </si>
  <si>
    <t>1/2"</t>
  </si>
  <si>
    <t>3/4"</t>
  </si>
  <si>
    <t>1"</t>
  </si>
  <si>
    <t>1-1/4'</t>
  </si>
  <si>
    <t>1-1/2"</t>
  </si>
  <si>
    <t>2"</t>
  </si>
  <si>
    <t>SB/AG (Copper)</t>
  </si>
  <si>
    <t>SB/AG (CS)</t>
  </si>
  <si>
    <t xml:space="preserve">     -   System  -  Cold Reheat Steam</t>
  </si>
  <si>
    <t>SB/AG (ALLOY)</t>
  </si>
  <si>
    <t xml:space="preserve">     -   System  -  Cycle Chemical Feed - Alloy </t>
  </si>
  <si>
    <t>2-1/2"</t>
  </si>
  <si>
    <t>3"</t>
  </si>
  <si>
    <t>4"</t>
  </si>
  <si>
    <t>5"</t>
  </si>
  <si>
    <t>6"</t>
  </si>
  <si>
    <t xml:space="preserve">8" </t>
  </si>
  <si>
    <t>10"</t>
  </si>
  <si>
    <t>12"</t>
  </si>
  <si>
    <t>14"</t>
  </si>
  <si>
    <t>16"</t>
  </si>
  <si>
    <t>18"</t>
  </si>
  <si>
    <t>20"</t>
  </si>
  <si>
    <t>24"</t>
  </si>
  <si>
    <t>30"</t>
  </si>
  <si>
    <t>34"</t>
  </si>
  <si>
    <t>54"</t>
  </si>
  <si>
    <t>60"</t>
  </si>
  <si>
    <t>LB/AG (CS)</t>
  </si>
  <si>
    <t xml:space="preserve">     -   System  -  Circulating Water &gt;=18</t>
  </si>
  <si>
    <t>LG&amp;E</t>
  </si>
  <si>
    <t>22"</t>
  </si>
  <si>
    <t xml:space="preserve">     -   System  -  Feedwater (Carbon)</t>
  </si>
  <si>
    <t xml:space="preserve">     -   System  -  Miscellaneous Systems Piping - HDPE</t>
  </si>
  <si>
    <t>LB/UG (CS/HDPE/CON/PVC/FRP/CAST IRON)</t>
  </si>
  <si>
    <t xml:space="preserve">     -   System  -  Waste Water Treatment Piping - HDPE (Sch 17)</t>
  </si>
  <si>
    <t xml:space="preserve">     -   System  -  Miscellaneous Systems Piping - HDPE </t>
  </si>
  <si>
    <t>hrsg</t>
  </si>
  <si>
    <t>ctg</t>
  </si>
  <si>
    <t>stg</t>
  </si>
  <si>
    <t>foundations</t>
  </si>
  <si>
    <t>Pipe Rack</t>
  </si>
  <si>
    <t>745t</t>
  </si>
  <si>
    <t>17/ton</t>
  </si>
  <si>
    <t>Circulation h2o pumps</t>
  </si>
  <si>
    <t>condensate pumps</t>
  </si>
  <si>
    <t>oil spearator</t>
  </si>
  <si>
    <t>quanity</t>
  </si>
  <si>
    <t>hrs per pump</t>
  </si>
  <si>
    <t>concrete</t>
  </si>
  <si>
    <t>ductbank</t>
  </si>
  <si>
    <t>reinf</t>
  </si>
  <si>
    <t>forms</t>
  </si>
  <si>
    <t>conc</t>
  </si>
  <si>
    <t>total hrs</t>
  </si>
  <si>
    <t>elec</t>
  </si>
  <si>
    <t>fuel gas equip</t>
  </si>
  <si>
    <t>Cable tray</t>
  </si>
  <si>
    <t>alum</t>
  </si>
  <si>
    <t>steel</t>
  </si>
  <si>
    <t>covers</t>
  </si>
  <si>
    <t>firestops</t>
  </si>
  <si>
    <t xml:space="preserve">     -   System  -  Main Circ. - HDPE</t>
  </si>
  <si>
    <t>Length</t>
  </si>
  <si>
    <t xml:space="preserve">     -   System  -  Demineralized water  SS 10S</t>
  </si>
  <si>
    <t>TBD</t>
  </si>
  <si>
    <t>WHD</t>
  </si>
  <si>
    <t>JPS</t>
  </si>
  <si>
    <t>SMP</t>
  </si>
  <si>
    <t>Rate/$100 of payroll</t>
  </si>
  <si>
    <t>Local</t>
  </si>
  <si>
    <t>Composite Crew Summary</t>
  </si>
  <si>
    <t xml:space="preserve"> (Water, janitorial, roads, snow plow)</t>
  </si>
  <si>
    <t>Operator Crane Oiler/Utility</t>
  </si>
  <si>
    <t>Ironworker GF</t>
  </si>
  <si>
    <t>Ironworker F</t>
  </si>
  <si>
    <t>Ironworker J</t>
  </si>
  <si>
    <t>Sid-1</t>
  </si>
  <si>
    <t>Mas-1</t>
  </si>
  <si>
    <t>Laborer J</t>
  </si>
  <si>
    <t>Tanks &amp; Ducts</t>
  </si>
  <si>
    <t>Insulator J</t>
  </si>
  <si>
    <t>Equipment - Millwright &amp; Ironworker</t>
  </si>
  <si>
    <t>Insulator GF</t>
  </si>
  <si>
    <t>Painters</t>
  </si>
  <si>
    <t xml:space="preserve">Roofing </t>
  </si>
  <si>
    <t>Workmen's Comp Calc</t>
  </si>
  <si>
    <t>Adjust to hrs worked</t>
  </si>
  <si>
    <t>Workers Comp as % of payroll =</t>
  </si>
  <si>
    <t xml:space="preserve">Allowance based on info from other projects  </t>
  </si>
  <si>
    <t>BUDGET ESTIMATE</t>
  </si>
  <si>
    <t>COST DATE BASIS: September 2012</t>
  </si>
  <si>
    <t>2017 NGCC</t>
  </si>
  <si>
    <t>To be estimated by Transmision Operator</t>
  </si>
  <si>
    <t xml:space="preserve">    - Electric Transmission Firm Point to Point</t>
  </si>
  <si>
    <t>AFUDC Based on 78% KU Ownership</t>
  </si>
  <si>
    <t>LG&amp;E/KU</t>
  </si>
  <si>
    <t>Budget estimated by HDR|CB [10,864 MWhr @$36/MWH]</t>
  </si>
  <si>
    <t>Budget estimated by HDR|CB [432,000 MWhr @$36/MWH]</t>
  </si>
  <si>
    <t>5 x 10 Work Week</t>
  </si>
  <si>
    <t>COST DATE BASIS: February 2013</t>
  </si>
  <si>
    <t>OEM Bidget Proposal</t>
  </si>
  <si>
    <t>Wage and fringe rates taken from RS Means Labor Rates 2013</t>
  </si>
  <si>
    <t>5 8</t>
  </si>
  <si>
    <t>Cut and chip, medium, trees to 12" dia</t>
  </si>
  <si>
    <t>acre</t>
  </si>
  <si>
    <t>Grub stumps &amp; remove</t>
  </si>
  <si>
    <t>Strip and stockpile loam or topsoil, 6", 500 ft push</t>
  </si>
  <si>
    <t>ME</t>
  </si>
  <si>
    <t>E. W. Brown Station Site</t>
  </si>
  <si>
    <t>10 MW PV Solar  - Standard Efficiency Crystalline Panels</t>
  </si>
  <si>
    <t>Rev 0</t>
  </si>
  <si>
    <t>Solar PV</t>
  </si>
  <si>
    <t>Solar</t>
  </si>
  <si>
    <t>Crystalline Standard Efficiency</t>
  </si>
  <si>
    <t>EPC Contractor Contingency, G&amp;A and Fee</t>
  </si>
  <si>
    <t>Site Preparation</t>
  </si>
  <si>
    <t>Division #6.2 - Interconnection</t>
  </si>
  <si>
    <t>Panel Modules and Support System</t>
  </si>
  <si>
    <t>Inverter Systems</t>
  </si>
  <si>
    <t>Electrical Distribution</t>
  </si>
  <si>
    <t>Interconnection</t>
  </si>
  <si>
    <t xml:space="preserve">        - Construction Indirects</t>
  </si>
  <si>
    <t>Transmission Interconnection</t>
  </si>
  <si>
    <t>Startup Testing (Includes Power Sales)</t>
  </si>
  <si>
    <t xml:space="preserve">       - EPC Contractor Contingency, G&amp;A and Fee</t>
  </si>
  <si>
    <t>Site Preparation Sub-Total</t>
  </si>
  <si>
    <t>Panel Modules and Support Sub-Total</t>
  </si>
  <si>
    <t>Inverter Systems Sub-Total</t>
  </si>
  <si>
    <t>Electrical Distribution Sub-Total</t>
  </si>
  <si>
    <t>Interconnection Sub-Total</t>
  </si>
  <si>
    <t>Construction Indirects and Services Sub-Total</t>
  </si>
  <si>
    <t>Modules</t>
  </si>
  <si>
    <t>Rack</t>
  </si>
  <si>
    <t>Inverter</t>
  </si>
  <si>
    <t>Solar Module (Multicrystalline - 300W)</t>
  </si>
  <si>
    <t>Support and Mounting System (Steel Pile) incl. Module Install</t>
  </si>
  <si>
    <t xml:space="preserve">       - Geotechnical Investigation</t>
  </si>
  <si>
    <t>Included in Engineering Contract</t>
  </si>
  <si>
    <t xml:space="preserve">% of the Total Construction Cost  </t>
  </si>
  <si>
    <t>Eqpt - Transformer 1 MVA, 13.8kV-300V</t>
  </si>
  <si>
    <t>Eqpt - 15 kV Switchgear (1 Main CB, 3 Fused Feeders)</t>
  </si>
  <si>
    <t>Eqpt - Panelboards 480/120</t>
  </si>
  <si>
    <t xml:space="preserve">Cable - Medium Voltage  (15kV 1C Cable) </t>
  </si>
  <si>
    <t>Cable Terminations - 15kV</t>
  </si>
  <si>
    <t>500 kW Packaged Inverter</t>
  </si>
  <si>
    <t>OEM Budget Proposal</t>
  </si>
  <si>
    <t>Construction Field Indirects</t>
  </si>
  <si>
    <t>Cable 600V Power 1/C</t>
  </si>
  <si>
    <t>Eqpt - Station Service Load Center 13,800/480  Outdoor</t>
  </si>
  <si>
    <t>Overhead 13.8 kV Line</t>
  </si>
  <si>
    <t>CCRT 13.2 kV Switchgear Modifications (Breaker + Metering)</t>
  </si>
  <si>
    <t>Roads - Asphalt Paving Entrance/Approach</t>
  </si>
  <si>
    <t>Roads - Site Roads Treated Gravel</t>
  </si>
  <si>
    <t xml:space="preserve">Equip Fdn - Inverter/Transformer </t>
  </si>
  <si>
    <t>13.8 kV Switchgear Foundation</t>
  </si>
  <si>
    <t>Conduit - Embedded/Direct Buried</t>
  </si>
  <si>
    <t>Indirectsa</t>
  </si>
  <si>
    <t>Utility Trench Excavation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</si>
</sst>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hh:mm\ AM/PM"/>
    <numFmt numFmtId="166" formatCode="General;[Red]\-General"/>
    <numFmt numFmtId="167" formatCode=";;"/>
    <numFmt numFmtId="168" formatCode="0.00%;[Red]\-0.00%"/>
    <numFmt numFmtId="169" formatCode="#,##0.0_);[Red]\(#,##0.0\)"/>
    <numFmt numFmtId="170" formatCode="0.000"/>
    <numFmt numFmtId="171" formatCode="0.0%"/>
    <numFmt numFmtId="172" formatCode="#,##0.000_);\(#,##0.000\)"/>
    <numFmt numFmtId="173" formatCode="mm/dd/yy"/>
    <numFmt numFmtId="174" formatCode="&quot;$&quot;#,##0.00"/>
    <numFmt numFmtId="175" formatCode="&quot;$&quot;#,##0"/>
    <numFmt numFmtId="176" formatCode="0.0"/>
    <numFmt numFmtId="177" formatCode="0.0000"/>
    <numFmt numFmtId="178" formatCode="#,##0.000_);[Red]\(#,##0.000\)"/>
    <numFmt numFmtId="179" formatCode="#,##0.0000_);[Red]\(#,##0.0000\)"/>
    <numFmt numFmtId="180" formatCode="0.000%"/>
    <numFmt numFmtId="181" formatCode="d\-mmm\-yyyy"/>
    <numFmt numFmtId="182" formatCode="[$-409]mmmm\ d\,\ yyyy;@"/>
    <numFmt numFmtId="183" formatCode="[$-409]d\-mmm\-yy;@"/>
    <numFmt numFmtId="184" formatCode="0.00_);\(0.00\)"/>
    <numFmt numFmtId="185" formatCode="0.0_);\(0.0\)"/>
    <numFmt numFmtId="186" formatCode="#,##0.00000_);[Red]\(#,##0.00000\)"/>
    <numFmt numFmtId="187" formatCode="_(* #,##0_);_(* \(#,##0\);_(* &quot;-&quot;??_);_(@_)"/>
    <numFmt numFmtId="188" formatCode="#,##0.000"/>
    <numFmt numFmtId="189" formatCode="[$-409]dd\-mmm\-yy;@"/>
    <numFmt numFmtId="190" formatCode="0.0000000"/>
    <numFmt numFmtId="191" formatCode="_(* #,##0.00000_);_(* \(#,##0.00000\);_(* &quot;-&quot;??_);_(@_)"/>
    <numFmt numFmtId="192" formatCode="_(&quot;$&quot;* #,##0_);_(&quot;$&quot;* \(#,##0\);_(&quot;$&quot;* &quot;-&quot;??_);_(@_)"/>
  </numFmts>
  <fonts count="132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 MT"/>
    </font>
    <font>
      <u/>
      <sz val="10.199999999999999"/>
      <color indexed="12"/>
      <name val="Arial MT"/>
    </font>
    <font>
      <b/>
      <sz val="18"/>
      <color indexed="8"/>
      <name val="Arial MT"/>
    </font>
    <font>
      <sz val="12"/>
      <color indexed="8"/>
      <name val="Arial MT"/>
    </font>
    <font>
      <b/>
      <sz val="20"/>
      <name val="Arial MT"/>
    </font>
    <font>
      <b/>
      <sz val="10"/>
      <color indexed="8"/>
      <name val="Arial MT"/>
    </font>
    <font>
      <b/>
      <sz val="14"/>
      <color indexed="8"/>
      <name val="Arial MT"/>
    </font>
    <font>
      <sz val="10"/>
      <color indexed="8"/>
      <name val="Arial MT"/>
    </font>
    <font>
      <b/>
      <u/>
      <sz val="12"/>
      <color indexed="8"/>
      <name val="Arial MT"/>
    </font>
    <font>
      <b/>
      <sz val="12"/>
      <name val="Arial MT"/>
    </font>
    <font>
      <sz val="12"/>
      <name val="Arial MT"/>
    </font>
    <font>
      <sz val="12"/>
      <name val="Swiss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u val="double"/>
      <sz val="12"/>
      <name val="Arial"/>
      <family val="2"/>
    </font>
    <font>
      <u val="double"/>
      <sz val="10"/>
      <name val="Arial"/>
      <family val="2"/>
    </font>
    <font>
      <b/>
      <u/>
      <sz val="10"/>
      <name val="Arial"/>
      <family val="2"/>
    </font>
    <font>
      <sz val="10"/>
      <name val="Arial MT"/>
    </font>
    <font>
      <b/>
      <sz val="10"/>
      <name val="Arial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u val="double"/>
      <sz val="10"/>
      <name val="Arial"/>
      <family val="2"/>
    </font>
    <font>
      <b/>
      <u/>
      <sz val="10"/>
      <name val="Arial MT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20"/>
      <name val="Arial"/>
      <family val="2"/>
    </font>
    <font>
      <sz val="12"/>
      <color indexed="10"/>
      <name val="Arial"/>
      <family val="2"/>
    </font>
    <font>
      <sz val="8"/>
      <name val="Arial MT"/>
    </font>
    <font>
      <i/>
      <sz val="12"/>
      <name val="Arial MT"/>
    </font>
    <font>
      <sz val="12"/>
      <name val="Arial MT"/>
    </font>
    <font>
      <b/>
      <sz val="12"/>
      <color indexed="10"/>
      <name val="Arial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2"/>
      <color indexed="10"/>
      <name val="Arial MT"/>
    </font>
    <font>
      <b/>
      <u/>
      <sz val="12"/>
      <name val="Verdana"/>
      <family val="2"/>
    </font>
    <font>
      <sz val="12"/>
      <name val="Verdana"/>
      <family val="2"/>
    </font>
    <font>
      <b/>
      <sz val="22"/>
      <name val="Verdana"/>
      <family val="2"/>
    </font>
    <font>
      <sz val="22"/>
      <name val="Verdana"/>
      <family val="2"/>
    </font>
    <font>
      <b/>
      <i/>
      <sz val="26"/>
      <name val="Verdana"/>
      <family val="2"/>
    </font>
    <font>
      <b/>
      <sz val="16"/>
      <name val="Verdana"/>
      <family val="2"/>
    </font>
    <font>
      <b/>
      <sz val="20"/>
      <name val="Verdana"/>
      <family val="2"/>
    </font>
    <font>
      <b/>
      <sz val="18"/>
      <color indexed="8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26"/>
      <color indexed="8"/>
      <name val="Verdana"/>
      <family val="2"/>
    </font>
    <font>
      <sz val="26"/>
      <name val="Verdana"/>
      <family val="2"/>
    </font>
    <font>
      <u/>
      <sz val="12"/>
      <color indexed="8"/>
      <name val="Verdana"/>
      <family val="2"/>
    </font>
    <font>
      <sz val="10"/>
      <color indexed="8"/>
      <name val="Verdana"/>
      <family val="2"/>
    </font>
    <font>
      <b/>
      <sz val="24"/>
      <color indexed="8"/>
      <name val="Verdana"/>
      <family val="2"/>
    </font>
    <font>
      <b/>
      <sz val="24"/>
      <name val="Verdana"/>
      <family val="2"/>
    </font>
    <font>
      <b/>
      <sz val="22"/>
      <color indexed="8"/>
      <name val="Verdana"/>
      <family val="2"/>
    </font>
    <font>
      <sz val="11"/>
      <name val="Verdana"/>
      <family val="2"/>
    </font>
    <font>
      <b/>
      <sz val="16"/>
      <color indexed="8"/>
      <name val="Verdana"/>
      <family val="2"/>
    </font>
    <font>
      <sz val="10"/>
      <name val="Verdana"/>
      <family val="2"/>
    </font>
    <font>
      <sz val="16"/>
      <name val="Verdana"/>
      <family val="2"/>
    </font>
    <font>
      <sz val="8"/>
      <color indexed="8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u/>
      <sz val="12"/>
      <color indexed="8"/>
      <name val="Verdana"/>
      <family val="2"/>
    </font>
    <font>
      <b/>
      <u/>
      <sz val="14"/>
      <color indexed="8"/>
      <name val="Verdana"/>
      <family val="2"/>
    </font>
    <font>
      <b/>
      <sz val="10"/>
      <name val="Verdana"/>
      <family val="2"/>
    </font>
    <font>
      <sz val="18"/>
      <name val="Verdana"/>
      <family val="2"/>
    </font>
    <font>
      <b/>
      <u/>
      <sz val="12"/>
      <color indexed="8"/>
      <name val="Arial"/>
      <family val="2"/>
    </font>
    <font>
      <sz val="14"/>
      <name val="Verdana"/>
      <family val="2"/>
    </font>
    <font>
      <b/>
      <sz val="9"/>
      <name val="Arial MT"/>
    </font>
    <font>
      <b/>
      <sz val="10"/>
      <name val="Arial MT"/>
    </font>
    <font>
      <b/>
      <sz val="11"/>
      <name val="Arial MT"/>
    </font>
    <font>
      <b/>
      <sz val="9"/>
      <color indexed="8"/>
      <name val="Arial MT"/>
    </font>
    <font>
      <b/>
      <sz val="8"/>
      <color indexed="8"/>
      <name val="Arial MT"/>
    </font>
    <font>
      <b/>
      <sz val="8"/>
      <name val="Arial MT"/>
    </font>
    <font>
      <b/>
      <sz val="9"/>
      <name val="Arial"/>
      <family val="2"/>
    </font>
    <font>
      <b/>
      <u/>
      <sz val="16"/>
      <color indexed="8"/>
      <name val="Verdana"/>
      <family val="2"/>
    </font>
    <font>
      <b/>
      <sz val="13"/>
      <name val="Verdana"/>
      <family val="2"/>
    </font>
    <font>
      <b/>
      <sz val="12"/>
      <color indexed="10"/>
      <name val="Verdana"/>
      <family val="2"/>
    </font>
    <font>
      <b/>
      <sz val="18"/>
      <name val="Arial MT"/>
    </font>
    <font>
      <sz val="18"/>
      <name val="Arial MT"/>
    </font>
    <font>
      <b/>
      <i/>
      <sz val="18"/>
      <name val="Arial MT"/>
    </font>
    <font>
      <b/>
      <sz val="14"/>
      <name val="Arial MT"/>
    </font>
    <font>
      <b/>
      <i/>
      <sz val="14"/>
      <name val="Arial MT"/>
    </font>
    <font>
      <b/>
      <sz val="12"/>
      <name val="CentSchbook BT"/>
      <family val="1"/>
    </font>
    <font>
      <b/>
      <sz val="10"/>
      <name val="CentSchbook BT"/>
      <family val="1"/>
    </font>
    <font>
      <sz val="10"/>
      <name val="CentSchbook BT"/>
      <family val="1"/>
    </font>
    <font>
      <i/>
      <sz val="10"/>
      <name val="CentSchbook BT"/>
      <family val="1"/>
    </font>
    <font>
      <sz val="10"/>
      <name val="Times New Roman"/>
      <family val="1"/>
    </font>
    <font>
      <sz val="11"/>
      <name val="Arial MT"/>
    </font>
    <font>
      <sz val="12"/>
      <color theme="6"/>
      <name val="Verdana"/>
      <family val="2"/>
    </font>
    <font>
      <sz val="16"/>
      <name val="Arial MT"/>
    </font>
    <font>
      <sz val="11"/>
      <name val="Arial"/>
      <family val="2"/>
    </font>
    <font>
      <sz val="11"/>
      <color indexed="8"/>
      <name val="Arial MT"/>
    </font>
    <font>
      <u/>
      <sz val="10"/>
      <name val="Verdana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Verdana"/>
      <family val="2"/>
    </font>
    <font>
      <b/>
      <sz val="12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i/>
      <sz val="26"/>
      <color rgb="FFFF0000"/>
      <name val="Verdana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1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lightGray"/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</fills>
  <borders count="6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12"/>
      </bottom>
      <diagonal/>
    </border>
    <border>
      <left style="thin">
        <color indexed="8"/>
      </left>
      <right style="thin">
        <color indexed="8"/>
      </right>
      <top/>
      <bottom style="thick">
        <color indexed="12"/>
      </bottom>
      <diagonal/>
    </border>
    <border>
      <left style="thin">
        <color indexed="8"/>
      </left>
      <right/>
      <top/>
      <bottom style="thick">
        <color indexed="12"/>
      </bottom>
      <diagonal/>
    </border>
    <border>
      <left style="hair">
        <color indexed="64"/>
      </left>
      <right style="hair">
        <color indexed="64"/>
      </right>
      <top style="thick">
        <color indexed="12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10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10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medium">
        <color indexed="10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10"/>
      </bottom>
      <diagonal/>
    </border>
    <border>
      <left style="hair">
        <color indexed="64"/>
      </left>
      <right/>
      <top style="double">
        <color indexed="10"/>
      </top>
      <bottom style="hair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8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hair">
        <color indexed="64"/>
      </right>
      <top style="medium">
        <color indexed="10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hair">
        <color indexed="64"/>
      </right>
      <top/>
      <bottom style="medium">
        <color indexed="10"/>
      </bottom>
      <diagonal/>
    </border>
    <border>
      <left style="hair">
        <color indexed="64"/>
      </left>
      <right/>
      <top style="medium">
        <color indexed="10"/>
      </top>
      <bottom/>
      <diagonal/>
    </border>
    <border>
      <left style="hair">
        <color indexed="64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double">
        <color indexed="10"/>
      </bottom>
      <diagonal/>
    </border>
    <border>
      <left/>
      <right/>
      <top style="double">
        <color indexed="10"/>
      </top>
      <bottom style="hair">
        <color indexed="64"/>
      </bottom>
      <diagonal/>
    </border>
    <border>
      <left/>
      <right style="hair">
        <color indexed="64"/>
      </right>
      <top style="double">
        <color indexed="10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ck">
        <color indexed="1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12"/>
      </left>
      <right style="thick">
        <color indexed="12"/>
      </right>
      <top style="medium">
        <color indexed="8"/>
      </top>
      <bottom style="medium">
        <color indexed="8"/>
      </bottom>
      <diagonal/>
    </border>
    <border>
      <left style="thick">
        <color indexed="12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ck">
        <color indexed="12"/>
      </left>
      <right style="thick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10"/>
      </bottom>
      <diagonal/>
    </border>
    <border>
      <left style="hair">
        <color indexed="64"/>
      </left>
      <right/>
      <top style="medium">
        <color indexed="10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medium">
        <color indexed="10"/>
      </top>
      <bottom/>
      <diagonal/>
    </border>
    <border>
      <left/>
      <right style="hair">
        <color indexed="64"/>
      </right>
      <top style="thick">
        <color indexed="1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 style="hair">
        <color indexed="8"/>
      </left>
      <right/>
      <top style="thick">
        <color indexed="12"/>
      </top>
      <bottom/>
      <diagonal/>
    </border>
    <border>
      <left style="thin">
        <color indexed="8"/>
      </left>
      <right/>
      <top style="thick">
        <color indexed="12"/>
      </top>
      <bottom/>
      <diagonal/>
    </border>
    <border>
      <left style="thin">
        <color indexed="8"/>
      </left>
      <right style="thick">
        <color indexed="12"/>
      </right>
      <top style="thick">
        <color indexed="12"/>
      </top>
      <bottom/>
      <diagonal/>
    </border>
    <border>
      <left style="hair">
        <color indexed="8"/>
      </left>
      <right style="hair">
        <color indexed="12"/>
      </right>
      <top style="thick">
        <color indexed="12"/>
      </top>
      <bottom/>
      <diagonal/>
    </border>
    <border>
      <left style="hair">
        <color indexed="8"/>
      </left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ck">
        <color indexed="12"/>
      </right>
      <top/>
      <bottom/>
      <diagonal/>
    </border>
    <border>
      <left style="hair">
        <color indexed="8"/>
      </left>
      <right style="hair">
        <color indexed="12"/>
      </right>
      <top/>
      <bottom/>
      <diagonal/>
    </border>
    <border>
      <left style="hair">
        <color indexed="8"/>
      </left>
      <right style="thick">
        <color indexed="12"/>
      </right>
      <top/>
      <bottom/>
      <diagonal/>
    </border>
    <border>
      <left style="thick">
        <color indexed="12"/>
      </left>
      <right/>
      <top style="thick">
        <color indexed="12"/>
      </top>
      <bottom style="thick">
        <color indexed="33"/>
      </bottom>
      <diagonal/>
    </border>
    <border>
      <left/>
      <right/>
      <top style="thick">
        <color indexed="12"/>
      </top>
      <bottom style="thick">
        <color indexed="33"/>
      </bottom>
      <diagonal/>
    </border>
    <border>
      <left style="hair">
        <color indexed="8"/>
      </left>
      <right/>
      <top style="thick">
        <color indexed="12"/>
      </top>
      <bottom style="thick">
        <color indexed="33"/>
      </bottom>
      <diagonal/>
    </border>
    <border>
      <left style="thin">
        <color indexed="8"/>
      </left>
      <right/>
      <top style="thick">
        <color indexed="12"/>
      </top>
      <bottom style="thick">
        <color indexed="33"/>
      </bottom>
      <diagonal/>
    </border>
    <border>
      <left style="thin">
        <color indexed="8"/>
      </left>
      <right style="thick">
        <color indexed="12"/>
      </right>
      <top style="thick">
        <color indexed="12"/>
      </top>
      <bottom style="thick">
        <color indexed="33"/>
      </bottom>
      <diagonal/>
    </border>
    <border>
      <left style="hair">
        <color indexed="8"/>
      </left>
      <right style="hair">
        <color indexed="12"/>
      </right>
      <top style="thick">
        <color indexed="12"/>
      </top>
      <bottom style="thick">
        <color indexed="33"/>
      </bottom>
      <diagonal/>
    </border>
    <border>
      <left style="hair">
        <color indexed="8"/>
      </left>
      <right style="thick">
        <color indexed="12"/>
      </right>
      <top style="thick">
        <color indexed="12"/>
      </top>
      <bottom style="thick">
        <color indexed="33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12"/>
      </left>
      <right/>
      <top/>
      <bottom style="hair">
        <color indexed="8"/>
      </bottom>
      <diagonal/>
    </border>
    <border>
      <left style="thin">
        <color indexed="8"/>
      </left>
      <right style="thick">
        <color indexed="12"/>
      </right>
      <top/>
      <bottom style="hair">
        <color indexed="8"/>
      </bottom>
      <diagonal/>
    </border>
    <border>
      <left style="hair">
        <color indexed="8"/>
      </left>
      <right style="hair">
        <color indexed="12"/>
      </right>
      <top/>
      <bottom style="hair">
        <color indexed="8"/>
      </bottom>
      <diagonal/>
    </border>
    <border>
      <left style="hair">
        <color indexed="8"/>
      </left>
      <right style="thick">
        <color indexed="12"/>
      </right>
      <top/>
      <bottom style="hair">
        <color indexed="8"/>
      </bottom>
      <diagonal/>
    </border>
    <border>
      <left/>
      <right/>
      <top style="thick">
        <color indexed="14"/>
      </top>
      <bottom style="thick">
        <color indexed="12"/>
      </bottom>
      <diagonal/>
    </border>
    <border>
      <left style="hair">
        <color indexed="8"/>
      </left>
      <right/>
      <top style="thick">
        <color indexed="14"/>
      </top>
      <bottom style="thick">
        <color indexed="12"/>
      </bottom>
      <diagonal/>
    </border>
    <border>
      <left style="thin">
        <color indexed="8"/>
      </left>
      <right/>
      <top style="thick">
        <color indexed="14"/>
      </top>
      <bottom style="thick">
        <color indexed="12"/>
      </bottom>
      <diagonal/>
    </border>
    <border>
      <left style="thick">
        <color indexed="12"/>
      </left>
      <right/>
      <top style="thick">
        <color indexed="14"/>
      </top>
      <bottom style="thick">
        <color indexed="12"/>
      </bottom>
      <diagonal/>
    </border>
    <border>
      <left style="thin">
        <color indexed="8"/>
      </left>
      <right style="thick">
        <color indexed="12"/>
      </right>
      <top style="thick">
        <color indexed="14"/>
      </top>
      <bottom style="thick">
        <color indexed="12"/>
      </bottom>
      <diagonal/>
    </border>
    <border>
      <left style="hair">
        <color indexed="8"/>
      </left>
      <right style="hair">
        <color indexed="12"/>
      </right>
      <top style="thick">
        <color indexed="14"/>
      </top>
      <bottom style="thick">
        <color indexed="12"/>
      </bottom>
      <diagonal/>
    </border>
    <border>
      <left style="hair">
        <color indexed="8"/>
      </left>
      <right style="thick">
        <color indexed="12"/>
      </right>
      <top style="thick">
        <color indexed="14"/>
      </top>
      <bottom style="thick">
        <color indexed="12"/>
      </bottom>
      <diagonal/>
    </border>
    <border>
      <left/>
      <right style="thick">
        <color indexed="12"/>
      </right>
      <top/>
      <bottom/>
      <diagonal/>
    </border>
    <border>
      <left/>
      <right style="hair">
        <color indexed="12"/>
      </right>
      <top/>
      <bottom/>
      <diagonal/>
    </border>
    <border>
      <left/>
      <right/>
      <top style="thick">
        <color indexed="39"/>
      </top>
      <bottom style="thick">
        <color indexed="14"/>
      </bottom>
      <diagonal/>
    </border>
    <border>
      <left style="thick">
        <color indexed="12"/>
      </left>
      <right/>
      <top style="thick">
        <color indexed="39"/>
      </top>
      <bottom style="thick">
        <color indexed="14"/>
      </bottom>
      <diagonal/>
    </border>
    <border>
      <left/>
      <right style="thick">
        <color indexed="12"/>
      </right>
      <top style="thick">
        <color indexed="39"/>
      </top>
      <bottom style="thick">
        <color indexed="14"/>
      </bottom>
      <diagonal/>
    </border>
    <border>
      <left/>
      <right style="hair">
        <color indexed="12"/>
      </right>
      <top style="thick">
        <color indexed="39"/>
      </top>
      <bottom style="thick">
        <color indexed="14"/>
      </bottom>
      <diagonal/>
    </border>
    <border>
      <left/>
      <right style="thick">
        <color indexed="39"/>
      </right>
      <top style="thick">
        <color indexed="39"/>
      </top>
      <bottom style="thick">
        <color indexed="14"/>
      </bottom>
      <diagonal/>
    </border>
    <border>
      <left style="hair">
        <color indexed="8"/>
      </left>
      <right style="thick">
        <color indexed="39"/>
      </right>
      <top/>
      <bottom style="hair">
        <color indexed="8"/>
      </bottom>
      <diagonal/>
    </border>
    <border>
      <left/>
      <right/>
      <top style="thick">
        <color indexed="14"/>
      </top>
      <bottom/>
      <diagonal/>
    </border>
    <border>
      <left style="hair">
        <color indexed="8"/>
      </left>
      <right/>
      <top style="thick">
        <color indexed="14"/>
      </top>
      <bottom/>
      <diagonal/>
    </border>
    <border>
      <left style="thin">
        <color indexed="8"/>
      </left>
      <right/>
      <top style="thick">
        <color indexed="14"/>
      </top>
      <bottom/>
      <diagonal/>
    </border>
    <border>
      <left style="thick">
        <color indexed="12"/>
      </left>
      <right/>
      <top style="thick">
        <color indexed="14"/>
      </top>
      <bottom/>
      <diagonal/>
    </border>
    <border>
      <left style="thin">
        <color indexed="8"/>
      </left>
      <right style="thick">
        <color indexed="12"/>
      </right>
      <top style="thick">
        <color indexed="14"/>
      </top>
      <bottom/>
      <diagonal/>
    </border>
    <border>
      <left style="hair">
        <color indexed="8"/>
      </left>
      <right style="hair">
        <color indexed="12"/>
      </right>
      <top style="thick">
        <color indexed="14"/>
      </top>
      <bottom/>
      <diagonal/>
    </border>
    <border>
      <left style="hair">
        <color indexed="8"/>
      </left>
      <right style="thick">
        <color indexed="39"/>
      </right>
      <top style="thick">
        <color indexed="14"/>
      </top>
      <bottom/>
      <diagonal/>
    </border>
    <border>
      <left/>
      <right/>
      <top style="thick">
        <color indexed="8"/>
      </top>
      <bottom style="thick">
        <color indexed="39"/>
      </bottom>
      <diagonal/>
    </border>
    <border>
      <left style="hair">
        <color indexed="8"/>
      </left>
      <right/>
      <top style="thick">
        <color indexed="8"/>
      </top>
      <bottom style="thick">
        <color indexed="39"/>
      </bottom>
      <diagonal/>
    </border>
    <border>
      <left style="thin">
        <color indexed="8"/>
      </left>
      <right/>
      <top style="thick">
        <color indexed="8"/>
      </top>
      <bottom style="thick">
        <color indexed="39"/>
      </bottom>
      <diagonal/>
    </border>
    <border>
      <left style="thick">
        <color indexed="12"/>
      </left>
      <right/>
      <top style="thick">
        <color indexed="8"/>
      </top>
      <bottom style="thick">
        <color indexed="39"/>
      </bottom>
      <diagonal/>
    </border>
    <border>
      <left style="hair">
        <color indexed="8"/>
      </left>
      <right style="hair">
        <color indexed="12"/>
      </right>
      <top style="thick">
        <color indexed="8"/>
      </top>
      <bottom style="thick">
        <color indexed="39"/>
      </bottom>
      <diagonal/>
    </border>
    <border>
      <left style="thick">
        <color indexed="12"/>
      </left>
      <right/>
      <top style="thick">
        <color indexed="12"/>
      </top>
      <bottom style="thick">
        <color indexed="14"/>
      </bottom>
      <diagonal/>
    </border>
    <border>
      <left/>
      <right/>
      <top style="thick">
        <color indexed="12"/>
      </top>
      <bottom style="thick">
        <color indexed="14"/>
      </bottom>
      <diagonal/>
    </border>
    <border>
      <left/>
      <right style="thick">
        <color indexed="12"/>
      </right>
      <top style="thick">
        <color indexed="12"/>
      </top>
      <bottom style="thick">
        <color indexed="14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8"/>
      </top>
      <bottom/>
      <diagonal/>
    </border>
    <border>
      <left style="thick">
        <color indexed="12"/>
      </left>
      <right/>
      <top/>
      <bottom style="thick">
        <color indexed="14"/>
      </bottom>
      <diagonal/>
    </border>
    <border>
      <left/>
      <right/>
      <top/>
      <bottom style="thick">
        <color indexed="14"/>
      </bottom>
      <diagonal/>
    </border>
    <border>
      <left style="hair">
        <color indexed="8"/>
      </left>
      <right/>
      <top/>
      <bottom style="thick">
        <color indexed="14"/>
      </bottom>
      <diagonal/>
    </border>
    <border>
      <left style="thin">
        <color indexed="8"/>
      </left>
      <right/>
      <top/>
      <bottom style="thick">
        <color indexed="14"/>
      </bottom>
      <diagonal/>
    </border>
    <border>
      <left style="thin">
        <color indexed="8"/>
      </left>
      <right style="thick">
        <color indexed="12"/>
      </right>
      <top/>
      <bottom style="thick">
        <color indexed="14"/>
      </bottom>
      <diagonal/>
    </border>
    <border>
      <left style="hair">
        <color indexed="8"/>
      </left>
      <right style="hair">
        <color indexed="12"/>
      </right>
      <top/>
      <bottom style="thick">
        <color indexed="14"/>
      </bottom>
      <diagonal/>
    </border>
    <border>
      <left style="hair">
        <color indexed="8"/>
      </left>
      <right style="thick">
        <color indexed="12"/>
      </right>
      <top/>
      <bottom style="thick">
        <color indexed="1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/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thick">
        <color indexed="39"/>
      </right>
      <top style="thick">
        <color indexed="8"/>
      </top>
      <bottom style="thick">
        <color indexed="39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39"/>
      </left>
      <right/>
      <top style="thick">
        <color indexed="39"/>
      </top>
      <bottom style="thick">
        <color indexed="14"/>
      </bottom>
      <diagonal/>
    </border>
    <border>
      <left style="thick">
        <color indexed="39"/>
      </left>
      <right/>
      <top/>
      <bottom style="hair">
        <color indexed="8"/>
      </bottom>
      <diagonal/>
    </border>
    <border>
      <left style="thick">
        <color indexed="39"/>
      </left>
      <right/>
      <top/>
      <bottom/>
      <diagonal/>
    </border>
    <border>
      <left style="thick">
        <color indexed="39"/>
      </left>
      <right/>
      <top style="thick">
        <color indexed="14"/>
      </top>
      <bottom/>
      <diagonal/>
    </border>
    <border>
      <left style="thick">
        <color indexed="39"/>
      </left>
      <right/>
      <top style="thick">
        <color indexed="8"/>
      </top>
      <bottom style="thick">
        <color indexed="39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12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auto="1"/>
      </left>
      <right/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2">
    <xf numFmtId="0" fontId="0" fillId="2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3" borderId="0"/>
    <xf numFmtId="0" fontId="17" fillId="4" borderId="0"/>
    <xf numFmtId="0" fontId="24" fillId="0" borderId="0"/>
    <xf numFmtId="0" fontId="24" fillId="0" borderId="0"/>
    <xf numFmtId="0" fontId="24" fillId="0" borderId="0"/>
    <xf numFmtId="0" fontId="16" fillId="2" borderId="0"/>
    <xf numFmtId="0" fontId="24" fillId="0" borderId="0"/>
    <xf numFmtId="0" fontId="17" fillId="4" borderId="0"/>
    <xf numFmtId="9" fontId="24" fillId="0" borderId="0" applyFont="0" applyFill="0" applyBorder="0" applyAlignment="0" applyProtection="0"/>
    <xf numFmtId="0" fontId="5" fillId="0" borderId="0"/>
    <xf numFmtId="0" fontId="5" fillId="0" borderId="0"/>
    <xf numFmtId="0" fontId="16" fillId="2" borderId="0"/>
    <xf numFmtId="44" fontId="4" fillId="0" borderId="0" applyFont="0" applyFill="0" applyBorder="0" applyAlignment="0" applyProtection="0"/>
    <xf numFmtId="0" fontId="4" fillId="0" borderId="0"/>
    <xf numFmtId="0" fontId="2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6" fillId="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6" fillId="2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3355">
    <xf numFmtId="0" fontId="0" fillId="2" borderId="0" xfId="0" applyNumberFormat="1" applyFill="1"/>
    <xf numFmtId="0" fontId="0" fillId="4" borderId="0" xfId="0" applyNumberFormat="1" applyFill="1" applyBorder="1"/>
    <xf numFmtId="0" fontId="8" fillId="4" borderId="0" xfId="0" applyNumberFormat="1" applyFont="1" applyFill="1" applyBorder="1" applyAlignment="1">
      <alignment vertical="center"/>
    </xf>
    <xf numFmtId="0" fontId="9" fillId="4" borderId="0" xfId="0" applyNumberFormat="1" applyFont="1" applyFill="1" applyBorder="1" applyAlignment="1">
      <alignment vertical="center"/>
    </xf>
    <xf numFmtId="0" fontId="0" fillId="4" borderId="0" xfId="0" applyNumberFormat="1" applyFill="1" applyBorder="1" applyAlignment="1">
      <alignment horizontal="centerContinuous"/>
    </xf>
    <xf numFmtId="0" fontId="0" fillId="5" borderId="0" xfId="0" applyNumberFormat="1" applyFill="1"/>
    <xf numFmtId="0" fontId="11" fillId="4" borderId="0" xfId="0" applyNumberFormat="1" applyFont="1" applyFill="1" applyBorder="1" applyAlignment="1">
      <alignment vertical="center"/>
    </xf>
    <xf numFmtId="0" fontId="12" fillId="4" borderId="0" xfId="0" applyNumberFormat="1" applyFont="1" applyFill="1" applyBorder="1"/>
    <xf numFmtId="0" fontId="12" fillId="4" borderId="0" xfId="0" applyNumberFormat="1" applyFont="1" applyFill="1" applyBorder="1" applyAlignment="1">
      <alignment horizontal="centerContinuous"/>
    </xf>
    <xf numFmtId="0" fontId="9" fillId="4" borderId="0" xfId="0" applyNumberFormat="1" applyFont="1" applyFill="1" applyBorder="1" applyAlignment="1">
      <alignment horizontal="centerContinuous"/>
    </xf>
    <xf numFmtId="0" fontId="0" fillId="4" borderId="1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13" fillId="4" borderId="0" xfId="0" applyNumberFormat="1" applyFont="1" applyFill="1" applyBorder="1" applyAlignment="1">
      <alignment vertical="center"/>
    </xf>
    <xf numFmtId="164" fontId="9" fillId="4" borderId="0" xfId="0" applyNumberFormat="1" applyFont="1" applyFill="1" applyBorder="1" applyAlignment="1">
      <alignment horizontal="right" vertical="center"/>
    </xf>
    <xf numFmtId="164" fontId="6" fillId="4" borderId="0" xfId="0" applyNumberFormat="1" applyFont="1" applyFill="1" applyBorder="1"/>
    <xf numFmtId="0" fontId="0" fillId="2" borderId="4" xfId="0" applyNumberFormat="1" applyFill="1" applyBorder="1"/>
    <xf numFmtId="4" fontId="0" fillId="2" borderId="0" xfId="0" applyNumberFormat="1" applyFill="1" applyBorder="1"/>
    <xf numFmtId="0" fontId="0" fillId="2" borderId="0" xfId="0" applyNumberFormat="1" applyFill="1" applyBorder="1"/>
    <xf numFmtId="0" fontId="0" fillId="2" borderId="5" xfId="0" applyNumberFormat="1" applyFill="1" applyBorder="1"/>
    <xf numFmtId="0" fontId="6" fillId="4" borderId="0" xfId="0" applyNumberFormat="1" applyFont="1" applyFill="1" applyBorder="1" applyAlignment="1">
      <alignment vertical="center"/>
    </xf>
    <xf numFmtId="0" fontId="9" fillId="4" borderId="0" xfId="0" applyNumberFormat="1" applyFont="1" applyFill="1" applyBorder="1" applyAlignment="1">
      <alignment horizontal="centerContinuous" vertical="center"/>
    </xf>
    <xf numFmtId="0" fontId="9" fillId="4" borderId="0" xfId="0" applyNumberFormat="1" applyFont="1" applyFill="1" applyBorder="1" applyAlignment="1">
      <alignment horizontal="center" vertical="center"/>
    </xf>
    <xf numFmtId="0" fontId="0" fillId="4" borderId="4" xfId="0" applyNumberFormat="1" applyFill="1" applyBorder="1"/>
    <xf numFmtId="0" fontId="0" fillId="5" borderId="0" xfId="0" applyNumberFormat="1" applyFill="1" applyBorder="1"/>
    <xf numFmtId="0" fontId="6" fillId="4" borderId="0" xfId="0" applyNumberFormat="1" applyFont="1" applyFill="1" applyBorder="1"/>
    <xf numFmtId="0" fontId="6" fillId="4" borderId="0" xfId="0" applyNumberFormat="1" applyFont="1" applyFill="1" applyBorder="1" applyAlignment="1">
      <alignment horizontal="centerContinuous"/>
    </xf>
    <xf numFmtId="165" fontId="9" fillId="4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Border="1"/>
    <xf numFmtId="0" fontId="0" fillId="0" borderId="0" xfId="0" applyNumberFormat="1" applyFill="1"/>
    <xf numFmtId="5" fontId="0" fillId="2" borderId="0" xfId="0" applyNumberFormat="1" applyFill="1"/>
    <xf numFmtId="0" fontId="9" fillId="4" borderId="0" xfId="0" applyNumberFormat="1" applyFont="1" applyFill="1" applyBorder="1" applyAlignment="1">
      <alignment horizontal="left" vertical="center"/>
    </xf>
    <xf numFmtId="2" fontId="0" fillId="4" borderId="0" xfId="0" applyNumberFormat="1" applyFill="1" applyBorder="1"/>
    <xf numFmtId="2" fontId="0" fillId="4" borderId="0" xfId="0" applyNumberFormat="1" applyFill="1" applyBorder="1" applyAlignment="1">
      <alignment horizontal="centerContinuous"/>
    </xf>
    <xf numFmtId="2" fontId="9" fillId="4" borderId="0" xfId="0" applyNumberFormat="1" applyFont="1" applyFill="1" applyBorder="1" applyAlignment="1">
      <alignment horizontal="centerContinuous"/>
    </xf>
    <xf numFmtId="2" fontId="9" fillId="4" borderId="0" xfId="0" applyNumberFormat="1" applyFont="1" applyFill="1" applyBorder="1" applyAlignment="1">
      <alignment horizontal="centerContinuous" vertical="center"/>
    </xf>
    <xf numFmtId="2" fontId="0" fillId="2" borderId="0" xfId="0" applyNumberFormat="1" applyFill="1"/>
    <xf numFmtId="0" fontId="0" fillId="2" borderId="0" xfId="0" applyNumberFormat="1" applyFill="1" applyAlignment="1">
      <alignment horizontal="center"/>
    </xf>
    <xf numFmtId="1" fontId="0" fillId="0" borderId="0" xfId="0" applyNumberFormat="1" applyFill="1" applyBorder="1"/>
    <xf numFmtId="3" fontId="0" fillId="2" borderId="0" xfId="0" applyNumberFormat="1" applyFill="1"/>
    <xf numFmtId="0" fontId="18" fillId="0" borderId="6" xfId="0" applyNumberFormat="1" applyFont="1" applyFill="1" applyBorder="1"/>
    <xf numFmtId="0" fontId="19" fillId="0" borderId="6" xfId="0" applyNumberFormat="1" applyFont="1" applyFill="1" applyBorder="1" applyAlignment="1">
      <alignment horizontal="center"/>
    </xf>
    <xf numFmtId="176" fontId="19" fillId="0" borderId="6" xfId="0" applyNumberFormat="1" applyFont="1" applyFill="1" applyBorder="1"/>
    <xf numFmtId="4" fontId="0" fillId="4" borderId="0" xfId="0" applyNumberFormat="1" applyFill="1" applyBorder="1"/>
    <xf numFmtId="4" fontId="10" fillId="4" borderId="0" xfId="0" applyNumberFormat="1" applyFont="1" applyFill="1" applyBorder="1" applyAlignment="1">
      <alignment horizontal="centerContinuous"/>
    </xf>
    <xf numFmtId="4" fontId="12" fillId="4" borderId="0" xfId="0" applyNumberFormat="1" applyFont="1" applyFill="1" applyBorder="1" applyAlignment="1">
      <alignment horizontal="centerContinuous"/>
    </xf>
    <xf numFmtId="4" fontId="9" fillId="4" borderId="0" xfId="0" applyNumberFormat="1" applyFont="1" applyFill="1" applyBorder="1" applyAlignment="1">
      <alignment horizontal="centerContinuous"/>
    </xf>
    <xf numFmtId="4" fontId="19" fillId="0" borderId="6" xfId="0" applyNumberFormat="1" applyFont="1" applyFill="1" applyBorder="1" applyAlignment="1">
      <alignment horizontal="right"/>
    </xf>
    <xf numFmtId="4" fontId="0" fillId="2" borderId="0" xfId="0" applyNumberFormat="1" applyFill="1"/>
    <xf numFmtId="0" fontId="30" fillId="0" borderId="0" xfId="7" applyFont="1" applyAlignment="1">
      <alignment horizontal="center"/>
    </xf>
    <xf numFmtId="0" fontId="24" fillId="0" borderId="0" xfId="7"/>
    <xf numFmtId="0" fontId="31" fillId="0" borderId="0" xfId="7" applyFont="1" applyAlignment="1"/>
    <xf numFmtId="0" fontId="32" fillId="0" borderId="7" xfId="7" applyFont="1" applyBorder="1" applyAlignment="1">
      <alignment horizontal="center"/>
    </xf>
    <xf numFmtId="0" fontId="27" fillId="0" borderId="7" xfId="7" applyFont="1" applyBorder="1" applyAlignment="1"/>
    <xf numFmtId="0" fontId="33" fillId="0" borderId="0" xfId="7" applyFont="1" applyAlignment="1">
      <alignment horizontal="center"/>
    </xf>
    <xf numFmtId="0" fontId="24" fillId="0" borderId="0" xfId="7" applyFont="1"/>
    <xf numFmtId="0" fontId="24" fillId="0" borderId="0" xfId="7" applyFont="1" applyAlignment="1">
      <alignment horizontal="center"/>
    </xf>
    <xf numFmtId="0" fontId="22" fillId="0" borderId="0" xfId="7" quotePrefix="1" applyNumberFormat="1" applyFont="1" applyAlignment="1">
      <alignment horizontal="center"/>
    </xf>
    <xf numFmtId="0" fontId="24" fillId="0" borderId="0" xfId="7" quotePrefix="1" applyNumberFormat="1" applyFont="1" applyAlignment="1">
      <alignment horizontal="center"/>
    </xf>
    <xf numFmtId="0" fontId="25" fillId="0" borderId="0" xfId="7" quotePrefix="1" applyNumberFormat="1" applyFont="1" applyAlignment="1">
      <alignment horizontal="center"/>
    </xf>
    <xf numFmtId="0" fontId="25" fillId="0" borderId="0" xfId="7" applyFont="1" applyAlignment="1">
      <alignment horizontal="center"/>
    </xf>
    <xf numFmtId="0" fontId="37" fillId="0" borderId="0" xfId="7" applyFont="1" applyAlignment="1"/>
    <xf numFmtId="0" fontId="24" fillId="0" borderId="0" xfId="7" applyFont="1" applyBorder="1"/>
    <xf numFmtId="0" fontId="24" fillId="0" borderId="0" xfId="7" applyFont="1" applyBorder="1" applyAlignment="1">
      <alignment horizontal="center"/>
    </xf>
    <xf numFmtId="166" fontId="38" fillId="0" borderId="0" xfId="9" applyNumberFormat="1" applyFont="1" applyFill="1" applyBorder="1"/>
    <xf numFmtId="0" fontId="24" fillId="0" borderId="0" xfId="7" applyBorder="1"/>
    <xf numFmtId="0" fontId="38" fillId="0" borderId="0" xfId="9" applyNumberFormat="1" applyFont="1" applyFill="1" applyBorder="1"/>
    <xf numFmtId="0" fontId="39" fillId="0" borderId="0" xfId="7" quotePrefix="1" applyNumberFormat="1" applyFont="1" applyAlignment="1">
      <alignment horizontal="center"/>
    </xf>
    <xf numFmtId="0" fontId="39" fillId="0" borderId="0" xfId="7" applyFont="1" applyAlignment="1">
      <alignment horizontal="center"/>
    </xf>
    <xf numFmtId="0" fontId="39" fillId="0" borderId="0" xfId="7" applyFont="1" applyBorder="1" applyAlignment="1">
      <alignment horizontal="center"/>
    </xf>
    <xf numFmtId="0" fontId="24" fillId="0" borderId="0" xfId="7" applyFont="1" applyAlignment="1">
      <alignment horizontal="left"/>
    </xf>
    <xf numFmtId="0" fontId="27" fillId="0" borderId="0" xfId="7" applyFont="1" applyBorder="1"/>
    <xf numFmtId="0" fontId="40" fillId="0" borderId="0" xfId="7" quotePrefix="1" applyFont="1" applyBorder="1" applyAlignment="1">
      <alignment horizontal="center"/>
    </xf>
    <xf numFmtId="0" fontId="27" fillId="0" borderId="0" xfId="7" applyFont="1"/>
    <xf numFmtId="0" fontId="24" fillId="0" borderId="0" xfId="7" quotePrefix="1" applyFont="1" applyBorder="1" applyAlignment="1">
      <alignment horizontal="center"/>
    </xf>
    <xf numFmtId="0" fontId="39" fillId="0" borderId="0" xfId="7" quotePrefix="1" applyFont="1" applyBorder="1" applyAlignment="1">
      <alignment horizontal="center"/>
    </xf>
    <xf numFmtId="166" fontId="38" fillId="0" borderId="0" xfId="9" applyNumberFormat="1" applyFont="1" applyFill="1" applyBorder="1" applyAlignment="1">
      <alignment horizontal="center"/>
    </xf>
    <xf numFmtId="166" fontId="38" fillId="0" borderId="0" xfId="9" applyNumberFormat="1" applyFont="1" applyFill="1" applyBorder="1" applyAlignment="1">
      <alignment horizontal="left"/>
    </xf>
    <xf numFmtId="0" fontId="22" fillId="0" borderId="0" xfId="7" quotePrefix="1" applyFont="1" applyBorder="1" applyAlignment="1">
      <alignment horizontal="center"/>
    </xf>
    <xf numFmtId="0" fontId="24" fillId="0" borderId="0" xfId="7" applyFont="1" applyBorder="1" applyAlignment="1">
      <alignment horizontal="left"/>
    </xf>
    <xf numFmtId="0" fontId="25" fillId="0" borderId="0" xfId="7" quotePrefix="1" applyFont="1" applyBorder="1" applyAlignment="1">
      <alignment horizontal="center"/>
    </xf>
    <xf numFmtId="0" fontId="25" fillId="0" borderId="0" xfId="7" applyFont="1" applyBorder="1" applyAlignment="1">
      <alignment horizontal="center"/>
    </xf>
    <xf numFmtId="166" fontId="24" fillId="0" borderId="0" xfId="7" applyNumberFormat="1" applyFont="1" applyFill="1" applyBorder="1"/>
    <xf numFmtId="166" fontId="38" fillId="0" borderId="0" xfId="9" applyNumberFormat="1" applyFont="1" applyFill="1" applyBorder="1" applyAlignment="1"/>
    <xf numFmtId="166" fontId="16" fillId="0" borderId="0" xfId="9" applyNumberFormat="1" applyFont="1" applyFill="1" applyBorder="1" applyAlignment="1"/>
    <xf numFmtId="0" fontId="24" fillId="0" borderId="0" xfId="7" applyFont="1" applyFill="1" applyBorder="1" applyAlignment="1"/>
    <xf numFmtId="0" fontId="27" fillId="0" borderId="0" xfId="7" applyFont="1" applyFill="1" applyBorder="1" applyAlignment="1"/>
    <xf numFmtId="0" fontId="24" fillId="0" borderId="0" xfId="7" applyFont="1" applyFill="1" applyBorder="1"/>
    <xf numFmtId="0" fontId="22" fillId="0" borderId="0" xfId="7" quotePrefix="1" applyFont="1" applyAlignment="1">
      <alignment horizontal="center"/>
    </xf>
    <xf numFmtId="0" fontId="24" fillId="0" borderId="0" xfId="7" quotePrefix="1" applyFont="1" applyAlignment="1">
      <alignment horizontal="center"/>
    </xf>
    <xf numFmtId="0" fontId="25" fillId="0" borderId="0" xfId="7" quotePrefix="1" applyFont="1" applyAlignment="1">
      <alignment horizontal="center"/>
    </xf>
    <xf numFmtId="0" fontId="24" fillId="0" borderId="0" xfId="7" applyFont="1" applyFill="1" applyBorder="1" applyAlignment="1">
      <alignment horizontal="center"/>
    </xf>
    <xf numFmtId="0" fontId="24" fillId="0" borderId="0" xfId="7" applyNumberFormat="1" applyFont="1" applyFill="1" applyBorder="1"/>
    <xf numFmtId="185" fontId="24" fillId="0" borderId="0" xfId="7" applyNumberFormat="1" applyFont="1" applyBorder="1"/>
    <xf numFmtId="185" fontId="24" fillId="0" borderId="0" xfId="7" applyNumberFormat="1" applyFont="1" applyFill="1" applyBorder="1"/>
    <xf numFmtId="0" fontId="45" fillId="0" borderId="0" xfId="9" applyNumberFormat="1" applyFont="1" applyFill="1" applyBorder="1"/>
    <xf numFmtId="0" fontId="24" fillId="0" borderId="0" xfId="9" applyNumberFormat="1" applyFont="1" applyFill="1" applyBorder="1"/>
    <xf numFmtId="0" fontId="45" fillId="0" borderId="0" xfId="7" applyFont="1" applyBorder="1" applyAlignment="1">
      <alignment horizontal="center"/>
    </xf>
    <xf numFmtId="0" fontId="22" fillId="0" borderId="0" xfId="7" applyFont="1" applyBorder="1" applyAlignment="1">
      <alignment horizontal="center"/>
    </xf>
    <xf numFmtId="0" fontId="25" fillId="0" borderId="0" xfId="7" applyFont="1" applyBorder="1" applyAlignment="1"/>
    <xf numFmtId="0" fontId="22" fillId="0" borderId="0" xfId="7" applyFont="1" applyBorder="1" applyAlignment="1"/>
    <xf numFmtId="0" fontId="22" fillId="0" borderId="0" xfId="7" applyFont="1" applyAlignment="1"/>
    <xf numFmtId="0" fontId="25" fillId="0" borderId="0" xfId="7" applyFont="1" applyFill="1" applyBorder="1" applyAlignment="1">
      <alignment horizontal="center"/>
    </xf>
    <xf numFmtId="0" fontId="25" fillId="0" borderId="0" xfId="7" applyFont="1" applyAlignment="1"/>
    <xf numFmtId="0" fontId="22" fillId="0" borderId="0" xfId="7" applyFont="1" applyBorder="1" applyAlignment="1">
      <alignment horizontal="left"/>
    </xf>
    <xf numFmtId="0" fontId="27" fillId="0" borderId="0" xfId="7" applyFont="1" applyAlignment="1">
      <alignment horizontal="center"/>
    </xf>
    <xf numFmtId="0" fontId="0" fillId="2" borderId="0" xfId="0" applyNumberFormat="1" applyFill="1" applyAlignment="1">
      <alignment horizontal="left"/>
    </xf>
    <xf numFmtId="169" fontId="18" fillId="0" borderId="6" xfId="0" applyNumberFormat="1" applyFont="1" applyFill="1" applyBorder="1"/>
    <xf numFmtId="40" fontId="9" fillId="0" borderId="0" xfId="0" applyNumberFormat="1" applyFont="1" applyFill="1" applyBorder="1" applyAlignment="1">
      <alignment horizontal="right"/>
    </xf>
    <xf numFmtId="0" fontId="45" fillId="0" borderId="0" xfId="7" applyFont="1"/>
    <xf numFmtId="0" fontId="45" fillId="0" borderId="0" xfId="7" applyFont="1" applyBorder="1"/>
    <xf numFmtId="0" fontId="45" fillId="0" borderId="0" xfId="7" quotePrefix="1" applyNumberFormat="1" applyFont="1" applyAlignment="1">
      <alignment horizontal="center"/>
    </xf>
    <xf numFmtId="166" fontId="45" fillId="0" borderId="0" xfId="9" applyNumberFormat="1" applyFont="1" applyFill="1" applyBorder="1"/>
    <xf numFmtId="0" fontId="18" fillId="0" borderId="0" xfId="0" applyNumberFormat="1" applyFont="1" applyFill="1"/>
    <xf numFmtId="2" fontId="18" fillId="0" borderId="0" xfId="0" applyNumberFormat="1" applyFont="1" applyFill="1"/>
    <xf numFmtId="0" fontId="18" fillId="0" borderId="6" xfId="0" applyNumberFormat="1" applyFont="1" applyFill="1" applyBorder="1" applyAlignment="1">
      <alignment horizontal="center"/>
    </xf>
    <xf numFmtId="166" fontId="18" fillId="0" borderId="6" xfId="0" applyNumberFormat="1" applyFont="1" applyFill="1" applyBorder="1" applyAlignment="1">
      <alignment horizontal="center"/>
    </xf>
    <xf numFmtId="166" fontId="18" fillId="0" borderId="6" xfId="0" applyNumberFormat="1" applyFont="1" applyFill="1" applyBorder="1"/>
    <xf numFmtId="0" fontId="20" fillId="4" borderId="0" xfId="0" applyNumberFormat="1" applyFont="1" applyFill="1" applyBorder="1"/>
    <xf numFmtId="0" fontId="18" fillId="4" borderId="0" xfId="0" applyNumberFormat="1" applyFont="1" applyFill="1" applyBorder="1"/>
    <xf numFmtId="0" fontId="18" fillId="2" borderId="8" xfId="0" applyNumberFormat="1" applyFont="1" applyFill="1" applyBorder="1"/>
    <xf numFmtId="0" fontId="18" fillId="2" borderId="0" xfId="0" applyNumberFormat="1" applyFont="1" applyFill="1" applyBorder="1"/>
    <xf numFmtId="0" fontId="18" fillId="2" borderId="0" xfId="0" applyNumberFormat="1" applyFont="1" applyFill="1"/>
    <xf numFmtId="0" fontId="49" fillId="4" borderId="0" xfId="0" applyNumberFormat="1" applyFont="1" applyFill="1" applyBorder="1" applyAlignment="1">
      <alignment vertical="center"/>
    </xf>
    <xf numFmtId="0" fontId="19" fillId="4" borderId="0" xfId="0" applyNumberFormat="1" applyFont="1" applyFill="1" applyBorder="1" applyAlignment="1">
      <alignment horizontal="center" vertical="center"/>
    </xf>
    <xf numFmtId="0" fontId="18" fillId="4" borderId="0" xfId="0" applyNumberFormat="1" applyFont="1" applyFill="1" applyBorder="1" applyAlignment="1">
      <alignment horizontal="centerContinuous"/>
    </xf>
    <xf numFmtId="4" fontId="51" fillId="4" borderId="0" xfId="0" applyNumberFormat="1" applyFont="1" applyFill="1" applyBorder="1" applyAlignment="1">
      <alignment horizontal="centerContinuous"/>
    </xf>
    <xf numFmtId="2" fontId="18" fillId="4" borderId="0" xfId="0" applyNumberFormat="1" applyFont="1" applyFill="1" applyBorder="1" applyAlignment="1">
      <alignment horizontal="centerContinuous"/>
    </xf>
    <xf numFmtId="0" fontId="48" fillId="4" borderId="0" xfId="0" applyNumberFormat="1" applyFont="1" applyFill="1" applyBorder="1" applyAlignment="1">
      <alignment vertical="center"/>
    </xf>
    <xf numFmtId="0" fontId="18" fillId="2" borderId="0" xfId="0" applyNumberFormat="1" applyFont="1" applyFill="1" applyAlignment="1">
      <alignment horizontal="center"/>
    </xf>
    <xf numFmtId="0" fontId="19" fillId="4" borderId="0" xfId="0" applyNumberFormat="1" applyFont="1" applyFill="1" applyBorder="1" applyAlignment="1">
      <alignment vertical="center"/>
    </xf>
    <xf numFmtId="4" fontId="50" fillId="4" borderId="0" xfId="0" applyNumberFormat="1" applyFont="1" applyFill="1" applyBorder="1" applyAlignment="1">
      <alignment horizontal="centerContinuous"/>
    </xf>
    <xf numFmtId="0" fontId="19" fillId="4" borderId="0" xfId="0" applyNumberFormat="1" applyFont="1" applyFill="1" applyBorder="1" applyAlignment="1">
      <alignment horizontal="centerContinuous"/>
    </xf>
    <xf numFmtId="2" fontId="19" fillId="4" borderId="0" xfId="0" applyNumberFormat="1" applyFont="1" applyFill="1" applyBorder="1" applyAlignment="1">
      <alignment horizontal="centerContinuous"/>
    </xf>
    <xf numFmtId="183" fontId="19" fillId="4" borderId="0" xfId="0" applyNumberFormat="1" applyFont="1" applyFill="1" applyBorder="1" applyAlignment="1">
      <alignment horizontal="left" vertical="center"/>
    </xf>
    <xf numFmtId="4" fontId="19" fillId="4" borderId="0" xfId="0" applyNumberFormat="1" applyFont="1" applyFill="1" applyBorder="1" applyAlignment="1">
      <alignment horizontal="centerContinuous"/>
    </xf>
    <xf numFmtId="0" fontId="20" fillId="4" borderId="0" xfId="0" applyNumberFormat="1" applyFont="1" applyFill="1" applyBorder="1" applyAlignment="1">
      <alignment vertical="center"/>
    </xf>
    <xf numFmtId="0" fontId="19" fillId="4" borderId="0" xfId="0" applyNumberFormat="1" applyFont="1" applyFill="1" applyBorder="1" applyAlignment="1">
      <alignment horizontal="centerContinuous" vertical="center"/>
    </xf>
    <xf numFmtId="2" fontId="19" fillId="4" borderId="0" xfId="0" applyNumberFormat="1" applyFont="1" applyFill="1" applyBorder="1" applyAlignment="1">
      <alignment horizontal="centerContinuous" vertical="center"/>
    </xf>
    <xf numFmtId="0" fontId="20" fillId="4" borderId="0" xfId="0" applyNumberFormat="1" applyFont="1" applyFill="1" applyBorder="1" applyAlignment="1">
      <alignment horizontal="centerContinuous"/>
    </xf>
    <xf numFmtId="4" fontId="18" fillId="4" borderId="0" xfId="0" applyNumberFormat="1" applyFont="1" applyFill="1" applyBorder="1"/>
    <xf numFmtId="2" fontId="18" fillId="4" borderId="0" xfId="0" applyNumberFormat="1" applyFont="1" applyFill="1" applyBorder="1"/>
    <xf numFmtId="0" fontId="20" fillId="6" borderId="9" xfId="0" applyNumberFormat="1" applyFont="1" applyFill="1" applyBorder="1" applyAlignment="1">
      <alignment horizontal="center" vertical="center"/>
    </xf>
    <xf numFmtId="0" fontId="48" fillId="6" borderId="10" xfId="0" applyNumberFormat="1" applyFont="1" applyFill="1" applyBorder="1" applyAlignment="1">
      <alignment horizontal="center" vertical="center"/>
    </xf>
    <xf numFmtId="0" fontId="48" fillId="6" borderId="11" xfId="0" applyNumberFormat="1" applyFont="1" applyFill="1" applyBorder="1" applyAlignment="1">
      <alignment horizontal="center" vertical="center"/>
    </xf>
    <xf numFmtId="0" fontId="18" fillId="2" borderId="12" xfId="0" applyNumberFormat="1" applyFont="1" applyFill="1" applyBorder="1"/>
    <xf numFmtId="0" fontId="19" fillId="0" borderId="12" xfId="0" applyNumberFormat="1" applyFont="1" applyFill="1" applyBorder="1" applyAlignment="1">
      <alignment horizontal="center"/>
    </xf>
    <xf numFmtId="0" fontId="20" fillId="0" borderId="12" xfId="0" applyNumberFormat="1" applyFont="1" applyFill="1" applyBorder="1"/>
    <xf numFmtId="0" fontId="18" fillId="0" borderId="12" xfId="0" applyNumberFormat="1" applyFont="1" applyFill="1" applyBorder="1"/>
    <xf numFmtId="4" fontId="18" fillId="0" borderId="12" xfId="0" applyNumberFormat="1" applyFont="1" applyFill="1" applyBorder="1"/>
    <xf numFmtId="2" fontId="18" fillId="0" borderId="12" xfId="0" applyNumberFormat="1" applyFont="1" applyFill="1" applyBorder="1"/>
    <xf numFmtId="37" fontId="18" fillId="0" borderId="12" xfId="0" applyNumberFormat="1" applyFont="1" applyFill="1" applyBorder="1"/>
    <xf numFmtId="37" fontId="19" fillId="0" borderId="12" xfId="0" applyNumberFormat="1" applyFont="1" applyFill="1" applyBorder="1" applyAlignment="1">
      <alignment horizontal="right"/>
    </xf>
    <xf numFmtId="5" fontId="18" fillId="0" borderId="12" xfId="0" applyNumberFormat="1" applyFont="1" applyFill="1" applyBorder="1"/>
    <xf numFmtId="5" fontId="18" fillId="0" borderId="13" xfId="0" applyNumberFormat="1" applyFont="1" applyFill="1" applyBorder="1"/>
    <xf numFmtId="0" fontId="18" fillId="0" borderId="0" xfId="0" applyNumberFormat="1" applyFont="1" applyFill="1" applyBorder="1"/>
    <xf numFmtId="0" fontId="20" fillId="0" borderId="14" xfId="0" applyNumberFormat="1" applyFont="1" applyFill="1" applyBorder="1" applyAlignment="1">
      <alignment horizontal="left"/>
    </xf>
    <xf numFmtId="0" fontId="19" fillId="0" borderId="14" xfId="0" applyNumberFormat="1" applyFont="1" applyFill="1" applyBorder="1" applyAlignment="1">
      <alignment horizontal="center"/>
    </xf>
    <xf numFmtId="0" fontId="20" fillId="0" borderId="14" xfId="0" applyNumberFormat="1" applyFont="1" applyFill="1" applyBorder="1"/>
    <xf numFmtId="0" fontId="18" fillId="0" borderId="14" xfId="0" applyNumberFormat="1" applyFont="1" applyFill="1" applyBorder="1"/>
    <xf numFmtId="4" fontId="18" fillId="0" borderId="14" xfId="0" applyNumberFormat="1" applyFont="1" applyFill="1" applyBorder="1"/>
    <xf numFmtId="2" fontId="18" fillId="0" borderId="14" xfId="0" applyNumberFormat="1" applyFont="1" applyFill="1" applyBorder="1"/>
    <xf numFmtId="37" fontId="18" fillId="0" borderId="14" xfId="0" applyNumberFormat="1" applyFont="1" applyFill="1" applyBorder="1"/>
    <xf numFmtId="37" fontId="19" fillId="0" borderId="14" xfId="0" applyNumberFormat="1" applyFont="1" applyFill="1" applyBorder="1" applyAlignment="1">
      <alignment horizontal="right"/>
    </xf>
    <xf numFmtId="5" fontId="18" fillId="0" borderId="14" xfId="0" applyNumberFormat="1" applyFont="1" applyFill="1" applyBorder="1"/>
    <xf numFmtId="0" fontId="18" fillId="0" borderId="15" xfId="0" applyNumberFormat="1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center"/>
    </xf>
    <xf numFmtId="38" fontId="19" fillId="0" borderId="6" xfId="0" applyNumberFormat="1" applyFont="1" applyFill="1" applyBorder="1" applyAlignment="1">
      <alignment horizontal="center"/>
    </xf>
    <xf numFmtId="4" fontId="19" fillId="0" borderId="6" xfId="0" applyNumberFormat="1" applyFont="1" applyFill="1" applyBorder="1" applyAlignment="1" applyProtection="1">
      <alignment horizontal="right"/>
      <protection locked="0"/>
    </xf>
    <xf numFmtId="0" fontId="19" fillId="0" borderId="6" xfId="0" applyNumberFormat="1" applyFont="1" applyFill="1" applyBorder="1" applyProtection="1">
      <protection locked="0"/>
    </xf>
    <xf numFmtId="2" fontId="18" fillId="0" borderId="6" xfId="0" applyNumberFormat="1" applyFont="1" applyFill="1" applyBorder="1"/>
    <xf numFmtId="37" fontId="18" fillId="0" borderId="6" xfId="0" applyNumberFormat="1" applyFont="1" applyFill="1" applyBorder="1"/>
    <xf numFmtId="39" fontId="18" fillId="0" borderId="6" xfId="0" applyNumberFormat="1" applyFont="1" applyFill="1" applyBorder="1"/>
    <xf numFmtId="37" fontId="19" fillId="0" borderId="6" xfId="0" applyNumberFormat="1" applyFont="1" applyFill="1" applyBorder="1" applyAlignment="1">
      <alignment horizontal="right"/>
    </xf>
    <xf numFmtId="5" fontId="18" fillId="0" borderId="6" xfId="0" applyNumberFormat="1" applyFont="1" applyFill="1" applyBorder="1"/>
    <xf numFmtId="5" fontId="18" fillId="0" borderId="15" xfId="0" applyNumberFormat="1" applyFont="1" applyFill="1" applyBorder="1"/>
    <xf numFmtId="4" fontId="19" fillId="0" borderId="6" xfId="0" applyNumberFormat="1" applyFont="1" applyFill="1" applyBorder="1" applyProtection="1">
      <protection locked="0"/>
    </xf>
    <xf numFmtId="5" fontId="18" fillId="0" borderId="0" xfId="0" applyNumberFormat="1" applyFont="1" applyFill="1" applyBorder="1"/>
    <xf numFmtId="38" fontId="18" fillId="0" borderId="6" xfId="0" applyNumberFormat="1" applyFont="1" applyFill="1" applyBorder="1" applyAlignment="1">
      <alignment horizontal="center"/>
    </xf>
    <xf numFmtId="1" fontId="19" fillId="0" borderId="6" xfId="0" applyNumberFormat="1" applyFont="1" applyFill="1" applyBorder="1"/>
    <xf numFmtId="5" fontId="18" fillId="0" borderId="0" xfId="0" applyNumberFormat="1" applyFont="1" applyFill="1"/>
    <xf numFmtId="170" fontId="19" fillId="0" borderId="6" xfId="0" applyNumberFormat="1" applyFont="1" applyFill="1" applyBorder="1" applyProtection="1">
      <protection locked="0"/>
    </xf>
    <xf numFmtId="0" fontId="18" fillId="0" borderId="15" xfId="0" applyNumberFormat="1" applyFont="1" applyFill="1" applyBorder="1"/>
    <xf numFmtId="166" fontId="18" fillId="0" borderId="17" xfId="0" applyNumberFormat="1" applyFont="1" applyFill="1" applyBorder="1"/>
    <xf numFmtId="0" fontId="18" fillId="0" borderId="17" xfId="0" applyNumberFormat="1" applyFont="1" applyFill="1" applyBorder="1"/>
    <xf numFmtId="0" fontId="18" fillId="2" borderId="15" xfId="0" applyNumberFormat="1" applyFont="1" applyFill="1" applyBorder="1"/>
    <xf numFmtId="0" fontId="18" fillId="0" borderId="18" xfId="0" applyNumberFormat="1" applyFont="1" applyFill="1" applyBorder="1" applyAlignment="1">
      <alignment horizontal="center"/>
    </xf>
    <xf numFmtId="169" fontId="18" fillId="0" borderId="17" xfId="0" applyNumberFormat="1" applyFont="1" applyFill="1" applyBorder="1"/>
    <xf numFmtId="37" fontId="19" fillId="0" borderId="17" xfId="0" applyNumberFormat="1" applyFont="1" applyFill="1" applyBorder="1" applyAlignment="1">
      <alignment horizontal="center"/>
    </xf>
    <xf numFmtId="2" fontId="18" fillId="0" borderId="17" xfId="0" applyNumberFormat="1" applyFont="1" applyFill="1" applyBorder="1"/>
    <xf numFmtId="37" fontId="18" fillId="0" borderId="17" xfId="0" applyNumberFormat="1" applyFont="1" applyFill="1" applyBorder="1"/>
    <xf numFmtId="37" fontId="19" fillId="0" borderId="6" xfId="0" applyNumberFormat="1" applyFont="1" applyFill="1" applyBorder="1" applyAlignment="1">
      <alignment horizontal="center"/>
    </xf>
    <xf numFmtId="0" fontId="22" fillId="0" borderId="6" xfId="0" applyNumberFormat="1" applyFont="1" applyFill="1" applyBorder="1" applyAlignment="1">
      <alignment horizontal="center"/>
    </xf>
    <xf numFmtId="0" fontId="18" fillId="0" borderId="6" xfId="0" applyNumberFormat="1" applyFont="1" applyFill="1" applyBorder="1" applyProtection="1">
      <protection locked="0"/>
    </xf>
    <xf numFmtId="4" fontId="19" fillId="0" borderId="6" xfId="0" applyNumberFormat="1" applyFont="1" applyFill="1" applyBorder="1"/>
    <xf numFmtId="166" fontId="22" fillId="0" borderId="6" xfId="0" applyNumberFormat="1" applyFont="1" applyFill="1" applyBorder="1" applyAlignment="1">
      <alignment horizontal="center"/>
    </xf>
    <xf numFmtId="166" fontId="18" fillId="0" borderId="14" xfId="0" applyNumberFormat="1" applyFont="1" applyFill="1" applyBorder="1" applyAlignment="1">
      <alignment horizontal="center"/>
    </xf>
    <xf numFmtId="166" fontId="18" fillId="0" borderId="14" xfId="0" applyNumberFormat="1" applyFont="1" applyFill="1" applyBorder="1"/>
    <xf numFmtId="169" fontId="18" fillId="0" borderId="14" xfId="0" applyNumberFormat="1" applyFont="1" applyFill="1" applyBorder="1"/>
    <xf numFmtId="38" fontId="19" fillId="0" borderId="14" xfId="0" applyNumberFormat="1" applyFont="1" applyFill="1" applyBorder="1" applyAlignment="1">
      <alignment horizontal="center"/>
    </xf>
    <xf numFmtId="4" fontId="19" fillId="0" borderId="14" xfId="0" applyNumberFormat="1" applyFont="1" applyFill="1" applyBorder="1" applyProtection="1">
      <protection locked="0"/>
    </xf>
    <xf numFmtId="0" fontId="18" fillId="0" borderId="14" xfId="0" applyNumberFormat="1" applyFont="1" applyFill="1" applyBorder="1" applyProtection="1">
      <protection locked="0"/>
    </xf>
    <xf numFmtId="39" fontId="18" fillId="0" borderId="14" xfId="0" applyNumberFormat="1" applyFont="1" applyFill="1" applyBorder="1"/>
    <xf numFmtId="4" fontId="18" fillId="0" borderId="6" xfId="0" applyNumberFormat="1" applyFont="1" applyFill="1" applyBorder="1" applyProtection="1">
      <protection locked="0"/>
    </xf>
    <xf numFmtId="166" fontId="18" fillId="0" borderId="15" xfId="0" applyNumberFormat="1" applyFont="1" applyFill="1" applyBorder="1" applyAlignment="1">
      <alignment horizontal="center"/>
    </xf>
    <xf numFmtId="0" fontId="18" fillId="0" borderId="6" xfId="0" applyFont="1" applyFill="1" applyBorder="1"/>
    <xf numFmtId="38" fontId="19" fillId="0" borderId="19" xfId="0" applyNumberFormat="1" applyFont="1" applyFill="1" applyBorder="1" applyAlignment="1">
      <alignment horizontal="center"/>
    </xf>
    <xf numFmtId="169" fontId="18" fillId="7" borderId="6" xfId="0" applyNumberFormat="1" applyFont="1" applyFill="1" applyBorder="1"/>
    <xf numFmtId="0" fontId="18" fillId="0" borderId="13" xfId="0" applyNumberFormat="1" applyFont="1" applyFill="1" applyBorder="1" applyAlignment="1">
      <alignment horizontal="center"/>
    </xf>
    <xf numFmtId="0" fontId="18" fillId="0" borderId="20" xfId="0" applyNumberFormat="1" applyFont="1" applyFill="1" applyBorder="1" applyAlignment="1">
      <alignment horizontal="center"/>
    </xf>
    <xf numFmtId="169" fontId="18" fillId="0" borderId="21" xfId="0" applyNumberFormat="1" applyFont="1" applyFill="1" applyBorder="1"/>
    <xf numFmtId="4" fontId="18" fillId="0" borderId="14" xfId="0" applyNumberFormat="1" applyFont="1" applyFill="1" applyBorder="1" applyProtection="1">
      <protection locked="0"/>
    </xf>
    <xf numFmtId="0" fontId="19" fillId="0" borderId="14" xfId="0" applyNumberFormat="1" applyFont="1" applyFill="1" applyBorder="1" applyProtection="1">
      <protection locked="0"/>
    </xf>
    <xf numFmtId="0" fontId="18" fillId="2" borderId="6" xfId="0" applyFont="1" applyBorder="1"/>
    <xf numFmtId="37" fontId="19" fillId="0" borderId="0" xfId="0" applyNumberFormat="1" applyFont="1" applyFill="1" applyBorder="1" applyProtection="1">
      <protection locked="0"/>
    </xf>
    <xf numFmtId="0" fontId="20" fillId="0" borderId="6" xfId="0" applyNumberFormat="1" applyFont="1" applyFill="1" applyBorder="1"/>
    <xf numFmtId="169" fontId="19" fillId="0" borderId="6" xfId="0" applyNumberFormat="1" applyFont="1" applyFill="1" applyBorder="1"/>
    <xf numFmtId="37" fontId="18" fillId="0" borderId="6" xfId="0" applyNumberFormat="1" applyFont="1" applyFill="1" applyBorder="1" applyProtection="1">
      <protection locked="0"/>
    </xf>
    <xf numFmtId="1" fontId="19" fillId="0" borderId="6" xfId="0" applyNumberFormat="1" applyFont="1" applyFill="1" applyBorder="1" applyProtection="1">
      <protection locked="0"/>
    </xf>
    <xf numFmtId="0" fontId="20" fillId="0" borderId="6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5" fontId="18" fillId="8" borderId="6" xfId="0" applyNumberFormat="1" applyFont="1" applyFill="1" applyBorder="1"/>
    <xf numFmtId="185" fontId="18" fillId="0" borderId="6" xfId="0" applyNumberFormat="1" applyFont="1" applyFill="1" applyBorder="1"/>
    <xf numFmtId="0" fontId="19" fillId="0" borderId="19" xfId="0" applyNumberFormat="1" applyFont="1" applyFill="1" applyBorder="1" applyAlignment="1">
      <alignment horizontal="center"/>
    </xf>
    <xf numFmtId="0" fontId="19" fillId="0" borderId="22" xfId="0" applyNumberFormat="1" applyFont="1" applyFill="1" applyBorder="1" applyAlignment="1">
      <alignment horizontal="center"/>
    </xf>
    <xf numFmtId="0" fontId="19" fillId="0" borderId="6" xfId="0" applyNumberFormat="1" applyFont="1" applyFill="1" applyBorder="1"/>
    <xf numFmtId="4" fontId="18" fillId="0" borderId="6" xfId="0" applyNumberFormat="1" applyFont="1" applyFill="1" applyBorder="1" applyAlignment="1">
      <alignment horizontal="right"/>
    </xf>
    <xf numFmtId="2" fontId="19" fillId="0" borderId="6" xfId="0" applyNumberFormat="1" applyFont="1" applyFill="1" applyBorder="1"/>
    <xf numFmtId="0" fontId="22" fillId="0" borderId="17" xfId="0" applyNumberFormat="1" applyFont="1" applyFill="1" applyBorder="1" applyAlignment="1">
      <alignment horizontal="center"/>
    </xf>
    <xf numFmtId="5" fontId="18" fillId="0" borderId="17" xfId="0" applyNumberFormat="1" applyFont="1" applyFill="1" applyBorder="1"/>
    <xf numFmtId="169" fontId="19" fillId="0" borderId="17" xfId="0" applyNumberFormat="1" applyFont="1" applyFill="1" applyBorder="1"/>
    <xf numFmtId="0" fontId="20" fillId="0" borderId="18" xfId="0" applyNumberFormat="1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169" fontId="19" fillId="0" borderId="14" xfId="0" applyNumberFormat="1" applyFont="1" applyFill="1" applyBorder="1"/>
    <xf numFmtId="4" fontId="18" fillId="0" borderId="6" xfId="0" applyNumberFormat="1" applyFont="1" applyFill="1" applyBorder="1"/>
    <xf numFmtId="4" fontId="52" fillId="0" borderId="6" xfId="0" applyNumberFormat="1" applyFont="1" applyFill="1" applyBorder="1" applyProtection="1">
      <protection locked="0"/>
    </xf>
    <xf numFmtId="1" fontId="18" fillId="0" borderId="6" xfId="0" applyNumberFormat="1" applyFont="1" applyFill="1" applyBorder="1" applyProtection="1">
      <protection locked="0"/>
    </xf>
    <xf numFmtId="3" fontId="18" fillId="0" borderId="6" xfId="0" applyNumberFormat="1" applyFont="1" applyFill="1" applyBorder="1" applyProtection="1">
      <protection locked="0"/>
    </xf>
    <xf numFmtId="40" fontId="18" fillId="0" borderId="6" xfId="0" applyNumberFormat="1" applyFont="1" applyFill="1" applyBorder="1"/>
    <xf numFmtId="38" fontId="20" fillId="0" borderId="6" xfId="0" applyNumberFormat="1" applyFont="1" applyFill="1" applyBorder="1" applyAlignment="1">
      <alignment horizontal="center"/>
    </xf>
    <xf numFmtId="38" fontId="18" fillId="0" borderId="6" xfId="0" applyNumberFormat="1" applyFont="1" applyFill="1" applyBorder="1"/>
    <xf numFmtId="0" fontId="18" fillId="0" borderId="24" xfId="0" applyNumberFormat="1" applyFont="1" applyFill="1" applyBorder="1"/>
    <xf numFmtId="5" fontId="22" fillId="0" borderId="0" xfId="0" applyNumberFormat="1" applyFont="1" applyFill="1" applyBorder="1"/>
    <xf numFmtId="37" fontId="18" fillId="0" borderId="0" xfId="0" applyNumberFormat="1" applyFont="1" applyFill="1" applyBorder="1"/>
    <xf numFmtId="38" fontId="18" fillId="0" borderId="6" xfId="0" applyNumberFormat="1" applyFont="1" applyFill="1" applyBorder="1" applyProtection="1">
      <protection locked="0"/>
    </xf>
    <xf numFmtId="38" fontId="19" fillId="0" borderId="6" xfId="0" applyNumberFormat="1" applyFont="1" applyFill="1" applyBorder="1" applyAlignment="1">
      <alignment horizontal="right"/>
    </xf>
    <xf numFmtId="9" fontId="19" fillId="0" borderId="6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179" fontId="18" fillId="0" borderId="25" xfId="0" applyNumberFormat="1" applyFont="1" applyFill="1" applyBorder="1" applyProtection="1">
      <protection locked="0"/>
    </xf>
    <xf numFmtId="38" fontId="18" fillId="0" borderId="25" xfId="0" applyNumberFormat="1" applyFont="1" applyFill="1" applyBorder="1" applyAlignment="1">
      <alignment horizontal="center"/>
    </xf>
    <xf numFmtId="4" fontId="18" fillId="0" borderId="25" xfId="0" applyNumberFormat="1" applyFont="1" applyFill="1" applyBorder="1" applyProtection="1">
      <protection locked="0"/>
    </xf>
    <xf numFmtId="37" fontId="18" fillId="0" borderId="25" xfId="0" applyNumberFormat="1" applyFont="1" applyFill="1" applyBorder="1" applyProtection="1">
      <protection locked="0"/>
    </xf>
    <xf numFmtId="2" fontId="18" fillId="0" borderId="25" xfId="0" applyNumberFormat="1" applyFont="1" applyFill="1" applyBorder="1"/>
    <xf numFmtId="37" fontId="18" fillId="0" borderId="25" xfId="0" applyNumberFormat="1" applyFont="1" applyFill="1" applyBorder="1"/>
    <xf numFmtId="37" fontId="22" fillId="0" borderId="25" xfId="0" applyNumberFormat="1" applyFont="1" applyFill="1" applyBorder="1" applyAlignment="1">
      <alignment horizontal="right"/>
    </xf>
    <xf numFmtId="0" fontId="19" fillId="0" borderId="26" xfId="0" applyNumberFormat="1" applyFont="1" applyFill="1" applyBorder="1"/>
    <xf numFmtId="4" fontId="18" fillId="0" borderId="17" xfId="0" applyNumberFormat="1" applyFont="1" applyFill="1" applyBorder="1"/>
    <xf numFmtId="38" fontId="19" fillId="0" borderId="25" xfId="0" applyNumberFormat="1" applyFont="1" applyFill="1" applyBorder="1" applyAlignment="1">
      <alignment horizontal="center"/>
    </xf>
    <xf numFmtId="37" fontId="20" fillId="0" borderId="25" xfId="0" applyNumberFormat="1" applyFont="1" applyFill="1" applyBorder="1" applyAlignment="1">
      <alignment horizontal="right"/>
    </xf>
    <xf numFmtId="171" fontId="18" fillId="0" borderId="6" xfId="0" applyNumberFormat="1" applyFont="1" applyFill="1" applyBorder="1" applyProtection="1">
      <protection locked="0"/>
    </xf>
    <xf numFmtId="0" fontId="18" fillId="0" borderId="27" xfId="0" applyNumberFormat="1" applyFont="1" applyFill="1" applyBorder="1"/>
    <xf numFmtId="180" fontId="18" fillId="0" borderId="6" xfId="0" applyNumberFormat="1" applyFont="1" applyFill="1" applyBorder="1"/>
    <xf numFmtId="166" fontId="22" fillId="0" borderId="17" xfId="0" applyNumberFormat="1" applyFont="1" applyFill="1" applyBorder="1" applyAlignment="1">
      <alignment horizontal="center"/>
    </xf>
    <xf numFmtId="169" fontId="18" fillId="0" borderId="19" xfId="0" applyNumberFormat="1" applyFont="1" applyFill="1" applyBorder="1"/>
    <xf numFmtId="180" fontId="18" fillId="0" borderId="19" xfId="0" applyNumberFormat="1" applyFont="1" applyFill="1" applyBorder="1"/>
    <xf numFmtId="37" fontId="19" fillId="0" borderId="14" xfId="0" applyNumberFormat="1" applyFont="1" applyFill="1" applyBorder="1"/>
    <xf numFmtId="5" fontId="18" fillId="0" borderId="21" xfId="0" applyNumberFormat="1" applyFont="1" applyFill="1" applyBorder="1"/>
    <xf numFmtId="0" fontId="20" fillId="0" borderId="28" xfId="0" applyNumberFormat="1" applyFont="1" applyFill="1" applyBorder="1"/>
    <xf numFmtId="169" fontId="18" fillId="0" borderId="25" xfId="0" applyNumberFormat="1" applyFont="1" applyFill="1" applyBorder="1"/>
    <xf numFmtId="38" fontId="18" fillId="0" borderId="25" xfId="0" applyNumberFormat="1" applyFont="1" applyFill="1" applyBorder="1" applyProtection="1">
      <protection locked="0"/>
    </xf>
    <xf numFmtId="38" fontId="18" fillId="0" borderId="25" xfId="0" applyNumberFormat="1" applyFont="1" applyFill="1" applyBorder="1"/>
    <xf numFmtId="38" fontId="19" fillId="0" borderId="25" xfId="0" applyNumberFormat="1" applyFont="1" applyFill="1" applyBorder="1" applyAlignment="1">
      <alignment horizontal="right"/>
    </xf>
    <xf numFmtId="0" fontId="19" fillId="0" borderId="29" xfId="0" applyNumberFormat="1" applyFont="1" applyFill="1" applyBorder="1"/>
    <xf numFmtId="0" fontId="19" fillId="0" borderId="30" xfId="0" applyNumberFormat="1" applyFont="1" applyFill="1" applyBorder="1"/>
    <xf numFmtId="5" fontId="22" fillId="0" borderId="25" xfId="0" applyNumberFormat="1" applyFont="1" applyFill="1" applyBorder="1"/>
    <xf numFmtId="0" fontId="20" fillId="0" borderId="28" xfId="0" applyNumberFormat="1" applyFont="1" applyFill="1" applyBorder="1" applyAlignment="1">
      <alignment horizontal="right"/>
    </xf>
    <xf numFmtId="0" fontId="22" fillId="0" borderId="27" xfId="0" applyNumberFormat="1" applyFont="1" applyFill="1" applyBorder="1"/>
    <xf numFmtId="4" fontId="18" fillId="0" borderId="27" xfId="0" applyNumberFormat="1" applyFont="1" applyFill="1" applyBorder="1"/>
    <xf numFmtId="2" fontId="18" fillId="0" borderId="27" xfId="0" applyNumberFormat="1" applyFont="1" applyFill="1" applyBorder="1"/>
    <xf numFmtId="37" fontId="22" fillId="0" borderId="27" xfId="0" applyNumberFormat="1" applyFont="1" applyFill="1" applyBorder="1"/>
    <xf numFmtId="37" fontId="22" fillId="0" borderId="31" xfId="0" applyNumberFormat="1" applyFont="1" applyFill="1" applyBorder="1"/>
    <xf numFmtId="5" fontId="22" fillId="7" borderId="32" xfId="0" applyNumberFormat="1" applyFont="1" applyFill="1" applyBorder="1"/>
    <xf numFmtId="0" fontId="18" fillId="0" borderId="0" xfId="0" applyNumberFormat="1" applyFont="1" applyFill="1" applyAlignment="1">
      <alignment horizontal="center"/>
    </xf>
    <xf numFmtId="4" fontId="18" fillId="0" borderId="0" xfId="0" applyNumberFormat="1" applyFont="1" applyFill="1"/>
    <xf numFmtId="0" fontId="22" fillId="0" borderId="0" xfId="0" applyNumberFormat="1" applyFont="1" applyFill="1" applyAlignment="1">
      <alignment horizontal="right"/>
    </xf>
    <xf numFmtId="5" fontId="22" fillId="0" borderId="0" xfId="0" applyNumberFormat="1" applyFont="1" applyFill="1"/>
    <xf numFmtId="4" fontId="18" fillId="2" borderId="0" xfId="0" applyNumberFormat="1" applyFont="1" applyFill="1"/>
    <xf numFmtId="2" fontId="18" fillId="2" borderId="0" xfId="0" applyNumberFormat="1" applyFont="1" applyFill="1"/>
    <xf numFmtId="175" fontId="18" fillId="2" borderId="0" xfId="0" applyNumberFormat="1" applyFont="1" applyFill="1"/>
    <xf numFmtId="6" fontId="18" fillId="0" borderId="6" xfId="0" applyNumberFormat="1" applyFont="1" applyFill="1" applyBorder="1"/>
    <xf numFmtId="0" fontId="49" fillId="4" borderId="0" xfId="0" applyNumberFormat="1" applyFont="1" applyFill="1" applyBorder="1" applyAlignment="1">
      <alignment horizontal="left" vertical="center"/>
    </xf>
    <xf numFmtId="0" fontId="19" fillId="4" borderId="0" xfId="0" applyNumberFormat="1" applyFont="1" applyFill="1" applyBorder="1" applyAlignment="1">
      <alignment horizontal="right" vertical="center"/>
    </xf>
    <xf numFmtId="0" fontId="18" fillId="2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/>
    <xf numFmtId="0" fontId="15" fillId="2" borderId="0" xfId="0" applyNumberFormat="1" applyFont="1" applyFill="1" applyAlignment="1">
      <alignment horizontal="center"/>
    </xf>
    <xf numFmtId="10" fontId="19" fillId="0" borderId="6" xfId="0" applyNumberFormat="1" applyFont="1" applyFill="1" applyBorder="1" applyAlignment="1">
      <alignment horizontal="center"/>
    </xf>
    <xf numFmtId="178" fontId="18" fillId="0" borderId="6" xfId="0" applyNumberFormat="1" applyFont="1" applyFill="1" applyBorder="1" applyAlignment="1" applyProtection="1">
      <alignment horizontal="center"/>
      <protection locked="0"/>
    </xf>
    <xf numFmtId="171" fontId="18" fillId="0" borderId="6" xfId="0" applyNumberFormat="1" applyFont="1" applyFill="1" applyBorder="1"/>
    <xf numFmtId="171" fontId="19" fillId="0" borderId="6" xfId="0" applyNumberFormat="1" applyFont="1" applyFill="1" applyBorder="1" applyAlignment="1">
      <alignment horizontal="center"/>
    </xf>
    <xf numFmtId="40" fontId="18" fillId="0" borderId="6" xfId="0" applyNumberFormat="1" applyFont="1" applyFill="1" applyBorder="1" applyProtection="1">
      <protection locked="0"/>
    </xf>
    <xf numFmtId="0" fontId="18" fillId="2" borderId="0" xfId="0" applyNumberFormat="1" applyFont="1" applyFill="1" applyAlignment="1">
      <alignment wrapText="1"/>
    </xf>
    <xf numFmtId="0" fontId="49" fillId="4" borderId="0" xfId="0" applyNumberFormat="1" applyFont="1" applyFill="1" applyBorder="1" applyAlignment="1">
      <alignment horizontal="center" vertical="center"/>
    </xf>
    <xf numFmtId="0" fontId="48" fillId="4" borderId="0" xfId="0" applyNumberFormat="1" applyFont="1" applyFill="1" applyBorder="1" applyAlignment="1">
      <alignment horizontal="center" vertical="center"/>
    </xf>
    <xf numFmtId="0" fontId="20" fillId="6" borderId="0" xfId="0" applyNumberFormat="1" applyFont="1" applyFill="1" applyBorder="1" applyAlignment="1">
      <alignment horizontal="center" vertical="center"/>
    </xf>
    <xf numFmtId="0" fontId="19" fillId="0" borderId="33" xfId="0" applyNumberFormat="1" applyFont="1" applyFill="1" applyBorder="1" applyAlignment="1">
      <alignment horizontal="center"/>
    </xf>
    <xf numFmtId="164" fontId="22" fillId="4" borderId="0" xfId="0" applyNumberFormat="1" applyFont="1" applyFill="1" applyBorder="1"/>
    <xf numFmtId="0" fontId="55" fillId="2" borderId="0" xfId="0" applyNumberFormat="1" applyFont="1" applyFill="1"/>
    <xf numFmtId="0" fontId="20" fillId="0" borderId="34" xfId="0" applyNumberFormat="1" applyFont="1" applyFill="1" applyBorder="1"/>
    <xf numFmtId="38" fontId="18" fillId="0" borderId="14" xfId="0" applyNumberFormat="1" applyFont="1" applyFill="1" applyBorder="1" applyProtection="1">
      <protection locked="0"/>
    </xf>
    <xf numFmtId="38" fontId="18" fillId="0" borderId="14" xfId="0" applyNumberFormat="1" applyFont="1" applyFill="1" applyBorder="1"/>
    <xf numFmtId="38" fontId="19" fillId="0" borderId="14" xfId="0" applyNumberFormat="1" applyFont="1" applyFill="1" applyBorder="1" applyAlignment="1">
      <alignment horizontal="right"/>
    </xf>
    <xf numFmtId="37" fontId="20" fillId="0" borderId="14" xfId="0" applyNumberFormat="1" applyFont="1" applyFill="1" applyBorder="1" applyAlignment="1">
      <alignment horizontal="right"/>
    </xf>
    <xf numFmtId="5" fontId="22" fillId="0" borderId="6" xfId="0" applyNumberFormat="1" applyFont="1" applyFill="1" applyBorder="1"/>
    <xf numFmtId="171" fontId="18" fillId="0" borderId="14" xfId="0" applyNumberFormat="1" applyFont="1" applyFill="1" applyBorder="1"/>
    <xf numFmtId="0" fontId="19" fillId="0" borderId="20" xfId="0" applyNumberFormat="1" applyFont="1" applyFill="1" applyBorder="1" applyAlignment="1">
      <alignment horizontal="center"/>
    </xf>
    <xf numFmtId="0" fontId="22" fillId="0" borderId="31" xfId="0" applyNumberFormat="1" applyFont="1" applyFill="1" applyBorder="1"/>
    <xf numFmtId="0" fontId="20" fillId="0" borderId="12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horizontal="center"/>
    </xf>
    <xf numFmtId="0" fontId="18" fillId="2" borderId="14" xfId="0" applyNumberFormat="1" applyFont="1" applyFill="1" applyBorder="1"/>
    <xf numFmtId="0" fontId="20" fillId="0" borderId="35" xfId="0" applyNumberFormat="1" applyFont="1" applyFill="1" applyBorder="1"/>
    <xf numFmtId="0" fontId="20" fillId="0" borderId="36" xfId="0" applyNumberFormat="1" applyFont="1" applyFill="1" applyBorder="1"/>
    <xf numFmtId="0" fontId="20" fillId="0" borderId="37" xfId="0" applyNumberFormat="1" applyFont="1" applyFill="1" applyBorder="1"/>
    <xf numFmtId="0" fontId="20" fillId="0" borderId="38" xfId="0" applyNumberFormat="1" applyFont="1" applyFill="1" applyBorder="1"/>
    <xf numFmtId="0" fontId="20" fillId="0" borderId="39" xfId="0" applyNumberFormat="1" applyFont="1" applyFill="1" applyBorder="1"/>
    <xf numFmtId="0" fontId="20" fillId="0" borderId="40" xfId="0" applyNumberFormat="1" applyFont="1" applyFill="1" applyBorder="1"/>
    <xf numFmtId="0" fontId="20" fillId="0" borderId="41" xfId="0" applyNumberFormat="1" applyFont="1" applyFill="1" applyBorder="1"/>
    <xf numFmtId="0" fontId="20" fillId="0" borderId="42" xfId="0" applyNumberFormat="1" applyFont="1" applyFill="1" applyBorder="1"/>
    <xf numFmtId="0" fontId="20" fillId="0" borderId="43" xfId="0" applyNumberFormat="1" applyFont="1" applyFill="1" applyBorder="1"/>
    <xf numFmtId="0" fontId="19" fillId="0" borderId="44" xfId="0" applyNumberFormat="1" applyFont="1" applyFill="1" applyBorder="1"/>
    <xf numFmtId="0" fontId="19" fillId="0" borderId="45" xfId="0" applyNumberFormat="1" applyFont="1" applyFill="1" applyBorder="1"/>
    <xf numFmtId="0" fontId="19" fillId="0" borderId="46" xfId="0" applyNumberFormat="1" applyFont="1" applyFill="1" applyBorder="1"/>
    <xf numFmtId="0" fontId="19" fillId="0" borderId="47" xfId="0" applyNumberFormat="1" applyFont="1" applyFill="1" applyBorder="1" applyAlignment="1">
      <alignment horizontal="center"/>
    </xf>
    <xf numFmtId="0" fontId="19" fillId="0" borderId="36" xfId="0" applyNumberFormat="1" applyFont="1" applyFill="1" applyBorder="1" applyAlignment="1">
      <alignment horizontal="center"/>
    </xf>
    <xf numFmtId="0" fontId="19" fillId="0" borderId="37" xfId="0" applyNumberFormat="1" applyFont="1" applyFill="1" applyBorder="1" applyAlignment="1">
      <alignment horizontal="center"/>
    </xf>
    <xf numFmtId="0" fontId="18" fillId="0" borderId="48" xfId="0" applyNumberFormat="1" applyFont="1" applyFill="1" applyBorder="1"/>
    <xf numFmtId="0" fontId="18" fillId="0" borderId="49" xfId="0" applyNumberFormat="1" applyFont="1" applyFill="1" applyBorder="1"/>
    <xf numFmtId="0" fontId="18" fillId="0" borderId="50" xfId="0" applyNumberFormat="1" applyFont="1" applyFill="1" applyBorder="1"/>
    <xf numFmtId="0" fontId="22" fillId="0" borderId="51" xfId="0" applyNumberFormat="1" applyFont="1" applyFill="1" applyBorder="1"/>
    <xf numFmtId="0" fontId="22" fillId="0" borderId="52" xfId="0" applyNumberFormat="1" applyFont="1" applyFill="1" applyBorder="1"/>
    <xf numFmtId="0" fontId="19" fillId="0" borderId="13" xfId="0" applyNumberFormat="1" applyFont="1" applyFill="1" applyBorder="1" applyAlignment="1">
      <alignment horizontal="center"/>
    </xf>
    <xf numFmtId="0" fontId="19" fillId="0" borderId="53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9" fillId="0" borderId="54" xfId="0" applyNumberFormat="1" applyFont="1" applyFill="1" applyBorder="1" applyAlignment="1">
      <alignment horizontal="center"/>
    </xf>
    <xf numFmtId="0" fontId="18" fillId="0" borderId="54" xfId="0" applyNumberFormat="1" applyFont="1" applyFill="1" applyBorder="1" applyAlignment="1">
      <alignment horizontal="center"/>
    </xf>
    <xf numFmtId="0" fontId="18" fillId="0" borderId="33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18" fillId="0" borderId="19" xfId="0" applyNumberFormat="1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 horizontal="center"/>
    </xf>
    <xf numFmtId="0" fontId="47" fillId="2" borderId="0" xfId="0" applyNumberFormat="1" applyFont="1" applyFill="1" applyAlignment="1">
      <alignment horizontal="center"/>
    </xf>
    <xf numFmtId="0" fontId="20" fillId="6" borderId="4" xfId="0" applyNumberFormat="1" applyFont="1" applyFill="1" applyBorder="1" applyAlignment="1">
      <alignment horizontal="centerContinuous" vertical="center"/>
    </xf>
    <xf numFmtId="0" fontId="20" fillId="6" borderId="55" xfId="0" applyNumberFormat="1" applyFont="1" applyFill="1" applyBorder="1" applyAlignment="1">
      <alignment horizontal="centerContinuous" vertical="center"/>
    </xf>
    <xf numFmtId="0" fontId="18" fillId="2" borderId="56" xfId="0" applyNumberFormat="1" applyFont="1" applyFill="1" applyBorder="1"/>
    <xf numFmtId="0" fontId="22" fillId="2" borderId="57" xfId="0" applyNumberFormat="1" applyFont="1" applyFill="1" applyBorder="1"/>
    <xf numFmtId="42" fontId="18" fillId="2" borderId="58" xfId="0" applyNumberFormat="1" applyFont="1" applyFill="1" applyBorder="1"/>
    <xf numFmtId="42" fontId="18" fillId="2" borderId="59" xfId="0" applyNumberFormat="1" applyFont="1" applyFill="1" applyBorder="1"/>
    <xf numFmtId="42" fontId="18" fillId="2" borderId="60" xfId="0" applyNumberFormat="1" applyFont="1" applyFill="1" applyBorder="1"/>
    <xf numFmtId="42" fontId="18" fillId="2" borderId="61" xfId="0" applyNumberFormat="1" applyFont="1" applyFill="1" applyBorder="1"/>
    <xf numFmtId="42" fontId="18" fillId="2" borderId="0" xfId="0" applyNumberFormat="1" applyFont="1" applyFill="1"/>
    <xf numFmtId="0" fontId="18" fillId="2" borderId="0" xfId="0" applyNumberFormat="1" applyFont="1" applyFill="1" applyAlignment="1">
      <alignment horizontal="center" wrapText="1"/>
    </xf>
    <xf numFmtId="0" fontId="47" fillId="2" borderId="62" xfId="0" applyNumberFormat="1" applyFont="1" applyFill="1" applyBorder="1" applyAlignment="1">
      <alignment horizontal="center"/>
    </xf>
    <xf numFmtId="42" fontId="21" fillId="2" borderId="60" xfId="0" applyNumberFormat="1" applyFont="1" applyFill="1" applyBorder="1" applyAlignment="1">
      <alignment horizontal="center" wrapText="1"/>
    </xf>
    <xf numFmtId="42" fontId="21" fillId="2" borderId="61" xfId="0" applyNumberFormat="1" applyFont="1" applyFill="1" applyBorder="1" applyAlignment="1">
      <alignment horizontal="center" vertical="center"/>
    </xf>
    <xf numFmtId="37" fontId="19" fillId="0" borderId="19" xfId="0" applyNumberFormat="1" applyFont="1" applyFill="1" applyBorder="1" applyAlignment="1">
      <alignment horizontal="center"/>
    </xf>
    <xf numFmtId="7" fontId="18" fillId="0" borderId="0" xfId="0" applyNumberFormat="1" applyFont="1" applyFill="1" applyBorder="1"/>
    <xf numFmtId="39" fontId="19" fillId="0" borderId="0" xfId="0" applyNumberFormat="1" applyFont="1" applyFill="1" applyBorder="1" applyProtection="1">
      <protection locked="0"/>
    </xf>
    <xf numFmtId="2" fontId="19" fillId="0" borderId="0" xfId="0" applyNumberFormat="1" applyFont="1" applyFill="1" applyBorder="1" applyProtection="1">
      <protection locked="0"/>
    </xf>
    <xf numFmtId="40" fontId="19" fillId="0" borderId="0" xfId="0" applyNumberFormat="1" applyFont="1" applyFill="1" applyBorder="1" applyAlignment="1">
      <alignment horizontal="right"/>
    </xf>
    <xf numFmtId="37" fontId="19" fillId="0" borderId="0" xfId="0" applyNumberFormat="1" applyFont="1" applyFill="1" applyBorder="1"/>
    <xf numFmtId="37" fontId="18" fillId="0" borderId="0" xfId="0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/>
    <xf numFmtId="5" fontId="52" fillId="0" borderId="0" xfId="0" applyNumberFormat="1" applyFont="1" applyFill="1" applyBorder="1" applyProtection="1">
      <protection locked="0"/>
    </xf>
    <xf numFmtId="166" fontId="18" fillId="0" borderId="0" xfId="0" applyNumberFormat="1" applyFont="1" applyFill="1" applyAlignment="1">
      <alignment horizontal="center"/>
    </xf>
    <xf numFmtId="0" fontId="19" fillId="4" borderId="6" xfId="0" applyNumberFormat="1" applyFont="1" applyFill="1" applyBorder="1" applyAlignment="1">
      <alignment wrapText="1"/>
    </xf>
    <xf numFmtId="0" fontId="19" fillId="4" borderId="6" xfId="0" applyNumberFormat="1" applyFont="1" applyFill="1" applyBorder="1"/>
    <xf numFmtId="38" fontId="18" fillId="0" borderId="17" xfId="0" applyNumberFormat="1" applyFont="1" applyFill="1" applyBorder="1"/>
    <xf numFmtId="38" fontId="18" fillId="0" borderId="19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 horizontal="right"/>
    </xf>
    <xf numFmtId="4" fontId="19" fillId="0" borderId="14" xfId="0" applyNumberFormat="1" applyFont="1" applyFill="1" applyBorder="1"/>
    <xf numFmtId="2" fontId="19" fillId="0" borderId="14" xfId="0" applyNumberFormat="1" applyFont="1" applyFill="1" applyBorder="1"/>
    <xf numFmtId="0" fontId="18" fillId="0" borderId="0" xfId="0" applyFont="1" applyFill="1"/>
    <xf numFmtId="0" fontId="18" fillId="2" borderId="14" xfId="0" applyFont="1" applyBorder="1"/>
    <xf numFmtId="37" fontId="19" fillId="0" borderId="14" xfId="0" applyNumberFormat="1" applyFont="1" applyFill="1" applyBorder="1" applyAlignment="1">
      <alignment horizontal="center"/>
    </xf>
    <xf numFmtId="37" fontId="19" fillId="0" borderId="22" xfId="0" applyNumberFormat="1" applyFont="1" applyFill="1" applyBorder="1" applyAlignment="1">
      <alignment horizontal="center"/>
    </xf>
    <xf numFmtId="0" fontId="20" fillId="0" borderId="20" xfId="0" applyNumberFormat="1" applyFont="1" applyFill="1" applyBorder="1"/>
    <xf numFmtId="0" fontId="19" fillId="4" borderId="20" xfId="0" applyNumberFormat="1" applyFont="1" applyFill="1" applyBorder="1"/>
    <xf numFmtId="171" fontId="18" fillId="0" borderId="20" xfId="0" applyNumberFormat="1" applyFont="1" applyFill="1" applyBorder="1" applyProtection="1">
      <protection locked="0"/>
    </xf>
    <xf numFmtId="38" fontId="19" fillId="0" borderId="20" xfId="0" applyNumberFormat="1" applyFont="1" applyFill="1" applyBorder="1" applyAlignment="1">
      <alignment horizontal="center"/>
    </xf>
    <xf numFmtId="171" fontId="18" fillId="0" borderId="20" xfId="0" applyNumberFormat="1" applyFont="1" applyFill="1" applyBorder="1"/>
    <xf numFmtId="37" fontId="18" fillId="0" borderId="20" xfId="0" applyNumberFormat="1" applyFont="1" applyFill="1" applyBorder="1"/>
    <xf numFmtId="37" fontId="19" fillId="0" borderId="20" xfId="0" applyNumberFormat="1" applyFont="1" applyFill="1" applyBorder="1" applyAlignment="1">
      <alignment horizontal="right"/>
    </xf>
    <xf numFmtId="38" fontId="18" fillId="0" borderId="20" xfId="0" applyNumberFormat="1" applyFont="1" applyFill="1" applyBorder="1"/>
    <xf numFmtId="5" fontId="18" fillId="0" borderId="20" xfId="0" applyNumberFormat="1" applyFont="1" applyFill="1" applyBorder="1"/>
    <xf numFmtId="6" fontId="18" fillId="0" borderId="0" xfId="0" applyNumberFormat="1" applyFont="1" applyFill="1" applyBorder="1"/>
    <xf numFmtId="0" fontId="0" fillId="0" borderId="0" xfId="0" applyNumberFormat="1" applyFill="1" applyBorder="1" applyAlignment="1">
      <alignment horizontal="center"/>
    </xf>
    <xf numFmtId="4" fontId="18" fillId="0" borderId="0" xfId="0" applyNumberFormat="1" applyFont="1" applyFill="1" applyBorder="1" applyProtection="1">
      <protection locked="0"/>
    </xf>
    <xf numFmtId="5" fontId="0" fillId="2" borderId="0" xfId="0" applyNumberFormat="1" applyFill="1" applyBorder="1"/>
    <xf numFmtId="0" fontId="20" fillId="0" borderId="63" xfId="0" applyNumberFormat="1" applyFont="1" applyFill="1" applyBorder="1" applyAlignment="1">
      <alignment horizontal="center"/>
    </xf>
    <xf numFmtId="0" fontId="20" fillId="0" borderId="24" xfId="0" applyNumberFormat="1" applyFont="1" applyFill="1" applyBorder="1" applyAlignment="1">
      <alignment horizontal="center"/>
    </xf>
    <xf numFmtId="0" fontId="20" fillId="0" borderId="24" xfId="0" applyNumberFormat="1" applyFont="1" applyFill="1" applyBorder="1"/>
    <xf numFmtId="0" fontId="22" fillId="0" borderId="24" xfId="0" applyNumberFormat="1" applyFont="1" applyFill="1" applyBorder="1" applyAlignment="1">
      <alignment horizontal="center"/>
    </xf>
    <xf numFmtId="0" fontId="20" fillId="4" borderId="24" xfId="0" applyNumberFormat="1" applyFont="1" applyFill="1" applyBorder="1" applyAlignment="1">
      <alignment horizontal="center"/>
    </xf>
    <xf numFmtId="171" fontId="22" fillId="0" borderId="24" xfId="0" applyNumberFormat="1" applyFont="1" applyFill="1" applyBorder="1" applyProtection="1">
      <protection locked="0"/>
    </xf>
    <xf numFmtId="38" fontId="20" fillId="0" borderId="24" xfId="0" applyNumberFormat="1" applyFont="1" applyFill="1" applyBorder="1" applyAlignment="1">
      <alignment horizontal="center"/>
    </xf>
    <xf numFmtId="171" fontId="22" fillId="0" borderId="24" xfId="0" applyNumberFormat="1" applyFont="1" applyFill="1" applyBorder="1"/>
    <xf numFmtId="37" fontId="22" fillId="0" borderId="24" xfId="0" applyNumberFormat="1" applyFont="1" applyFill="1" applyBorder="1"/>
    <xf numFmtId="38" fontId="22" fillId="0" borderId="24" xfId="0" applyNumberFormat="1" applyFont="1" applyFill="1" applyBorder="1"/>
    <xf numFmtId="5" fontId="22" fillId="0" borderId="24" xfId="0" applyNumberFormat="1" applyFont="1" applyFill="1" applyBorder="1"/>
    <xf numFmtId="0" fontId="18" fillId="0" borderId="20" xfId="0" applyNumberFormat="1" applyFont="1" applyFill="1" applyBorder="1"/>
    <xf numFmtId="166" fontId="18" fillId="0" borderId="20" xfId="0" applyNumberFormat="1" applyFont="1" applyFill="1" applyBorder="1" applyAlignment="1">
      <alignment horizontal="center"/>
    </xf>
    <xf numFmtId="166" fontId="18" fillId="0" borderId="20" xfId="0" applyNumberFormat="1" applyFont="1" applyFill="1" applyBorder="1"/>
    <xf numFmtId="169" fontId="18" fillId="0" borderId="20" xfId="0" applyNumberFormat="1" applyFont="1" applyFill="1" applyBorder="1"/>
    <xf numFmtId="4" fontId="19" fillId="0" borderId="20" xfId="0" applyNumberFormat="1" applyFont="1" applyFill="1" applyBorder="1" applyProtection="1">
      <protection locked="0"/>
    </xf>
    <xf numFmtId="0" fontId="19" fillId="0" borderId="20" xfId="0" applyNumberFormat="1" applyFont="1" applyFill="1" applyBorder="1" applyProtection="1">
      <protection locked="0"/>
    </xf>
    <xf numFmtId="2" fontId="18" fillId="0" borderId="20" xfId="0" applyNumberFormat="1" applyFont="1" applyFill="1" applyBorder="1"/>
    <xf numFmtId="39" fontId="18" fillId="0" borderId="20" xfId="0" applyNumberFormat="1" applyFont="1" applyFill="1" applyBorder="1"/>
    <xf numFmtId="0" fontId="18" fillId="0" borderId="63" xfId="0" applyNumberFormat="1" applyFont="1" applyFill="1" applyBorder="1" applyAlignment="1">
      <alignment horizontal="center"/>
    </xf>
    <xf numFmtId="0" fontId="18" fillId="0" borderId="24" xfId="0" applyNumberFormat="1" applyFont="1" applyFill="1" applyBorder="1" applyAlignment="1">
      <alignment horizontal="center"/>
    </xf>
    <xf numFmtId="0" fontId="19" fillId="0" borderId="24" xfId="0" applyNumberFormat="1" applyFont="1" applyFill="1" applyBorder="1" applyAlignment="1">
      <alignment horizontal="center"/>
    </xf>
    <xf numFmtId="166" fontId="18" fillId="0" borderId="24" xfId="0" applyNumberFormat="1" applyFont="1" applyFill="1" applyBorder="1" applyAlignment="1">
      <alignment horizontal="center"/>
    </xf>
    <xf numFmtId="166" fontId="22" fillId="0" borderId="24" xfId="0" applyNumberFormat="1" applyFont="1" applyFill="1" applyBorder="1" applyAlignment="1">
      <alignment horizontal="center"/>
    </xf>
    <xf numFmtId="169" fontId="18" fillId="0" borderId="24" xfId="0" applyNumberFormat="1" applyFont="1" applyFill="1" applyBorder="1"/>
    <xf numFmtId="38" fontId="19" fillId="0" borderId="24" xfId="0" applyNumberFormat="1" applyFont="1" applyFill="1" applyBorder="1" applyAlignment="1">
      <alignment horizontal="center"/>
    </xf>
    <xf numFmtId="4" fontId="19" fillId="0" borderId="24" xfId="0" applyNumberFormat="1" applyFont="1" applyFill="1" applyBorder="1" applyProtection="1">
      <protection locked="0"/>
    </xf>
    <xf numFmtId="0" fontId="19" fillId="0" borderId="24" xfId="0" applyNumberFormat="1" applyFont="1" applyFill="1" applyBorder="1" applyProtection="1">
      <protection locked="0"/>
    </xf>
    <xf numFmtId="2" fontId="18" fillId="0" borderId="24" xfId="0" applyNumberFormat="1" applyFont="1" applyFill="1" applyBorder="1"/>
    <xf numFmtId="37" fontId="18" fillId="0" borderId="24" xfId="0" applyNumberFormat="1" applyFont="1" applyFill="1" applyBorder="1"/>
    <xf numFmtId="39" fontId="18" fillId="0" borderId="24" xfId="0" applyNumberFormat="1" applyFont="1" applyFill="1" applyBorder="1"/>
    <xf numFmtId="5" fontId="18" fillId="0" borderId="24" xfId="0" applyNumberFormat="1" applyFont="1" applyFill="1" applyBorder="1"/>
    <xf numFmtId="5" fontId="22" fillId="0" borderId="64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38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Protection="1">
      <protection locked="0"/>
    </xf>
    <xf numFmtId="0" fontId="19" fillId="0" borderId="0" xfId="0" applyNumberFormat="1" applyFont="1" applyFill="1" applyBorder="1" applyProtection="1">
      <protection locked="0"/>
    </xf>
    <xf numFmtId="2" fontId="18" fillId="0" borderId="0" xfId="0" applyNumberFormat="1" applyFont="1" applyFill="1" applyBorder="1"/>
    <xf numFmtId="39" fontId="18" fillId="0" borderId="0" xfId="0" applyNumberFormat="1" applyFont="1" applyFill="1" applyBorder="1"/>
    <xf numFmtId="37" fontId="19" fillId="0" borderId="0" xfId="0" applyNumberFormat="1" applyFont="1" applyFill="1" applyBorder="1" applyAlignment="1">
      <alignment horizontal="right"/>
    </xf>
    <xf numFmtId="5" fontId="22" fillId="0" borderId="0" xfId="0" applyNumberFormat="1" applyFont="1" applyFill="1" applyBorder="1" applyAlignment="1">
      <alignment horizontal="center"/>
    </xf>
    <xf numFmtId="0" fontId="18" fillId="0" borderId="8" xfId="0" applyNumberFormat="1" applyFont="1" applyFill="1" applyBorder="1" applyAlignment="1">
      <alignment horizontal="center"/>
    </xf>
    <xf numFmtId="0" fontId="19" fillId="0" borderId="8" xfId="0" applyNumberFormat="1" applyFont="1" applyFill="1" applyBorder="1" applyAlignment="1">
      <alignment horizontal="center"/>
    </xf>
    <xf numFmtId="0" fontId="18" fillId="0" borderId="8" xfId="0" applyNumberFormat="1" applyFont="1" applyFill="1" applyBorder="1"/>
    <xf numFmtId="166" fontId="18" fillId="0" borderId="8" xfId="0" applyNumberFormat="1" applyFont="1" applyFill="1" applyBorder="1" applyAlignment="1">
      <alignment horizontal="center"/>
    </xf>
    <xf numFmtId="37" fontId="18" fillId="0" borderId="8" xfId="0" applyNumberFormat="1" applyFont="1" applyFill="1" applyBorder="1"/>
    <xf numFmtId="5" fontId="22" fillId="0" borderId="59" xfId="0" applyNumberFormat="1" applyFont="1" applyFill="1" applyBorder="1" applyAlignment="1">
      <alignment horizontal="center"/>
    </xf>
    <xf numFmtId="37" fontId="18" fillId="0" borderId="62" xfId="0" applyNumberFormat="1" applyFont="1" applyFill="1" applyBorder="1"/>
    <xf numFmtId="5" fontId="22" fillId="0" borderId="65" xfId="0" applyNumberFormat="1" applyFont="1" applyFill="1" applyBorder="1" applyAlignment="1">
      <alignment horizontal="center"/>
    </xf>
    <xf numFmtId="166" fontId="22" fillId="0" borderId="62" xfId="0" applyNumberFormat="1" applyFont="1" applyFill="1" applyBorder="1" applyAlignment="1">
      <alignment horizontal="left"/>
    </xf>
    <xf numFmtId="166" fontId="22" fillId="0" borderId="24" xfId="0" applyNumberFormat="1" applyFont="1" applyFill="1" applyBorder="1" applyAlignment="1">
      <alignment horizontal="left"/>
    </xf>
    <xf numFmtId="166" fontId="22" fillId="0" borderId="0" xfId="0" applyNumberFormat="1" applyFont="1" applyFill="1" applyBorder="1" applyAlignment="1">
      <alignment horizontal="left"/>
    </xf>
    <xf numFmtId="37" fontId="20" fillId="0" borderId="0" xfId="0" applyNumberFormat="1" applyFont="1" applyFill="1" applyBorder="1" applyAlignment="1">
      <alignment horizontal="center"/>
    </xf>
    <xf numFmtId="166" fontId="22" fillId="0" borderId="63" xfId="0" applyNumberFormat="1" applyFont="1" applyFill="1" applyBorder="1" applyAlignment="1">
      <alignment horizontal="left"/>
    </xf>
    <xf numFmtId="166" fontId="22" fillId="0" borderId="56" xfId="0" applyNumberFormat="1" applyFont="1" applyFill="1" applyBorder="1" applyAlignment="1">
      <alignment horizontal="left"/>
    </xf>
    <xf numFmtId="166" fontId="22" fillId="0" borderId="66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37" fontId="20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 horizontal="center"/>
    </xf>
    <xf numFmtId="166" fontId="22" fillId="0" borderId="8" xfId="0" applyNumberFormat="1" applyFont="1" applyFill="1" applyBorder="1" applyAlignment="1">
      <alignment horizontal="right"/>
    </xf>
    <xf numFmtId="166" fontId="25" fillId="0" borderId="8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166" fontId="25" fillId="0" borderId="62" xfId="0" applyNumberFormat="1" applyFont="1" applyFill="1" applyBorder="1" applyAlignment="1">
      <alignment horizontal="right"/>
    </xf>
    <xf numFmtId="166" fontId="22" fillId="0" borderId="64" xfId="0" applyNumberFormat="1" applyFont="1" applyFill="1" applyBorder="1" applyAlignment="1">
      <alignment horizontal="left"/>
    </xf>
    <xf numFmtId="166" fontId="25" fillId="0" borderId="57" xfId="0" applyNumberFormat="1" applyFont="1" applyFill="1" applyBorder="1" applyAlignment="1">
      <alignment horizontal="right"/>
    </xf>
    <xf numFmtId="5" fontId="28" fillId="0" borderId="61" xfId="0" applyNumberFormat="1" applyFont="1" applyFill="1" applyBorder="1" applyAlignment="1">
      <alignment horizontal="center"/>
    </xf>
    <xf numFmtId="9" fontId="22" fillId="0" borderId="8" xfId="0" applyNumberFormat="1" applyFont="1" applyFill="1" applyBorder="1" applyAlignment="1">
      <alignment horizontal="center"/>
    </xf>
    <xf numFmtId="9" fontId="22" fillId="0" borderId="0" xfId="0" applyNumberFormat="1" applyFont="1" applyFill="1" applyBorder="1" applyAlignment="1">
      <alignment horizontal="center"/>
    </xf>
    <xf numFmtId="166" fontId="22" fillId="0" borderId="20" xfId="0" applyNumberFormat="1" applyFont="1" applyFill="1" applyBorder="1" applyAlignment="1">
      <alignment horizontal="center"/>
    </xf>
    <xf numFmtId="37" fontId="19" fillId="0" borderId="63" xfId="0" applyNumberFormat="1" applyFont="1" applyFill="1" applyBorder="1" applyAlignment="1">
      <alignment horizontal="right"/>
    </xf>
    <xf numFmtId="5" fontId="22" fillId="0" borderId="64" xfId="0" applyNumberFormat="1" applyFont="1" applyFill="1" applyBorder="1" applyAlignment="1">
      <alignment horizontal="left"/>
    </xf>
    <xf numFmtId="5" fontId="22" fillId="0" borderId="0" xfId="0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/>
    <xf numFmtId="5" fontId="22" fillId="2" borderId="0" xfId="0" applyNumberFormat="1" applyFont="1" applyFill="1"/>
    <xf numFmtId="166" fontId="22" fillId="0" borderId="0" xfId="0" applyNumberFormat="1" applyFont="1" applyFill="1" applyBorder="1" applyAlignment="1">
      <alignment horizontal="right"/>
    </xf>
    <xf numFmtId="5" fontId="22" fillId="0" borderId="24" xfId="0" applyNumberFormat="1" applyFont="1" applyFill="1" applyBorder="1" applyAlignment="1">
      <alignment horizontal="center"/>
    </xf>
    <xf numFmtId="37" fontId="20" fillId="0" borderId="24" xfId="0" applyNumberFormat="1" applyFont="1" applyFill="1" applyBorder="1" applyAlignment="1">
      <alignment horizontal="center"/>
    </xf>
    <xf numFmtId="37" fontId="22" fillId="0" borderId="25" xfId="0" applyNumberFormat="1" applyFont="1" applyFill="1" applyBorder="1" applyAlignment="1">
      <alignment horizontal="center"/>
    </xf>
    <xf numFmtId="37" fontId="22" fillId="0" borderId="27" xfId="0" applyNumberFormat="1" applyFont="1" applyFill="1" applyBorder="1" applyAlignment="1">
      <alignment horizontal="center"/>
    </xf>
    <xf numFmtId="37" fontId="20" fillId="8" borderId="24" xfId="0" applyNumberFormat="1" applyFont="1" applyFill="1" applyBorder="1" applyAlignment="1">
      <alignment horizontal="center"/>
    </xf>
    <xf numFmtId="37" fontId="20" fillId="8" borderId="6" xfId="0" applyNumberFormat="1" applyFont="1" applyFill="1" applyBorder="1" applyAlignment="1">
      <alignment horizontal="center"/>
    </xf>
    <xf numFmtId="0" fontId="22" fillId="4" borderId="0" xfId="0" applyNumberFormat="1" applyFont="1" applyFill="1" applyBorder="1" applyAlignment="1">
      <alignment horizontal="center"/>
    </xf>
    <xf numFmtId="0" fontId="20" fillId="4" borderId="0" xfId="0" applyNumberFormat="1" applyFont="1" applyFill="1" applyBorder="1" applyAlignment="1">
      <alignment horizontal="center"/>
    </xf>
    <xf numFmtId="0" fontId="20" fillId="4" borderId="0" xfId="0" applyNumberFormat="1" applyFont="1" applyFill="1" applyBorder="1" applyAlignment="1">
      <alignment horizontal="center" vertical="center"/>
    </xf>
    <xf numFmtId="37" fontId="20" fillId="8" borderId="12" xfId="0" applyNumberFormat="1" applyFont="1" applyFill="1" applyBorder="1" applyAlignment="1">
      <alignment horizontal="center"/>
    </xf>
    <xf numFmtId="37" fontId="20" fillId="8" borderId="14" xfId="0" applyNumberFormat="1" applyFont="1" applyFill="1" applyBorder="1" applyAlignment="1">
      <alignment horizontal="center"/>
    </xf>
    <xf numFmtId="37" fontId="20" fillId="8" borderId="8" xfId="0" applyNumberFormat="1" applyFont="1" applyFill="1" applyBorder="1" applyAlignment="1">
      <alignment horizontal="center"/>
    </xf>
    <xf numFmtId="37" fontId="20" fillId="8" borderId="0" xfId="0" applyNumberFormat="1" applyFont="1" applyFill="1" applyBorder="1" applyAlignment="1">
      <alignment horizontal="center"/>
    </xf>
    <xf numFmtId="38" fontId="20" fillId="8" borderId="6" xfId="0" applyNumberFormat="1" applyFont="1" applyFill="1" applyBorder="1" applyAlignment="1">
      <alignment horizontal="center"/>
    </xf>
    <xf numFmtId="38" fontId="22" fillId="8" borderId="6" xfId="0" applyNumberFormat="1" applyFont="1" applyFill="1" applyBorder="1" applyAlignment="1" applyProtection="1">
      <alignment horizontal="center"/>
      <protection locked="0"/>
    </xf>
    <xf numFmtId="37" fontId="20" fillId="0" borderId="20" xfId="0" applyNumberFormat="1" applyFont="1" applyFill="1" applyBorder="1" applyAlignment="1">
      <alignment horizontal="center"/>
    </xf>
    <xf numFmtId="37" fontId="20" fillId="0" borderId="6" xfId="0" applyNumberFormat="1" applyFont="1" applyFill="1" applyBorder="1" applyAlignment="1">
      <alignment horizontal="center"/>
    </xf>
    <xf numFmtId="37" fontId="20" fillId="0" borderId="14" xfId="0" applyNumberFormat="1" applyFont="1" applyFill="1" applyBorder="1" applyAlignment="1">
      <alignment horizontal="center"/>
    </xf>
    <xf numFmtId="38" fontId="20" fillId="0" borderId="25" xfId="0" applyNumberFormat="1" applyFont="1" applyFill="1" applyBorder="1" applyAlignment="1">
      <alignment horizontal="center"/>
    </xf>
    <xf numFmtId="38" fontId="20" fillId="0" borderId="14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22" fillId="2" borderId="0" xfId="0" applyNumberFormat="1" applyFont="1" applyFill="1" applyAlignment="1">
      <alignment horizontal="center"/>
    </xf>
    <xf numFmtId="37" fontId="20" fillId="0" borderId="12" xfId="0" applyNumberFormat="1" applyFont="1" applyFill="1" applyBorder="1" applyAlignment="1">
      <alignment horizontal="center"/>
    </xf>
    <xf numFmtId="37" fontId="20" fillId="8" borderId="62" xfId="0" applyNumberFormat="1" applyFont="1" applyFill="1" applyBorder="1" applyAlignment="1">
      <alignment horizontal="center"/>
    </xf>
    <xf numFmtId="37" fontId="20" fillId="0" borderId="8" xfId="0" applyNumberFormat="1" applyFont="1" applyFill="1" applyBorder="1" applyAlignment="1">
      <alignment horizontal="center"/>
    </xf>
    <xf numFmtId="37" fontId="20" fillId="0" borderId="62" xfId="0" applyNumberFormat="1" applyFont="1" applyFill="1" applyBorder="1" applyAlignment="1">
      <alignment horizontal="center"/>
    </xf>
    <xf numFmtId="0" fontId="22" fillId="4" borderId="0" xfId="0" applyNumberFormat="1" applyFont="1" applyFill="1" applyBorder="1" applyAlignment="1" applyProtection="1">
      <alignment horizontal="center"/>
    </xf>
    <xf numFmtId="0" fontId="20" fillId="4" borderId="0" xfId="0" applyNumberFormat="1" applyFont="1" applyFill="1" applyBorder="1" applyAlignment="1" applyProtection="1">
      <alignment horizontal="center"/>
    </xf>
    <xf numFmtId="0" fontId="20" fillId="4" borderId="0" xfId="0" applyNumberFormat="1" applyFont="1" applyFill="1" applyBorder="1" applyAlignment="1" applyProtection="1">
      <alignment horizontal="center" vertical="center"/>
    </xf>
    <xf numFmtId="37" fontId="20" fillId="8" borderId="12" xfId="0" applyNumberFormat="1" applyFont="1" applyFill="1" applyBorder="1" applyAlignment="1" applyProtection="1">
      <alignment horizontal="center"/>
    </xf>
    <xf numFmtId="37" fontId="20" fillId="8" borderId="14" xfId="0" applyNumberFormat="1" applyFont="1" applyFill="1" applyBorder="1" applyAlignment="1" applyProtection="1">
      <alignment horizontal="center"/>
    </xf>
    <xf numFmtId="37" fontId="20" fillId="8" borderId="6" xfId="0" applyNumberFormat="1" applyFont="1" applyFill="1" applyBorder="1" applyAlignment="1" applyProtection="1">
      <alignment horizontal="center"/>
    </xf>
    <xf numFmtId="37" fontId="20" fillId="8" borderId="24" xfId="0" applyNumberFormat="1" applyFont="1" applyFill="1" applyBorder="1" applyAlignment="1" applyProtection="1">
      <alignment horizontal="center"/>
    </xf>
    <xf numFmtId="37" fontId="20" fillId="8" borderId="20" xfId="0" applyNumberFormat="1" applyFont="1" applyFill="1" applyBorder="1" applyAlignment="1" applyProtection="1">
      <alignment horizontal="center"/>
    </xf>
    <xf numFmtId="37" fontId="20" fillId="8" borderId="0" xfId="0" applyNumberFormat="1" applyFont="1" applyFill="1" applyBorder="1" applyAlignment="1" applyProtection="1">
      <alignment horizontal="center"/>
    </xf>
    <xf numFmtId="38" fontId="20" fillId="8" borderId="6" xfId="0" applyNumberFormat="1" applyFont="1" applyFill="1" applyBorder="1" applyAlignment="1" applyProtection="1">
      <alignment horizontal="center"/>
    </xf>
    <xf numFmtId="38" fontId="22" fillId="8" borderId="6" xfId="0" applyNumberFormat="1" applyFont="1" applyFill="1" applyBorder="1" applyAlignment="1" applyProtection="1">
      <alignment horizontal="center"/>
    </xf>
    <xf numFmtId="37" fontId="20" fillId="0" borderId="0" xfId="0" applyNumberFormat="1" applyFont="1" applyFill="1" applyBorder="1" applyAlignment="1" applyProtection="1">
      <alignment horizontal="center"/>
    </xf>
    <xf numFmtId="37" fontId="20" fillId="0" borderId="20" xfId="0" applyNumberFormat="1" applyFont="1" applyFill="1" applyBorder="1" applyAlignment="1" applyProtection="1">
      <alignment horizontal="center"/>
    </xf>
    <xf numFmtId="37" fontId="20" fillId="0" borderId="6" xfId="0" applyNumberFormat="1" applyFont="1" applyFill="1" applyBorder="1" applyAlignment="1" applyProtection="1">
      <alignment horizontal="center"/>
    </xf>
    <xf numFmtId="38" fontId="20" fillId="0" borderId="6" xfId="0" applyNumberFormat="1" applyFont="1" applyFill="1" applyBorder="1" applyAlignment="1" applyProtection="1">
      <alignment horizontal="center"/>
    </xf>
    <xf numFmtId="37" fontId="20" fillId="0" borderId="14" xfId="0" applyNumberFormat="1" applyFont="1" applyFill="1" applyBorder="1" applyAlignment="1" applyProtection="1">
      <alignment horizontal="center"/>
    </xf>
    <xf numFmtId="38" fontId="20" fillId="0" borderId="25" xfId="0" applyNumberFormat="1" applyFont="1" applyFill="1" applyBorder="1" applyAlignment="1" applyProtection="1">
      <alignment horizontal="center"/>
    </xf>
    <xf numFmtId="38" fontId="20" fillId="0" borderId="14" xfId="0" applyNumberFormat="1" applyFont="1" applyFill="1" applyBorder="1" applyAlignment="1" applyProtection="1">
      <alignment horizontal="center"/>
    </xf>
    <xf numFmtId="37" fontId="22" fillId="0" borderId="25" xfId="0" applyNumberFormat="1" applyFont="1" applyFill="1" applyBorder="1" applyAlignment="1" applyProtection="1">
      <alignment horizontal="center"/>
    </xf>
    <xf numFmtId="0" fontId="22" fillId="0" borderId="17" xfId="0" applyNumberFormat="1" applyFont="1" applyFill="1" applyBorder="1" applyAlignment="1" applyProtection="1">
      <alignment horizontal="center"/>
    </xf>
    <xf numFmtId="37" fontId="22" fillId="0" borderId="27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Alignment="1" applyProtection="1">
      <alignment horizontal="center"/>
    </xf>
    <xf numFmtId="0" fontId="22" fillId="2" borderId="0" xfId="0" applyNumberFormat="1" applyFont="1" applyFill="1" applyAlignment="1" applyProtection="1">
      <alignment horizontal="center"/>
    </xf>
    <xf numFmtId="0" fontId="15" fillId="2" borderId="0" xfId="0" applyNumberFormat="1" applyFont="1" applyFill="1" applyAlignment="1" applyProtection="1">
      <alignment horizontal="center"/>
    </xf>
    <xf numFmtId="5" fontId="22" fillId="0" borderId="24" xfId="0" applyNumberFormat="1" applyFont="1" applyFill="1" applyBorder="1" applyAlignment="1">
      <alignment horizontal="right"/>
    </xf>
    <xf numFmtId="37" fontId="20" fillId="8" borderId="64" xfId="0" applyNumberFormat="1" applyFont="1" applyFill="1" applyBorder="1" applyAlignment="1">
      <alignment horizontal="center"/>
    </xf>
    <xf numFmtId="0" fontId="15" fillId="0" borderId="63" xfId="0" applyNumberFormat="1" applyFont="1" applyFill="1" applyBorder="1" applyAlignment="1">
      <alignment horizontal="center"/>
    </xf>
    <xf numFmtId="3" fontId="0" fillId="2" borderId="0" xfId="0" applyNumberFormat="1" applyFill="1" applyBorder="1"/>
    <xf numFmtId="0" fontId="20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171" fontId="22" fillId="0" borderId="0" xfId="0" applyNumberFormat="1" applyFont="1" applyFill="1" applyBorder="1" applyProtection="1">
      <protection locked="0"/>
    </xf>
    <xf numFmtId="38" fontId="20" fillId="0" borderId="0" xfId="0" applyNumberFormat="1" applyFont="1" applyFill="1" applyBorder="1" applyAlignment="1">
      <alignment horizontal="center"/>
    </xf>
    <xf numFmtId="171" fontId="22" fillId="0" borderId="0" xfId="0" applyNumberFormat="1" applyFont="1" applyFill="1" applyBorder="1"/>
    <xf numFmtId="37" fontId="22" fillId="0" borderId="0" xfId="0" applyNumberFormat="1" applyFont="1" applyFill="1" applyBorder="1"/>
    <xf numFmtId="38" fontId="22" fillId="0" borderId="0" xfId="0" applyNumberFormat="1" applyFont="1" applyFill="1" applyBorder="1"/>
    <xf numFmtId="0" fontId="0" fillId="2" borderId="67" xfId="0" applyNumberFormat="1" applyFill="1" applyBorder="1"/>
    <xf numFmtId="0" fontId="0" fillId="2" borderId="68" xfId="0" applyNumberFormat="1" applyFill="1" applyBorder="1"/>
    <xf numFmtId="0" fontId="0" fillId="2" borderId="69" xfId="0" applyNumberFormat="1" applyFill="1" applyBorder="1"/>
    <xf numFmtId="0" fontId="0" fillId="2" borderId="70" xfId="0" pivotButton="1" applyNumberFormat="1" applyFill="1" applyBorder="1"/>
    <xf numFmtId="0" fontId="0" fillId="2" borderId="71" xfId="0" applyNumberFormat="1" applyFill="1" applyBorder="1"/>
    <xf numFmtId="0" fontId="0" fillId="2" borderId="70" xfId="0" applyNumberFormat="1" applyFill="1" applyBorder="1" applyAlignment="1">
      <alignment horizontal="center"/>
    </xf>
    <xf numFmtId="3" fontId="0" fillId="2" borderId="72" xfId="0" applyNumberFormat="1" applyFill="1" applyBorder="1"/>
    <xf numFmtId="37" fontId="18" fillId="0" borderId="14" xfId="0" applyNumberFormat="1" applyFont="1" applyFill="1" applyBorder="1" applyAlignment="1">
      <alignment horizontal="center"/>
    </xf>
    <xf numFmtId="0" fontId="0" fillId="2" borderId="73" xfId="0" applyNumberFormat="1" applyFill="1" applyBorder="1" applyAlignment="1">
      <alignment horizontal="center"/>
    </xf>
    <xf numFmtId="0" fontId="0" fillId="2" borderId="74" xfId="0" applyNumberFormat="1" applyFill="1" applyBorder="1" applyAlignment="1">
      <alignment horizontal="center"/>
    </xf>
    <xf numFmtId="3" fontId="0" fillId="2" borderId="74" xfId="0" applyNumberFormat="1" applyFill="1" applyBorder="1"/>
    <xf numFmtId="0" fontId="0" fillId="2" borderId="74" xfId="0" applyNumberFormat="1" applyFill="1" applyBorder="1"/>
    <xf numFmtId="37" fontId="19" fillId="0" borderId="20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37" fontId="0" fillId="2" borderId="0" xfId="0" applyNumberFormat="1" applyFill="1" applyBorder="1"/>
    <xf numFmtId="175" fontId="0" fillId="2" borderId="0" xfId="0" applyNumberForma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5" fontId="0" fillId="2" borderId="74" xfId="0" applyNumberFormat="1" applyFill="1" applyBorder="1" applyAlignment="1">
      <alignment horizontal="center"/>
    </xf>
    <xf numFmtId="0" fontId="15" fillId="2" borderId="0" xfId="0" applyNumberFormat="1" applyFont="1" applyFill="1"/>
    <xf numFmtId="3" fontId="0" fillId="2" borderId="74" xfId="0" applyNumberFormat="1" applyFill="1" applyBorder="1" applyAlignment="1">
      <alignment horizontal="center"/>
    </xf>
    <xf numFmtId="0" fontId="0" fillId="2" borderId="75" xfId="0" applyNumberFormat="1" applyFill="1" applyBorder="1" applyAlignment="1">
      <alignment horizontal="center"/>
    </xf>
    <xf numFmtId="5" fontId="0" fillId="2" borderId="75" xfId="0" applyNumberFormat="1" applyFill="1" applyBorder="1" applyAlignment="1">
      <alignment horizontal="center"/>
    </xf>
    <xf numFmtId="175" fontId="0" fillId="2" borderId="75" xfId="0" applyNumberForma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0" fontId="0" fillId="0" borderId="8" xfId="0" applyNumberFormat="1" applyFill="1" applyBorder="1"/>
    <xf numFmtId="37" fontId="19" fillId="0" borderId="0" xfId="0" applyNumberFormat="1" applyFont="1" applyFill="1" applyBorder="1" applyAlignment="1">
      <alignment horizontal="center"/>
    </xf>
    <xf numFmtId="37" fontId="20" fillId="0" borderId="63" xfId="0" applyNumberFormat="1" applyFont="1" applyFill="1" applyBorder="1" applyAlignment="1">
      <alignment horizontal="right"/>
    </xf>
    <xf numFmtId="5" fontId="22" fillId="0" borderId="63" xfId="0" applyNumberFormat="1" applyFont="1" applyFill="1" applyBorder="1"/>
    <xf numFmtId="164" fontId="20" fillId="4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>
      <alignment horizontal="center" vertical="center"/>
    </xf>
    <xf numFmtId="5" fontId="22" fillId="0" borderId="12" xfId="0" applyNumberFormat="1" applyFont="1" applyFill="1" applyBorder="1" applyAlignment="1">
      <alignment horizontal="center"/>
    </xf>
    <xf numFmtId="5" fontId="22" fillId="0" borderId="14" xfId="0" applyNumberFormat="1" applyFont="1" applyFill="1" applyBorder="1" applyAlignment="1">
      <alignment horizontal="center"/>
    </xf>
    <xf numFmtId="5" fontId="22" fillId="0" borderId="6" xfId="0" applyNumberFormat="1" applyFont="1" applyFill="1" applyBorder="1" applyAlignment="1">
      <alignment horizontal="center"/>
    </xf>
    <xf numFmtId="5" fontId="22" fillId="0" borderId="20" xfId="0" applyNumberFormat="1" applyFont="1" applyFill="1" applyBorder="1" applyAlignment="1">
      <alignment horizontal="center"/>
    </xf>
    <xf numFmtId="5" fontId="22" fillId="0" borderId="8" xfId="0" applyNumberFormat="1" applyFont="1" applyFill="1" applyBorder="1" applyAlignment="1">
      <alignment horizontal="center"/>
    </xf>
    <xf numFmtId="5" fontId="22" fillId="0" borderId="62" xfId="0" applyNumberFormat="1" applyFont="1" applyFill="1" applyBorder="1" applyAlignment="1">
      <alignment horizontal="center"/>
    </xf>
    <xf numFmtId="5" fontId="22" fillId="8" borderId="6" xfId="0" applyNumberFormat="1" applyFont="1" applyFill="1" applyBorder="1" applyAlignment="1">
      <alignment horizontal="center"/>
    </xf>
    <xf numFmtId="0" fontId="22" fillId="0" borderId="19" xfId="0" applyNumberFormat="1" applyFont="1" applyFill="1" applyBorder="1" applyAlignment="1">
      <alignment horizontal="center"/>
    </xf>
    <xf numFmtId="5" fontId="22" fillId="0" borderId="25" xfId="0" applyNumberFormat="1" applyFont="1" applyFill="1" applyBorder="1" applyAlignment="1">
      <alignment horizontal="left"/>
    </xf>
    <xf numFmtId="5" fontId="20" fillId="0" borderId="25" xfId="0" applyNumberFormat="1" applyFont="1" applyFill="1" applyBorder="1" applyAlignment="1">
      <alignment horizontal="left"/>
    </xf>
    <xf numFmtId="5" fontId="22" fillId="8" borderId="17" xfId="0" applyNumberFormat="1" applyFont="1" applyFill="1" applyBorder="1" applyAlignment="1">
      <alignment horizontal="center"/>
    </xf>
    <xf numFmtId="3" fontId="0" fillId="2" borderId="71" xfId="0" applyNumberFormat="1" applyFill="1" applyBorder="1"/>
    <xf numFmtId="3" fontId="0" fillId="2" borderId="76" xfId="0" applyNumberFormat="1" applyFill="1" applyBorder="1"/>
    <xf numFmtId="0" fontId="0" fillId="2" borderId="77" xfId="0" applyNumberFormat="1" applyFill="1" applyBorder="1" applyAlignment="1">
      <alignment horizontal="center"/>
    </xf>
    <xf numFmtId="3" fontId="0" fillId="2" borderId="70" xfId="0" applyNumberFormat="1" applyFill="1" applyBorder="1"/>
    <xf numFmtId="3" fontId="0" fillId="2" borderId="77" xfId="0" applyNumberFormat="1" applyFill="1" applyBorder="1"/>
    <xf numFmtId="3" fontId="0" fillId="2" borderId="73" xfId="0" applyNumberFormat="1" applyFill="1" applyBorder="1"/>
    <xf numFmtId="38" fontId="18" fillId="0" borderId="17" xfId="0" applyNumberFormat="1" applyFont="1" applyFill="1" applyBorder="1" applyProtection="1">
      <protection locked="0"/>
    </xf>
    <xf numFmtId="38" fontId="20" fillId="8" borderId="17" xfId="0" applyNumberFormat="1" applyFont="1" applyFill="1" applyBorder="1" applyAlignment="1">
      <alignment horizontal="center"/>
    </xf>
    <xf numFmtId="5" fontId="22" fillId="0" borderId="15" xfId="0" applyNumberFormat="1" applyFont="1" applyFill="1" applyBorder="1" applyAlignment="1">
      <alignment horizontal="left"/>
    </xf>
    <xf numFmtId="5" fontId="52" fillId="2" borderId="0" xfId="0" applyNumberFormat="1" applyFont="1" applyFill="1"/>
    <xf numFmtId="0" fontId="52" fillId="2" borderId="0" xfId="0" applyNumberFormat="1" applyFont="1" applyFill="1" applyAlignment="1">
      <alignment horizontal="center"/>
    </xf>
    <xf numFmtId="5" fontId="18" fillId="2" borderId="0" xfId="0" applyNumberFormat="1" applyFont="1" applyFill="1"/>
    <xf numFmtId="38" fontId="18" fillId="2" borderId="0" xfId="0" applyNumberFormat="1" applyFont="1" applyFill="1"/>
    <xf numFmtId="37" fontId="18" fillId="2" borderId="0" xfId="0" applyNumberFormat="1" applyFont="1" applyFill="1"/>
    <xf numFmtId="6" fontId="52" fillId="2" borderId="0" xfId="0" applyNumberFormat="1" applyFont="1" applyFill="1" applyAlignment="1">
      <alignment horizontal="center"/>
    </xf>
    <xf numFmtId="5" fontId="52" fillId="2" borderId="0" xfId="0" applyNumberFormat="1" applyFont="1" applyFill="1" applyAlignment="1">
      <alignment horizontal="center"/>
    </xf>
    <xf numFmtId="42" fontId="18" fillId="2" borderId="78" xfId="0" applyNumberFormat="1" applyFont="1" applyFill="1" applyBorder="1" applyAlignment="1" applyProtection="1">
      <alignment wrapText="1"/>
    </xf>
    <xf numFmtId="42" fontId="18" fillId="2" borderId="78" xfId="0" applyNumberFormat="1" applyFont="1" applyFill="1" applyBorder="1" applyProtection="1"/>
    <xf numFmtId="42" fontId="18" fillId="2" borderId="79" xfId="0" applyNumberFormat="1" applyFont="1" applyFill="1" applyBorder="1" applyProtection="1"/>
    <xf numFmtId="42" fontId="18" fillId="2" borderId="58" xfId="0" applyNumberFormat="1" applyFont="1" applyFill="1" applyBorder="1" applyProtection="1"/>
    <xf numFmtId="42" fontId="18" fillId="2" borderId="60" xfId="0" applyNumberFormat="1" applyFont="1" applyFill="1" applyBorder="1" applyProtection="1"/>
    <xf numFmtId="42" fontId="18" fillId="9" borderId="80" xfId="0" applyNumberFormat="1" applyFont="1" applyFill="1" applyBorder="1" applyProtection="1"/>
    <xf numFmtId="42" fontId="18" fillId="0" borderId="60" xfId="0" applyNumberFormat="1" applyFont="1" applyFill="1" applyBorder="1" applyProtection="1"/>
    <xf numFmtId="42" fontId="18" fillId="0" borderId="24" xfId="0" applyNumberFormat="1" applyFont="1" applyFill="1" applyBorder="1" applyProtection="1"/>
    <xf numFmtId="42" fontId="18" fillId="0" borderId="80" xfId="0" applyNumberFormat="1" applyFont="1" applyFill="1" applyBorder="1" applyProtection="1"/>
    <xf numFmtId="42" fontId="18" fillId="2" borderId="0" xfId="0" applyNumberFormat="1" applyFont="1" applyFill="1" applyProtection="1"/>
    <xf numFmtId="42" fontId="18" fillId="0" borderId="58" xfId="0" applyNumberFormat="1" applyFont="1" applyFill="1" applyBorder="1" applyProtection="1"/>
    <xf numFmtId="42" fontId="18" fillId="2" borderId="81" xfId="0" applyNumberFormat="1" applyFont="1" applyFill="1" applyBorder="1" applyProtection="1"/>
    <xf numFmtId="0" fontId="47" fillId="2" borderId="62" xfId="0" applyNumberFormat="1" applyFont="1" applyFill="1" applyBorder="1" applyAlignment="1" applyProtection="1">
      <alignment horizontal="center" vertical="center"/>
    </xf>
    <xf numFmtId="42" fontId="21" fillId="2" borderId="82" xfId="0" applyNumberFormat="1" applyFont="1" applyFill="1" applyBorder="1" applyAlignment="1" applyProtection="1">
      <alignment horizontal="center"/>
    </xf>
    <xf numFmtId="42" fontId="21" fillId="2" borderId="83" xfId="0" applyNumberFormat="1" applyFont="1" applyFill="1" applyBorder="1" applyAlignment="1" applyProtection="1">
      <alignment horizontal="center"/>
    </xf>
    <xf numFmtId="0" fontId="22" fillId="2" borderId="84" xfId="0" applyNumberFormat="1" applyFont="1" applyFill="1" applyBorder="1" applyProtection="1"/>
    <xf numFmtId="0" fontId="18" fillId="2" borderId="75" xfId="0" applyNumberFormat="1" applyFont="1" applyFill="1" applyBorder="1" applyProtection="1"/>
    <xf numFmtId="42" fontId="18" fillId="2" borderId="85" xfId="0" applyNumberFormat="1" applyFont="1" applyFill="1" applyBorder="1" applyProtection="1"/>
    <xf numFmtId="42" fontId="18" fillId="2" borderId="86" xfId="0" applyNumberFormat="1" applyFont="1" applyFill="1" applyBorder="1" applyProtection="1"/>
    <xf numFmtId="0" fontId="18" fillId="2" borderId="87" xfId="0" applyNumberFormat="1" applyFont="1" applyFill="1" applyBorder="1" applyProtection="1"/>
    <xf numFmtId="0" fontId="18" fillId="2" borderId="20" xfId="0" applyNumberFormat="1" applyFont="1" applyFill="1" applyBorder="1" applyProtection="1"/>
    <xf numFmtId="42" fontId="18" fillId="2" borderId="88" xfId="0" applyNumberFormat="1" applyFont="1" applyFill="1" applyBorder="1" applyProtection="1"/>
    <xf numFmtId="0" fontId="18" fillId="2" borderId="89" xfId="0" applyNumberFormat="1" applyFont="1" applyFill="1" applyBorder="1" applyAlignment="1" applyProtection="1">
      <alignment wrapText="1"/>
    </xf>
    <xf numFmtId="42" fontId="18" fillId="2" borderId="90" xfId="0" applyNumberFormat="1" applyFont="1" applyFill="1" applyBorder="1" applyAlignment="1" applyProtection="1">
      <alignment wrapText="1"/>
    </xf>
    <xf numFmtId="0" fontId="18" fillId="2" borderId="89" xfId="0" applyNumberFormat="1" applyFont="1" applyFill="1" applyBorder="1" applyProtection="1"/>
    <xf numFmtId="0" fontId="18" fillId="2" borderId="16" xfId="0" applyNumberFormat="1" applyFont="1" applyFill="1" applyBorder="1" applyProtection="1"/>
    <xf numFmtId="0" fontId="18" fillId="2" borderId="66" xfId="0" applyNumberFormat="1" applyFont="1" applyFill="1" applyBorder="1" applyProtection="1"/>
    <xf numFmtId="0" fontId="18" fillId="2" borderId="62" xfId="0" applyNumberFormat="1" applyFont="1" applyFill="1" applyBorder="1" applyProtection="1"/>
    <xf numFmtId="42" fontId="18" fillId="2" borderId="65" xfId="0" applyNumberFormat="1" applyFont="1" applyFill="1" applyBorder="1" applyProtection="1"/>
    <xf numFmtId="0" fontId="22" fillId="2" borderId="57" xfId="0" applyNumberFormat="1" applyFont="1" applyFill="1" applyBorder="1" applyProtection="1"/>
    <xf numFmtId="0" fontId="18" fillId="2" borderId="8" xfId="0" applyNumberFormat="1" applyFont="1" applyFill="1" applyBorder="1" applyProtection="1"/>
    <xf numFmtId="42" fontId="18" fillId="2" borderId="59" xfId="0" applyNumberFormat="1" applyFont="1" applyFill="1" applyBorder="1" applyProtection="1"/>
    <xf numFmtId="0" fontId="18" fillId="2" borderId="56" xfId="0" applyNumberFormat="1" applyFont="1" applyFill="1" applyBorder="1" applyProtection="1"/>
    <xf numFmtId="0" fontId="18" fillId="2" borderId="0" xfId="0" applyNumberFormat="1" applyFont="1" applyFill="1" applyBorder="1" applyProtection="1"/>
    <xf numFmtId="42" fontId="18" fillId="2" borderId="61" xfId="0" applyNumberFormat="1" applyFont="1" applyFill="1" applyBorder="1" applyProtection="1"/>
    <xf numFmtId="0" fontId="18" fillId="9" borderId="63" xfId="0" applyNumberFormat="1" applyFont="1" applyFill="1" applyBorder="1" applyProtection="1"/>
    <xf numFmtId="0" fontId="33" fillId="9" borderId="24" xfId="0" applyNumberFormat="1" applyFont="1" applyFill="1" applyBorder="1" applyAlignment="1" applyProtection="1"/>
    <xf numFmtId="0" fontId="54" fillId="9" borderId="64" xfId="0" applyNumberFormat="1" applyFont="1" applyFill="1" applyBorder="1" applyAlignment="1" applyProtection="1"/>
    <xf numFmtId="0" fontId="22" fillId="0" borderId="56" xfId="0" applyNumberFormat="1" applyFont="1" applyFill="1" applyBorder="1" applyProtection="1"/>
    <xf numFmtId="0" fontId="18" fillId="0" borderId="0" xfId="0" applyNumberFormat="1" applyFont="1" applyFill="1" applyBorder="1" applyProtection="1"/>
    <xf numFmtId="42" fontId="18" fillId="0" borderId="61" xfId="0" applyNumberFormat="1" applyFont="1" applyFill="1" applyBorder="1" applyProtection="1"/>
    <xf numFmtId="0" fontId="33" fillId="9" borderId="63" xfId="0" applyNumberFormat="1" applyFont="1" applyFill="1" applyBorder="1" applyAlignment="1" applyProtection="1"/>
    <xf numFmtId="0" fontId="22" fillId="0" borderId="63" xfId="0" applyNumberFormat="1" applyFont="1" applyFill="1" applyBorder="1" applyAlignment="1" applyProtection="1"/>
    <xf numFmtId="0" fontId="0" fillId="0" borderId="24" xfId="0" applyNumberFormat="1" applyFill="1" applyBorder="1" applyAlignment="1" applyProtection="1"/>
    <xf numFmtId="42" fontId="18" fillId="0" borderId="64" xfId="0" applyNumberFormat="1" applyFont="1" applyFill="1" applyBorder="1" applyProtection="1"/>
    <xf numFmtId="0" fontId="54" fillId="9" borderId="24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54" fillId="0" borderId="0" xfId="0" applyNumberFormat="1" applyFont="1" applyFill="1" applyBorder="1" applyAlignment="1" applyProtection="1"/>
    <xf numFmtId="42" fontId="18" fillId="0" borderId="0" xfId="0" applyNumberFormat="1" applyFont="1" applyFill="1" applyBorder="1" applyProtection="1"/>
    <xf numFmtId="0" fontId="22" fillId="0" borderId="91" xfId="0" applyNumberFormat="1" applyFont="1" applyFill="1" applyBorder="1" applyAlignment="1" applyProtection="1"/>
    <xf numFmtId="0" fontId="0" fillId="0" borderId="91" xfId="0" applyNumberFormat="1" applyFill="1" applyBorder="1" applyAlignment="1" applyProtection="1"/>
    <xf numFmtId="42" fontId="18" fillId="0" borderId="91" xfId="0" applyNumberFormat="1" applyFont="1" applyFill="1" applyBorder="1" applyProtection="1"/>
    <xf numFmtId="0" fontId="22" fillId="0" borderId="57" xfId="0" applyNumberFormat="1" applyFont="1" applyFill="1" applyBorder="1" applyAlignment="1" applyProtection="1"/>
    <xf numFmtId="0" fontId="0" fillId="0" borderId="8" xfId="0" applyNumberFormat="1" applyFill="1" applyBorder="1" applyAlignment="1" applyProtection="1"/>
    <xf numFmtId="42" fontId="18" fillId="0" borderId="59" xfId="0" applyNumberFormat="1" applyFont="1" applyFill="1" applyBorder="1" applyProtection="1"/>
    <xf numFmtId="42" fontId="18" fillId="2" borderId="88" xfId="0" applyNumberFormat="1" applyFont="1" applyFill="1" applyBorder="1" applyAlignment="1" applyProtection="1">
      <alignment wrapText="1"/>
    </xf>
    <xf numFmtId="42" fontId="18" fillId="2" borderId="61" xfId="0" applyNumberFormat="1" applyFont="1" applyFill="1" applyBorder="1" applyAlignment="1" applyProtection="1">
      <alignment wrapText="1"/>
    </xf>
    <xf numFmtId="0" fontId="33" fillId="0" borderId="63" xfId="0" applyNumberFormat="1" applyFont="1" applyFill="1" applyBorder="1" applyAlignment="1" applyProtection="1"/>
    <xf numFmtId="0" fontId="33" fillId="0" borderId="24" xfId="0" applyNumberFormat="1" applyFont="1" applyFill="1" applyBorder="1" applyAlignment="1" applyProtection="1"/>
    <xf numFmtId="0" fontId="54" fillId="0" borderId="24" xfId="0" applyNumberFormat="1" applyFont="1" applyFill="1" applyBorder="1" applyAlignment="1" applyProtection="1"/>
    <xf numFmtId="0" fontId="18" fillId="2" borderId="0" xfId="0" applyNumberFormat="1" applyFont="1" applyFill="1" applyProtection="1"/>
    <xf numFmtId="0" fontId="25" fillId="2" borderId="0" xfId="0" applyNumberFormat="1" applyFont="1" applyFill="1" applyProtection="1"/>
    <xf numFmtId="0" fontId="0" fillId="0" borderId="64" xfId="0" applyNumberFormat="1" applyFill="1" applyBorder="1" applyAlignment="1" applyProtection="1"/>
    <xf numFmtId="0" fontId="33" fillId="0" borderId="8" xfId="0" applyNumberFormat="1" applyFont="1" applyFill="1" applyBorder="1" applyAlignment="1" applyProtection="1"/>
    <xf numFmtId="0" fontId="54" fillId="0" borderId="8" xfId="0" applyNumberFormat="1" applyFont="1" applyFill="1" applyBorder="1" applyAlignment="1" applyProtection="1"/>
    <xf numFmtId="42" fontId="18" fillId="0" borderId="8" xfId="0" applyNumberFormat="1" applyFont="1" applyFill="1" applyBorder="1" applyProtection="1"/>
    <xf numFmtId="42" fontId="18" fillId="2" borderId="8" xfId="0" applyNumberFormat="1" applyFont="1" applyFill="1" applyBorder="1" applyProtection="1"/>
    <xf numFmtId="42" fontId="18" fillId="2" borderId="62" xfId="0" applyNumberFormat="1" applyFont="1" applyFill="1" applyBorder="1" applyProtection="1"/>
    <xf numFmtId="37" fontId="20" fillId="0" borderId="0" xfId="0" applyNumberFormat="1" applyFont="1" applyFill="1" applyBorder="1" applyAlignment="1">
      <alignment horizontal="right"/>
    </xf>
    <xf numFmtId="5" fontId="56" fillId="0" borderId="0" xfId="0" applyNumberFormat="1" applyFont="1" applyFill="1" applyBorder="1"/>
    <xf numFmtId="5" fontId="18" fillId="0" borderId="0" xfId="0" applyNumberFormat="1" applyFont="1" applyFill="1" applyBorder="1" applyAlignment="1">
      <alignment horizontal="left"/>
    </xf>
    <xf numFmtId="6" fontId="18" fillId="2" borderId="0" xfId="0" applyNumberFormat="1" applyFont="1" applyFill="1"/>
    <xf numFmtId="6" fontId="52" fillId="2" borderId="0" xfId="0" applyNumberFormat="1" applyFont="1" applyFill="1"/>
    <xf numFmtId="5" fontId="18" fillId="0" borderId="18" xfId="0" applyNumberFormat="1" applyFont="1" applyFill="1" applyBorder="1" applyAlignment="1">
      <alignment horizontal="center"/>
    </xf>
    <xf numFmtId="0" fontId="57" fillId="2" borderId="0" xfId="0" applyNumberFormat="1" applyFont="1" applyFill="1"/>
    <xf numFmtId="0" fontId="58" fillId="2" borderId="0" xfId="0" applyNumberFormat="1" applyFont="1" applyFill="1"/>
    <xf numFmtId="37" fontId="20" fillId="8" borderId="0" xfId="0" applyNumberFormat="1" applyFont="1" applyFill="1" applyBorder="1" applyAlignment="1">
      <alignment horizontal="right"/>
    </xf>
    <xf numFmtId="5" fontId="22" fillId="0" borderId="0" xfId="0" applyNumberFormat="1" applyFont="1" applyFill="1" applyBorder="1" applyAlignment="1">
      <alignment horizontal="right"/>
    </xf>
    <xf numFmtId="5" fontId="56" fillId="8" borderId="6" xfId="0" applyNumberFormat="1" applyFont="1" applyFill="1" applyBorder="1" applyAlignment="1">
      <alignment horizontal="center"/>
    </xf>
    <xf numFmtId="0" fontId="52" fillId="0" borderId="6" xfId="0" applyNumberFormat="1" applyFont="1" applyFill="1" applyBorder="1" applyAlignment="1">
      <alignment horizontal="center"/>
    </xf>
    <xf numFmtId="0" fontId="52" fillId="0" borderId="15" xfId="0" applyNumberFormat="1" applyFont="1" applyFill="1" applyBorder="1" applyAlignment="1">
      <alignment horizontal="center"/>
    </xf>
    <xf numFmtId="0" fontId="52" fillId="0" borderId="14" xfId="0" applyNumberFormat="1" applyFont="1" applyFill="1" applyBorder="1" applyAlignment="1">
      <alignment horizontal="center"/>
    </xf>
    <xf numFmtId="0" fontId="52" fillId="0" borderId="6" xfId="0" applyNumberFormat="1" applyFont="1" applyFill="1" applyBorder="1"/>
    <xf numFmtId="166" fontId="52" fillId="0" borderId="6" xfId="0" applyNumberFormat="1" applyFont="1" applyFill="1" applyBorder="1" applyAlignment="1">
      <alignment horizontal="center"/>
    </xf>
    <xf numFmtId="166" fontId="52" fillId="0" borderId="6" xfId="0" applyNumberFormat="1" applyFont="1" applyFill="1" applyBorder="1"/>
    <xf numFmtId="169" fontId="52" fillId="0" borderId="6" xfId="0" applyNumberFormat="1" applyFont="1" applyFill="1" applyBorder="1"/>
    <xf numFmtId="38" fontId="52" fillId="0" borderId="6" xfId="0" applyNumberFormat="1" applyFont="1" applyFill="1" applyBorder="1" applyAlignment="1">
      <alignment horizontal="center"/>
    </xf>
    <xf numFmtId="2" fontId="52" fillId="0" borderId="6" xfId="0" applyNumberFormat="1" applyFont="1" applyFill="1" applyBorder="1"/>
    <xf numFmtId="37" fontId="52" fillId="0" borderId="6" xfId="0" applyNumberFormat="1" applyFont="1" applyFill="1" applyBorder="1"/>
    <xf numFmtId="39" fontId="52" fillId="0" borderId="6" xfId="0" applyNumberFormat="1" applyFont="1" applyFill="1" applyBorder="1"/>
    <xf numFmtId="37" fontId="52" fillId="0" borderId="6" xfId="0" applyNumberFormat="1" applyFont="1" applyFill="1" applyBorder="1" applyAlignment="1">
      <alignment horizontal="right"/>
    </xf>
    <xf numFmtId="37" fontId="56" fillId="8" borderId="6" xfId="0" applyNumberFormat="1" applyFont="1" applyFill="1" applyBorder="1" applyAlignment="1" applyProtection="1">
      <alignment horizontal="center"/>
    </xf>
    <xf numFmtId="37" fontId="56" fillId="8" borderId="6" xfId="0" applyNumberFormat="1" applyFont="1" applyFill="1" applyBorder="1" applyAlignment="1">
      <alignment horizontal="center"/>
    </xf>
    <xf numFmtId="5" fontId="52" fillId="0" borderId="6" xfId="0" applyNumberFormat="1" applyFont="1" applyFill="1" applyBorder="1"/>
    <xf numFmtId="5" fontId="56" fillId="0" borderId="6" xfId="0" applyNumberFormat="1" applyFont="1" applyFill="1" applyBorder="1" applyAlignment="1">
      <alignment horizontal="center"/>
    </xf>
    <xf numFmtId="0" fontId="52" fillId="0" borderId="0" xfId="0" applyNumberFormat="1" applyFont="1" applyFill="1" applyBorder="1"/>
    <xf numFmtId="0" fontId="59" fillId="0" borderId="0" xfId="0" applyNumberFormat="1" applyFont="1" applyFill="1" applyBorder="1"/>
    <xf numFmtId="0" fontId="59" fillId="2" borderId="0" xfId="0" applyNumberFormat="1" applyFont="1" applyFill="1" applyBorder="1"/>
    <xf numFmtId="0" fontId="59" fillId="2" borderId="0" xfId="0" applyNumberFormat="1" applyFont="1" applyFill="1"/>
    <xf numFmtId="166" fontId="52" fillId="0" borderId="15" xfId="0" applyNumberFormat="1" applyFont="1" applyFill="1" applyBorder="1" applyAlignment="1">
      <alignment horizontal="center"/>
    </xf>
    <xf numFmtId="37" fontId="52" fillId="0" borderId="19" xfId="0" applyNumberFormat="1" applyFont="1" applyFill="1" applyBorder="1" applyAlignment="1">
      <alignment horizontal="center"/>
    </xf>
    <xf numFmtId="4" fontId="52" fillId="0" borderId="6" xfId="0" applyNumberFormat="1" applyFont="1" applyFill="1" applyBorder="1" applyAlignment="1">
      <alignment horizontal="right"/>
    </xf>
    <xf numFmtId="5" fontId="52" fillId="0" borderId="15" xfId="0" applyNumberFormat="1" applyFont="1" applyFill="1" applyBorder="1"/>
    <xf numFmtId="37" fontId="52" fillId="0" borderId="0" xfId="0" applyNumberFormat="1" applyFont="1" applyFill="1" applyBorder="1" applyProtection="1">
      <protection locked="0"/>
    </xf>
    <xf numFmtId="38" fontId="52" fillId="0" borderId="19" xfId="0" applyNumberFormat="1" applyFont="1" applyFill="1" applyBorder="1" applyAlignment="1">
      <alignment horizontal="center"/>
    </xf>
    <xf numFmtId="0" fontId="52" fillId="0" borderId="6" xfId="0" applyNumberFormat="1" applyFont="1" applyFill="1" applyBorder="1" applyProtection="1">
      <protection locked="0"/>
    </xf>
    <xf numFmtId="40" fontId="59" fillId="0" borderId="0" xfId="0" applyNumberFormat="1" applyFont="1" applyFill="1" applyBorder="1" applyAlignment="1">
      <alignment horizontal="right"/>
    </xf>
    <xf numFmtId="0" fontId="59" fillId="0" borderId="0" xfId="0" applyNumberFormat="1" applyFont="1" applyFill="1"/>
    <xf numFmtId="37" fontId="18" fillId="2" borderId="0" xfId="0" applyNumberFormat="1" applyFont="1" applyFill="1" applyAlignment="1">
      <alignment wrapText="1"/>
    </xf>
    <xf numFmtId="175" fontId="0" fillId="2" borderId="71" xfId="0" applyNumberFormat="1" applyFill="1" applyBorder="1"/>
    <xf numFmtId="175" fontId="0" fillId="2" borderId="76" xfId="0" applyNumberFormat="1" applyFill="1" applyBorder="1"/>
    <xf numFmtId="175" fontId="0" fillId="2" borderId="72" xfId="0" applyNumberFormat="1" applyFill="1" applyBorder="1"/>
    <xf numFmtId="175" fontId="0" fillId="2" borderId="0" xfId="0" applyNumberFormat="1" applyFill="1" applyBorder="1"/>
    <xf numFmtId="3" fontId="0" fillId="2" borderId="0" xfId="0" applyNumberFormat="1" applyFill="1" applyBorder="1" applyAlignment="1">
      <alignment horizontal="center"/>
    </xf>
    <xf numFmtId="5" fontId="18" fillId="2" borderId="78" xfId="0" applyNumberFormat="1" applyFont="1" applyFill="1" applyBorder="1" applyProtection="1"/>
    <xf numFmtId="0" fontId="60" fillId="2" borderId="0" xfId="0" applyNumberFormat="1" applyFont="1" applyFill="1"/>
    <xf numFmtId="0" fontId="61" fillId="2" borderId="0" xfId="0" applyNumberFormat="1" applyFont="1" applyFill="1"/>
    <xf numFmtId="0" fontId="62" fillId="2" borderId="0" xfId="0" applyNumberFormat="1" applyFont="1" applyFill="1"/>
    <xf numFmtId="0" fontId="63" fillId="2" borderId="0" xfId="0" applyNumberFormat="1" applyFont="1" applyFill="1"/>
    <xf numFmtId="0" fontId="61" fillId="2" borderId="0" xfId="0" applyNumberFormat="1" applyFont="1" applyFill="1" applyAlignment="1">
      <alignment horizontal="center"/>
    </xf>
    <xf numFmtId="0" fontId="61" fillId="4" borderId="0" xfId="0" applyNumberFormat="1" applyFont="1" applyFill="1"/>
    <xf numFmtId="0" fontId="67" fillId="0" borderId="0" xfId="0" applyNumberFormat="1" applyFont="1" applyFill="1"/>
    <xf numFmtId="0" fontId="61" fillId="0" borderId="0" xfId="0" applyNumberFormat="1" applyFont="1" applyFill="1"/>
    <xf numFmtId="0" fontId="68" fillId="4" borderId="0" xfId="0" applyNumberFormat="1" applyFont="1" applyFill="1" applyAlignment="1">
      <alignment horizontal="centerContinuous" vertical="center"/>
    </xf>
    <xf numFmtId="0" fontId="69" fillId="4" borderId="0" xfId="0" applyNumberFormat="1" applyFont="1" applyFill="1" applyAlignment="1">
      <alignment horizontal="centerContinuous" vertical="center"/>
    </xf>
    <xf numFmtId="0" fontId="70" fillId="4" borderId="0" xfId="0" applyNumberFormat="1" applyFont="1" applyFill="1"/>
    <xf numFmtId="1" fontId="61" fillId="2" borderId="0" xfId="0" applyNumberFormat="1" applyFont="1" applyFill="1"/>
    <xf numFmtId="0" fontId="71" fillId="0" borderId="0" xfId="0" applyNumberFormat="1" applyFont="1" applyFill="1" applyAlignment="1">
      <alignment vertical="center"/>
    </xf>
    <xf numFmtId="0" fontId="72" fillId="4" borderId="0" xfId="0" applyNumberFormat="1" applyFont="1" applyFill="1" applyAlignment="1">
      <alignment horizontal="centerContinuous" vertical="center"/>
    </xf>
    <xf numFmtId="0" fontId="61" fillId="0" borderId="0" xfId="0" applyNumberFormat="1" applyFont="1" applyFill="1" applyAlignment="1">
      <alignment horizontal="left"/>
    </xf>
    <xf numFmtId="0" fontId="57" fillId="0" borderId="0" xfId="0" applyNumberFormat="1" applyFont="1" applyFill="1"/>
    <xf numFmtId="164" fontId="75" fillId="0" borderId="0" xfId="0" applyNumberFormat="1" applyFont="1" applyFill="1" applyAlignment="1">
      <alignment horizontal="left" vertical="center"/>
    </xf>
    <xf numFmtId="0" fontId="76" fillId="0" borderId="0" xfId="0" applyNumberFormat="1" applyFont="1" applyFill="1" applyAlignment="1">
      <alignment vertical="center"/>
    </xf>
    <xf numFmtId="165" fontId="75" fillId="0" borderId="0" xfId="0" applyNumberFormat="1" applyFont="1" applyFill="1" applyAlignment="1">
      <alignment horizontal="left" vertical="center"/>
    </xf>
    <xf numFmtId="0" fontId="60" fillId="4" borderId="0" xfId="0" applyNumberFormat="1" applyFont="1" applyFill="1"/>
    <xf numFmtId="0" fontId="61" fillId="0" borderId="0" xfId="0" applyNumberFormat="1" applyFont="1" applyFill="1" applyBorder="1"/>
    <xf numFmtId="0" fontId="69" fillId="10" borderId="70" xfId="0" applyNumberFormat="1" applyFont="1" applyFill="1" applyBorder="1" applyAlignment="1"/>
    <xf numFmtId="0" fontId="69" fillId="10" borderId="77" xfId="0" applyNumberFormat="1" applyFont="1" applyFill="1" applyBorder="1" applyAlignment="1">
      <alignment horizontal="right"/>
    </xf>
    <xf numFmtId="0" fontId="69" fillId="10" borderId="75" xfId="0" applyNumberFormat="1" applyFont="1" applyFill="1" applyBorder="1" applyAlignment="1">
      <alignment horizontal="left"/>
    </xf>
    <xf numFmtId="0" fontId="69" fillId="10" borderId="75" xfId="0" applyNumberFormat="1" applyFont="1" applyFill="1" applyBorder="1" applyAlignment="1"/>
    <xf numFmtId="0" fontId="69" fillId="10" borderId="77" xfId="0" applyNumberFormat="1" applyFont="1" applyFill="1" applyBorder="1"/>
    <xf numFmtId="0" fontId="61" fillId="9" borderId="75" xfId="0" applyNumberFormat="1" applyFont="1" applyFill="1" applyBorder="1"/>
    <xf numFmtId="0" fontId="69" fillId="10" borderId="77" xfId="0" applyNumberFormat="1" applyFont="1" applyFill="1" applyBorder="1" applyAlignment="1" applyProtection="1">
      <alignment horizontal="left"/>
      <protection locked="0"/>
    </xf>
    <xf numFmtId="0" fontId="61" fillId="10" borderId="77" xfId="0" applyNumberFormat="1" applyFont="1" applyFill="1" applyBorder="1"/>
    <xf numFmtId="0" fontId="61" fillId="10" borderId="77" xfId="0" applyNumberFormat="1" applyFont="1" applyFill="1" applyBorder="1" applyProtection="1">
      <protection locked="0"/>
    </xf>
    <xf numFmtId="0" fontId="61" fillId="10" borderId="92" xfId="0" applyNumberFormat="1" applyFont="1" applyFill="1" applyBorder="1"/>
    <xf numFmtId="0" fontId="79" fillId="10" borderId="93" xfId="0" applyNumberFormat="1" applyFont="1" applyFill="1" applyBorder="1" applyAlignment="1">
      <alignment horizontal="center"/>
    </xf>
    <xf numFmtId="0" fontId="63" fillId="9" borderId="0" xfId="0" applyNumberFormat="1" applyFont="1" applyFill="1" applyAlignment="1">
      <alignment horizontal="center"/>
    </xf>
    <xf numFmtId="0" fontId="69" fillId="10" borderId="0" xfId="0" applyNumberFormat="1" applyFont="1" applyFill="1" applyAlignment="1">
      <alignment horizontal="right"/>
    </xf>
    <xf numFmtId="0" fontId="69" fillId="10" borderId="0" xfId="0" applyNumberFormat="1" applyFont="1" applyFill="1" applyAlignment="1"/>
    <xf numFmtId="0" fontId="69" fillId="10" borderId="0" xfId="0" applyNumberFormat="1" applyFont="1" applyFill="1"/>
    <xf numFmtId="0" fontId="61" fillId="9" borderId="0" xfId="0" applyNumberFormat="1" applyFont="1" applyFill="1"/>
    <xf numFmtId="0" fontId="69" fillId="10" borderId="0" xfId="0" applyNumberFormat="1" applyFont="1" applyFill="1" applyAlignment="1" applyProtection="1">
      <alignment horizontal="left"/>
      <protection locked="0"/>
    </xf>
    <xf numFmtId="0" fontId="61" fillId="10" borderId="0" xfId="0" applyNumberFormat="1" applyFont="1" applyFill="1"/>
    <xf numFmtId="0" fontId="61" fillId="10" borderId="0" xfId="0" applyNumberFormat="1" applyFont="1" applyFill="1" applyBorder="1" applyAlignment="1">
      <alignment horizontal="right"/>
    </xf>
    <xf numFmtId="0" fontId="61" fillId="10" borderId="94" xfId="0" applyNumberFormat="1" applyFont="1" applyFill="1" applyBorder="1"/>
    <xf numFmtId="0" fontId="63" fillId="9" borderId="93" xfId="0" applyNumberFormat="1" applyFont="1" applyFill="1" applyBorder="1" applyAlignment="1">
      <alignment horizontal="center"/>
    </xf>
    <xf numFmtId="0" fontId="69" fillId="10" borderId="0" xfId="0" applyNumberFormat="1" applyFont="1" applyFill="1" applyBorder="1" applyAlignment="1">
      <alignment horizontal="right"/>
    </xf>
    <xf numFmtId="181" fontId="69" fillId="10" borderId="0" xfId="0" applyNumberFormat="1" applyFont="1" applyFill="1" applyBorder="1" applyAlignment="1" applyProtection="1">
      <alignment horizontal="left"/>
      <protection locked="0"/>
    </xf>
    <xf numFmtId="0" fontId="61" fillId="10" borderId="0" xfId="0" applyNumberFormat="1" applyFont="1" applyFill="1" applyAlignment="1">
      <alignment horizontal="right"/>
    </xf>
    <xf numFmtId="0" fontId="80" fillId="0" borderId="0" xfId="0" applyNumberFormat="1" applyFont="1" applyFill="1" applyBorder="1"/>
    <xf numFmtId="0" fontId="69" fillId="10" borderId="95" xfId="0" applyNumberFormat="1" applyFont="1" applyFill="1" applyBorder="1" applyAlignment="1">
      <alignment horizontal="left"/>
    </xf>
    <xf numFmtId="0" fontId="69" fillId="10" borderId="96" xfId="0" applyNumberFormat="1" applyFont="1" applyFill="1" applyBorder="1" applyAlignment="1">
      <alignment horizontal="right"/>
    </xf>
    <xf numFmtId="0" fontId="69" fillId="10" borderId="97" xfId="0" applyNumberFormat="1" applyFont="1" applyFill="1" applyBorder="1" applyAlignment="1">
      <alignment horizontal="right"/>
    </xf>
    <xf numFmtId="181" fontId="69" fillId="10" borderId="97" xfId="0" applyNumberFormat="1" applyFont="1" applyFill="1" applyBorder="1" applyAlignment="1" applyProtection="1">
      <alignment horizontal="left"/>
      <protection locked="0"/>
    </xf>
    <xf numFmtId="0" fontId="69" fillId="10" borderId="96" xfId="0" applyNumberFormat="1" applyFont="1" applyFill="1" applyBorder="1"/>
    <xf numFmtId="0" fontId="61" fillId="9" borderId="97" xfId="0" applyNumberFormat="1" applyFont="1" applyFill="1" applyBorder="1"/>
    <xf numFmtId="0" fontId="69" fillId="10" borderId="96" xfId="0" applyNumberFormat="1" applyFont="1" applyFill="1" applyBorder="1" applyAlignment="1" applyProtection="1">
      <alignment horizontal="left"/>
      <protection locked="0"/>
    </xf>
    <xf numFmtId="0" fontId="61" fillId="10" borderId="96" xfId="0" applyNumberFormat="1" applyFont="1" applyFill="1" applyBorder="1"/>
    <xf numFmtId="0" fontId="61" fillId="10" borderId="97" xfId="0" applyNumberFormat="1" applyFont="1" applyFill="1" applyBorder="1" applyAlignment="1">
      <alignment horizontal="right"/>
    </xf>
    <xf numFmtId="0" fontId="61" fillId="4" borderId="98" xfId="0" applyNumberFormat="1" applyFont="1" applyFill="1" applyBorder="1"/>
    <xf numFmtId="0" fontId="61" fillId="4" borderId="70" xfId="0" applyNumberFormat="1" applyFont="1" applyFill="1" applyBorder="1"/>
    <xf numFmtId="0" fontId="72" fillId="4" borderId="92" xfId="0" applyNumberFormat="1" applyFont="1" applyFill="1" applyBorder="1" applyAlignment="1">
      <alignment horizontal="center"/>
    </xf>
    <xf numFmtId="0" fontId="72" fillId="4" borderId="0" xfId="0" applyNumberFormat="1" applyFont="1" applyFill="1" applyBorder="1" applyAlignment="1">
      <alignment horizontal="center"/>
    </xf>
    <xf numFmtId="0" fontId="72" fillId="4" borderId="99" xfId="0" applyNumberFormat="1" applyFont="1" applyFill="1" applyBorder="1" applyAlignment="1">
      <alignment horizontal="center"/>
    </xf>
    <xf numFmtId="0" fontId="72" fillId="4" borderId="93" xfId="0" applyNumberFormat="1" applyFont="1" applyFill="1" applyBorder="1" applyAlignment="1">
      <alignment horizontal="center"/>
    </xf>
    <xf numFmtId="0" fontId="72" fillId="4" borderId="100" xfId="0" applyNumberFormat="1" applyFont="1" applyFill="1" applyBorder="1" applyAlignment="1">
      <alignment horizontal="center"/>
    </xf>
    <xf numFmtId="0" fontId="72" fillId="4" borderId="101" xfId="0" applyNumberFormat="1" applyFont="1" applyFill="1" applyBorder="1" applyAlignment="1">
      <alignment horizontal="center"/>
    </xf>
    <xf numFmtId="0" fontId="72" fillId="4" borderId="94" xfId="0" applyNumberFormat="1" applyFont="1" applyFill="1" applyBorder="1" applyAlignment="1">
      <alignment horizontal="center"/>
    </xf>
    <xf numFmtId="0" fontId="72" fillId="4" borderId="102" xfId="0" applyNumberFormat="1" applyFont="1" applyFill="1" applyBorder="1" applyAlignment="1">
      <alignment horizontal="center"/>
    </xf>
    <xf numFmtId="0" fontId="72" fillId="4" borderId="103" xfId="0" applyNumberFormat="1" applyFont="1" applyFill="1" applyBorder="1" applyAlignment="1">
      <alignment horizontal="center"/>
    </xf>
    <xf numFmtId="0" fontId="72" fillId="4" borderId="95" xfId="0" applyNumberFormat="1" applyFont="1" applyFill="1" applyBorder="1" applyAlignment="1">
      <alignment horizontal="center"/>
    </xf>
    <xf numFmtId="0" fontId="72" fillId="4" borderId="104" xfId="0" applyNumberFormat="1" applyFont="1" applyFill="1" applyBorder="1" applyAlignment="1">
      <alignment horizontal="center"/>
    </xf>
    <xf numFmtId="0" fontId="72" fillId="4" borderId="105" xfId="0" applyNumberFormat="1" applyFont="1" applyFill="1" applyBorder="1" applyAlignment="1">
      <alignment horizontal="center"/>
    </xf>
    <xf numFmtId="0" fontId="72" fillId="4" borderId="0" xfId="0" applyNumberFormat="1" applyFont="1" applyFill="1" applyAlignment="1">
      <alignment horizontal="center"/>
    </xf>
    <xf numFmtId="0" fontId="61" fillId="4" borderId="0" xfId="0" applyNumberFormat="1" applyFont="1" applyFill="1" applyBorder="1"/>
    <xf numFmtId="0" fontId="72" fillId="4" borderId="70" xfId="0" applyNumberFormat="1" applyFont="1" applyFill="1" applyBorder="1"/>
    <xf numFmtId="0" fontId="72" fillId="4" borderId="77" xfId="0" applyNumberFormat="1" applyFont="1" applyFill="1" applyBorder="1"/>
    <xf numFmtId="5" fontId="72" fillId="4" borderId="77" xfId="0" applyNumberFormat="1" applyFont="1" applyFill="1" applyBorder="1"/>
    <xf numFmtId="171" fontId="72" fillId="4" borderId="77" xfId="0" applyNumberFormat="1" applyFont="1" applyFill="1" applyBorder="1"/>
    <xf numFmtId="37" fontId="72" fillId="4" borderId="77" xfId="0" applyNumberFormat="1" applyFont="1" applyFill="1" applyBorder="1"/>
    <xf numFmtId="5" fontId="72" fillId="10" borderId="77" xfId="0" applyNumberFormat="1" applyFont="1" applyFill="1" applyBorder="1"/>
    <xf numFmtId="171" fontId="72" fillId="4" borderId="92" xfId="0" applyNumberFormat="1" applyFont="1" applyFill="1" applyBorder="1"/>
    <xf numFmtId="171" fontId="72" fillId="4" borderId="0" xfId="0" applyNumberFormat="1" applyFont="1" applyFill="1" applyBorder="1"/>
    <xf numFmtId="37" fontId="57" fillId="4" borderId="0" xfId="0" applyNumberFormat="1" applyFont="1" applyFill="1" applyBorder="1"/>
    <xf numFmtId="37" fontId="61" fillId="2" borderId="0" xfId="0" applyNumberFormat="1" applyFont="1" applyFill="1"/>
    <xf numFmtId="0" fontId="72" fillId="4" borderId="93" xfId="0" applyNumberFormat="1" applyFont="1" applyFill="1" applyBorder="1"/>
    <xf numFmtId="0" fontId="72" fillId="4" borderId="0" xfId="0" applyNumberFormat="1" applyFont="1" applyFill="1" applyBorder="1"/>
    <xf numFmtId="5" fontId="72" fillId="4" borderId="0" xfId="0" applyNumberFormat="1" applyFont="1" applyFill="1" applyBorder="1"/>
    <xf numFmtId="37" fontId="72" fillId="4" borderId="0" xfId="0" applyNumberFormat="1" applyFont="1" applyFill="1" applyBorder="1"/>
    <xf numFmtId="5" fontId="72" fillId="10" borderId="0" xfId="0" applyNumberFormat="1" applyFont="1" applyFill="1" applyBorder="1"/>
    <xf numFmtId="171" fontId="72" fillId="4" borderId="94" xfId="0" applyNumberFormat="1" applyFont="1" applyFill="1" applyBorder="1"/>
    <xf numFmtId="37" fontId="61" fillId="0" borderId="0" xfId="0" applyNumberFormat="1" applyFont="1" applyFill="1"/>
    <xf numFmtId="5" fontId="57" fillId="4" borderId="0" xfId="0" applyNumberFormat="1" applyFont="1" applyFill="1" applyBorder="1"/>
    <xf numFmtId="5" fontId="61" fillId="2" borderId="0" xfId="0" applyNumberFormat="1" applyFont="1" applyFill="1"/>
    <xf numFmtId="5" fontId="72" fillId="4" borderId="75" xfId="0" applyNumberFormat="1" applyFont="1" applyFill="1" applyBorder="1"/>
    <xf numFmtId="171" fontId="72" fillId="4" borderId="75" xfId="0" applyNumberFormat="1" applyFont="1" applyFill="1" applyBorder="1"/>
    <xf numFmtId="37" fontId="72" fillId="4" borderId="75" xfId="0" applyNumberFormat="1" applyFont="1" applyFill="1" applyBorder="1"/>
    <xf numFmtId="5" fontId="61" fillId="0" borderId="0" xfId="0" applyNumberFormat="1" applyFont="1" applyFill="1"/>
    <xf numFmtId="0" fontId="72" fillId="4" borderId="71" xfId="0" applyNumberFormat="1" applyFont="1" applyFill="1" applyBorder="1"/>
    <xf numFmtId="0" fontId="72" fillId="4" borderId="76" xfId="0" applyNumberFormat="1" applyFont="1" applyFill="1" applyBorder="1"/>
    <xf numFmtId="5" fontId="57" fillId="4" borderId="76" xfId="0" applyNumberFormat="1" applyFont="1" applyFill="1" applyBorder="1"/>
    <xf numFmtId="0" fontId="61" fillId="4" borderId="76" xfId="0" applyNumberFormat="1" applyFont="1" applyFill="1" applyBorder="1"/>
    <xf numFmtId="37" fontId="57" fillId="4" borderId="76" xfId="0" applyNumberFormat="1" applyFont="1" applyFill="1" applyBorder="1"/>
    <xf numFmtId="171" fontId="72" fillId="4" borderId="106" xfId="0" applyNumberFormat="1" applyFont="1" applyFill="1" applyBorder="1"/>
    <xf numFmtId="9" fontId="72" fillId="4" borderId="0" xfId="0" applyNumberFormat="1" applyFont="1" applyFill="1" applyBorder="1"/>
    <xf numFmtId="9" fontId="72" fillId="4" borderId="94" xfId="0" applyNumberFormat="1" applyFont="1" applyFill="1" applyBorder="1"/>
    <xf numFmtId="5" fontId="72" fillId="0" borderId="0" xfId="0" applyNumberFormat="1" applyFont="1" applyFill="1" applyBorder="1"/>
    <xf numFmtId="0" fontId="72" fillId="4" borderId="107" xfId="0" applyNumberFormat="1" applyFont="1" applyFill="1" applyBorder="1"/>
    <xf numFmtId="0" fontId="72" fillId="4" borderId="108" xfId="0" applyNumberFormat="1" applyFont="1" applyFill="1" applyBorder="1"/>
    <xf numFmtId="5" fontId="72" fillId="4" borderId="108" xfId="0" applyNumberFormat="1" applyFont="1" applyFill="1" applyBorder="1"/>
    <xf numFmtId="9" fontId="72" fillId="4" borderId="108" xfId="0" applyNumberFormat="1" applyFont="1" applyFill="1" applyBorder="1"/>
    <xf numFmtId="37" fontId="72" fillId="4" borderId="108" xfId="0" applyNumberFormat="1" applyFont="1" applyFill="1" applyBorder="1"/>
    <xf numFmtId="171" fontId="72" fillId="4" borderId="108" xfId="0" applyNumberFormat="1" applyFont="1" applyFill="1" applyBorder="1"/>
    <xf numFmtId="171" fontId="72" fillId="4" borderId="109" xfId="0" applyNumberFormat="1" applyFont="1" applyFill="1" applyBorder="1"/>
    <xf numFmtId="171" fontId="61" fillId="4" borderId="76" xfId="0" applyNumberFormat="1" applyFont="1" applyFill="1" applyBorder="1"/>
    <xf numFmtId="5" fontId="57" fillId="0" borderId="76" xfId="0" applyNumberFormat="1" applyFont="1" applyFill="1" applyBorder="1"/>
    <xf numFmtId="5" fontId="72" fillId="4" borderId="76" xfId="0" applyNumberFormat="1" applyFont="1" applyFill="1" applyBorder="1"/>
    <xf numFmtId="9" fontId="72" fillId="4" borderId="76" xfId="0" applyNumberFormat="1" applyFont="1" applyFill="1" applyBorder="1"/>
    <xf numFmtId="171" fontId="72" fillId="4" borderId="76" xfId="0" applyNumberFormat="1" applyFont="1" applyFill="1" applyBorder="1"/>
    <xf numFmtId="37" fontId="72" fillId="4" borderId="76" xfId="0" applyNumberFormat="1" applyFont="1" applyFill="1" applyBorder="1"/>
    <xf numFmtId="0" fontId="72" fillId="4" borderId="95" xfId="0" applyNumberFormat="1" applyFont="1" applyFill="1" applyBorder="1"/>
    <xf numFmtId="0" fontId="72" fillId="4" borderId="96" xfId="0" applyNumberFormat="1" applyFont="1" applyFill="1" applyBorder="1"/>
    <xf numFmtId="5" fontId="72" fillId="4" borderId="96" xfId="0" applyNumberFormat="1" applyFont="1" applyFill="1" applyBorder="1"/>
    <xf numFmtId="9" fontId="72" fillId="4" borderId="96" xfId="0" applyNumberFormat="1" applyFont="1" applyFill="1" applyBorder="1"/>
    <xf numFmtId="37" fontId="72" fillId="4" borderId="96" xfId="0" applyNumberFormat="1" applyFont="1" applyFill="1" applyBorder="1"/>
    <xf numFmtId="171" fontId="72" fillId="4" borderId="96" xfId="0" applyNumberFormat="1" applyFont="1" applyFill="1" applyBorder="1"/>
    <xf numFmtId="5" fontId="72" fillId="0" borderId="96" xfId="0" applyNumberFormat="1" applyFont="1" applyFill="1" applyBorder="1"/>
    <xf numFmtId="171" fontId="72" fillId="4" borderId="103" xfId="0" applyNumberFormat="1" applyFont="1" applyFill="1" applyBorder="1"/>
    <xf numFmtId="5" fontId="72" fillId="4" borderId="0" xfId="0" applyNumberFormat="1" applyFont="1" applyFill="1"/>
    <xf numFmtId="9" fontId="72" fillId="4" borderId="0" xfId="0" applyNumberFormat="1" applyFont="1" applyFill="1"/>
    <xf numFmtId="37" fontId="72" fillId="4" borderId="0" xfId="0" applyNumberFormat="1" applyFont="1" applyFill="1"/>
    <xf numFmtId="171" fontId="72" fillId="4" borderId="0" xfId="0" applyNumberFormat="1" applyFont="1" applyFill="1"/>
    <xf numFmtId="5" fontId="72" fillId="0" borderId="0" xfId="0" applyNumberFormat="1" applyFont="1" applyFill="1"/>
    <xf numFmtId="5" fontId="57" fillId="0" borderId="0" xfId="0" applyNumberFormat="1" applyFont="1" applyFill="1" applyBorder="1"/>
    <xf numFmtId="0" fontId="68" fillId="4" borderId="110" xfId="0" applyNumberFormat="1" applyFont="1" applyFill="1" applyBorder="1" applyAlignment="1">
      <alignment horizontal="left"/>
    </xf>
    <xf numFmtId="0" fontId="68" fillId="4" borderId="111" xfId="0" applyNumberFormat="1" applyFont="1" applyFill="1" applyBorder="1" applyAlignment="1">
      <alignment horizontal="left"/>
    </xf>
    <xf numFmtId="5" fontId="68" fillId="0" borderId="111" xfId="0" applyNumberFormat="1" applyFont="1" applyFill="1" applyBorder="1"/>
    <xf numFmtId="9" fontId="72" fillId="0" borderId="111" xfId="0" applyNumberFormat="1" applyFont="1" applyFill="1" applyBorder="1"/>
    <xf numFmtId="37" fontId="68" fillId="0" borderId="111" xfId="0" applyNumberFormat="1" applyFont="1" applyFill="1" applyBorder="1"/>
    <xf numFmtId="9" fontId="72" fillId="4" borderId="111" xfId="0" applyNumberFormat="1" applyFont="1" applyFill="1" applyBorder="1"/>
    <xf numFmtId="5" fontId="81" fillId="10" borderId="112" xfId="0" applyNumberFormat="1" applyFont="1" applyFill="1" applyBorder="1"/>
    <xf numFmtId="9" fontId="72" fillId="4" borderId="113" xfId="0" applyNumberFormat="1" applyFont="1" applyFill="1" applyBorder="1"/>
    <xf numFmtId="171" fontId="72" fillId="4" borderId="114" xfId="0" applyNumberFormat="1" applyFont="1" applyFill="1" applyBorder="1"/>
    <xf numFmtId="0" fontId="72" fillId="0" borderId="115" xfId="0" applyNumberFormat="1" applyFont="1" applyFill="1" applyBorder="1" applyAlignment="1">
      <alignment horizontal="left"/>
    </xf>
    <xf numFmtId="5" fontId="68" fillId="0" borderId="0" xfId="0" applyNumberFormat="1" applyFont="1" applyFill="1" applyBorder="1" applyAlignment="1">
      <alignment horizontal="right"/>
    </xf>
    <xf numFmtId="9" fontId="72" fillId="0" borderId="0" xfId="0" applyNumberFormat="1" applyFont="1" applyFill="1" applyBorder="1"/>
    <xf numFmtId="0" fontId="72" fillId="0" borderId="116" xfId="0" applyNumberFormat="1" applyFont="1" applyFill="1" applyBorder="1" applyAlignment="1">
      <alignment horizontal="right"/>
    </xf>
    <xf numFmtId="5" fontId="68" fillId="0" borderId="0" xfId="0" applyNumberFormat="1" applyFont="1" applyFill="1" applyBorder="1" applyAlignment="1">
      <alignment horizontal="left"/>
    </xf>
    <xf numFmtId="9" fontId="72" fillId="0" borderId="117" xfId="0" applyNumberFormat="1" applyFont="1" applyFill="1" applyBorder="1"/>
    <xf numFmtId="5" fontId="61" fillId="4" borderId="0" xfId="0" applyNumberFormat="1" applyFont="1" applyFill="1"/>
    <xf numFmtId="0" fontId="61" fillId="2" borderId="0" xfId="0" applyNumberFormat="1" applyFont="1" applyFill="1" applyBorder="1"/>
    <xf numFmtId="0" fontId="61" fillId="2" borderId="8" xfId="0" applyNumberFormat="1" applyFont="1" applyFill="1" applyBorder="1"/>
    <xf numFmtId="0" fontId="61" fillId="2" borderId="59" xfId="0" applyNumberFormat="1" applyFont="1" applyFill="1" applyBorder="1"/>
    <xf numFmtId="0" fontId="72" fillId="4" borderId="56" xfId="0" applyNumberFormat="1" applyFont="1" applyFill="1" applyBorder="1" applyAlignment="1">
      <alignment horizontal="left"/>
    </xf>
    <xf numFmtId="0" fontId="68" fillId="4" borderId="0" xfId="0" applyNumberFormat="1" applyFont="1" applyFill="1" applyBorder="1" applyAlignment="1">
      <alignment horizontal="left"/>
    </xf>
    <xf numFmtId="37" fontId="57" fillId="2" borderId="0" xfId="0" applyNumberFormat="1" applyFont="1" applyFill="1" applyBorder="1"/>
    <xf numFmtId="0" fontId="57" fillId="2" borderId="0" xfId="0" applyNumberFormat="1" applyFont="1" applyFill="1" applyBorder="1"/>
    <xf numFmtId="5" fontId="57" fillId="2" borderId="0" xfId="0" applyNumberFormat="1" applyFont="1" applyFill="1" applyBorder="1"/>
    <xf numFmtId="0" fontId="61" fillId="2" borderId="61" xfId="0" applyNumberFormat="1" applyFont="1" applyFill="1" applyBorder="1"/>
    <xf numFmtId="0" fontId="58" fillId="2" borderId="63" xfId="0" applyNumberFormat="1" applyFont="1" applyFill="1" applyBorder="1"/>
    <xf numFmtId="0" fontId="61" fillId="2" borderId="24" xfId="0" applyNumberFormat="1" applyFont="1" applyFill="1" applyBorder="1"/>
    <xf numFmtId="5" fontId="65" fillId="5" borderId="118" xfId="0" applyNumberFormat="1" applyFont="1" applyFill="1" applyBorder="1"/>
    <xf numFmtId="0" fontId="61" fillId="2" borderId="64" xfId="0" applyNumberFormat="1" applyFont="1" applyFill="1" applyBorder="1"/>
    <xf numFmtId="0" fontId="57" fillId="0" borderId="66" xfId="0" applyNumberFormat="1" applyFont="1" applyFill="1" applyBorder="1" applyAlignment="1">
      <alignment horizontal="left"/>
    </xf>
    <xf numFmtId="0" fontId="61" fillId="0" borderId="62" xfId="0" applyNumberFormat="1" applyFont="1" applyFill="1" applyBorder="1"/>
    <xf numFmtId="5" fontId="68" fillId="0" borderId="62" xfId="0" applyNumberFormat="1" applyFont="1" applyFill="1" applyBorder="1" applyAlignment="1">
      <alignment horizontal="right"/>
    </xf>
    <xf numFmtId="0" fontId="57" fillId="0" borderId="24" xfId="0" applyNumberFormat="1" applyFont="1" applyFill="1" applyBorder="1" applyAlignment="1">
      <alignment horizontal="right"/>
    </xf>
    <xf numFmtId="5" fontId="68" fillId="0" borderId="62" xfId="0" applyNumberFormat="1" applyFont="1" applyFill="1" applyBorder="1" applyAlignment="1">
      <alignment horizontal="left"/>
    </xf>
    <xf numFmtId="0" fontId="61" fillId="0" borderId="65" xfId="0" applyNumberFormat="1" applyFont="1" applyFill="1" applyBorder="1"/>
    <xf numFmtId="0" fontId="57" fillId="2" borderId="66" xfId="0" applyNumberFormat="1" applyFont="1" applyFill="1" applyBorder="1"/>
    <xf numFmtId="3" fontId="61" fillId="2" borderId="62" xfId="0" applyNumberFormat="1" applyFont="1" applyFill="1" applyBorder="1"/>
    <xf numFmtId="3" fontId="57" fillId="2" borderId="62" xfId="0" applyNumberFormat="1" applyFont="1" applyFill="1" applyBorder="1"/>
    <xf numFmtId="0" fontId="57" fillId="2" borderId="62" xfId="0" applyNumberFormat="1" applyFont="1" applyFill="1" applyBorder="1"/>
    <xf numFmtId="175" fontId="57" fillId="2" borderId="62" xfId="0" applyNumberFormat="1" applyFont="1" applyFill="1" applyBorder="1"/>
    <xf numFmtId="0" fontId="61" fillId="2" borderId="62" xfId="0" applyNumberFormat="1" applyFont="1" applyFill="1" applyBorder="1"/>
    <xf numFmtId="5" fontId="72" fillId="0" borderId="62" xfId="0" applyNumberFormat="1" applyFont="1" applyFill="1" applyBorder="1"/>
    <xf numFmtId="5" fontId="68" fillId="0" borderId="0" xfId="0" applyNumberFormat="1" applyFont="1" applyFill="1" applyBorder="1"/>
    <xf numFmtId="0" fontId="61" fillId="4" borderId="77" xfId="0" applyNumberFormat="1" applyFont="1" applyFill="1" applyBorder="1"/>
    <xf numFmtId="0" fontId="72" fillId="4" borderId="77" xfId="0" applyNumberFormat="1" applyFont="1" applyFill="1" applyBorder="1" applyAlignment="1">
      <alignment horizontal="right"/>
    </xf>
    <xf numFmtId="0" fontId="72" fillId="4" borderId="76" xfId="0" applyNumberFormat="1" applyFont="1" applyFill="1" applyBorder="1" applyAlignment="1" applyProtection="1">
      <alignment horizontal="center"/>
      <protection locked="0"/>
    </xf>
    <xf numFmtId="0" fontId="72" fillId="10" borderId="76" xfId="0" applyNumberFormat="1" applyFont="1" applyFill="1" applyBorder="1" applyProtection="1">
      <protection locked="0"/>
    </xf>
    <xf numFmtId="0" fontId="72" fillId="0" borderId="76" xfId="0" applyNumberFormat="1" applyFont="1" applyFill="1" applyBorder="1" applyProtection="1">
      <protection locked="0"/>
    </xf>
    <xf numFmtId="0" fontId="72" fillId="0" borderId="106" xfId="0" applyNumberFormat="1" applyFont="1" applyFill="1" applyBorder="1"/>
    <xf numFmtId="0" fontId="72" fillId="0" borderId="0" xfId="0" applyNumberFormat="1" applyFont="1" applyFill="1" applyBorder="1"/>
    <xf numFmtId="7" fontId="72" fillId="10" borderId="0" xfId="0" applyNumberFormat="1" applyFont="1" applyFill="1" applyBorder="1" applyProtection="1">
      <protection locked="0"/>
    </xf>
    <xf numFmtId="0" fontId="72" fillId="4" borderId="0" xfId="0" applyNumberFormat="1" applyFont="1" applyFill="1" applyBorder="1" applyAlignment="1">
      <alignment horizontal="right"/>
    </xf>
    <xf numFmtId="0" fontId="72" fillId="4" borderId="96" xfId="0" applyNumberFormat="1" applyFont="1" applyFill="1" applyBorder="1" applyAlignment="1" applyProtection="1">
      <alignment horizontal="center"/>
      <protection locked="0"/>
    </xf>
    <xf numFmtId="0" fontId="72" fillId="10" borderId="96" xfId="0" applyNumberFormat="1" applyFont="1" applyFill="1" applyBorder="1" applyProtection="1">
      <protection locked="0"/>
    </xf>
    <xf numFmtId="0" fontId="72" fillId="0" borderId="96" xfId="0" applyNumberFormat="1" applyFont="1" applyFill="1" applyBorder="1" applyProtection="1">
      <protection locked="0"/>
    </xf>
    <xf numFmtId="0" fontId="72" fillId="0" borderId="103" xfId="0" applyNumberFormat="1" applyFont="1" applyFill="1" applyBorder="1"/>
    <xf numFmtId="0" fontId="72" fillId="10" borderId="0" xfId="0" applyNumberFormat="1" applyFont="1" applyFill="1" applyBorder="1" applyAlignment="1" applyProtection="1">
      <alignment horizontal="right"/>
      <protection locked="0"/>
    </xf>
    <xf numFmtId="172" fontId="72" fillId="4" borderId="96" xfId="0" applyNumberFormat="1" applyFont="1" applyFill="1" applyBorder="1" applyProtection="1">
      <protection locked="0"/>
    </xf>
    <xf numFmtId="0" fontId="61" fillId="4" borderId="96" xfId="0" applyNumberFormat="1" applyFont="1" applyFill="1" applyBorder="1"/>
    <xf numFmtId="0" fontId="72" fillId="4" borderId="96" xfId="0" applyNumberFormat="1" applyFont="1" applyFill="1" applyBorder="1" applyAlignment="1">
      <alignment horizontal="right"/>
    </xf>
    <xf numFmtId="5" fontId="61" fillId="4" borderId="0" xfId="0" applyNumberFormat="1" applyFont="1" applyFill="1" applyBorder="1"/>
    <xf numFmtId="7" fontId="61" fillId="2" borderId="0" xfId="0" applyNumberFormat="1" applyFont="1" applyFill="1"/>
    <xf numFmtId="0" fontId="61" fillId="4" borderId="1" xfId="0" applyNumberFormat="1" applyFont="1" applyFill="1" applyBorder="1"/>
    <xf numFmtId="0" fontId="61" fillId="2" borderId="2" xfId="0" applyNumberFormat="1" applyFont="1" applyFill="1" applyBorder="1"/>
    <xf numFmtId="5" fontId="61" fillId="0" borderId="106" xfId="0" applyNumberFormat="1" applyFont="1" applyFill="1" applyBorder="1"/>
    <xf numFmtId="0" fontId="61" fillId="4" borderId="93" xfId="0" applyNumberFormat="1" applyFont="1" applyFill="1" applyBorder="1"/>
    <xf numFmtId="0" fontId="67" fillId="4" borderId="0" xfId="0" applyNumberFormat="1" applyFont="1" applyFill="1" applyBorder="1" applyAlignment="1">
      <alignment vertical="center"/>
    </xf>
    <xf numFmtId="0" fontId="67" fillId="4" borderId="0" xfId="0" applyNumberFormat="1" applyFont="1" applyFill="1" applyBorder="1" applyAlignment="1">
      <alignment horizontal="left" vertical="center"/>
    </xf>
    <xf numFmtId="0" fontId="69" fillId="4" borderId="0" xfId="0" applyNumberFormat="1" applyFont="1" applyFill="1" applyBorder="1" applyAlignment="1">
      <alignment horizontal="center" vertical="center"/>
    </xf>
    <xf numFmtId="0" fontId="61" fillId="4" borderId="0" xfId="0" applyNumberFormat="1" applyFont="1" applyFill="1" applyBorder="1" applyAlignment="1">
      <alignment horizontal="centerContinuous"/>
    </xf>
    <xf numFmtId="4" fontId="66" fillId="4" borderId="0" xfId="0" applyNumberFormat="1" applyFont="1" applyFill="1" applyBorder="1" applyAlignment="1">
      <alignment horizontal="centerContinuous"/>
    </xf>
    <xf numFmtId="2" fontId="61" fillId="4" borderId="0" xfId="0" applyNumberFormat="1" applyFont="1" applyFill="1" applyBorder="1" applyAlignment="1">
      <alignment horizontal="centerContinuous"/>
    </xf>
    <xf numFmtId="0" fontId="71" fillId="4" borderId="0" xfId="0" applyNumberFormat="1" applyFont="1" applyFill="1" applyBorder="1" applyAlignment="1">
      <alignment vertical="center"/>
    </xf>
    <xf numFmtId="0" fontId="69" fillId="4" borderId="0" xfId="0" applyNumberFormat="1" applyFont="1" applyFill="1" applyBorder="1" applyAlignment="1">
      <alignment vertical="center"/>
    </xf>
    <xf numFmtId="4" fontId="68" fillId="4" borderId="0" xfId="0" applyNumberFormat="1" applyFont="1" applyFill="1" applyBorder="1" applyAlignment="1">
      <alignment horizontal="centerContinuous"/>
    </xf>
    <xf numFmtId="0" fontId="69" fillId="4" borderId="0" xfId="0" applyNumberFormat="1" applyFont="1" applyFill="1" applyBorder="1" applyAlignment="1">
      <alignment horizontal="centerContinuous"/>
    </xf>
    <xf numFmtId="2" fontId="69" fillId="4" borderId="0" xfId="0" applyNumberFormat="1" applyFont="1" applyFill="1" applyBorder="1" applyAlignment="1">
      <alignment horizontal="centerContinuous"/>
    </xf>
    <xf numFmtId="0" fontId="61" fillId="0" borderId="0" xfId="0" applyNumberFormat="1" applyFont="1" applyFill="1" applyBorder="1" applyAlignment="1">
      <alignment horizontal="center"/>
    </xf>
    <xf numFmtId="0" fontId="61" fillId="2" borderId="0" xfId="0" applyNumberFormat="1" applyFont="1" applyFill="1" applyBorder="1" applyAlignment="1">
      <alignment horizontal="center"/>
    </xf>
    <xf numFmtId="0" fontId="72" fillId="4" borderId="0" xfId="0" applyNumberFormat="1" applyFont="1" applyFill="1" applyBorder="1" applyAlignment="1">
      <alignment vertical="center"/>
    </xf>
    <xf numFmtId="0" fontId="69" fillId="4" borderId="0" xfId="0" applyNumberFormat="1" applyFont="1" applyFill="1" applyBorder="1" applyAlignment="1">
      <alignment horizontal="centerContinuous" vertical="center"/>
    </xf>
    <xf numFmtId="4" fontId="69" fillId="4" borderId="0" xfId="0" applyNumberFormat="1" applyFont="1" applyFill="1" applyBorder="1" applyAlignment="1">
      <alignment horizontal="centerContinuous"/>
    </xf>
    <xf numFmtId="2" fontId="69" fillId="4" borderId="0" xfId="0" applyNumberFormat="1" applyFont="1" applyFill="1" applyBorder="1" applyAlignment="1">
      <alignment horizontal="centerContinuous" vertical="center"/>
    </xf>
    <xf numFmtId="164" fontId="57" fillId="4" borderId="0" xfId="0" applyNumberFormat="1" applyFont="1" applyFill="1" applyBorder="1"/>
    <xf numFmtId="4" fontId="61" fillId="2" borderId="0" xfId="0" applyNumberFormat="1" applyFont="1" applyFill="1" applyBorder="1"/>
    <xf numFmtId="0" fontId="72" fillId="4" borderId="0" xfId="0" applyNumberFormat="1" applyFont="1" applyFill="1" applyBorder="1" applyAlignment="1">
      <alignment horizontal="centerContinuous"/>
    </xf>
    <xf numFmtId="0" fontId="69" fillId="4" borderId="0" xfId="0" applyNumberFormat="1" applyFont="1" applyFill="1" applyBorder="1" applyAlignment="1">
      <alignment horizontal="right" vertical="center"/>
    </xf>
    <xf numFmtId="164" fontId="72" fillId="4" borderId="0" xfId="0" applyNumberFormat="1" applyFont="1" applyFill="1" applyBorder="1"/>
    <xf numFmtId="4" fontId="61" fillId="4" borderId="0" xfId="0" applyNumberFormat="1" applyFont="1" applyFill="1" applyBorder="1"/>
    <xf numFmtId="2" fontId="61" fillId="4" borderId="0" xfId="0" applyNumberFormat="1" applyFont="1" applyFill="1" applyBorder="1"/>
    <xf numFmtId="0" fontId="72" fillId="6" borderId="0" xfId="0" applyNumberFormat="1" applyFont="1" applyFill="1" applyBorder="1" applyAlignment="1">
      <alignment horizontal="center" vertical="center"/>
    </xf>
    <xf numFmtId="0" fontId="72" fillId="6" borderId="4" xfId="0" applyNumberFormat="1" applyFont="1" applyFill="1" applyBorder="1" applyAlignment="1">
      <alignment horizontal="centerContinuous" vertical="center"/>
    </xf>
    <xf numFmtId="0" fontId="61" fillId="11" borderId="0" xfId="0" applyNumberFormat="1" applyFont="1" applyFill="1"/>
    <xf numFmtId="0" fontId="72" fillId="6" borderId="0" xfId="0" applyNumberFormat="1" applyFont="1" applyFill="1" applyBorder="1" applyAlignment="1">
      <alignment vertical="center"/>
    </xf>
    <xf numFmtId="0" fontId="61" fillId="11" borderId="119" xfId="0" applyNumberFormat="1" applyFont="1" applyFill="1" applyBorder="1" applyAlignment="1">
      <alignment horizontal="center" vertical="center"/>
    </xf>
    <xf numFmtId="0" fontId="72" fillId="6" borderId="9" xfId="0" applyNumberFormat="1" applyFont="1" applyFill="1" applyBorder="1" applyAlignment="1">
      <alignment horizontal="center" vertical="center"/>
    </xf>
    <xf numFmtId="0" fontId="72" fillId="6" borderId="55" xfId="0" applyNumberFormat="1" applyFont="1" applyFill="1" applyBorder="1" applyAlignment="1">
      <alignment horizontal="centerContinuous" vertical="center"/>
    </xf>
    <xf numFmtId="0" fontId="69" fillId="6" borderId="119" xfId="0" applyNumberFormat="1" applyFont="1" applyFill="1" applyBorder="1" applyAlignment="1">
      <alignment horizontal="center" vertical="center"/>
    </xf>
    <xf numFmtId="0" fontId="71" fillId="6" borderId="10" xfId="0" applyNumberFormat="1" applyFont="1" applyFill="1" applyBorder="1" applyAlignment="1">
      <alignment horizontal="center" vertical="center"/>
    </xf>
    <xf numFmtId="0" fontId="71" fillId="6" borderId="11" xfId="0" applyNumberFormat="1" applyFont="1" applyFill="1" applyBorder="1" applyAlignment="1">
      <alignment horizontal="center" vertical="center"/>
    </xf>
    <xf numFmtId="0" fontId="72" fillId="6" borderId="9" xfId="0" applyNumberFormat="1" applyFont="1" applyFill="1" applyBorder="1" applyAlignment="1">
      <alignment vertical="center"/>
    </xf>
    <xf numFmtId="0" fontId="72" fillId="0" borderId="6" xfId="0" applyNumberFormat="1" applyFont="1" applyFill="1" applyBorder="1" applyAlignment="1">
      <alignment horizontal="center"/>
    </xf>
    <xf numFmtId="0" fontId="72" fillId="0" borderId="12" xfId="0" applyNumberFormat="1" applyFont="1" applyFill="1" applyBorder="1" applyAlignment="1">
      <alignment horizontal="center"/>
    </xf>
    <xf numFmtId="0" fontId="61" fillId="2" borderId="12" xfId="0" applyNumberFormat="1" applyFont="1" applyFill="1" applyBorder="1"/>
    <xf numFmtId="0" fontId="69" fillId="0" borderId="12" xfId="0" applyNumberFormat="1" applyFont="1" applyFill="1" applyBorder="1" applyAlignment="1">
      <alignment horizontal="center"/>
    </xf>
    <xf numFmtId="0" fontId="72" fillId="0" borderId="12" xfId="0" applyNumberFormat="1" applyFont="1" applyFill="1" applyBorder="1"/>
    <xf numFmtId="0" fontId="61" fillId="0" borderId="12" xfId="0" applyNumberFormat="1" applyFont="1" applyFill="1" applyBorder="1"/>
    <xf numFmtId="4" fontId="61" fillId="0" borderId="12" xfId="0" applyNumberFormat="1" applyFont="1" applyFill="1" applyBorder="1"/>
    <xf numFmtId="2" fontId="61" fillId="0" borderId="12" xfId="0" applyNumberFormat="1" applyFont="1" applyFill="1" applyBorder="1"/>
    <xf numFmtId="37" fontId="61" fillId="0" borderId="12" xfId="0" applyNumberFormat="1" applyFont="1" applyFill="1" applyBorder="1"/>
    <xf numFmtId="37" fontId="69" fillId="0" borderId="12" xfId="0" applyNumberFormat="1" applyFont="1" applyFill="1" applyBorder="1" applyAlignment="1">
      <alignment horizontal="right"/>
    </xf>
    <xf numFmtId="5" fontId="61" fillId="0" borderId="12" xfId="0" applyNumberFormat="1" applyFont="1" applyFill="1" applyBorder="1"/>
    <xf numFmtId="5" fontId="61" fillId="0" borderId="13" xfId="0" applyNumberFormat="1" applyFont="1" applyFill="1" applyBorder="1"/>
    <xf numFmtId="0" fontId="72" fillId="0" borderId="14" xfId="0" applyNumberFormat="1" applyFont="1" applyFill="1" applyBorder="1" applyAlignment="1">
      <alignment horizontal="center"/>
    </xf>
    <xf numFmtId="0" fontId="61" fillId="2" borderId="14" xfId="0" applyNumberFormat="1" applyFont="1" applyFill="1" applyBorder="1"/>
    <xf numFmtId="0" fontId="69" fillId="0" borderId="14" xfId="0" applyNumberFormat="1" applyFont="1" applyFill="1" applyBorder="1" applyAlignment="1">
      <alignment horizontal="center"/>
    </xf>
    <xf numFmtId="0" fontId="72" fillId="0" borderId="14" xfId="0" applyNumberFormat="1" applyFont="1" applyFill="1" applyBorder="1"/>
    <xf numFmtId="0" fontId="61" fillId="0" borderId="14" xfId="0" applyNumberFormat="1" applyFont="1" applyFill="1" applyBorder="1"/>
    <xf numFmtId="4" fontId="61" fillId="0" borderId="14" xfId="0" applyNumberFormat="1" applyFont="1" applyFill="1" applyBorder="1"/>
    <xf numFmtId="2" fontId="61" fillId="0" borderId="14" xfId="0" applyNumberFormat="1" applyFont="1" applyFill="1" applyBorder="1"/>
    <xf numFmtId="37" fontId="61" fillId="0" borderId="14" xfId="0" applyNumberFormat="1" applyFont="1" applyFill="1" applyBorder="1"/>
    <xf numFmtId="37" fontId="69" fillId="0" borderId="14" xfId="0" applyNumberFormat="1" applyFont="1" applyFill="1" applyBorder="1" applyAlignment="1">
      <alignment horizontal="right"/>
    </xf>
    <xf numFmtId="5" fontId="61" fillId="0" borderId="14" xfId="0" applyNumberFormat="1" applyFont="1" applyFill="1" applyBorder="1"/>
    <xf numFmtId="0" fontId="61" fillId="0" borderId="13" xfId="0" applyNumberFormat="1" applyFont="1" applyFill="1" applyBorder="1" applyAlignment="1">
      <alignment horizontal="center"/>
    </xf>
    <xf numFmtId="0" fontId="61" fillId="0" borderId="6" xfId="0" applyNumberFormat="1" applyFont="1" applyFill="1" applyBorder="1" applyAlignment="1">
      <alignment horizontal="center"/>
    </xf>
    <xf numFmtId="0" fontId="61" fillId="0" borderId="15" xfId="0" applyNumberFormat="1" applyFont="1" applyFill="1" applyBorder="1" applyAlignment="1">
      <alignment horizontal="center"/>
    </xf>
    <xf numFmtId="0" fontId="61" fillId="0" borderId="6" xfId="0" applyNumberFormat="1" applyFont="1" applyFill="1" applyBorder="1"/>
    <xf numFmtId="166" fontId="61" fillId="0" borderId="6" xfId="0" applyNumberFormat="1" applyFont="1" applyFill="1" applyBorder="1"/>
    <xf numFmtId="169" fontId="61" fillId="0" borderId="6" xfId="0" applyNumberFormat="1" applyFont="1" applyFill="1" applyBorder="1"/>
    <xf numFmtId="38" fontId="69" fillId="0" borderId="6" xfId="0" applyNumberFormat="1" applyFont="1" applyFill="1" applyBorder="1" applyAlignment="1">
      <alignment horizontal="center"/>
    </xf>
    <xf numFmtId="0" fontId="69" fillId="0" borderId="6" xfId="0" applyNumberFormat="1" applyFont="1" applyFill="1" applyBorder="1" applyAlignment="1">
      <alignment horizontal="center"/>
    </xf>
    <xf numFmtId="2" fontId="61" fillId="0" borderId="6" xfId="0" applyNumberFormat="1" applyFont="1" applyFill="1" applyBorder="1"/>
    <xf numFmtId="37" fontId="61" fillId="0" borderId="6" xfId="0" applyNumberFormat="1" applyFont="1" applyFill="1" applyBorder="1"/>
    <xf numFmtId="39" fontId="61" fillId="0" borderId="6" xfId="0" applyNumberFormat="1" applyFont="1" applyFill="1" applyBorder="1"/>
    <xf numFmtId="37" fontId="69" fillId="0" borderId="6" xfId="0" applyNumberFormat="1" applyFont="1" applyFill="1" applyBorder="1" applyAlignment="1">
      <alignment horizontal="right"/>
    </xf>
    <xf numFmtId="5" fontId="61" fillId="0" borderId="6" xfId="0" applyNumberFormat="1" applyFont="1" applyFill="1" applyBorder="1"/>
    <xf numFmtId="5" fontId="61" fillId="0" borderId="15" xfId="0" applyNumberFormat="1" applyFont="1" applyFill="1" applyBorder="1"/>
    <xf numFmtId="166" fontId="61" fillId="0" borderId="17" xfId="0" applyNumberFormat="1" applyFont="1" applyFill="1" applyBorder="1"/>
    <xf numFmtId="0" fontId="61" fillId="0" borderId="17" xfId="0" applyNumberFormat="1" applyFont="1" applyFill="1" applyBorder="1" applyAlignment="1">
      <alignment horizontal="center"/>
    </xf>
    <xf numFmtId="0" fontId="61" fillId="0" borderId="17" xfId="0" applyNumberFormat="1" applyFont="1" applyFill="1" applyBorder="1"/>
    <xf numFmtId="2" fontId="61" fillId="0" borderId="17" xfId="0" applyNumberFormat="1" applyFont="1" applyFill="1" applyBorder="1"/>
    <xf numFmtId="37" fontId="61" fillId="0" borderId="17" xfId="0" applyNumberFormat="1" applyFont="1" applyFill="1" applyBorder="1"/>
    <xf numFmtId="37" fontId="61" fillId="0" borderId="15" xfId="0" applyNumberFormat="1" applyFont="1" applyFill="1" applyBorder="1"/>
    <xf numFmtId="0" fontId="61" fillId="0" borderId="25" xfId="0" applyNumberFormat="1" applyFont="1" applyFill="1" applyBorder="1"/>
    <xf numFmtId="0" fontId="61" fillId="0" borderId="25" xfId="0" applyNumberFormat="1" applyFont="1" applyFill="1" applyBorder="1" applyAlignment="1">
      <alignment horizontal="center"/>
    </xf>
    <xf numFmtId="169" fontId="72" fillId="0" borderId="25" xfId="0" applyNumberFormat="1" applyFont="1" applyFill="1" applyBorder="1"/>
    <xf numFmtId="167" fontId="72" fillId="0" borderId="25" xfId="0" applyNumberFormat="1" applyFont="1" applyFill="1" applyBorder="1" applyAlignment="1">
      <alignment horizontal="center"/>
    </xf>
    <xf numFmtId="4" fontId="72" fillId="0" borderId="25" xfId="0" applyNumberFormat="1" applyFont="1" applyFill="1" applyBorder="1" applyProtection="1">
      <protection locked="0"/>
    </xf>
    <xf numFmtId="0" fontId="72" fillId="0" borderId="25" xfId="0" applyNumberFormat="1" applyFont="1" applyFill="1" applyBorder="1" applyProtection="1">
      <protection locked="0"/>
    </xf>
    <xf numFmtId="2" fontId="72" fillId="0" borderId="25" xfId="0" applyNumberFormat="1" applyFont="1" applyFill="1" applyBorder="1"/>
    <xf numFmtId="37" fontId="72" fillId="0" borderId="25" xfId="0" applyNumberFormat="1" applyFont="1" applyFill="1" applyBorder="1"/>
    <xf numFmtId="5" fontId="72" fillId="0" borderId="25" xfId="0" applyNumberFormat="1" applyFont="1" applyFill="1" applyBorder="1"/>
    <xf numFmtId="5" fontId="57" fillId="0" borderId="15" xfId="0" applyNumberFormat="1" applyFont="1" applyFill="1" applyBorder="1"/>
    <xf numFmtId="37" fontId="69" fillId="0" borderId="6" xfId="0" applyNumberFormat="1" applyFont="1" applyFill="1" applyBorder="1" applyAlignment="1">
      <alignment horizontal="center"/>
    </xf>
    <xf numFmtId="0" fontId="61" fillId="0" borderId="6" xfId="0" applyNumberFormat="1" applyFont="1" applyFill="1" applyBorder="1" applyProtection="1">
      <protection locked="0"/>
    </xf>
    <xf numFmtId="169" fontId="61" fillId="0" borderId="14" xfId="0" applyNumberFormat="1" applyFont="1" applyFill="1" applyBorder="1"/>
    <xf numFmtId="38" fontId="69" fillId="0" borderId="14" xfId="0" applyNumberFormat="1" applyFont="1" applyFill="1" applyBorder="1" applyAlignment="1">
      <alignment horizontal="center"/>
    </xf>
    <xf numFmtId="0" fontId="61" fillId="0" borderId="14" xfId="0" applyNumberFormat="1" applyFont="1" applyFill="1" applyBorder="1" applyProtection="1">
      <protection locked="0"/>
    </xf>
    <xf numFmtId="4" fontId="61" fillId="0" borderId="6" xfId="0" applyNumberFormat="1" applyFont="1" applyFill="1" applyBorder="1" applyProtection="1">
      <protection locked="0"/>
    </xf>
    <xf numFmtId="4" fontId="61" fillId="0" borderId="14" xfId="0" applyNumberFormat="1" applyFont="1" applyFill="1" applyBorder="1" applyProtection="1">
      <protection locked="0"/>
    </xf>
    <xf numFmtId="0" fontId="72" fillId="0" borderId="6" xfId="0" applyNumberFormat="1" applyFont="1" applyFill="1" applyBorder="1"/>
    <xf numFmtId="185" fontId="61" fillId="0" borderId="6" xfId="0" applyNumberFormat="1" applyFont="1" applyFill="1" applyBorder="1"/>
    <xf numFmtId="0" fontId="69" fillId="0" borderId="6" xfId="0" applyNumberFormat="1" applyFont="1" applyFill="1" applyBorder="1"/>
    <xf numFmtId="37" fontId="69" fillId="0" borderId="17" xfId="0" applyNumberFormat="1" applyFont="1" applyFill="1" applyBorder="1" applyAlignment="1">
      <alignment horizontal="right"/>
    </xf>
    <xf numFmtId="5" fontId="61" fillId="0" borderId="17" xfId="0" applyNumberFormat="1" applyFont="1" applyFill="1" applyBorder="1"/>
    <xf numFmtId="0" fontId="72" fillId="0" borderId="17" xfId="0" applyNumberFormat="1" applyFont="1" applyFill="1" applyBorder="1"/>
    <xf numFmtId="37" fontId="72" fillId="0" borderId="6" xfId="0" applyNumberFormat="1" applyFont="1" applyFill="1" applyBorder="1"/>
    <xf numFmtId="5" fontId="72" fillId="0" borderId="6" xfId="0" applyNumberFormat="1" applyFont="1" applyFill="1" applyBorder="1"/>
    <xf numFmtId="37" fontId="61" fillId="0" borderId="6" xfId="0" applyNumberFormat="1" applyFont="1" applyFill="1" applyBorder="1" applyProtection="1">
      <protection locked="0"/>
    </xf>
    <xf numFmtId="2" fontId="72" fillId="0" borderId="6" xfId="0" applyNumberFormat="1" applyFont="1" applyFill="1" applyBorder="1"/>
    <xf numFmtId="0" fontId="57" fillId="0" borderId="25" xfId="0" applyNumberFormat="1" applyFont="1" applyFill="1" applyBorder="1"/>
    <xf numFmtId="0" fontId="57" fillId="0" borderId="14" xfId="0" applyNumberFormat="1" applyFont="1" applyFill="1" applyBorder="1"/>
    <xf numFmtId="3" fontId="61" fillId="0" borderId="6" xfId="0" applyNumberFormat="1" applyFont="1" applyFill="1" applyBorder="1" applyProtection="1">
      <protection locked="0"/>
    </xf>
    <xf numFmtId="0" fontId="72" fillId="0" borderId="25" xfId="0" applyNumberFormat="1" applyFont="1" applyFill="1" applyBorder="1"/>
    <xf numFmtId="5" fontId="57" fillId="0" borderId="6" xfId="0" applyNumberFormat="1" applyFont="1" applyFill="1" applyBorder="1"/>
    <xf numFmtId="6" fontId="72" fillId="0" borderId="25" xfId="0" applyNumberFormat="1" applyFont="1" applyFill="1" applyBorder="1"/>
    <xf numFmtId="38" fontId="61" fillId="0" borderId="6" xfId="0" applyNumberFormat="1" applyFont="1" applyFill="1" applyBorder="1" applyProtection="1">
      <protection locked="0"/>
    </xf>
    <xf numFmtId="38" fontId="69" fillId="0" borderId="6" xfId="0" applyNumberFormat="1" applyFont="1" applyFill="1" applyBorder="1" applyAlignment="1">
      <alignment horizontal="right"/>
    </xf>
    <xf numFmtId="38" fontId="61" fillId="0" borderId="6" xfId="0" applyNumberFormat="1" applyFont="1" applyFill="1" applyBorder="1"/>
    <xf numFmtId="169" fontId="61" fillId="0" borderId="6" xfId="0" applyNumberFormat="1" applyFont="1" applyFill="1" applyBorder="1" applyProtection="1">
      <protection locked="0"/>
    </xf>
    <xf numFmtId="166" fontId="72" fillId="0" borderId="6" xfId="0" applyNumberFormat="1" applyFont="1" applyFill="1" applyBorder="1"/>
    <xf numFmtId="166" fontId="72" fillId="0" borderId="16" xfId="0" applyNumberFormat="1" applyFont="1" applyFill="1" applyBorder="1" applyAlignment="1">
      <alignment horizontal="left"/>
    </xf>
    <xf numFmtId="166" fontId="72" fillId="0" borderId="19" xfId="0" applyNumberFormat="1" applyFont="1" applyFill="1" applyBorder="1" applyAlignment="1">
      <alignment horizontal="left"/>
    </xf>
    <xf numFmtId="0" fontId="69" fillId="4" borderId="26" xfId="0" applyNumberFormat="1" applyFont="1" applyFill="1" applyBorder="1"/>
    <xf numFmtId="171" fontId="69" fillId="0" borderId="6" xfId="0" applyNumberFormat="1" applyFont="1" applyFill="1" applyBorder="1" applyAlignment="1">
      <alignment horizontal="center"/>
    </xf>
    <xf numFmtId="0" fontId="69" fillId="4" borderId="29" xfId="0" applyNumberFormat="1" applyFont="1" applyFill="1" applyBorder="1"/>
    <xf numFmtId="0" fontId="69" fillId="4" borderId="30" xfId="0" applyNumberFormat="1" applyFont="1" applyFill="1" applyBorder="1"/>
    <xf numFmtId="0" fontId="61" fillId="0" borderId="123" xfId="0" applyNumberFormat="1" applyFont="1" applyFill="1" applyBorder="1" applyAlignment="1">
      <alignment horizontal="center"/>
    </xf>
    <xf numFmtId="0" fontId="69" fillId="4" borderId="28" xfId="0" applyNumberFormat="1" applyFont="1" applyFill="1" applyBorder="1"/>
    <xf numFmtId="179" fontId="61" fillId="0" borderId="25" xfId="0" applyNumberFormat="1" applyFont="1" applyFill="1" applyBorder="1" applyProtection="1">
      <protection locked="0"/>
    </xf>
    <xf numFmtId="38" fontId="61" fillId="0" borderId="25" xfId="0" applyNumberFormat="1" applyFont="1" applyFill="1" applyBorder="1" applyAlignment="1">
      <alignment horizontal="center"/>
    </xf>
    <xf numFmtId="4" fontId="61" fillId="0" borderId="25" xfId="0" applyNumberFormat="1" applyFont="1" applyFill="1" applyBorder="1" applyProtection="1">
      <protection locked="0"/>
    </xf>
    <xf numFmtId="37" fontId="61" fillId="0" borderId="25" xfId="0" applyNumberFormat="1" applyFont="1" applyFill="1" applyBorder="1" applyProtection="1">
      <protection locked="0"/>
    </xf>
    <xf numFmtId="2" fontId="61" fillId="0" borderId="25" xfId="0" applyNumberFormat="1" applyFont="1" applyFill="1" applyBorder="1"/>
    <xf numFmtId="37" fontId="61" fillId="0" borderId="25" xfId="0" applyNumberFormat="1" applyFont="1" applyFill="1" applyBorder="1"/>
    <xf numFmtId="37" fontId="57" fillId="0" borderId="25" xfId="0" applyNumberFormat="1" applyFont="1" applyFill="1" applyBorder="1" applyAlignment="1">
      <alignment horizontal="right"/>
    </xf>
    <xf numFmtId="6" fontId="57" fillId="0" borderId="25" xfId="0" applyNumberFormat="1" applyFont="1" applyFill="1" applyBorder="1" applyAlignment="1">
      <alignment horizontal="right"/>
    </xf>
    <xf numFmtId="0" fontId="69" fillId="4" borderId="124" xfId="0" applyNumberFormat="1" applyFont="1" applyFill="1" applyBorder="1"/>
    <xf numFmtId="179" fontId="61" fillId="0" borderId="14" xfId="0" applyNumberFormat="1" applyFont="1" applyFill="1" applyBorder="1" applyProtection="1">
      <protection locked="0"/>
    </xf>
    <xf numFmtId="38" fontId="61" fillId="0" borderId="14" xfId="0" applyNumberFormat="1" applyFont="1" applyFill="1" applyBorder="1" applyAlignment="1">
      <alignment horizontal="center"/>
    </xf>
    <xf numFmtId="37" fontId="61" fillId="0" borderId="14" xfId="0" applyNumberFormat="1" applyFont="1" applyFill="1" applyBorder="1" applyProtection="1">
      <protection locked="0"/>
    </xf>
    <xf numFmtId="37" fontId="57" fillId="0" borderId="14" xfId="0" applyNumberFormat="1" applyFont="1" applyFill="1" applyBorder="1" applyAlignment="1">
      <alignment horizontal="right"/>
    </xf>
    <xf numFmtId="176" fontId="61" fillId="0" borderId="14" xfId="0" applyNumberFormat="1" applyFont="1" applyFill="1" applyBorder="1" applyProtection="1">
      <protection locked="0"/>
    </xf>
    <xf numFmtId="0" fontId="69" fillId="0" borderId="26" xfId="0" applyNumberFormat="1" applyFont="1" applyFill="1" applyBorder="1"/>
    <xf numFmtId="10" fontId="69" fillId="0" borderId="6" xfId="0" applyNumberFormat="1" applyFont="1" applyFill="1" applyBorder="1" applyAlignment="1">
      <alignment horizontal="center"/>
    </xf>
    <xf numFmtId="169" fontId="61" fillId="0" borderId="17" xfId="0" applyNumberFormat="1" applyFont="1" applyFill="1" applyBorder="1" applyProtection="1">
      <protection locked="0"/>
    </xf>
    <xf numFmtId="38" fontId="69" fillId="0" borderId="17" xfId="0" applyNumberFormat="1" applyFont="1" applyFill="1" applyBorder="1" applyAlignment="1">
      <alignment horizontal="center"/>
    </xf>
    <xf numFmtId="4" fontId="61" fillId="0" borderId="17" xfId="0" applyNumberFormat="1" applyFont="1" applyFill="1" applyBorder="1"/>
    <xf numFmtId="37" fontId="61" fillId="0" borderId="17" xfId="0" applyNumberFormat="1" applyFont="1" applyFill="1" applyBorder="1" applyProtection="1">
      <protection locked="0"/>
    </xf>
    <xf numFmtId="166" fontId="61" fillId="0" borderId="25" xfId="0" applyNumberFormat="1" applyFont="1" applyFill="1" applyBorder="1"/>
    <xf numFmtId="169" fontId="61" fillId="0" borderId="25" xfId="0" applyNumberFormat="1" applyFont="1" applyFill="1" applyBorder="1" applyProtection="1">
      <protection locked="0"/>
    </xf>
    <xf numFmtId="38" fontId="69" fillId="0" borderId="25" xfId="0" applyNumberFormat="1" applyFont="1" applyFill="1" applyBorder="1" applyAlignment="1">
      <alignment horizontal="center"/>
    </xf>
    <xf numFmtId="4" fontId="61" fillId="0" borderId="25" xfId="0" applyNumberFormat="1" applyFont="1" applyFill="1" applyBorder="1"/>
    <xf numFmtId="37" fontId="72" fillId="0" borderId="25" xfId="0" applyNumberFormat="1" applyFont="1" applyFill="1" applyBorder="1" applyAlignment="1">
      <alignment horizontal="right"/>
    </xf>
    <xf numFmtId="6" fontId="72" fillId="0" borderId="25" xfId="0" applyNumberFormat="1" applyFont="1" applyFill="1" applyBorder="1" applyAlignment="1">
      <alignment horizontal="right"/>
    </xf>
    <xf numFmtId="166" fontId="57" fillId="0" borderId="125" xfId="0" applyNumberFormat="1" applyFont="1" applyFill="1" applyBorder="1"/>
    <xf numFmtId="169" fontId="61" fillId="0" borderId="125" xfId="0" applyNumberFormat="1" applyFont="1" applyFill="1" applyBorder="1" applyProtection="1">
      <protection locked="0"/>
    </xf>
    <xf numFmtId="38" fontId="69" fillId="0" borderId="125" xfId="0" applyNumberFormat="1" applyFont="1" applyFill="1" applyBorder="1" applyAlignment="1">
      <alignment horizontal="center"/>
    </xf>
    <xf numFmtId="4" fontId="61" fillId="0" borderId="125" xfId="0" applyNumberFormat="1" applyFont="1" applyFill="1" applyBorder="1"/>
    <xf numFmtId="37" fontId="61" fillId="0" borderId="125" xfId="0" applyNumberFormat="1" applyFont="1" applyFill="1" applyBorder="1" applyProtection="1">
      <protection locked="0"/>
    </xf>
    <xf numFmtId="2" fontId="61" fillId="0" borderId="125" xfId="0" applyNumberFormat="1" applyFont="1" applyFill="1" applyBorder="1"/>
    <xf numFmtId="37" fontId="61" fillId="0" borderId="125" xfId="0" applyNumberFormat="1" applyFont="1" applyFill="1" applyBorder="1"/>
    <xf numFmtId="37" fontId="72" fillId="0" borderId="125" xfId="0" applyNumberFormat="1" applyFont="1" applyFill="1" applyBorder="1" applyAlignment="1">
      <alignment horizontal="right"/>
    </xf>
    <xf numFmtId="0" fontId="69" fillId="4" borderId="126" xfId="0" applyNumberFormat="1" applyFont="1" applyFill="1" applyBorder="1"/>
    <xf numFmtId="171" fontId="61" fillId="0" borderId="6" xfId="0" applyNumberFormat="1" applyFont="1" applyFill="1" applyBorder="1"/>
    <xf numFmtId="0" fontId="69" fillId="4" borderId="25" xfId="0" applyNumberFormat="1" applyFont="1" applyFill="1" applyBorder="1"/>
    <xf numFmtId="37" fontId="69" fillId="0" borderId="25" xfId="0" applyNumberFormat="1" applyFont="1" applyFill="1" applyBorder="1" applyAlignment="1">
      <alignment horizontal="right"/>
    </xf>
    <xf numFmtId="5" fontId="61" fillId="0" borderId="25" xfId="0" applyNumberFormat="1" applyFont="1" applyFill="1" applyBorder="1"/>
    <xf numFmtId="0" fontId="61" fillId="0" borderId="27" xfId="0" applyNumberFormat="1" applyFont="1" applyFill="1" applyBorder="1"/>
    <xf numFmtId="0" fontId="61" fillId="0" borderId="27" xfId="0" applyNumberFormat="1" applyFont="1" applyFill="1" applyBorder="1" applyAlignment="1">
      <alignment horizontal="center"/>
    </xf>
    <xf numFmtId="0" fontId="72" fillId="0" borderId="27" xfId="0" applyNumberFormat="1" applyFont="1" applyFill="1" applyBorder="1"/>
    <xf numFmtId="37" fontId="72" fillId="0" borderId="27" xfId="0" applyNumberFormat="1" applyFont="1" applyFill="1" applyBorder="1"/>
    <xf numFmtId="0" fontId="72" fillId="0" borderId="27" xfId="0" applyNumberFormat="1" applyFont="1" applyFill="1" applyBorder="1" applyAlignment="1">
      <alignment horizontal="center"/>
    </xf>
    <xf numFmtId="4" fontId="72" fillId="0" borderId="27" xfId="0" applyNumberFormat="1" applyFont="1" applyFill="1" applyBorder="1"/>
    <xf numFmtId="2" fontId="72" fillId="0" borderId="27" xfId="0" applyNumberFormat="1" applyFont="1" applyFill="1" applyBorder="1"/>
    <xf numFmtId="5" fontId="72" fillId="0" borderId="127" xfId="0" applyNumberFormat="1" applyFont="1" applyFill="1" applyBorder="1"/>
    <xf numFmtId="180" fontId="61" fillId="0" borderId="6" xfId="0" applyNumberFormat="1" applyFont="1" applyFill="1" applyBorder="1"/>
    <xf numFmtId="4" fontId="72" fillId="0" borderId="6" xfId="0" applyNumberFormat="1" applyFont="1" applyFill="1" applyBorder="1"/>
    <xf numFmtId="0" fontId="72" fillId="0" borderId="28" xfId="0" applyNumberFormat="1" applyFont="1" applyFill="1" applyBorder="1"/>
    <xf numFmtId="169" fontId="61" fillId="0" borderId="25" xfId="0" applyNumberFormat="1" applyFont="1" applyFill="1" applyBorder="1"/>
    <xf numFmtId="38" fontId="61" fillId="0" borderId="25" xfId="0" applyNumberFormat="1" applyFont="1" applyFill="1" applyBorder="1" applyProtection="1">
      <protection locked="0"/>
    </xf>
    <xf numFmtId="38" fontId="61" fillId="0" borderId="25" xfId="0" applyNumberFormat="1" applyFont="1" applyFill="1" applyBorder="1"/>
    <xf numFmtId="38" fontId="69" fillId="0" borderId="25" xfId="0" applyNumberFormat="1" applyFont="1" applyFill="1" applyBorder="1" applyAlignment="1">
      <alignment horizontal="right"/>
    </xf>
    <xf numFmtId="5" fontId="72" fillId="0" borderId="25" xfId="0" applyNumberFormat="1" applyFont="1" applyFill="1" applyBorder="1" applyAlignment="1">
      <alignment horizontal="right"/>
    </xf>
    <xf numFmtId="0" fontId="72" fillId="0" borderId="34" xfId="0" applyNumberFormat="1" applyFont="1" applyFill="1" applyBorder="1"/>
    <xf numFmtId="38" fontId="61" fillId="0" borderId="14" xfId="0" applyNumberFormat="1" applyFont="1" applyFill="1" applyBorder="1" applyProtection="1">
      <protection locked="0"/>
    </xf>
    <xf numFmtId="38" fontId="61" fillId="0" borderId="14" xfId="0" applyNumberFormat="1" applyFont="1" applyFill="1" applyBorder="1"/>
    <xf numFmtId="38" fontId="69" fillId="0" borderId="14" xfId="0" applyNumberFormat="1" applyFont="1" applyFill="1" applyBorder="1" applyAlignment="1">
      <alignment horizontal="right"/>
    </xf>
    <xf numFmtId="37" fontId="72" fillId="0" borderId="14" xfId="0" applyNumberFormat="1" applyFont="1" applyFill="1" applyBorder="1" applyAlignment="1">
      <alignment horizontal="right"/>
    </xf>
    <xf numFmtId="0" fontId="69" fillId="0" borderId="30" xfId="0" applyNumberFormat="1" applyFont="1" applyFill="1" applyBorder="1"/>
    <xf numFmtId="5" fontId="61" fillId="0" borderId="21" xfId="0" applyNumberFormat="1" applyFont="1" applyFill="1" applyBorder="1"/>
    <xf numFmtId="0" fontId="72" fillId="0" borderId="28" xfId="0" applyNumberFormat="1" applyFont="1" applyFill="1" applyBorder="1" applyAlignment="1">
      <alignment horizontal="left"/>
    </xf>
    <xf numFmtId="5" fontId="57" fillId="0" borderId="25" xfId="0" applyNumberFormat="1" applyFont="1" applyFill="1" applyBorder="1"/>
    <xf numFmtId="0" fontId="57" fillId="0" borderId="27" xfId="0" applyNumberFormat="1" applyFont="1" applyFill="1" applyBorder="1"/>
    <xf numFmtId="4" fontId="61" fillId="0" borderId="27" xfId="0" applyNumberFormat="1" applyFont="1" applyFill="1" applyBorder="1"/>
    <xf numFmtId="2" fontId="61" fillId="0" borderId="27" xfId="0" applyNumberFormat="1" applyFont="1" applyFill="1" applyBorder="1"/>
    <xf numFmtId="37" fontId="57" fillId="0" borderId="27" xfId="0" applyNumberFormat="1" applyFont="1" applyFill="1" applyBorder="1"/>
    <xf numFmtId="37" fontId="57" fillId="0" borderId="31" xfId="0" applyNumberFormat="1" applyFont="1" applyFill="1" applyBorder="1"/>
    <xf numFmtId="5" fontId="57" fillId="7" borderId="32" xfId="0" applyNumberFormat="1" applyFont="1" applyFill="1" applyBorder="1"/>
    <xf numFmtId="0" fontId="61" fillId="0" borderId="19" xfId="0" applyNumberFormat="1" applyFont="1" applyFill="1" applyBorder="1"/>
    <xf numFmtId="0" fontId="61" fillId="0" borderId="0" xfId="0" applyNumberFormat="1" applyFont="1" applyFill="1" applyAlignment="1">
      <alignment horizontal="center"/>
    </xf>
    <xf numFmtId="4" fontId="61" fillId="0" borderId="0" xfId="0" applyNumberFormat="1" applyFont="1" applyFill="1"/>
    <xf numFmtId="2" fontId="61" fillId="0" borderId="0" xfId="0" applyNumberFormat="1" applyFont="1" applyFill="1"/>
    <xf numFmtId="0" fontId="57" fillId="0" borderId="0" xfId="0" applyNumberFormat="1" applyFont="1" applyFill="1" applyAlignment="1">
      <alignment horizontal="right"/>
    </xf>
    <xf numFmtId="5" fontId="57" fillId="0" borderId="0" xfId="0" applyNumberFormat="1" applyFont="1" applyFill="1"/>
    <xf numFmtId="4" fontId="61" fillId="2" borderId="0" xfId="0" applyNumberFormat="1" applyFont="1" applyFill="1"/>
    <xf numFmtId="2" fontId="61" fillId="2" borderId="0" xfId="0" applyNumberFormat="1" applyFont="1" applyFill="1"/>
    <xf numFmtId="175" fontId="61" fillId="2" borderId="0" xfId="0" applyNumberFormat="1" applyFont="1" applyFill="1"/>
    <xf numFmtId="0" fontId="61" fillId="10" borderId="103" xfId="0" applyNumberFormat="1" applyFont="1" applyFill="1" applyBorder="1" applyAlignment="1">
      <alignment horizontal="right"/>
    </xf>
    <xf numFmtId="166" fontId="72" fillId="0" borderId="22" xfId="0" applyNumberFormat="1" applyFont="1" applyFill="1" applyBorder="1" applyAlignment="1">
      <alignment horizontal="left"/>
    </xf>
    <xf numFmtId="0" fontId="82" fillId="0" borderId="0" xfId="10" applyFont="1" applyAlignment="1">
      <alignment horizontal="center"/>
    </xf>
    <xf numFmtId="0" fontId="65" fillId="0" borderId="0" xfId="10" applyFont="1"/>
    <xf numFmtId="0" fontId="83" fillId="0" borderId="0" xfId="10" applyFont="1" applyAlignment="1">
      <alignment horizontal="left"/>
    </xf>
    <xf numFmtId="3" fontId="82" fillId="0" borderId="0" xfId="10" applyNumberFormat="1" applyFont="1"/>
    <xf numFmtId="3" fontId="82" fillId="0" borderId="0" xfId="10" applyNumberFormat="1" applyFont="1" applyAlignment="1">
      <alignment horizontal="left"/>
    </xf>
    <xf numFmtId="0" fontId="82" fillId="0" borderId="0" xfId="10" applyFont="1"/>
    <xf numFmtId="183" fontId="84" fillId="4" borderId="0" xfId="0" applyNumberFormat="1" applyFont="1" applyFill="1" applyBorder="1" applyAlignment="1"/>
    <xf numFmtId="0" fontId="82" fillId="0" borderId="0" xfId="10" applyFont="1" applyAlignment="1">
      <alignment horizontal="left"/>
    </xf>
    <xf numFmtId="0" fontId="83" fillId="0" borderId="0" xfId="10" applyFont="1" applyAlignment="1">
      <alignment horizontal="center"/>
    </xf>
    <xf numFmtId="0" fontId="82" fillId="0" borderId="128" xfId="10" applyFont="1" applyBorder="1" applyAlignment="1">
      <alignment horizontal="center" wrapText="1"/>
    </xf>
    <xf numFmtId="0" fontId="61" fillId="0" borderId="128" xfId="10" applyFont="1" applyBorder="1" applyAlignment="1">
      <alignment wrapText="1"/>
    </xf>
    <xf numFmtId="0" fontId="61" fillId="0" borderId="128" xfId="10" applyFont="1" applyBorder="1" applyAlignment="1">
      <alignment horizontal="center" wrapText="1"/>
    </xf>
    <xf numFmtId="3" fontId="61" fillId="0" borderId="128" xfId="10" applyNumberFormat="1" applyFont="1" applyBorder="1" applyAlignment="1">
      <alignment horizontal="center" wrapText="1"/>
    </xf>
    <xf numFmtId="3" fontId="61" fillId="0" borderId="129" xfId="10" applyNumberFormat="1" applyFont="1" applyBorder="1" applyAlignment="1">
      <alignment horizontal="center" wrapText="1"/>
    </xf>
    <xf numFmtId="3" fontId="61" fillId="0" borderId="130" xfId="10" applyNumberFormat="1" applyFont="1" applyFill="1" applyBorder="1" applyAlignment="1">
      <alignment horizontal="center" wrapText="1"/>
    </xf>
    <xf numFmtId="0" fontId="82" fillId="0" borderId="0" xfId="10" applyFont="1" applyAlignment="1">
      <alignment wrapText="1"/>
    </xf>
    <xf numFmtId="0" fontId="82" fillId="0" borderId="131" xfId="10" applyFont="1" applyBorder="1" applyAlignment="1">
      <alignment horizontal="center" wrapText="1"/>
    </xf>
    <xf numFmtId="0" fontId="61" fillId="0" borderId="131" xfId="10" applyFont="1" applyBorder="1" applyAlignment="1">
      <alignment wrapText="1"/>
    </xf>
    <xf numFmtId="0" fontId="61" fillId="0" borderId="131" xfId="10" applyFont="1" applyBorder="1" applyAlignment="1">
      <alignment horizontal="center" wrapText="1"/>
    </xf>
    <xf numFmtId="3" fontId="61" fillId="0" borderId="131" xfId="10" applyNumberFormat="1" applyFont="1" applyBorder="1" applyAlignment="1">
      <alignment horizontal="center" wrapText="1"/>
    </xf>
    <xf numFmtId="3" fontId="61" fillId="0" borderId="131" xfId="10" applyNumberFormat="1" applyFont="1" applyFill="1" applyBorder="1" applyAlignment="1">
      <alignment horizontal="center" wrapText="1"/>
    </xf>
    <xf numFmtId="3" fontId="61" fillId="0" borderId="132" xfId="10" applyNumberFormat="1" applyFont="1" applyFill="1" applyBorder="1" applyAlignment="1">
      <alignment horizontal="center" wrapText="1"/>
    </xf>
    <xf numFmtId="0" fontId="82" fillId="2" borderId="6" xfId="0" applyFont="1" applyBorder="1" applyAlignment="1">
      <alignment horizontal="center"/>
    </xf>
    <xf numFmtId="0" fontId="82" fillId="0" borderId="6" xfId="0" applyFont="1" applyFill="1" applyBorder="1"/>
    <xf numFmtId="0" fontId="82" fillId="0" borderId="6" xfId="0" applyFont="1" applyFill="1" applyBorder="1" applyAlignment="1">
      <alignment horizontal="center"/>
    </xf>
    <xf numFmtId="3" fontId="82" fillId="7" borderId="6" xfId="0" applyNumberFormat="1" applyFont="1" applyFill="1" applyBorder="1"/>
    <xf numFmtId="3" fontId="82" fillId="2" borderId="6" xfId="0" applyNumberFormat="1" applyFont="1" applyBorder="1"/>
    <xf numFmtId="3" fontId="82" fillId="5" borderId="6" xfId="0" applyNumberFormat="1" applyFont="1" applyFill="1" applyBorder="1"/>
    <xf numFmtId="0" fontId="82" fillId="0" borderId="6" xfId="10" applyFont="1" applyBorder="1" applyAlignment="1">
      <alignment horizontal="center"/>
    </xf>
    <xf numFmtId="0" fontId="82" fillId="0" borderId="6" xfId="10" applyFont="1" applyFill="1" applyBorder="1" applyAlignment="1">
      <alignment horizontal="center"/>
    </xf>
    <xf numFmtId="0" fontId="82" fillId="0" borderId="6" xfId="10" applyFont="1" applyFill="1" applyBorder="1"/>
    <xf numFmtId="3" fontId="82" fillId="0" borderId="6" xfId="10" applyNumberFormat="1" applyFont="1" applyFill="1" applyBorder="1"/>
    <xf numFmtId="3" fontId="82" fillId="0" borderId="6" xfId="10" applyNumberFormat="1" applyFont="1" applyBorder="1"/>
    <xf numFmtId="3" fontId="82" fillId="7" borderId="6" xfId="10" applyNumberFormat="1" applyFont="1" applyFill="1" applyBorder="1"/>
    <xf numFmtId="0" fontId="82" fillId="0" borderId="0" xfId="10" applyFont="1" applyFill="1"/>
    <xf numFmtId="0" fontId="82" fillId="12" borderId="0" xfId="10" applyFont="1" applyFill="1"/>
    <xf numFmtId="3" fontId="82" fillId="0" borderId="6" xfId="0" applyNumberFormat="1" applyFont="1" applyFill="1" applyBorder="1"/>
    <xf numFmtId="0" fontId="82" fillId="0" borderId="17" xfId="10" applyFont="1" applyFill="1" applyBorder="1" applyAlignment="1">
      <alignment horizontal="center"/>
    </xf>
    <xf numFmtId="3" fontId="82" fillId="7" borderId="17" xfId="10" applyNumberFormat="1" applyFont="1" applyFill="1" applyBorder="1"/>
    <xf numFmtId="3" fontId="82" fillId="0" borderId="17" xfId="10" applyNumberFormat="1" applyFont="1" applyBorder="1"/>
    <xf numFmtId="3" fontId="82" fillId="0" borderId="17" xfId="10" applyNumberFormat="1" applyFont="1" applyFill="1" applyBorder="1"/>
    <xf numFmtId="0" fontId="82" fillId="0" borderId="15" xfId="10" applyFont="1" applyFill="1" applyBorder="1"/>
    <xf numFmtId="0" fontId="82" fillId="0" borderId="19" xfId="10" applyFont="1" applyFill="1" applyBorder="1" applyAlignment="1">
      <alignment horizontal="center"/>
    </xf>
    <xf numFmtId="0" fontId="82" fillId="0" borderId="19" xfId="10" applyFont="1" applyBorder="1" applyAlignment="1">
      <alignment horizontal="center"/>
    </xf>
    <xf numFmtId="0" fontId="82" fillId="0" borderId="14" xfId="10" applyFont="1" applyFill="1" applyBorder="1" applyAlignment="1">
      <alignment horizontal="center"/>
    </xf>
    <xf numFmtId="3" fontId="82" fillId="0" borderId="14" xfId="10" applyNumberFormat="1" applyFont="1" applyFill="1" applyBorder="1"/>
    <xf numFmtId="3" fontId="82" fillId="0" borderId="14" xfId="10" applyNumberFormat="1" applyFont="1" applyBorder="1"/>
    <xf numFmtId="3" fontId="82" fillId="7" borderId="14" xfId="10" applyNumberFormat="1" applyFont="1" applyFill="1" applyBorder="1"/>
    <xf numFmtId="0" fontId="85" fillId="0" borderId="0" xfId="10" applyFont="1" applyBorder="1" applyAlignment="1">
      <alignment horizontal="center"/>
    </xf>
    <xf numFmtId="0" fontId="82" fillId="0" borderId="0" xfId="10" applyFont="1" applyBorder="1"/>
    <xf numFmtId="0" fontId="82" fillId="0" borderId="0" xfId="10" applyFont="1" applyFill="1" applyBorder="1" applyAlignment="1">
      <alignment horizontal="center"/>
    </xf>
    <xf numFmtId="3" fontId="82" fillId="0" borderId="0" xfId="10" applyNumberFormat="1" applyFont="1" applyFill="1" applyBorder="1"/>
    <xf numFmtId="3" fontId="82" fillId="0" borderId="0" xfId="10" applyNumberFormat="1" applyFont="1" applyBorder="1"/>
    <xf numFmtId="0" fontId="82" fillId="0" borderId="0" xfId="10" applyFont="1" applyBorder="1" applyAlignment="1">
      <alignment horizontal="center"/>
    </xf>
    <xf numFmtId="0" fontId="82" fillId="0" borderId="1" xfId="10" applyFont="1" applyBorder="1"/>
    <xf numFmtId="0" fontId="82" fillId="0" borderId="3" xfId="10" applyFont="1" applyBorder="1"/>
    <xf numFmtId="3" fontId="82" fillId="0" borderId="74" xfId="10" applyNumberFormat="1" applyFont="1" applyBorder="1"/>
    <xf numFmtId="3" fontId="82" fillId="0" borderId="4" xfId="10" applyNumberFormat="1" applyFont="1" applyBorder="1"/>
    <xf numFmtId="0" fontId="82" fillId="0" borderId="0" xfId="10" applyFont="1" applyBorder="1" applyAlignment="1"/>
    <xf numFmtId="0" fontId="82" fillId="0" borderId="63" xfId="10" applyFont="1" applyBorder="1" applyAlignment="1">
      <alignment horizontal="center"/>
    </xf>
    <xf numFmtId="0" fontId="61" fillId="2" borderId="56" xfId="0" applyNumberFormat="1" applyFont="1" applyFill="1" applyBorder="1" applyAlignment="1">
      <alignment horizontal="center"/>
    </xf>
    <xf numFmtId="0" fontId="82" fillId="0" borderId="0" xfId="10" applyFont="1" applyBorder="1" applyAlignment="1">
      <alignment horizontal="left"/>
    </xf>
    <xf numFmtId="0" fontId="82" fillId="0" borderId="60" xfId="10" applyFont="1" applyBorder="1" applyAlignment="1">
      <alignment horizontal="left"/>
    </xf>
    <xf numFmtId="0" fontId="82" fillId="0" borderId="57" xfId="10" applyFont="1" applyBorder="1" applyAlignment="1">
      <alignment horizontal="left"/>
    </xf>
    <xf numFmtId="0" fontId="82" fillId="0" borderId="8" xfId="10" applyFont="1" applyBorder="1"/>
    <xf numFmtId="0" fontId="82" fillId="0" borderId="56" xfId="10" applyFont="1" applyBorder="1" applyAlignment="1">
      <alignment horizontal="center"/>
    </xf>
    <xf numFmtId="0" fontId="82" fillId="0" borderId="56" xfId="10" applyFont="1" applyFill="1" applyBorder="1" applyAlignment="1">
      <alignment horizontal="left"/>
    </xf>
    <xf numFmtId="0" fontId="82" fillId="0" borderId="79" xfId="10" applyFont="1" applyBorder="1" applyAlignment="1">
      <alignment horizontal="left"/>
    </xf>
    <xf numFmtId="0" fontId="82" fillId="0" borderId="79" xfId="10" applyFont="1" applyBorder="1"/>
    <xf numFmtId="0" fontId="82" fillId="0" borderId="66" xfId="10" applyFont="1" applyBorder="1"/>
    <xf numFmtId="0" fontId="82" fillId="0" borderId="62" xfId="10" applyFont="1" applyBorder="1"/>
    <xf numFmtId="0" fontId="82" fillId="0" borderId="0" xfId="10" applyFont="1" applyFill="1" applyBorder="1" applyAlignment="1">
      <alignment horizontal="left"/>
    </xf>
    <xf numFmtId="0" fontId="65" fillId="0" borderId="0" xfId="10" applyFont="1" applyAlignment="1">
      <alignment horizontal="left"/>
    </xf>
    <xf numFmtId="189" fontId="61" fillId="0" borderId="0" xfId="10" applyNumberFormat="1" applyFont="1" applyAlignment="1">
      <alignment horizontal="center"/>
    </xf>
    <xf numFmtId="0" fontId="86" fillId="0" borderId="0" xfId="10" applyFont="1" applyAlignment="1">
      <alignment horizontal="right"/>
    </xf>
    <xf numFmtId="183" fontId="86" fillId="0" borderId="0" xfId="10" applyNumberFormat="1" applyFont="1" applyAlignment="1">
      <alignment horizontal="center"/>
    </xf>
    <xf numFmtId="3" fontId="61" fillId="0" borderId="128" xfId="10" applyNumberFormat="1" applyFont="1" applyFill="1" applyBorder="1" applyAlignment="1">
      <alignment horizontal="center" wrapText="1"/>
    </xf>
    <xf numFmtId="0" fontId="85" fillId="2" borderId="6" xfId="0" applyFont="1" applyBorder="1" applyAlignment="1">
      <alignment horizontal="center"/>
    </xf>
    <xf numFmtId="0" fontId="82" fillId="0" borderId="1" xfId="0" applyFont="1" applyFill="1" applyBorder="1"/>
    <xf numFmtId="0" fontId="82" fillId="0" borderId="3" xfId="0" applyFont="1" applyFill="1" applyBorder="1" applyAlignment="1">
      <alignment horizontal="center"/>
    </xf>
    <xf numFmtId="3" fontId="82" fillId="0" borderId="74" xfId="0" applyNumberFormat="1" applyFont="1" applyFill="1" applyBorder="1"/>
    <xf numFmtId="3" fontId="82" fillId="2" borderId="74" xfId="0" applyNumberFormat="1" applyFont="1" applyBorder="1"/>
    <xf numFmtId="3" fontId="82" fillId="5" borderId="74" xfId="0" applyNumberFormat="1" applyFont="1" applyFill="1" applyBorder="1"/>
    <xf numFmtId="0" fontId="82" fillId="0" borderId="3" xfId="0" applyFont="1" applyFill="1" applyBorder="1"/>
    <xf numFmtId="0" fontId="82" fillId="0" borderId="74" xfId="0" applyFont="1" applyFill="1" applyBorder="1"/>
    <xf numFmtId="0" fontId="82" fillId="0" borderId="58" xfId="10" applyFont="1" applyBorder="1" applyAlignment="1">
      <alignment horizontal="left"/>
    </xf>
    <xf numFmtId="0" fontId="82" fillId="0" borderId="59" xfId="10" applyFont="1" applyBorder="1"/>
    <xf numFmtId="0" fontId="82" fillId="0" borderId="64" xfId="10" applyFont="1" applyBorder="1" applyAlignment="1">
      <alignment horizontal="center"/>
    </xf>
    <xf numFmtId="0" fontId="82" fillId="0" borderId="3" xfId="0" applyFont="1" applyFill="1" applyBorder="1" applyAlignment="1">
      <alignment horizontal="right"/>
    </xf>
    <xf numFmtId="37" fontId="82" fillId="0" borderId="74" xfId="0" applyNumberFormat="1" applyFont="1" applyFill="1" applyBorder="1"/>
    <xf numFmtId="0" fontId="82" fillId="0" borderId="61" xfId="10" applyFont="1" applyBorder="1"/>
    <xf numFmtId="0" fontId="82" fillId="0" borderId="3" xfId="10" applyFont="1" applyBorder="1" applyAlignment="1">
      <alignment horizontal="center"/>
    </xf>
    <xf numFmtId="0" fontId="82" fillId="0" borderId="65" xfId="10" applyFont="1" applyBorder="1"/>
    <xf numFmtId="0" fontId="61" fillId="4" borderId="0" xfId="11" applyNumberFormat="1" applyFont="1"/>
    <xf numFmtId="0" fontId="66" fillId="4" borderId="0" xfId="0" applyNumberFormat="1" applyFont="1" applyFill="1" applyBorder="1" applyAlignment="1">
      <alignment horizontal="centerContinuous"/>
    </xf>
    <xf numFmtId="0" fontId="61" fillId="4" borderId="0" xfId="11" applyNumberFormat="1" applyFont="1" applyAlignment="1">
      <alignment horizontal="right"/>
    </xf>
    <xf numFmtId="165" fontId="61" fillId="4" borderId="0" xfId="11" applyNumberFormat="1" applyFont="1" applyAlignment="1">
      <alignment horizontal="center"/>
    </xf>
    <xf numFmtId="0" fontId="68" fillId="4" borderId="0" xfId="0" applyNumberFormat="1" applyFont="1" applyFill="1" applyBorder="1"/>
    <xf numFmtId="0" fontId="68" fillId="4" borderId="0" xfId="0" applyNumberFormat="1" applyFont="1" applyFill="1" applyBorder="1" applyAlignment="1">
      <alignment horizontal="centerContinuous"/>
    </xf>
    <xf numFmtId="0" fontId="69" fillId="4" borderId="0" xfId="0" applyNumberFormat="1" applyFont="1" applyFill="1" applyBorder="1" applyAlignment="1">
      <alignment horizontal="left" vertical="center"/>
    </xf>
    <xf numFmtId="0" fontId="77" fillId="4" borderId="0" xfId="0" applyNumberFormat="1" applyFont="1" applyFill="1" applyBorder="1"/>
    <xf numFmtId="0" fontId="76" fillId="4" borderId="0" xfId="0" applyNumberFormat="1" applyFont="1" applyFill="1" applyBorder="1" applyAlignment="1">
      <alignment vertical="center"/>
    </xf>
    <xf numFmtId="164" fontId="87" fillId="4" borderId="0" xfId="0" applyNumberFormat="1" applyFont="1" applyFill="1" applyBorder="1" applyAlignment="1">
      <alignment horizontal="right" vertical="center"/>
    </xf>
    <xf numFmtId="0" fontId="88" fillId="4" borderId="0" xfId="0" applyNumberFormat="1" applyFont="1" applyFill="1" applyBorder="1"/>
    <xf numFmtId="165" fontId="87" fillId="4" borderId="0" xfId="0" applyNumberFormat="1" applyFont="1" applyFill="1" applyBorder="1" applyAlignment="1">
      <alignment horizontal="right" vertical="center"/>
    </xf>
    <xf numFmtId="0" fontId="60" fillId="4" borderId="0" xfId="11" applyNumberFormat="1" applyFont="1"/>
    <xf numFmtId="173" fontId="61" fillId="4" borderId="0" xfId="11" applyNumberFormat="1" applyFont="1" applyAlignment="1">
      <alignment horizontal="center"/>
    </xf>
    <xf numFmtId="0" fontId="61" fillId="4" borderId="133" xfId="11" applyNumberFormat="1" applyFont="1" applyBorder="1"/>
    <xf numFmtId="0" fontId="61" fillId="4" borderId="134" xfId="11" applyNumberFormat="1" applyFont="1" applyBorder="1"/>
    <xf numFmtId="0" fontId="61" fillId="4" borderId="135" xfId="11" applyNumberFormat="1" applyFont="1" applyBorder="1"/>
    <xf numFmtId="0" fontId="61" fillId="4" borderId="135" xfId="11" applyNumberFormat="1" applyFont="1" applyBorder="1" applyAlignment="1">
      <alignment horizontal="center"/>
    </xf>
    <xf numFmtId="0" fontId="72" fillId="4" borderId="136" xfId="11" applyNumberFormat="1" applyFont="1" applyBorder="1" applyAlignment="1">
      <alignment horizontal="center"/>
    </xf>
    <xf numFmtId="0" fontId="61" fillId="4" borderId="133" xfId="11" applyNumberFormat="1" applyFont="1" applyBorder="1" applyAlignment="1">
      <alignment horizontal="center"/>
    </xf>
    <xf numFmtId="0" fontId="72" fillId="4" borderId="137" xfId="11" applyNumberFormat="1" applyFont="1" applyBorder="1" applyAlignment="1">
      <alignment horizontal="center"/>
    </xf>
    <xf numFmtId="0" fontId="61" fillId="4" borderId="136" xfId="11" applyNumberFormat="1" applyFont="1" applyBorder="1" applyAlignment="1">
      <alignment horizontal="center"/>
    </xf>
    <xf numFmtId="0" fontId="61" fillId="4" borderId="138" xfId="11" applyNumberFormat="1" applyFont="1" applyBorder="1" applyAlignment="1">
      <alignment horizontal="center"/>
    </xf>
    <xf numFmtId="0" fontId="61" fillId="4" borderId="139" xfId="11" applyNumberFormat="1" applyFont="1" applyBorder="1" applyAlignment="1">
      <alignment horizontal="center"/>
    </xf>
    <xf numFmtId="0" fontId="61" fillId="4" borderId="140" xfId="11" applyNumberFormat="1" applyFont="1" applyBorder="1"/>
    <xf numFmtId="0" fontId="61" fillId="4" borderId="0" xfId="11" applyNumberFormat="1" applyFont="1" applyBorder="1"/>
    <xf numFmtId="0" fontId="61" fillId="4" borderId="141" xfId="11" applyNumberFormat="1" applyFont="1" applyBorder="1" applyAlignment="1">
      <alignment horizontal="center"/>
    </xf>
    <xf numFmtId="0" fontId="69" fillId="4" borderId="141" xfId="11" applyNumberFormat="1" applyFont="1" applyBorder="1" applyAlignment="1">
      <alignment horizontal="center"/>
    </xf>
    <xf numFmtId="0" fontId="61" fillId="4" borderId="141" xfId="11" applyNumberFormat="1" applyFont="1" applyBorder="1"/>
    <xf numFmtId="0" fontId="72" fillId="4" borderId="93" xfId="11" applyNumberFormat="1" applyFont="1" applyBorder="1" applyAlignment="1">
      <alignment horizontal="center"/>
    </xf>
    <xf numFmtId="0" fontId="61" fillId="4" borderId="140" xfId="11" applyNumberFormat="1" applyFont="1" applyBorder="1" applyAlignment="1">
      <alignment horizontal="center"/>
    </xf>
    <xf numFmtId="5" fontId="72" fillId="4" borderId="142" xfId="11" applyNumberFormat="1" applyFont="1" applyBorder="1" applyAlignment="1">
      <alignment horizontal="center"/>
    </xf>
    <xf numFmtId="0" fontId="61" fillId="4" borderId="93" xfId="11" applyNumberFormat="1" applyFont="1" applyBorder="1" applyAlignment="1">
      <alignment horizontal="center"/>
    </xf>
    <xf numFmtId="5" fontId="61" fillId="4" borderId="143" xfId="11" applyNumberFormat="1" applyFont="1" applyBorder="1" applyAlignment="1">
      <alignment horizontal="center"/>
    </xf>
    <xf numFmtId="5" fontId="61" fillId="4" borderId="144" xfId="11" applyNumberFormat="1" applyFont="1" applyBorder="1" applyAlignment="1">
      <alignment horizontal="center"/>
    </xf>
    <xf numFmtId="37" fontId="69" fillId="4" borderId="141" xfId="11" applyNumberFormat="1" applyFont="1" applyBorder="1" applyAlignment="1">
      <alignment horizontal="center"/>
    </xf>
    <xf numFmtId="37" fontId="61" fillId="4" borderId="141" xfId="11" applyNumberFormat="1" applyFont="1" applyBorder="1" applyAlignment="1">
      <alignment horizontal="center"/>
    </xf>
    <xf numFmtId="2" fontId="61" fillId="4" borderId="140" xfId="11" applyNumberFormat="1" applyFont="1" applyBorder="1" applyAlignment="1">
      <alignment horizontal="center"/>
    </xf>
    <xf numFmtId="2" fontId="61" fillId="4" borderId="141" xfId="11" applyNumberFormat="1" applyFont="1" applyBorder="1" applyAlignment="1">
      <alignment horizontal="center"/>
    </xf>
    <xf numFmtId="37" fontId="72" fillId="4" borderId="142" xfId="11" applyNumberFormat="1" applyFont="1" applyBorder="1" applyAlignment="1">
      <alignment horizontal="center"/>
    </xf>
    <xf numFmtId="2" fontId="61" fillId="4" borderId="93" xfId="11" applyNumberFormat="1" applyFont="1" applyBorder="1" applyAlignment="1">
      <alignment horizontal="center"/>
    </xf>
    <xf numFmtId="37" fontId="61" fillId="4" borderId="143" xfId="11" applyNumberFormat="1" applyFont="1" applyBorder="1" applyAlignment="1">
      <alignment horizontal="center"/>
    </xf>
    <xf numFmtId="37" fontId="61" fillId="4" borderId="144" xfId="11" applyNumberFormat="1" applyFont="1" applyBorder="1" applyAlignment="1">
      <alignment horizontal="center"/>
    </xf>
    <xf numFmtId="0" fontId="57" fillId="4" borderId="145" xfId="11" applyNumberFormat="1" applyFont="1" applyBorder="1"/>
    <xf numFmtId="0" fontId="57" fillId="4" borderId="146" xfId="11" applyNumberFormat="1" applyFont="1" applyBorder="1"/>
    <xf numFmtId="0" fontId="61" fillId="4" borderId="147" xfId="11" applyNumberFormat="1" applyFont="1" applyBorder="1" applyAlignment="1">
      <alignment horizontal="center"/>
    </xf>
    <xf numFmtId="37" fontId="69" fillId="4" borderId="147" xfId="11" applyNumberFormat="1" applyFont="1" applyBorder="1" applyAlignment="1">
      <alignment horizontal="center"/>
    </xf>
    <xf numFmtId="10" fontId="61" fillId="4" borderId="147" xfId="11" applyNumberFormat="1" applyFont="1" applyBorder="1"/>
    <xf numFmtId="37" fontId="61" fillId="4" borderId="147" xfId="11" applyNumberFormat="1" applyFont="1" applyBorder="1" applyAlignment="1">
      <alignment horizontal="center"/>
    </xf>
    <xf numFmtId="170" fontId="72" fillId="4" borderId="148" xfId="11" applyNumberFormat="1" applyFont="1" applyBorder="1" applyAlignment="1">
      <alignment horizontal="center"/>
    </xf>
    <xf numFmtId="2" fontId="61" fillId="4" borderId="145" xfId="11" applyNumberFormat="1" applyFont="1" applyBorder="1" applyAlignment="1">
      <alignment horizontal="center"/>
    </xf>
    <xf numFmtId="2" fontId="61" fillId="4" borderId="147" xfId="11" applyNumberFormat="1" applyFont="1" applyBorder="1" applyAlignment="1">
      <alignment horizontal="center"/>
    </xf>
    <xf numFmtId="37" fontId="72" fillId="4" borderId="149" xfId="11" applyNumberFormat="1" applyFont="1" applyBorder="1" applyAlignment="1">
      <alignment horizontal="center"/>
    </xf>
    <xf numFmtId="2" fontId="61" fillId="4" borderId="148" xfId="11" applyNumberFormat="1" applyFont="1" applyBorder="1" applyAlignment="1">
      <alignment horizontal="center"/>
    </xf>
    <xf numFmtId="37" fontId="61" fillId="4" borderId="150" xfId="11" applyNumberFormat="1" applyFont="1" applyBorder="1" applyAlignment="1">
      <alignment horizontal="center"/>
    </xf>
    <xf numFmtId="37" fontId="61" fillId="4" borderId="151" xfId="11" applyNumberFormat="1" applyFont="1" applyBorder="1" applyAlignment="1">
      <alignment horizontal="center"/>
    </xf>
    <xf numFmtId="0" fontId="61" fillId="4" borderId="38" xfId="11" applyNumberFormat="1" applyFont="1" applyBorder="1" applyAlignment="1" applyProtection="1">
      <alignment horizontal="center"/>
      <protection locked="0"/>
    </xf>
    <xf numFmtId="0" fontId="61" fillId="0" borderId="38" xfId="11" applyNumberFormat="1" applyFont="1" applyFill="1" applyBorder="1" applyProtection="1">
      <protection locked="0"/>
    </xf>
    <xf numFmtId="37" fontId="61" fillId="0" borderId="38" xfId="11" applyNumberFormat="1" applyFont="1" applyFill="1" applyBorder="1"/>
    <xf numFmtId="37" fontId="61" fillId="0" borderId="152" xfId="11" applyNumberFormat="1" applyFont="1" applyFill="1" applyBorder="1"/>
    <xf numFmtId="37" fontId="61" fillId="0" borderId="153" xfId="11" applyNumberFormat="1" applyFont="1" applyFill="1" applyBorder="1"/>
    <xf numFmtId="37" fontId="61" fillId="0" borderId="154" xfId="11" applyNumberFormat="1" applyFont="1" applyFill="1" applyBorder="1"/>
    <xf numFmtId="37" fontId="61" fillId="4" borderId="152" xfId="11" applyNumberFormat="1" applyFont="1" applyBorder="1"/>
    <xf numFmtId="37" fontId="61" fillId="4" borderId="38" xfId="11" applyNumberFormat="1" applyFont="1" applyBorder="1"/>
    <xf numFmtId="37" fontId="61" fillId="4" borderId="155" xfId="11" applyNumberFormat="1" applyFont="1" applyBorder="1"/>
    <xf numFmtId="37" fontId="61" fillId="4" borderId="156" xfId="11" applyNumberFormat="1" applyFont="1" applyBorder="1"/>
    <xf numFmtId="37" fontId="61" fillId="0" borderId="140" xfId="11" applyNumberFormat="1" applyFont="1" applyFill="1" applyBorder="1"/>
    <xf numFmtId="37" fontId="61" fillId="0" borderId="157" xfId="11" applyNumberFormat="1" applyFont="1" applyFill="1" applyBorder="1"/>
    <xf numFmtId="0" fontId="61" fillId="0" borderId="157" xfId="11" applyNumberFormat="1" applyFont="1" applyFill="1" applyBorder="1" applyAlignment="1">
      <alignment horizontal="center"/>
    </xf>
    <xf numFmtId="37" fontId="61" fillId="0" borderId="158" xfId="11" applyNumberFormat="1" applyFont="1" applyFill="1" applyBorder="1"/>
    <xf numFmtId="37" fontId="61" fillId="0" borderId="159" xfId="11" applyNumberFormat="1" applyFont="1" applyFill="1" applyBorder="1"/>
    <xf numFmtId="37" fontId="61" fillId="0" borderId="160" xfId="11" applyNumberFormat="1" applyFont="1" applyFill="1" applyBorder="1"/>
    <xf numFmtId="37" fontId="61" fillId="0" borderId="161" xfId="11" applyNumberFormat="1" applyFont="1" applyFill="1" applyBorder="1"/>
    <xf numFmtId="37" fontId="61" fillId="4" borderId="159" xfId="11" applyNumberFormat="1" applyFont="1" applyBorder="1"/>
    <xf numFmtId="37" fontId="61" fillId="4" borderId="158" xfId="11" applyNumberFormat="1" applyFont="1" applyBorder="1"/>
    <xf numFmtId="37" fontId="61" fillId="4" borderId="162" xfId="11" applyNumberFormat="1" applyFont="1" applyBorder="1"/>
    <xf numFmtId="37" fontId="61" fillId="4" borderId="163" xfId="11" applyNumberFormat="1" applyFont="1" applyBorder="1"/>
    <xf numFmtId="0" fontId="61" fillId="0" borderId="0" xfId="11" applyNumberFormat="1" applyFont="1" applyFill="1"/>
    <xf numFmtId="37" fontId="61" fillId="0" borderId="0" xfId="11" applyNumberFormat="1" applyFont="1" applyFill="1"/>
    <xf numFmtId="0" fontId="61" fillId="0" borderId="140" xfId="11" applyNumberFormat="1" applyFont="1" applyFill="1" applyBorder="1"/>
    <xf numFmtId="0" fontId="61" fillId="0" borderId="164" xfId="11" applyNumberFormat="1" applyFont="1" applyFill="1" applyBorder="1"/>
    <xf numFmtId="0" fontId="61" fillId="4" borderId="165" xfId="11" applyNumberFormat="1" applyFont="1" applyBorder="1"/>
    <xf numFmtId="0" fontId="61" fillId="4" borderId="164" xfId="11" applyNumberFormat="1" applyFont="1" applyBorder="1"/>
    <xf numFmtId="0" fontId="61" fillId="4" borderId="166" xfId="11" applyNumberFormat="1" applyFont="1" applyBorder="1"/>
    <xf numFmtId="0" fontId="61" fillId="0" borderId="166" xfId="11" applyNumberFormat="1" applyFont="1" applyFill="1" applyBorder="1"/>
    <xf numFmtId="0" fontId="61" fillId="0" borderId="167" xfId="11" applyNumberFormat="1" applyFont="1" applyFill="1" applyBorder="1"/>
    <xf numFmtId="0" fontId="61" fillId="0" borderId="168" xfId="11" applyNumberFormat="1" applyFont="1" applyFill="1" applyBorder="1"/>
    <xf numFmtId="0" fontId="61" fillId="4" borderId="169" xfId="11" applyNumberFormat="1" applyFont="1" applyBorder="1"/>
    <xf numFmtId="0" fontId="61" fillId="4" borderId="170" xfId="11" applyNumberFormat="1" applyFont="1" applyBorder="1"/>
    <xf numFmtId="37" fontId="61" fillId="4" borderId="171" xfId="11" applyNumberFormat="1" applyFont="1" applyBorder="1"/>
    <xf numFmtId="37" fontId="61" fillId="0" borderId="172" xfId="11" applyNumberFormat="1" applyFont="1" applyFill="1" applyBorder="1"/>
    <xf numFmtId="0" fontId="61" fillId="0" borderId="172" xfId="11" applyNumberFormat="1" applyFont="1" applyFill="1" applyBorder="1" applyAlignment="1">
      <alignment horizontal="center"/>
    </xf>
    <xf numFmtId="37" fontId="61" fillId="0" borderId="173" xfId="11" applyNumberFormat="1" applyFont="1" applyFill="1" applyBorder="1"/>
    <xf numFmtId="37" fontId="61" fillId="0" borderId="174" xfId="11" applyNumberFormat="1" applyFont="1" applyFill="1" applyBorder="1"/>
    <xf numFmtId="37" fontId="61" fillId="0" borderId="175" xfId="11" applyNumberFormat="1" applyFont="1" applyFill="1" applyBorder="1"/>
    <xf numFmtId="37" fontId="61" fillId="0" borderId="176" xfId="11" applyNumberFormat="1" applyFont="1" applyFill="1" applyBorder="1"/>
    <xf numFmtId="37" fontId="61" fillId="4" borderId="174" xfId="11" applyNumberFormat="1" applyFont="1" applyBorder="1"/>
    <xf numFmtId="37" fontId="61" fillId="4" borderId="173" xfId="11" applyNumberFormat="1" applyFont="1" applyBorder="1"/>
    <xf numFmtId="37" fontId="61" fillId="4" borderId="177" xfId="11" applyNumberFormat="1" applyFont="1" applyBorder="1"/>
    <xf numFmtId="37" fontId="61" fillId="4" borderId="178" xfId="11" applyNumberFormat="1" applyFont="1" applyBorder="1"/>
    <xf numFmtId="37" fontId="61" fillId="0" borderId="179" xfId="11" applyNumberFormat="1" applyFont="1" applyFill="1" applyBorder="1"/>
    <xf numFmtId="0" fontId="61" fillId="0" borderId="179" xfId="11" applyNumberFormat="1" applyFont="1" applyFill="1" applyBorder="1" applyAlignment="1">
      <alignment horizontal="center"/>
    </xf>
    <xf numFmtId="5" fontId="61" fillId="0" borderId="180" xfId="11" applyNumberFormat="1" applyFont="1" applyFill="1" applyBorder="1"/>
    <xf numFmtId="5" fontId="61" fillId="0" borderId="181" xfId="11" applyNumberFormat="1" applyFont="1" applyFill="1" applyBorder="1"/>
    <xf numFmtId="5" fontId="61" fillId="0" borderId="182" xfId="11" applyNumberFormat="1" applyFont="1" applyFill="1" applyBorder="1"/>
    <xf numFmtId="5" fontId="61" fillId="4" borderId="181" xfId="11" applyNumberFormat="1" applyFont="1" applyBorder="1"/>
    <xf numFmtId="5" fontId="61" fillId="4" borderId="180" xfId="11" applyNumberFormat="1" applyFont="1" applyBorder="1"/>
    <xf numFmtId="5" fontId="61" fillId="4" borderId="183" xfId="11" applyNumberFormat="1" applyFont="1" applyBorder="1"/>
    <xf numFmtId="2" fontId="61" fillId="0" borderId="0" xfId="11" applyNumberFormat="1" applyFont="1" applyFill="1"/>
    <xf numFmtId="5" fontId="72" fillId="0" borderId="0" xfId="11" applyNumberFormat="1" applyFont="1" applyFill="1"/>
    <xf numFmtId="5" fontId="72" fillId="0" borderId="0" xfId="11" applyNumberFormat="1" applyFont="1" applyFill="1" applyBorder="1"/>
    <xf numFmtId="5" fontId="61" fillId="4" borderId="0" xfId="11" applyNumberFormat="1" applyFont="1"/>
    <xf numFmtId="5" fontId="72" fillId="0" borderId="9" xfId="11" applyNumberFormat="1" applyFont="1" applyFill="1" applyBorder="1"/>
    <xf numFmtId="0" fontId="61" fillId="0" borderId="184" xfId="11" applyNumberFormat="1" applyFont="1" applyFill="1" applyBorder="1"/>
    <xf numFmtId="0" fontId="61" fillId="0" borderId="185" xfId="11" applyNumberFormat="1" applyFont="1" applyFill="1" applyBorder="1"/>
    <xf numFmtId="0" fontId="61" fillId="0" borderId="185" xfId="11" applyNumberFormat="1" applyFont="1" applyFill="1" applyBorder="1" applyAlignment="1">
      <alignment horizontal="center"/>
    </xf>
    <xf numFmtId="10" fontId="61" fillId="0" borderId="185" xfId="11" applyNumberFormat="1" applyFont="1" applyFill="1" applyBorder="1"/>
    <xf numFmtId="0" fontId="61" fillId="4" borderId="185" xfId="11" applyNumberFormat="1" applyFont="1" applyBorder="1"/>
    <xf numFmtId="0" fontId="61" fillId="4" borderId="186" xfId="11" applyNumberFormat="1" applyFont="1" applyBorder="1"/>
    <xf numFmtId="0" fontId="61" fillId="0" borderId="153" xfId="11" applyNumberFormat="1" applyFont="1" applyFill="1" applyBorder="1" applyProtection="1">
      <protection locked="0"/>
    </xf>
    <xf numFmtId="0" fontId="61" fillId="0" borderId="39" xfId="11" applyNumberFormat="1" applyFont="1" applyFill="1" applyBorder="1" applyProtection="1">
      <protection locked="0"/>
    </xf>
    <xf numFmtId="0" fontId="61" fillId="0" borderId="38" xfId="11" applyNumberFormat="1" applyFont="1" applyFill="1" applyBorder="1" applyAlignment="1" applyProtection="1">
      <alignment horizontal="center"/>
      <protection locked="0"/>
    </xf>
    <xf numFmtId="37" fontId="61" fillId="0" borderId="38" xfId="11" applyNumberFormat="1" applyFont="1" applyFill="1" applyBorder="1" applyProtection="1">
      <protection locked="0"/>
    </xf>
    <xf numFmtId="167" fontId="61" fillId="0" borderId="38" xfId="11" applyNumberFormat="1" applyFont="1" applyFill="1" applyBorder="1" applyProtection="1">
      <protection locked="0"/>
    </xf>
    <xf numFmtId="0" fontId="61" fillId="0" borderId="38" xfId="11" applyNumberFormat="1" applyFont="1" applyFill="1" applyBorder="1" applyAlignment="1">
      <alignment horizontal="center"/>
    </xf>
    <xf numFmtId="37" fontId="61" fillId="0" borderId="38" xfId="11" applyNumberFormat="1" applyFont="1" applyFill="1" applyBorder="1" applyAlignment="1" applyProtection="1">
      <alignment horizontal="center"/>
      <protection locked="0"/>
    </xf>
    <xf numFmtId="0" fontId="61" fillId="0" borderId="0" xfId="11" applyNumberFormat="1" applyFont="1" applyFill="1" applyBorder="1"/>
    <xf numFmtId="0" fontId="61" fillId="0" borderId="141" xfId="11" applyNumberFormat="1" applyFont="1" applyFill="1" applyBorder="1" applyAlignment="1" applyProtection="1">
      <alignment horizontal="center"/>
      <protection locked="0"/>
    </xf>
    <xf numFmtId="1" fontId="61" fillId="0" borderId="141" xfId="11" applyNumberFormat="1" applyFont="1" applyFill="1" applyBorder="1" applyAlignment="1" applyProtection="1">
      <alignment horizontal="center"/>
      <protection locked="0"/>
    </xf>
    <xf numFmtId="37" fontId="61" fillId="0" borderId="141" xfId="11" applyNumberFormat="1" applyFont="1" applyFill="1" applyBorder="1" applyAlignment="1" applyProtection="1">
      <alignment horizontal="center"/>
      <protection locked="0"/>
    </xf>
    <xf numFmtId="37" fontId="61" fillId="0" borderId="141" xfId="11" applyNumberFormat="1" applyFont="1" applyFill="1" applyBorder="1"/>
    <xf numFmtId="37" fontId="61" fillId="0" borderId="142" xfId="11" applyNumberFormat="1" applyFont="1" applyFill="1" applyBorder="1"/>
    <xf numFmtId="37" fontId="61" fillId="4" borderId="141" xfId="11" applyNumberFormat="1" applyFont="1" applyBorder="1"/>
    <xf numFmtId="37" fontId="61" fillId="4" borderId="143" xfId="11" applyNumberFormat="1" applyFont="1" applyBorder="1"/>
    <xf numFmtId="37" fontId="61" fillId="4" borderId="144" xfId="11" applyNumberFormat="1" applyFont="1" applyBorder="1"/>
    <xf numFmtId="0" fontId="61" fillId="0" borderId="160" xfId="11" applyNumberFormat="1" applyFont="1" applyFill="1" applyBorder="1"/>
    <xf numFmtId="0" fontId="61" fillId="0" borderId="157" xfId="11" applyNumberFormat="1" applyFont="1" applyFill="1" applyBorder="1"/>
    <xf numFmtId="0" fontId="58" fillId="0" borderId="0" xfId="11" applyNumberFormat="1" applyFont="1" applyFill="1" applyAlignment="1">
      <alignment horizontal="right"/>
    </xf>
    <xf numFmtId="5" fontId="57" fillId="0" borderId="80" xfId="11" applyNumberFormat="1" applyFont="1" applyFill="1" applyBorder="1"/>
    <xf numFmtId="0" fontId="57" fillId="0" borderId="0" xfId="11" applyNumberFormat="1" applyFont="1" applyFill="1"/>
    <xf numFmtId="5" fontId="57" fillId="0" borderId="0" xfId="11" applyNumberFormat="1" applyFont="1" applyFill="1" applyBorder="1"/>
    <xf numFmtId="0" fontId="61" fillId="0" borderId="186" xfId="11" applyNumberFormat="1" applyFont="1" applyFill="1" applyBorder="1" applyAlignment="1">
      <alignment horizontal="center"/>
    </xf>
    <xf numFmtId="0" fontId="61" fillId="4" borderId="185" xfId="11" applyNumberFormat="1" applyFont="1" applyBorder="1" applyAlignment="1">
      <alignment horizontal="center"/>
    </xf>
    <xf numFmtId="0" fontId="61" fillId="4" borderId="186" xfId="11" applyNumberFormat="1" applyFont="1" applyBorder="1" applyAlignment="1">
      <alignment horizontal="center"/>
    </xf>
    <xf numFmtId="0" fontId="61" fillId="0" borderId="0" xfId="11" applyNumberFormat="1" applyFont="1" applyFill="1" applyAlignment="1" applyProtection="1">
      <alignment horizontal="center"/>
      <protection locked="0"/>
    </xf>
    <xf numFmtId="10" fontId="61" fillId="0" borderId="0" xfId="11" applyNumberFormat="1" applyFont="1" applyFill="1" applyProtection="1">
      <protection locked="0"/>
    </xf>
    <xf numFmtId="37" fontId="61" fillId="0" borderId="164" xfId="11" applyNumberFormat="1" applyFont="1" applyFill="1" applyBorder="1" applyProtection="1">
      <protection locked="0"/>
    </xf>
    <xf numFmtId="1" fontId="61" fillId="4" borderId="0" xfId="11" applyNumberFormat="1" applyFont="1"/>
    <xf numFmtId="0" fontId="61" fillId="0" borderId="184" xfId="11" applyNumberFormat="1" applyFont="1" applyFill="1" applyBorder="1" applyAlignment="1">
      <alignment horizontal="center"/>
    </xf>
    <xf numFmtId="0" fontId="61" fillId="0" borderId="184" xfId="11" applyNumberFormat="1" applyFont="1" applyFill="1" applyBorder="1" applyAlignment="1">
      <alignment horizontal="left"/>
    </xf>
    <xf numFmtId="0" fontId="61" fillId="0" borderId="186" xfId="11" applyNumberFormat="1" applyFont="1" applyFill="1" applyBorder="1"/>
    <xf numFmtId="10" fontId="61" fillId="0" borderId="0" xfId="11" applyNumberFormat="1" applyFont="1" applyFill="1"/>
    <xf numFmtId="37" fontId="61" fillId="0" borderId="164" xfId="11" applyNumberFormat="1" applyFont="1" applyFill="1" applyBorder="1"/>
    <xf numFmtId="0" fontId="61" fillId="0" borderId="0" xfId="11" applyNumberFormat="1" applyFont="1" applyFill="1" applyAlignment="1">
      <alignment horizontal="center"/>
    </xf>
    <xf numFmtId="5" fontId="61" fillId="0" borderId="0" xfId="11" applyNumberFormat="1" applyFont="1" applyFill="1"/>
    <xf numFmtId="7" fontId="61" fillId="0" borderId="0" xfId="11" applyNumberFormat="1" applyFont="1" applyFill="1"/>
    <xf numFmtId="0" fontId="61" fillId="0" borderId="164" xfId="11" applyNumberFormat="1" applyFont="1" applyFill="1" applyBorder="1" applyProtection="1">
      <protection locked="0"/>
    </xf>
    <xf numFmtId="168" fontId="61" fillId="0" borderId="164" xfId="11" applyNumberFormat="1" applyFont="1" applyFill="1" applyBorder="1"/>
    <xf numFmtId="5" fontId="61" fillId="0" borderId="0" xfId="11" applyNumberFormat="1" applyFont="1" applyFill="1" applyAlignment="1">
      <alignment horizontal="right"/>
    </xf>
    <xf numFmtId="2" fontId="61" fillId="0" borderId="164" xfId="11" applyNumberFormat="1" applyFont="1" applyFill="1" applyBorder="1" applyAlignment="1">
      <alignment horizontal="center"/>
    </xf>
    <xf numFmtId="0" fontId="61" fillId="0" borderId="140" xfId="11" applyNumberFormat="1" applyFont="1" applyFill="1" applyBorder="1" applyAlignment="1">
      <alignment horizontal="center"/>
    </xf>
    <xf numFmtId="6" fontId="61" fillId="0" borderId="0" xfId="11" applyNumberFormat="1" applyFont="1" applyFill="1" applyProtection="1">
      <protection locked="0"/>
    </xf>
    <xf numFmtId="0" fontId="61" fillId="7" borderId="0" xfId="11" applyNumberFormat="1" applyFont="1" applyFill="1" applyProtection="1">
      <protection locked="0"/>
    </xf>
    <xf numFmtId="0" fontId="61" fillId="0" borderId="187" xfId="11" applyNumberFormat="1" applyFont="1" applyFill="1" applyBorder="1"/>
    <xf numFmtId="0" fontId="61" fillId="0" borderId="9" xfId="11" applyNumberFormat="1" applyFont="1" applyFill="1" applyBorder="1"/>
    <xf numFmtId="0" fontId="61" fillId="0" borderId="188" xfId="11" applyNumberFormat="1" applyFont="1" applyFill="1" applyBorder="1"/>
    <xf numFmtId="0" fontId="61" fillId="0" borderId="9" xfId="11" applyNumberFormat="1" applyFont="1" applyFill="1" applyBorder="1" applyAlignment="1">
      <alignment horizontal="center"/>
    </xf>
    <xf numFmtId="6" fontId="61" fillId="0" borderId="9" xfId="11" applyNumberFormat="1" applyFont="1" applyFill="1" applyBorder="1" applyProtection="1">
      <protection locked="0"/>
    </xf>
    <xf numFmtId="168" fontId="61" fillId="0" borderId="188" xfId="11" applyNumberFormat="1" applyFont="1" applyFill="1" applyBorder="1"/>
    <xf numFmtId="0" fontId="61" fillId="0" borderId="9" xfId="11" applyNumberFormat="1" applyFont="1" applyFill="1" applyBorder="1" applyAlignment="1" applyProtection="1">
      <alignment horizontal="center"/>
      <protection locked="0"/>
    </xf>
    <xf numFmtId="10" fontId="61" fillId="0" borderId="9" xfId="11" applyNumberFormat="1" applyFont="1" applyFill="1" applyBorder="1"/>
    <xf numFmtId="2" fontId="61" fillId="0" borderId="188" xfId="11" applyNumberFormat="1" applyFont="1" applyFill="1" applyBorder="1" applyAlignment="1">
      <alignment horizontal="center"/>
    </xf>
    <xf numFmtId="0" fontId="61" fillId="7" borderId="9" xfId="11" applyNumberFormat="1" applyFont="1" applyFill="1" applyBorder="1" applyProtection="1">
      <protection locked="0"/>
    </xf>
    <xf numFmtId="0" fontId="61" fillId="4" borderId="188" xfId="11" applyNumberFormat="1" applyFont="1" applyBorder="1"/>
    <xf numFmtId="1" fontId="61" fillId="0" borderId="0" xfId="11" applyNumberFormat="1" applyFont="1" applyFill="1"/>
    <xf numFmtId="191" fontId="61" fillId="0" borderId="0" xfId="1" applyNumberFormat="1" applyFont="1" applyFill="1"/>
    <xf numFmtId="0" fontId="61" fillId="0" borderId="133" xfId="11" applyNumberFormat="1" applyFont="1" applyFill="1" applyBorder="1"/>
    <xf numFmtId="0" fontId="61" fillId="0" borderId="134" xfId="11" applyNumberFormat="1" applyFont="1" applyFill="1" applyBorder="1"/>
    <xf numFmtId="0" fontId="61" fillId="0" borderId="135" xfId="11" applyNumberFormat="1" applyFont="1" applyFill="1" applyBorder="1"/>
    <xf numFmtId="0" fontId="61" fillId="0" borderId="135" xfId="11" applyNumberFormat="1" applyFont="1" applyFill="1" applyBorder="1" applyAlignment="1">
      <alignment horizontal="center"/>
    </xf>
    <xf numFmtId="0" fontId="69" fillId="0" borderId="135" xfId="11" applyNumberFormat="1" applyFont="1" applyFill="1" applyBorder="1" applyAlignment="1">
      <alignment horizontal="center"/>
    </xf>
    <xf numFmtId="0" fontId="72" fillId="0" borderId="136" xfId="11" applyNumberFormat="1" applyFont="1" applyFill="1" applyBorder="1" applyAlignment="1">
      <alignment horizontal="center"/>
    </xf>
    <xf numFmtId="0" fontId="61" fillId="0" borderId="133" xfId="11" applyNumberFormat="1" applyFont="1" applyFill="1" applyBorder="1" applyAlignment="1">
      <alignment horizontal="center"/>
    </xf>
    <xf numFmtId="0" fontId="72" fillId="0" borderId="137" xfId="11" applyNumberFormat="1" applyFont="1" applyFill="1" applyBorder="1" applyAlignment="1">
      <alignment horizontal="center"/>
    </xf>
    <xf numFmtId="0" fontId="61" fillId="0" borderId="189" xfId="11" applyNumberFormat="1" applyFont="1" applyFill="1" applyBorder="1"/>
    <xf numFmtId="0" fontId="61" fillId="0" borderId="141" xfId="11" applyNumberFormat="1" applyFont="1" applyFill="1" applyBorder="1" applyAlignment="1">
      <alignment horizontal="center"/>
    </xf>
    <xf numFmtId="0" fontId="69" fillId="0" borderId="141" xfId="11" applyNumberFormat="1" applyFont="1" applyFill="1" applyBorder="1" applyAlignment="1">
      <alignment horizontal="center"/>
    </xf>
    <xf numFmtId="0" fontId="61" fillId="0" borderId="141" xfId="11" applyNumberFormat="1" applyFont="1" applyFill="1" applyBorder="1"/>
    <xf numFmtId="0" fontId="72" fillId="0" borderId="93" xfId="11" applyNumberFormat="1" applyFont="1" applyFill="1" applyBorder="1" applyAlignment="1">
      <alignment horizontal="center"/>
    </xf>
    <xf numFmtId="5" fontId="72" fillId="0" borderId="142" xfId="11" applyNumberFormat="1" applyFont="1" applyFill="1" applyBorder="1" applyAlignment="1">
      <alignment horizontal="center"/>
    </xf>
    <xf numFmtId="0" fontId="61" fillId="0" borderId="190" xfId="11" applyNumberFormat="1" applyFont="1" applyFill="1" applyBorder="1"/>
    <xf numFmtId="0" fontId="61" fillId="0" borderId="191" xfId="11" applyNumberFormat="1" applyFont="1" applyFill="1" applyBorder="1"/>
    <xf numFmtId="0" fontId="61" fillId="0" borderId="192" xfId="11" applyNumberFormat="1" applyFont="1" applyFill="1" applyBorder="1" applyAlignment="1">
      <alignment horizontal="center"/>
    </xf>
    <xf numFmtId="37" fontId="69" fillId="0" borderId="192" xfId="11" applyNumberFormat="1" applyFont="1" applyFill="1" applyBorder="1" applyAlignment="1">
      <alignment horizontal="center"/>
    </xf>
    <xf numFmtId="10" fontId="61" fillId="0" borderId="192" xfId="11" applyNumberFormat="1" applyFont="1" applyFill="1" applyBorder="1"/>
    <xf numFmtId="37" fontId="61" fillId="0" borderId="192" xfId="11" applyNumberFormat="1" applyFont="1" applyFill="1" applyBorder="1" applyAlignment="1">
      <alignment horizontal="center"/>
    </xf>
    <xf numFmtId="170" fontId="72" fillId="0" borderId="193" xfId="11" applyNumberFormat="1" applyFont="1" applyFill="1" applyBorder="1" applyAlignment="1">
      <alignment horizontal="center"/>
    </xf>
    <xf numFmtId="2" fontId="61" fillId="0" borderId="190" xfId="11" applyNumberFormat="1" applyFont="1" applyFill="1" applyBorder="1" applyAlignment="1">
      <alignment horizontal="center"/>
    </xf>
    <xf numFmtId="2" fontId="61" fillId="0" borderId="192" xfId="11" applyNumberFormat="1" applyFont="1" applyFill="1" applyBorder="1" applyAlignment="1">
      <alignment horizontal="center"/>
    </xf>
    <xf numFmtId="37" fontId="72" fillId="0" borderId="194" xfId="11" applyNumberFormat="1" applyFont="1" applyFill="1" applyBorder="1" applyAlignment="1">
      <alignment horizontal="center"/>
    </xf>
    <xf numFmtId="2" fontId="61" fillId="4" borderId="193" xfId="11" applyNumberFormat="1" applyFont="1" applyBorder="1" applyAlignment="1">
      <alignment horizontal="center"/>
    </xf>
    <xf numFmtId="37" fontId="61" fillId="4" borderId="192" xfId="11" applyNumberFormat="1" applyFont="1" applyBorder="1" applyAlignment="1">
      <alignment horizontal="center"/>
    </xf>
    <xf numFmtId="37" fontId="61" fillId="4" borderId="195" xfId="11" applyNumberFormat="1" applyFont="1" applyBorder="1" applyAlignment="1">
      <alignment horizontal="center"/>
    </xf>
    <xf numFmtId="37" fontId="61" fillId="4" borderId="196" xfId="11" applyNumberFormat="1" applyFont="1" applyBorder="1" applyAlignment="1">
      <alignment horizontal="center"/>
    </xf>
    <xf numFmtId="0" fontId="61" fillId="0" borderId="175" xfId="11" applyNumberFormat="1" applyFont="1" applyFill="1" applyBorder="1" applyAlignment="1">
      <alignment horizontal="right"/>
    </xf>
    <xf numFmtId="0" fontId="61" fillId="0" borderId="172" xfId="11" applyNumberFormat="1" applyFont="1" applyFill="1" applyBorder="1"/>
    <xf numFmtId="0" fontId="61" fillId="0" borderId="172" xfId="11" applyNumberFormat="1" applyFont="1" applyFill="1" applyBorder="1" applyAlignment="1">
      <alignment horizontal="left"/>
    </xf>
    <xf numFmtId="0" fontId="57" fillId="0" borderId="197" xfId="11" applyNumberFormat="1" applyFont="1" applyFill="1" applyBorder="1" applyAlignment="1">
      <alignment horizontal="right"/>
    </xf>
    <xf numFmtId="0" fontId="61" fillId="0" borderId="198" xfId="11" applyNumberFormat="1" applyFont="1" applyFill="1" applyBorder="1"/>
    <xf numFmtId="0" fontId="61" fillId="0" borderId="199" xfId="11" applyNumberFormat="1" applyFont="1" applyFill="1" applyBorder="1"/>
    <xf numFmtId="0" fontId="57" fillId="0" borderId="63" xfId="11" applyNumberFormat="1" applyFont="1" applyFill="1" applyBorder="1" applyAlignment="1">
      <alignment horizontal="center"/>
    </xf>
    <xf numFmtId="37" fontId="57" fillId="0" borderId="64" xfId="11" applyNumberFormat="1" applyFont="1" applyFill="1" applyBorder="1"/>
    <xf numFmtId="0" fontId="57" fillId="0" borderId="63" xfId="11" applyNumberFormat="1" applyFont="1" applyFill="1" applyBorder="1"/>
    <xf numFmtId="187" fontId="57" fillId="0" borderId="64" xfId="1" applyNumberFormat="1" applyFont="1" applyFill="1" applyBorder="1"/>
    <xf numFmtId="0" fontId="89" fillId="0" borderId="63" xfId="11" applyNumberFormat="1" applyFont="1" applyFill="1" applyBorder="1"/>
    <xf numFmtId="7" fontId="57" fillId="0" borderId="64" xfId="11" applyNumberFormat="1" applyFont="1" applyFill="1" applyBorder="1"/>
    <xf numFmtId="7" fontId="57" fillId="0" borderId="1" xfId="11" applyNumberFormat="1" applyFont="1" applyFill="1" applyBorder="1"/>
    <xf numFmtId="0" fontId="61" fillId="0" borderId="2" xfId="11" applyNumberFormat="1" applyFont="1" applyFill="1" applyBorder="1"/>
    <xf numFmtId="0" fontId="61" fillId="0" borderId="3" xfId="11" applyNumberFormat="1" applyFont="1" applyFill="1" applyBorder="1"/>
    <xf numFmtId="0" fontId="61" fillId="13" borderId="0" xfId="11" applyNumberFormat="1" applyFont="1" applyFill="1"/>
    <xf numFmtId="5" fontId="61" fillId="13" borderId="0" xfId="11" applyNumberFormat="1" applyFont="1" applyFill="1"/>
    <xf numFmtId="1" fontId="57" fillId="0" borderId="64" xfId="11" applyNumberFormat="1" applyFont="1" applyFill="1" applyBorder="1"/>
    <xf numFmtId="0" fontId="61" fillId="0" borderId="1" xfId="11" applyNumberFormat="1" applyFont="1" applyFill="1" applyBorder="1"/>
    <xf numFmtId="0" fontId="61" fillId="0" borderId="3" xfId="11" applyNumberFormat="1" applyFont="1" applyFill="1" applyBorder="1" applyAlignment="1">
      <alignment horizontal="right"/>
    </xf>
    <xf numFmtId="37" fontId="61" fillId="0" borderId="3" xfId="11" applyNumberFormat="1" applyFont="1" applyFill="1" applyBorder="1"/>
    <xf numFmtId="0" fontId="66" fillId="4" borderId="0" xfId="0" applyNumberFormat="1" applyFont="1" applyFill="1" applyBorder="1" applyAlignment="1">
      <alignment horizontal="center"/>
    </xf>
    <xf numFmtId="0" fontId="61" fillId="4" borderId="0" xfId="5" applyNumberFormat="1" applyFont="1"/>
    <xf numFmtId="0" fontId="57" fillId="4" borderId="0" xfId="5" applyNumberFormat="1" applyFont="1"/>
    <xf numFmtId="0" fontId="61" fillId="4" borderId="0" xfId="5" applyNumberFormat="1" applyFont="1" applyAlignment="1">
      <alignment horizontal="center"/>
    </xf>
    <xf numFmtId="0" fontId="61" fillId="0" borderId="0" xfId="5" applyNumberFormat="1" applyFont="1" applyFill="1"/>
    <xf numFmtId="0" fontId="61" fillId="4" borderId="0" xfId="5" applyNumberFormat="1" applyFont="1" applyBorder="1"/>
    <xf numFmtId="0" fontId="61" fillId="0" borderId="200" xfId="5" applyNumberFormat="1" applyFont="1" applyFill="1" applyBorder="1"/>
    <xf numFmtId="0" fontId="61" fillId="0" borderId="200" xfId="5" applyNumberFormat="1" applyFont="1" applyFill="1" applyBorder="1" applyAlignment="1">
      <alignment horizontal="center"/>
    </xf>
    <xf numFmtId="2" fontId="61" fillId="0" borderId="200" xfId="5" applyNumberFormat="1" applyFont="1" applyFill="1" applyBorder="1"/>
    <xf numFmtId="0" fontId="61" fillId="0" borderId="0" xfId="5" applyNumberFormat="1" applyFont="1" applyFill="1" applyAlignment="1">
      <alignment horizontal="center"/>
    </xf>
    <xf numFmtId="2" fontId="61" fillId="0" borderId="0" xfId="5" applyNumberFormat="1" applyFont="1" applyFill="1" applyAlignment="1">
      <alignment horizontal="center"/>
    </xf>
    <xf numFmtId="1" fontId="61" fillId="0" borderId="0" xfId="5" applyNumberFormat="1" applyFont="1" applyFill="1" applyAlignment="1">
      <alignment horizontal="center"/>
    </xf>
    <xf numFmtId="1" fontId="61" fillId="0" borderId="0" xfId="5" applyNumberFormat="1" applyFont="1" applyFill="1"/>
    <xf numFmtId="0" fontId="61" fillId="0" borderId="6" xfId="5" applyNumberFormat="1" applyFont="1" applyFill="1" applyBorder="1"/>
    <xf numFmtId="3" fontId="61" fillId="0" borderId="6" xfId="5" applyNumberFormat="1" applyFont="1" applyFill="1" applyBorder="1" applyProtection="1">
      <protection locked="0"/>
    </xf>
    <xf numFmtId="0" fontId="61" fillId="0" borderId="6" xfId="5" applyNumberFormat="1" applyFont="1" applyFill="1" applyBorder="1" applyAlignment="1" applyProtection="1">
      <alignment horizontal="center"/>
      <protection locked="0"/>
    </xf>
    <xf numFmtId="2" fontId="61" fillId="0" borderId="6" xfId="5" applyNumberFormat="1" applyFont="1" applyFill="1" applyBorder="1" applyProtection="1">
      <protection locked="0"/>
    </xf>
    <xf numFmtId="1" fontId="61" fillId="0" borderId="6" xfId="5" applyNumberFormat="1" applyFont="1" applyFill="1" applyBorder="1"/>
    <xf numFmtId="170" fontId="61" fillId="0" borderId="6" xfId="5" applyNumberFormat="1" applyFont="1" applyFill="1" applyBorder="1"/>
    <xf numFmtId="174" fontId="61" fillId="0" borderId="6" xfId="5" applyNumberFormat="1" applyFont="1" applyFill="1" applyBorder="1"/>
    <xf numFmtId="175" fontId="61" fillId="0" borderId="6" xfId="5" applyNumberFormat="1" applyFont="1" applyFill="1" applyBorder="1"/>
    <xf numFmtId="3" fontId="61" fillId="0" borderId="6" xfId="5" applyNumberFormat="1" applyFont="1" applyFill="1" applyBorder="1"/>
    <xf numFmtId="0" fontId="57" fillId="0" borderId="6" xfId="5" applyNumberFormat="1" applyFont="1" applyFill="1" applyBorder="1"/>
    <xf numFmtId="3" fontId="57" fillId="0" borderId="6" xfId="5" applyNumberFormat="1" applyFont="1" applyFill="1" applyBorder="1" applyProtection="1">
      <protection locked="0"/>
    </xf>
    <xf numFmtId="0" fontId="57" fillId="0" borderId="6" xfId="5" applyNumberFormat="1" applyFont="1" applyFill="1" applyBorder="1" applyAlignment="1" applyProtection="1">
      <alignment horizontal="center"/>
      <protection locked="0"/>
    </xf>
    <xf numFmtId="2" fontId="57" fillId="0" borderId="6" xfId="5" applyNumberFormat="1" applyFont="1" applyFill="1" applyBorder="1" applyProtection="1">
      <protection locked="0"/>
    </xf>
    <xf numFmtId="1" fontId="57" fillId="0" borderId="6" xfId="5" applyNumberFormat="1" applyFont="1" applyFill="1" applyBorder="1"/>
    <xf numFmtId="170" fontId="57" fillId="0" borderId="6" xfId="5" applyNumberFormat="1" applyFont="1" applyFill="1" applyBorder="1"/>
    <xf numFmtId="174" fontId="57" fillId="0" borderId="6" xfId="5" applyNumberFormat="1" applyFont="1" applyFill="1" applyBorder="1"/>
    <xf numFmtId="175" fontId="57" fillId="0" borderId="6" xfId="5" applyNumberFormat="1" applyFont="1" applyFill="1" applyBorder="1"/>
    <xf numFmtId="3" fontId="57" fillId="0" borderId="6" xfId="5" applyNumberFormat="1" applyFont="1" applyFill="1" applyBorder="1"/>
    <xf numFmtId="5" fontId="61" fillId="0" borderId="6" xfId="5" applyNumberFormat="1" applyFont="1" applyFill="1" applyBorder="1"/>
    <xf numFmtId="5" fontId="57" fillId="0" borderId="6" xfId="5" applyNumberFormat="1" applyFont="1" applyFill="1" applyBorder="1"/>
    <xf numFmtId="175" fontId="57" fillId="4" borderId="0" xfId="5" applyNumberFormat="1" applyFont="1"/>
    <xf numFmtId="2" fontId="57" fillId="0" borderId="17" xfId="5" applyNumberFormat="1" applyFont="1" applyFill="1" applyBorder="1" applyProtection="1">
      <protection locked="0"/>
    </xf>
    <xf numFmtId="1" fontId="57" fillId="0" borderId="17" xfId="5" applyNumberFormat="1" applyFont="1" applyFill="1" applyBorder="1"/>
    <xf numFmtId="174" fontId="57" fillId="0" borderId="17" xfId="5" applyNumberFormat="1" applyFont="1" applyFill="1" applyBorder="1"/>
    <xf numFmtId="175" fontId="57" fillId="0" borderId="17" xfId="5" applyNumberFormat="1" applyFont="1" applyFill="1" applyBorder="1"/>
    <xf numFmtId="0" fontId="61" fillId="0" borderId="0" xfId="4" applyNumberFormat="1" applyFont="1" applyFill="1"/>
    <xf numFmtId="0" fontId="57" fillId="0" borderId="0" xfId="4" applyNumberFormat="1" applyFont="1" applyFill="1" applyAlignment="1">
      <alignment horizontal="right"/>
    </xf>
    <xf numFmtId="189" fontId="60" fillId="0" borderId="0" xfId="4" applyNumberFormat="1" applyFont="1" applyFill="1"/>
    <xf numFmtId="0" fontId="75" fillId="0" borderId="0" xfId="4" applyNumberFormat="1" applyFont="1" applyFill="1"/>
    <xf numFmtId="0" fontId="61" fillId="0" borderId="0" xfId="4" applyNumberFormat="1" applyFont="1" applyFill="1" applyAlignment="1">
      <alignment horizontal="center"/>
    </xf>
    <xf numFmtId="0" fontId="61" fillId="0" borderId="97" xfId="4" applyNumberFormat="1" applyFont="1" applyFill="1" applyBorder="1" applyAlignment="1">
      <alignment horizontal="center"/>
    </xf>
    <xf numFmtId="0" fontId="61" fillId="0" borderId="96" xfId="4" applyNumberFormat="1" applyFont="1" applyFill="1" applyBorder="1" applyAlignment="1">
      <alignment horizontal="center"/>
    </xf>
    <xf numFmtId="0" fontId="61" fillId="0" borderId="96" xfId="4" applyNumberFormat="1" applyFont="1" applyFill="1" applyBorder="1"/>
    <xf numFmtId="2" fontId="61" fillId="0" borderId="96" xfId="4" applyNumberFormat="1" applyFont="1" applyFill="1" applyBorder="1" applyAlignment="1">
      <alignment horizontal="center"/>
    </xf>
    <xf numFmtId="1" fontId="61" fillId="0" borderId="97" xfId="4" applyNumberFormat="1" applyFont="1" applyFill="1" applyBorder="1" applyAlignment="1">
      <alignment horizontal="center"/>
    </xf>
    <xf numFmtId="0" fontId="61" fillId="0" borderId="0" xfId="4" applyNumberFormat="1" applyFont="1" applyFill="1" applyBorder="1" applyAlignment="1">
      <alignment horizontal="center"/>
    </xf>
    <xf numFmtId="2" fontId="61" fillId="0" borderId="0" xfId="4" applyNumberFormat="1" applyFont="1" applyFill="1" applyBorder="1" applyAlignment="1">
      <alignment horizontal="center"/>
    </xf>
    <xf numFmtId="1" fontId="61" fillId="0" borderId="0" xfId="4" applyNumberFormat="1" applyFont="1" applyFill="1" applyBorder="1" applyAlignment="1">
      <alignment horizontal="center"/>
    </xf>
    <xf numFmtId="0" fontId="60" fillId="0" borderId="6" xfId="4" applyNumberFormat="1" applyFont="1" applyFill="1" applyBorder="1"/>
    <xf numFmtId="1" fontId="61" fillId="0" borderId="6" xfId="4" applyNumberFormat="1" applyFont="1" applyFill="1" applyBorder="1"/>
    <xf numFmtId="37" fontId="61" fillId="0" borderId="6" xfId="4" applyNumberFormat="1" applyFont="1" applyFill="1" applyBorder="1"/>
    <xf numFmtId="43" fontId="61" fillId="0" borderId="0" xfId="1" applyFont="1" applyFill="1"/>
    <xf numFmtId="0" fontId="61" fillId="0" borderId="6" xfId="4" applyNumberFormat="1" applyFont="1" applyFill="1" applyBorder="1"/>
    <xf numFmtId="187" fontId="61" fillId="0" borderId="0" xfId="1" applyNumberFormat="1" applyFont="1" applyFill="1"/>
    <xf numFmtId="0" fontId="61" fillId="0" borderId="0" xfId="4" applyNumberFormat="1" applyFont="1" applyFill="1" applyAlignment="1">
      <alignment horizontal="left"/>
    </xf>
    <xf numFmtId="0" fontId="57" fillId="0" borderId="77" xfId="4" applyNumberFormat="1" applyFont="1" applyFill="1" applyBorder="1"/>
    <xf numFmtId="0" fontId="87" fillId="0" borderId="77" xfId="4" applyNumberFormat="1" applyFont="1" applyFill="1" applyBorder="1"/>
    <xf numFmtId="37" fontId="87" fillId="0" borderId="77" xfId="4" applyNumberFormat="1" applyFont="1" applyFill="1" applyBorder="1"/>
    <xf numFmtId="5" fontId="57" fillId="0" borderId="77" xfId="4" applyNumberFormat="1" applyFont="1" applyFill="1" applyBorder="1"/>
    <xf numFmtId="37" fontId="57" fillId="0" borderId="77" xfId="4" applyNumberFormat="1" applyFont="1" applyFill="1" applyBorder="1"/>
    <xf numFmtId="5" fontId="89" fillId="0" borderId="77" xfId="4" applyNumberFormat="1" applyFont="1" applyFill="1" applyBorder="1"/>
    <xf numFmtId="187" fontId="57" fillId="0" borderId="128" xfId="1" applyNumberFormat="1" applyFont="1" applyFill="1" applyBorder="1"/>
    <xf numFmtId="0" fontId="57" fillId="0" borderId="0" xfId="4" applyNumberFormat="1" applyFont="1" applyFill="1"/>
    <xf numFmtId="10" fontId="61" fillId="0" borderId="0" xfId="4" applyNumberFormat="1" applyFont="1" applyFill="1"/>
    <xf numFmtId="10" fontId="61" fillId="0" borderId="0" xfId="4" applyNumberFormat="1" applyFont="1" applyFill="1" applyAlignment="1">
      <alignment horizontal="center"/>
    </xf>
    <xf numFmtId="5" fontId="61" fillId="0" borderId="0" xfId="4" applyNumberFormat="1" applyFont="1" applyFill="1"/>
    <xf numFmtId="37" fontId="75" fillId="0" borderId="0" xfId="4" applyNumberFormat="1" applyFont="1" applyFill="1"/>
    <xf numFmtId="37" fontId="61" fillId="0" borderId="0" xfId="4" applyNumberFormat="1" applyFont="1" applyFill="1"/>
    <xf numFmtId="0" fontId="61" fillId="0" borderId="201" xfId="4" applyNumberFormat="1" applyFont="1" applyFill="1" applyBorder="1"/>
    <xf numFmtId="0" fontId="61" fillId="0" borderId="201" xfId="4" applyNumberFormat="1" applyFont="1" applyFill="1" applyBorder="1" applyAlignment="1">
      <alignment horizontal="center"/>
    </xf>
    <xf numFmtId="180" fontId="61" fillId="0" borderId="0" xfId="4" applyNumberFormat="1" applyFont="1" applyFill="1"/>
    <xf numFmtId="10" fontId="61" fillId="0" borderId="0" xfId="12" applyNumberFormat="1" applyFont="1" applyFill="1"/>
    <xf numFmtId="10" fontId="61" fillId="0" borderId="0" xfId="12" applyNumberFormat="1" applyFont="1" applyFill="1" applyAlignment="1">
      <alignment horizontal="center"/>
    </xf>
    <xf numFmtId="0" fontId="87" fillId="0" borderId="0" xfId="4" applyNumberFormat="1" applyFont="1" applyFill="1" applyAlignment="1">
      <alignment horizontal="center"/>
    </xf>
    <xf numFmtId="0" fontId="69" fillId="0" borderId="0" xfId="4" applyNumberFormat="1" applyFont="1" applyFill="1" applyBorder="1"/>
    <xf numFmtId="0" fontId="61" fillId="0" borderId="0" xfId="4" applyNumberFormat="1" applyFont="1" applyFill="1" applyAlignment="1">
      <alignment horizontal="right"/>
    </xf>
    <xf numFmtId="192" fontId="61" fillId="0" borderId="0" xfId="2" applyNumberFormat="1" applyFont="1" applyFill="1"/>
    <xf numFmtId="37" fontId="57" fillId="0" borderId="0" xfId="4" applyNumberFormat="1" applyFont="1" applyFill="1" applyBorder="1"/>
    <xf numFmtId="0" fontId="61" fillId="0" borderId="63" xfId="4" applyNumberFormat="1" applyFont="1" applyFill="1" applyBorder="1"/>
    <xf numFmtId="0" fontId="61" fillId="0" borderId="64" xfId="4" applyNumberFormat="1" applyFont="1" applyFill="1" applyBorder="1"/>
    <xf numFmtId="0" fontId="90" fillId="2" borderId="0" xfId="0" applyNumberFormat="1" applyFont="1" applyFill="1"/>
    <xf numFmtId="0" fontId="61" fillId="2" borderId="0" xfId="0" applyNumberFormat="1" applyFont="1" applyFill="1" applyAlignment="1">
      <alignment horizontal="right"/>
    </xf>
    <xf numFmtId="2" fontId="69" fillId="4" borderId="0" xfId="0" applyNumberFormat="1" applyFont="1" applyFill="1" applyAlignment="1">
      <alignment horizontal="center"/>
    </xf>
    <xf numFmtId="2" fontId="61" fillId="4" borderId="0" xfId="0" applyNumberFormat="1" applyFont="1" applyFill="1"/>
    <xf numFmtId="2" fontId="61" fillId="10" borderId="0" xfId="0" applyNumberFormat="1" applyFont="1" applyFill="1"/>
    <xf numFmtId="10" fontId="61" fillId="4" borderId="0" xfId="0" applyNumberFormat="1" applyFont="1" applyFill="1"/>
    <xf numFmtId="2" fontId="61" fillId="7" borderId="0" xfId="0" applyNumberFormat="1" applyFont="1" applyFill="1"/>
    <xf numFmtId="10" fontId="61" fillId="10" borderId="0" xfId="0" applyNumberFormat="1" applyFont="1" applyFill="1"/>
    <xf numFmtId="2" fontId="61" fillId="3" borderId="0" xfId="0" applyNumberFormat="1" applyFont="1" applyFill="1"/>
    <xf numFmtId="0" fontId="61" fillId="0" borderId="0" xfId="9" applyNumberFormat="1" applyFont="1" applyFill="1"/>
    <xf numFmtId="0" fontId="69" fillId="4" borderId="0" xfId="0" applyNumberFormat="1" applyFont="1" applyFill="1" applyAlignment="1">
      <alignment horizontal="center"/>
    </xf>
    <xf numFmtId="0" fontId="61" fillId="4" borderId="0" xfId="0" applyNumberFormat="1" applyFont="1" applyFill="1" applyAlignment="1">
      <alignment horizontal="right"/>
    </xf>
    <xf numFmtId="0" fontId="69" fillId="4" borderId="0" xfId="0" applyNumberFormat="1" applyFont="1" applyFill="1" applyAlignment="1">
      <alignment horizontal="left"/>
    </xf>
    <xf numFmtId="2" fontId="61" fillId="0" borderId="202" xfId="0" applyNumberFormat="1" applyFont="1" applyFill="1" applyBorder="1"/>
    <xf numFmtId="184" fontId="61" fillId="2" borderId="0" xfId="0" applyNumberFormat="1" applyFont="1" applyFill="1"/>
    <xf numFmtId="176" fontId="61" fillId="4" borderId="0" xfId="0" applyNumberFormat="1" applyFont="1" applyFill="1"/>
    <xf numFmtId="167" fontId="61" fillId="4" borderId="0" xfId="0" applyNumberFormat="1" applyFont="1" applyFill="1"/>
    <xf numFmtId="10" fontId="61" fillId="0" borderId="0" xfId="0" applyNumberFormat="1" applyFont="1" applyFill="1"/>
    <xf numFmtId="2" fontId="69" fillId="0" borderId="0" xfId="0" applyNumberFormat="1" applyFont="1" applyFill="1" applyAlignment="1">
      <alignment horizontal="center"/>
    </xf>
    <xf numFmtId="37" fontId="69" fillId="4" borderId="0" xfId="0" applyNumberFormat="1" applyFont="1" applyFill="1" applyAlignment="1">
      <alignment horizontal="center"/>
    </xf>
    <xf numFmtId="0" fontId="69" fillId="4" borderId="96" xfId="0" applyNumberFormat="1" applyFont="1" applyFill="1" applyBorder="1" applyAlignment="1">
      <alignment horizontal="center"/>
    </xf>
    <xf numFmtId="0" fontId="69" fillId="0" borderId="96" xfId="0" applyNumberFormat="1" applyFont="1" applyFill="1" applyBorder="1" applyAlignment="1">
      <alignment horizontal="center"/>
    </xf>
    <xf numFmtId="2" fontId="61" fillId="0" borderId="96" xfId="0" applyNumberFormat="1" applyFont="1" applyFill="1" applyBorder="1"/>
    <xf numFmtId="2" fontId="69" fillId="0" borderId="96" xfId="0" applyNumberFormat="1" applyFont="1" applyFill="1" applyBorder="1" applyAlignment="1">
      <alignment horizontal="center"/>
    </xf>
    <xf numFmtId="37" fontId="69" fillId="4" borderId="96" xfId="0" applyNumberFormat="1" applyFont="1" applyFill="1" applyBorder="1" applyAlignment="1">
      <alignment horizontal="center"/>
    </xf>
    <xf numFmtId="0" fontId="61" fillId="4" borderId="6" xfId="0" applyNumberFormat="1" applyFont="1" applyFill="1" applyBorder="1"/>
    <xf numFmtId="2" fontId="61" fillId="4" borderId="6" xfId="0" applyNumberFormat="1" applyFont="1" applyFill="1" applyBorder="1"/>
    <xf numFmtId="10" fontId="61" fillId="4" borderId="6" xfId="0" applyNumberFormat="1" applyFont="1" applyFill="1" applyBorder="1"/>
    <xf numFmtId="39" fontId="61" fillId="4" borderId="6" xfId="0" applyNumberFormat="1" applyFont="1" applyFill="1" applyBorder="1"/>
    <xf numFmtId="2" fontId="61" fillId="10" borderId="6" xfId="0" applyNumberFormat="1" applyFont="1" applyFill="1" applyBorder="1"/>
    <xf numFmtId="2" fontId="61" fillId="10" borderId="0" xfId="0" applyNumberFormat="1" applyFont="1" applyFill="1" applyAlignment="1">
      <alignment horizontal="left"/>
    </xf>
    <xf numFmtId="39" fontId="61" fillId="4" borderId="0" xfId="0" applyNumberFormat="1" applyFont="1" applyFill="1"/>
    <xf numFmtId="44" fontId="61" fillId="2" borderId="0" xfId="2" applyFont="1" applyFill="1"/>
    <xf numFmtId="0" fontId="89" fillId="0" borderId="91" xfId="8" applyFont="1" applyBorder="1" applyAlignment="1">
      <alignment wrapText="1"/>
    </xf>
    <xf numFmtId="0" fontId="89" fillId="0" borderId="204" xfId="8" applyFont="1" applyBorder="1" applyAlignment="1">
      <alignment horizontal="center" wrapText="1"/>
    </xf>
    <xf numFmtId="0" fontId="89" fillId="0" borderId="0" xfId="8" applyFont="1" applyBorder="1" applyAlignment="1">
      <alignment wrapText="1"/>
    </xf>
    <xf numFmtId="0" fontId="89" fillId="0" borderId="203" xfId="8" applyFont="1" applyBorder="1" applyAlignment="1">
      <alignment horizontal="right" wrapText="1"/>
    </xf>
    <xf numFmtId="0" fontId="89" fillId="0" borderId="204" xfId="8" applyFont="1" applyBorder="1" applyAlignment="1">
      <alignment wrapText="1"/>
    </xf>
    <xf numFmtId="9" fontId="89" fillId="0" borderId="204" xfId="12" applyFont="1" applyBorder="1" applyAlignment="1">
      <alignment wrapText="1"/>
    </xf>
    <xf numFmtId="188" fontId="89" fillId="0" borderId="205" xfId="8" applyNumberFormat="1" applyFont="1" applyBorder="1" applyAlignment="1">
      <alignment wrapText="1"/>
    </xf>
    <xf numFmtId="0" fontId="57" fillId="0" borderId="221" xfId="8" applyFont="1" applyBorder="1" applyAlignment="1">
      <alignment horizontal="right" wrapText="1"/>
    </xf>
    <xf numFmtId="0" fontId="57" fillId="0" borderId="222" xfId="8" applyFont="1" applyBorder="1" applyAlignment="1">
      <alignment wrapText="1"/>
    </xf>
    <xf numFmtId="0" fontId="57" fillId="0" borderId="222" xfId="8" applyFont="1" applyBorder="1" applyAlignment="1">
      <alignment horizontal="center" wrapText="1"/>
    </xf>
    <xf numFmtId="9" fontId="57" fillId="0" borderId="222" xfId="12" applyFont="1" applyBorder="1" applyAlignment="1">
      <alignment wrapText="1"/>
    </xf>
    <xf numFmtId="0" fontId="57" fillId="0" borderId="223" xfId="8" applyFont="1" applyBorder="1" applyAlignment="1">
      <alignment wrapText="1"/>
    </xf>
    <xf numFmtId="0" fontId="57" fillId="0" borderId="0" xfId="8" applyFont="1" applyBorder="1" applyAlignment="1">
      <alignment wrapText="1"/>
    </xf>
    <xf numFmtId="0" fontId="89" fillId="0" borderId="0" xfId="8" applyFont="1" applyBorder="1" applyAlignment="1">
      <alignment horizontal="center" wrapText="1"/>
    </xf>
    <xf numFmtId="9" fontId="89" fillId="0" borderId="0" xfId="12" applyFont="1" applyBorder="1" applyAlignment="1">
      <alignment wrapText="1"/>
    </xf>
    <xf numFmtId="0" fontId="82" fillId="2" borderId="0" xfId="6" applyNumberFormat="1" applyFont="1" applyFill="1"/>
    <xf numFmtId="0" fontId="82" fillId="2" borderId="0" xfId="6" applyNumberFormat="1" applyFont="1" applyFill="1" applyAlignment="1">
      <alignment wrapText="1"/>
    </xf>
    <xf numFmtId="0" fontId="82" fillId="2" borderId="0" xfId="6" applyNumberFormat="1" applyFont="1" applyFill="1" applyAlignment="1">
      <alignment horizontal="left"/>
    </xf>
    <xf numFmtId="37" fontId="82" fillId="2" borderId="0" xfId="6" applyNumberFormat="1" applyFont="1" applyFill="1"/>
    <xf numFmtId="6" fontId="82" fillId="2" borderId="0" xfId="6" applyNumberFormat="1" applyFont="1" applyFill="1" applyAlignment="1">
      <alignment wrapText="1"/>
    </xf>
    <xf numFmtId="5" fontId="82" fillId="2" borderId="0" xfId="6" applyNumberFormat="1" applyFont="1" applyFill="1" applyAlignment="1">
      <alignment wrapText="1"/>
    </xf>
    <xf numFmtId="8" fontId="82" fillId="2" borderId="0" xfId="6" applyNumberFormat="1" applyFont="1" applyFill="1" applyAlignment="1">
      <alignment wrapText="1"/>
    </xf>
    <xf numFmtId="37" fontId="82" fillId="0" borderId="0" xfId="6" applyNumberFormat="1" applyFont="1"/>
    <xf numFmtId="0" fontId="82" fillId="0" borderId="0" xfId="6" applyFont="1"/>
    <xf numFmtId="10" fontId="82" fillId="0" borderId="0" xfId="6" applyNumberFormat="1" applyFont="1"/>
    <xf numFmtId="0" fontId="61" fillId="2" borderId="0" xfId="0" applyNumberFormat="1" applyFont="1" applyFill="1" applyAlignment="1">
      <alignment wrapText="1"/>
    </xf>
    <xf numFmtId="177" fontId="61" fillId="2" borderId="0" xfId="0" applyNumberFormat="1" applyFont="1" applyFill="1" applyAlignment="1">
      <alignment horizontal="center"/>
    </xf>
    <xf numFmtId="37" fontId="61" fillId="2" borderId="0" xfId="0" applyNumberFormat="1" applyFont="1" applyFill="1" applyAlignment="1"/>
    <xf numFmtId="3" fontId="61" fillId="2" borderId="0" xfId="0" applyNumberFormat="1" applyFont="1" applyFill="1" applyAlignment="1">
      <alignment horizontal="center"/>
    </xf>
    <xf numFmtId="3" fontId="61" fillId="2" borderId="0" xfId="0" applyNumberFormat="1" applyFont="1" applyFill="1" applyAlignment="1">
      <alignment horizontal="right"/>
    </xf>
    <xf numFmtId="0" fontId="57" fillId="0" borderId="0" xfId="0" applyNumberFormat="1" applyFont="1" applyFill="1" applyBorder="1"/>
    <xf numFmtId="0" fontId="67" fillId="0" borderId="0" xfId="0" applyNumberFormat="1" applyFont="1" applyFill="1" applyBorder="1"/>
    <xf numFmtId="0" fontId="71" fillId="0" borderId="0" xfId="0" applyNumberFormat="1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horizontal="left"/>
    </xf>
    <xf numFmtId="37" fontId="72" fillId="10" borderId="77" xfId="0" applyNumberFormat="1" applyFont="1" applyFill="1" applyBorder="1"/>
    <xf numFmtId="0" fontId="72" fillId="4" borderId="224" xfId="0" applyNumberFormat="1" applyFont="1" applyFill="1" applyBorder="1"/>
    <xf numFmtId="5" fontId="72" fillId="4" borderId="225" xfId="0" applyNumberFormat="1" applyFont="1" applyFill="1" applyBorder="1"/>
    <xf numFmtId="171" fontId="72" fillId="4" borderId="225" xfId="0" applyNumberFormat="1" applyFont="1" applyFill="1" applyBorder="1"/>
    <xf numFmtId="0" fontId="72" fillId="4" borderId="226" xfId="0" applyNumberFormat="1" applyFont="1" applyFill="1" applyBorder="1"/>
    <xf numFmtId="37" fontId="72" fillId="4" borderId="226" xfId="0" applyNumberFormat="1" applyFont="1" applyFill="1" applyBorder="1"/>
    <xf numFmtId="171" fontId="72" fillId="4" borderId="226" xfId="0" applyNumberFormat="1" applyFont="1" applyFill="1" applyBorder="1"/>
    <xf numFmtId="5" fontId="72" fillId="0" borderId="226" xfId="0" applyNumberFormat="1" applyFont="1" applyFill="1" applyBorder="1"/>
    <xf numFmtId="0" fontId="72" fillId="4" borderId="97" xfId="0" applyNumberFormat="1" applyFont="1" applyFill="1" applyBorder="1"/>
    <xf numFmtId="5" fontId="72" fillId="4" borderId="97" xfId="0" applyNumberFormat="1" applyFont="1" applyFill="1" applyBorder="1"/>
    <xf numFmtId="171" fontId="72" fillId="4" borderId="97" xfId="0" applyNumberFormat="1" applyFont="1" applyFill="1" applyBorder="1"/>
    <xf numFmtId="37" fontId="72" fillId="4" borderId="97" xfId="0" applyNumberFormat="1" applyFont="1" applyFill="1" applyBorder="1"/>
    <xf numFmtId="5" fontId="72" fillId="0" borderId="97" xfId="0" applyNumberFormat="1" applyFont="1" applyFill="1" applyBorder="1"/>
    <xf numFmtId="0" fontId="72" fillId="4" borderId="75" xfId="0" applyNumberFormat="1" applyFont="1" applyFill="1" applyBorder="1"/>
    <xf numFmtId="5" fontId="72" fillId="0" borderId="75" xfId="0" applyNumberFormat="1" applyFont="1" applyFill="1" applyBorder="1"/>
    <xf numFmtId="171" fontId="72" fillId="4" borderId="227" xfId="0" applyNumberFormat="1" applyFont="1" applyFill="1" applyBorder="1"/>
    <xf numFmtId="0" fontId="61" fillId="4" borderId="5" xfId="0" applyNumberFormat="1" applyFont="1" applyFill="1" applyBorder="1"/>
    <xf numFmtId="0" fontId="72" fillId="4" borderId="0" xfId="0" applyNumberFormat="1" applyFont="1" applyFill="1" applyBorder="1" applyAlignment="1">
      <alignment horizontal="left"/>
    </xf>
    <xf numFmtId="175" fontId="72" fillId="4" borderId="0" xfId="0" applyNumberFormat="1" applyFont="1" applyFill="1" applyBorder="1"/>
    <xf numFmtId="175" fontId="57" fillId="4" borderId="0" xfId="0" applyNumberFormat="1" applyFont="1" applyFill="1" applyBorder="1"/>
    <xf numFmtId="5" fontId="57" fillId="4" borderId="96" xfId="0" applyNumberFormat="1" applyFont="1" applyFill="1" applyBorder="1"/>
    <xf numFmtId="37" fontId="57" fillId="4" borderId="96" xfId="0" applyNumberFormat="1" applyFont="1" applyFill="1" applyBorder="1"/>
    <xf numFmtId="5" fontId="57" fillId="0" borderId="96" xfId="0" applyNumberFormat="1" applyFont="1" applyFill="1" applyBorder="1"/>
    <xf numFmtId="0" fontId="72" fillId="4" borderId="4" xfId="0" applyNumberFormat="1" applyFont="1" applyFill="1" applyBorder="1" applyAlignment="1">
      <alignment horizontal="left"/>
    </xf>
    <xf numFmtId="0" fontId="72" fillId="4" borderId="228" xfId="0" applyNumberFormat="1" applyFont="1" applyFill="1" applyBorder="1" applyAlignment="1">
      <alignment horizontal="left"/>
    </xf>
    <xf numFmtId="0" fontId="72" fillId="4" borderId="225" xfId="0" applyNumberFormat="1" applyFont="1" applyFill="1" applyBorder="1" applyAlignment="1">
      <alignment horizontal="left"/>
    </xf>
    <xf numFmtId="9" fontId="72" fillId="4" borderId="225" xfId="0" applyNumberFormat="1" applyFont="1" applyFill="1" applyBorder="1"/>
    <xf numFmtId="5" fontId="72" fillId="4" borderId="226" xfId="0" applyNumberFormat="1" applyFont="1" applyFill="1" applyBorder="1"/>
    <xf numFmtId="9" fontId="72" fillId="4" borderId="226" xfId="0" applyNumberFormat="1" applyFont="1" applyFill="1" applyBorder="1"/>
    <xf numFmtId="171" fontId="72" fillId="4" borderId="229" xfId="0" applyNumberFormat="1" applyFont="1" applyFill="1" applyBorder="1"/>
    <xf numFmtId="0" fontId="72" fillId="4" borderId="225" xfId="0" applyNumberFormat="1" applyFont="1" applyFill="1" applyBorder="1"/>
    <xf numFmtId="5" fontId="72" fillId="0" borderId="225" xfId="0" applyNumberFormat="1" applyFont="1" applyFill="1" applyBorder="1"/>
    <xf numFmtId="171" fontId="72" fillId="4" borderId="230" xfId="0" applyNumberFormat="1" applyFont="1" applyFill="1" applyBorder="1"/>
    <xf numFmtId="0" fontId="72" fillId="4" borderId="231" xfId="0" applyNumberFormat="1" applyFont="1" applyFill="1" applyBorder="1"/>
    <xf numFmtId="5" fontId="72" fillId="10" borderId="226" xfId="0" applyNumberFormat="1" applyFont="1" applyFill="1" applyBorder="1"/>
    <xf numFmtId="37" fontId="72" fillId="10" borderId="226" xfId="0" applyNumberFormat="1" applyFont="1" applyFill="1" applyBorder="1"/>
    <xf numFmtId="0" fontId="0" fillId="2" borderId="56" xfId="0" applyNumberFormat="1" applyFill="1" applyBorder="1"/>
    <xf numFmtId="0" fontId="72" fillId="4" borderId="56" xfId="0" applyNumberFormat="1" applyFont="1" applyFill="1" applyBorder="1"/>
    <xf numFmtId="171" fontId="72" fillId="4" borderId="61" xfId="0" applyNumberFormat="1" applyFont="1" applyFill="1" applyBorder="1"/>
    <xf numFmtId="0" fontId="72" fillId="4" borderId="66" xfId="0" applyNumberFormat="1" applyFont="1" applyFill="1" applyBorder="1"/>
    <xf numFmtId="0" fontId="72" fillId="4" borderId="62" xfId="0" applyNumberFormat="1" applyFont="1" applyFill="1" applyBorder="1"/>
    <xf numFmtId="5" fontId="72" fillId="4" borderId="62" xfId="0" applyNumberFormat="1" applyFont="1" applyFill="1" applyBorder="1"/>
    <xf numFmtId="9" fontId="72" fillId="4" borderId="62" xfId="0" applyNumberFormat="1" applyFont="1" applyFill="1" applyBorder="1"/>
    <xf numFmtId="171" fontId="72" fillId="4" borderId="62" xfId="0" applyNumberFormat="1" applyFont="1" applyFill="1" applyBorder="1"/>
    <xf numFmtId="37" fontId="72" fillId="4" borderId="62" xfId="0" applyNumberFormat="1" applyFont="1" applyFill="1" applyBorder="1"/>
    <xf numFmtId="5" fontId="72" fillId="4" borderId="62" xfId="0" applyNumberFormat="1" applyFont="1" applyFill="1" applyBorder="1" applyAlignment="1">
      <alignment horizontal="right"/>
    </xf>
    <xf numFmtId="0" fontId="72" fillId="4" borderId="8" xfId="0" applyNumberFormat="1" applyFont="1" applyFill="1" applyBorder="1"/>
    <xf numFmtId="5" fontId="72" fillId="4" borderId="8" xfId="0" applyNumberFormat="1" applyFont="1" applyFill="1" applyBorder="1"/>
    <xf numFmtId="9" fontId="72" fillId="4" borderId="8" xfId="0" applyNumberFormat="1" applyFont="1" applyFill="1" applyBorder="1"/>
    <xf numFmtId="171" fontId="72" fillId="4" borderId="8" xfId="0" applyNumberFormat="1" applyFont="1" applyFill="1" applyBorder="1"/>
    <xf numFmtId="5" fontId="72" fillId="0" borderId="8" xfId="0" applyNumberFormat="1" applyFont="1" applyFill="1" applyBorder="1"/>
    <xf numFmtId="0" fontId="72" fillId="4" borderId="57" xfId="0" applyNumberFormat="1" applyFont="1" applyFill="1" applyBorder="1"/>
    <xf numFmtId="5" fontId="72" fillId="10" borderId="8" xfId="0" applyNumberFormat="1" applyFont="1" applyFill="1" applyBorder="1"/>
    <xf numFmtId="3" fontId="72" fillId="10" borderId="0" xfId="0" applyNumberFormat="1" applyFont="1" applyFill="1" applyBorder="1"/>
    <xf numFmtId="175" fontId="72" fillId="10" borderId="0" xfId="0" applyNumberFormat="1" applyFont="1" applyFill="1" applyBorder="1"/>
    <xf numFmtId="171" fontId="72" fillId="4" borderId="65" xfId="0" applyNumberFormat="1" applyFont="1" applyFill="1" applyBorder="1"/>
    <xf numFmtId="0" fontId="19" fillId="4" borderId="0" xfId="0" applyNumberFormat="1" applyFont="1" applyFill="1" applyBorder="1" applyAlignment="1">
      <alignment horizontal="left" vertical="center"/>
    </xf>
    <xf numFmtId="0" fontId="46" fillId="4" borderId="0" xfId="0" applyNumberFormat="1" applyFont="1" applyFill="1" applyBorder="1" applyAlignment="1">
      <alignment vertical="center"/>
    </xf>
    <xf numFmtId="164" fontId="91" fillId="4" borderId="0" xfId="0" applyNumberFormat="1" applyFont="1" applyFill="1" applyBorder="1" applyAlignment="1">
      <alignment horizontal="right" vertical="center"/>
    </xf>
    <xf numFmtId="0" fontId="18" fillId="4" borderId="0" xfId="11" applyNumberFormat="1" applyFont="1"/>
    <xf numFmtId="0" fontId="0" fillId="2" borderId="232" xfId="0" applyNumberFormat="1" applyFill="1" applyBorder="1"/>
    <xf numFmtId="0" fontId="0" fillId="2" borderId="233" xfId="0" applyNumberFormat="1" applyFill="1" applyBorder="1"/>
    <xf numFmtId="0" fontId="61" fillId="2" borderId="233" xfId="0" applyNumberFormat="1" applyFont="1" applyFill="1" applyBorder="1"/>
    <xf numFmtId="49" fontId="82" fillId="2" borderId="0" xfId="0" applyNumberFormat="1" applyFont="1" applyFill="1" applyAlignment="1">
      <alignment horizontal="left"/>
    </xf>
    <xf numFmtId="175" fontId="61" fillId="2" borderId="233" xfId="0" applyNumberFormat="1" applyFont="1" applyFill="1" applyBorder="1"/>
    <xf numFmtId="0" fontId="61" fillId="2" borderId="234" xfId="0" applyNumberFormat="1" applyFont="1" applyFill="1" applyBorder="1"/>
    <xf numFmtId="175" fontId="61" fillId="2" borderId="235" xfId="0" applyNumberFormat="1" applyFont="1" applyFill="1" applyBorder="1"/>
    <xf numFmtId="49" fontId="82" fillId="2" borderId="234" xfId="0" applyNumberFormat="1" applyFont="1" applyFill="1" applyBorder="1" applyAlignment="1">
      <alignment horizontal="left"/>
    </xf>
    <xf numFmtId="0" fontId="61" fillId="2" borderId="235" xfId="0" applyNumberFormat="1" applyFont="1" applyFill="1" applyBorder="1"/>
    <xf numFmtId="3" fontId="82" fillId="15" borderId="6" xfId="0" applyNumberFormat="1" applyFont="1" applyFill="1" applyBorder="1"/>
    <xf numFmtId="0" fontId="24" fillId="0" borderId="6" xfId="0" applyFont="1" applyFill="1" applyBorder="1"/>
    <xf numFmtId="0" fontId="24" fillId="0" borderId="6" xfId="0" applyFont="1" applyFill="1" applyBorder="1" applyAlignment="1">
      <alignment horizontal="center"/>
    </xf>
    <xf numFmtId="3" fontId="24" fillId="0" borderId="6" xfId="0" applyNumberFormat="1" applyFont="1" applyFill="1" applyBorder="1"/>
    <xf numFmtId="3" fontId="24" fillId="2" borderId="6" xfId="0" applyNumberFormat="1" applyFont="1" applyBorder="1"/>
    <xf numFmtId="3" fontId="24" fillId="5" borderId="6" xfId="0" applyNumberFormat="1" applyFont="1" applyFill="1" applyBorder="1"/>
    <xf numFmtId="0" fontId="38" fillId="2" borderId="6" xfId="0" applyFont="1" applyBorder="1" applyAlignment="1">
      <alignment horizontal="center"/>
    </xf>
    <xf numFmtId="183" fontId="69" fillId="4" borderId="0" xfId="0" applyNumberFormat="1" applyFont="1" applyFill="1" applyBorder="1" applyAlignment="1">
      <alignment horizontal="center" vertical="center"/>
    </xf>
    <xf numFmtId="0" fontId="89" fillId="2" borderId="0" xfId="0" applyNumberFormat="1" applyFont="1" applyFill="1" applyBorder="1"/>
    <xf numFmtId="175" fontId="61" fillId="2" borderId="0" xfId="0" applyNumberFormat="1" applyFont="1" applyFill="1" applyBorder="1"/>
    <xf numFmtId="0" fontId="61" fillId="2" borderId="236" xfId="0" applyNumberFormat="1" applyFont="1" applyFill="1" applyBorder="1"/>
    <xf numFmtId="0" fontId="57" fillId="2" borderId="237" xfId="0" applyNumberFormat="1" applyFont="1" applyFill="1" applyBorder="1"/>
    <xf numFmtId="0" fontId="61" fillId="2" borderId="238" xfId="0" applyNumberFormat="1" applyFont="1" applyFill="1" applyBorder="1"/>
    <xf numFmtId="49" fontId="82" fillId="2" borderId="236" xfId="0" applyNumberFormat="1" applyFont="1" applyFill="1" applyBorder="1" applyAlignment="1">
      <alignment horizontal="left"/>
    </xf>
    <xf numFmtId="175" fontId="61" fillId="2" borderId="232" xfId="0" applyNumberFormat="1" applyFont="1" applyFill="1" applyBorder="1"/>
    <xf numFmtId="175" fontId="61" fillId="2" borderId="238" xfId="0" applyNumberFormat="1" applyFont="1" applyFill="1" applyBorder="1"/>
    <xf numFmtId="0" fontId="89" fillId="2" borderId="239" xfId="0" applyNumberFormat="1" applyFont="1" applyFill="1" applyBorder="1"/>
    <xf numFmtId="175" fontId="57" fillId="2" borderId="240" xfId="0" applyNumberFormat="1" applyFont="1" applyFill="1" applyBorder="1"/>
    <xf numFmtId="49" fontId="89" fillId="2" borderId="239" xfId="0" applyNumberFormat="1" applyFont="1" applyFill="1" applyBorder="1" applyAlignment="1">
      <alignment horizontal="left"/>
    </xf>
    <xf numFmtId="0" fontId="58" fillId="0" borderId="241" xfId="0" applyNumberFormat="1" applyFont="1" applyFill="1" applyBorder="1"/>
    <xf numFmtId="0" fontId="92" fillId="2" borderId="242" xfId="0" applyNumberFormat="1" applyFont="1" applyFill="1" applyBorder="1"/>
    <xf numFmtId="175" fontId="58" fillId="2" borderId="243" xfId="0" applyNumberFormat="1" applyFont="1" applyFill="1" applyBorder="1"/>
    <xf numFmtId="171" fontId="72" fillId="4" borderId="59" xfId="0" applyNumberFormat="1" applyFont="1" applyFill="1" applyBorder="1"/>
    <xf numFmtId="0" fontId="0" fillId="2" borderId="0" xfId="0" applyNumberFormat="1" applyFill="1" applyAlignment="1">
      <alignment horizontal="right"/>
    </xf>
    <xf numFmtId="5" fontId="0" fillId="2" borderId="0" xfId="0" applyNumberFormat="1" applyFill="1" applyAlignment="1">
      <alignment horizontal="left"/>
    </xf>
    <xf numFmtId="37" fontId="61" fillId="16" borderId="38" xfId="11" applyNumberFormat="1" applyFont="1" applyFill="1" applyBorder="1"/>
    <xf numFmtId="173" fontId="61" fillId="16" borderId="128" xfId="11" applyNumberFormat="1" applyFont="1" applyFill="1" applyBorder="1" applyAlignment="1">
      <alignment horizontal="center"/>
    </xf>
    <xf numFmtId="10" fontId="61" fillId="16" borderId="201" xfId="11" applyNumberFormat="1" applyFont="1" applyFill="1" applyBorder="1"/>
    <xf numFmtId="10" fontId="16" fillId="0" borderId="0" xfId="9" applyNumberFormat="1" applyFill="1" applyBorder="1"/>
    <xf numFmtId="4" fontId="95" fillId="0" borderId="0" xfId="9" applyNumberFormat="1" applyFont="1" applyFill="1" applyBorder="1" applyAlignment="1"/>
    <xf numFmtId="2" fontId="16" fillId="0" borderId="244" xfId="9" applyNumberFormat="1" applyFill="1" applyBorder="1"/>
    <xf numFmtId="2" fontId="16" fillId="0" borderId="202" xfId="9" applyNumberFormat="1" applyFill="1" applyBorder="1"/>
    <xf numFmtId="0" fontId="16" fillId="0" borderId="0" xfId="9" applyNumberFormat="1" applyFill="1"/>
    <xf numFmtId="0" fontId="0" fillId="2" borderId="0" xfId="0"/>
    <xf numFmtId="44" fontId="40" fillId="0" borderId="24" xfId="2" applyFont="1" applyFill="1" applyBorder="1"/>
    <xf numFmtId="0" fontId="97" fillId="0" borderId="96" xfId="9" applyNumberFormat="1" applyFont="1" applyFill="1" applyBorder="1" applyAlignment="1">
      <alignment horizontal="center"/>
    </xf>
    <xf numFmtId="0" fontId="97" fillId="0" borderId="245" xfId="9" applyNumberFormat="1" applyFont="1" applyFill="1" applyBorder="1" applyAlignment="1">
      <alignment horizontal="center"/>
    </xf>
    <xf numFmtId="0" fontId="96" fillId="0" borderId="62" xfId="9" applyNumberFormat="1" applyFont="1" applyFill="1" applyBorder="1" applyAlignment="1">
      <alignment horizontal="center"/>
    </xf>
    <xf numFmtId="10" fontId="96" fillId="0" borderId="62" xfId="12" applyNumberFormat="1" applyFont="1" applyFill="1" applyBorder="1" applyAlignment="1">
      <alignment horizontal="center"/>
    </xf>
    <xf numFmtId="0" fontId="11" fillId="0" borderId="79" xfId="9" applyNumberFormat="1" applyFont="1" applyFill="1" applyBorder="1" applyAlignment="1">
      <alignment horizontal="center"/>
    </xf>
    <xf numFmtId="0" fontId="71" fillId="16" borderId="0" xfId="4" applyNumberFormat="1" applyFont="1" applyFill="1"/>
    <xf numFmtId="0" fontId="61" fillId="16" borderId="0" xfId="4" applyNumberFormat="1" applyFont="1" applyFill="1"/>
    <xf numFmtId="189" fontId="60" fillId="16" borderId="0" xfId="4" applyNumberFormat="1" applyFont="1" applyFill="1"/>
    <xf numFmtId="0" fontId="57" fillId="16" borderId="0" xfId="4" applyNumberFormat="1" applyFont="1" applyFill="1" applyAlignment="1">
      <alignment horizontal="center"/>
    </xf>
    <xf numFmtId="37" fontId="61" fillId="16" borderId="6" xfId="4" applyNumberFormat="1" applyFont="1" applyFill="1" applyBorder="1"/>
    <xf numFmtId="1" fontId="61" fillId="16" borderId="6" xfId="4" applyNumberFormat="1" applyFont="1" applyFill="1" applyBorder="1"/>
    <xf numFmtId="180" fontId="61" fillId="16" borderId="0" xfId="4" applyNumberFormat="1" applyFont="1" applyFill="1" applyAlignment="1">
      <alignment horizontal="center"/>
    </xf>
    <xf numFmtId="5" fontId="57" fillId="0" borderId="0" xfId="4" applyNumberFormat="1" applyFont="1" applyFill="1"/>
    <xf numFmtId="10" fontId="80" fillId="16" borderId="0" xfId="4" applyNumberFormat="1" applyFont="1" applyFill="1"/>
    <xf numFmtId="0" fontId="65" fillId="0" borderId="63" xfId="4" applyNumberFormat="1" applyFont="1" applyFill="1" applyBorder="1"/>
    <xf numFmtId="0" fontId="100" fillId="0" borderId="24" xfId="4" applyNumberFormat="1" applyFont="1" applyFill="1" applyBorder="1"/>
    <xf numFmtId="0" fontId="100" fillId="0" borderId="64" xfId="4" applyNumberFormat="1" applyFont="1" applyFill="1" applyBorder="1"/>
    <xf numFmtId="5" fontId="101" fillId="0" borderId="80" xfId="4" applyNumberFormat="1" applyFont="1" applyFill="1" applyBorder="1" applyAlignment="1">
      <alignment horizontal="center"/>
    </xf>
    <xf numFmtId="44" fontId="102" fillId="16" borderId="64" xfId="2" applyFont="1" applyFill="1" applyBorder="1"/>
    <xf numFmtId="10" fontId="61" fillId="17" borderId="141" xfId="11" applyNumberFormat="1" applyFont="1" applyFill="1" applyBorder="1" applyAlignment="1">
      <alignment horizontal="center"/>
    </xf>
    <xf numFmtId="2" fontId="61" fillId="16" borderId="0" xfId="0" applyNumberFormat="1" applyFont="1" applyFill="1"/>
    <xf numFmtId="3" fontId="61" fillId="10" borderId="6" xfId="5" applyNumberFormat="1" applyFont="1" applyFill="1" applyBorder="1"/>
    <xf numFmtId="1" fontId="61" fillId="10" borderId="6" xfId="5" applyNumberFormat="1" applyFont="1" applyFill="1" applyBorder="1"/>
    <xf numFmtId="170" fontId="61" fillId="10" borderId="6" xfId="5" applyNumberFormat="1" applyFont="1" applyFill="1" applyBorder="1"/>
    <xf numFmtId="1" fontId="61" fillId="17" borderId="6" xfId="5" applyNumberFormat="1" applyFont="1" applyFill="1" applyBorder="1"/>
    <xf numFmtId="170" fontId="61" fillId="17" borderId="6" xfId="5" applyNumberFormat="1" applyFont="1" applyFill="1" applyBorder="1"/>
    <xf numFmtId="176" fontId="61" fillId="10" borderId="6" xfId="5" applyNumberFormat="1" applyFont="1" applyFill="1" applyBorder="1"/>
    <xf numFmtId="174" fontId="61" fillId="10" borderId="6" xfId="5" applyNumberFormat="1" applyFont="1" applyFill="1" applyBorder="1"/>
    <xf numFmtId="175" fontId="61" fillId="10" borderId="6" xfId="5" applyNumberFormat="1" applyFont="1" applyFill="1" applyBorder="1"/>
    <xf numFmtId="1" fontId="61" fillId="17" borderId="6" xfId="4" applyNumberFormat="1" applyFont="1" applyFill="1" applyBorder="1"/>
    <xf numFmtId="0" fontId="82" fillId="16" borderId="6" xfId="10" applyFont="1" applyFill="1" applyBorder="1" applyAlignment="1">
      <alignment horizontal="center"/>
    </xf>
    <xf numFmtId="0" fontId="82" fillId="16" borderId="6" xfId="10" applyFont="1" applyFill="1" applyBorder="1"/>
    <xf numFmtId="0" fontId="0" fillId="2" borderId="0" xfId="0" applyNumberFormat="1" applyFill="1" applyAlignment="1">
      <alignment horizontal="center" wrapText="1"/>
    </xf>
    <xf numFmtId="0" fontId="24" fillId="2" borderId="0" xfId="6" applyNumberFormat="1" applyFill="1"/>
    <xf numFmtId="0" fontId="105" fillId="2" borderId="0" xfId="6" applyNumberFormat="1" applyFont="1" applyFill="1" applyBorder="1" applyAlignment="1">
      <alignment horizontal="center"/>
    </xf>
    <xf numFmtId="0" fontId="104" fillId="2" borderId="0" xfId="0" applyNumberFormat="1" applyFont="1" applyFill="1" applyBorder="1" applyAlignment="1">
      <alignment horizontal="center"/>
    </xf>
    <xf numFmtId="0" fontId="105" fillId="2" borderId="57" xfId="6" applyNumberFormat="1" applyFont="1" applyFill="1" applyBorder="1" applyAlignment="1">
      <alignment horizontal="center"/>
    </xf>
    <xf numFmtId="0" fontId="104" fillId="2" borderId="57" xfId="0" applyNumberFormat="1" applyFont="1" applyFill="1" applyBorder="1" applyAlignment="1">
      <alignment horizontal="center"/>
    </xf>
    <xf numFmtId="0" fontId="104" fillId="2" borderId="8" xfId="0" applyNumberFormat="1" applyFont="1" applyFill="1" applyBorder="1" applyAlignment="1">
      <alignment horizontal="center"/>
    </xf>
    <xf numFmtId="0" fontId="104" fillId="2" borderId="59" xfId="0" applyNumberFormat="1" applyFont="1" applyFill="1" applyBorder="1" applyAlignment="1">
      <alignment horizontal="center"/>
    </xf>
    <xf numFmtId="0" fontId="33" fillId="2" borderId="246" xfId="6" applyNumberFormat="1" applyFont="1" applyFill="1" applyBorder="1" applyAlignment="1">
      <alignment horizontal="center"/>
    </xf>
    <xf numFmtId="0" fontId="24" fillId="2" borderId="0" xfId="6" applyNumberFormat="1" applyFill="1" applyAlignment="1">
      <alignment wrapText="1"/>
    </xf>
    <xf numFmtId="0" fontId="24" fillId="2" borderId="0" xfId="6" applyNumberFormat="1" applyFont="1" applyFill="1" applyAlignment="1">
      <alignment wrapText="1"/>
    </xf>
    <xf numFmtId="0" fontId="22" fillId="2" borderId="247" xfId="6" applyNumberFormat="1" applyFont="1" applyFill="1" applyBorder="1" applyAlignment="1">
      <alignment horizontal="center" wrapText="1"/>
    </xf>
    <xf numFmtId="177" fontId="22" fillId="2" borderId="248" xfId="6" applyNumberFormat="1" applyFont="1" applyFill="1" applyBorder="1" applyAlignment="1">
      <alignment horizontal="center" wrapText="1"/>
    </xf>
    <xf numFmtId="0" fontId="22" fillId="2" borderId="129" xfId="6" applyNumberFormat="1" applyFont="1" applyFill="1" applyBorder="1" applyAlignment="1">
      <alignment horizontal="center" wrapText="1"/>
    </xf>
    <xf numFmtId="10" fontId="22" fillId="2" borderId="249" xfId="6" applyNumberFormat="1" applyFont="1" applyFill="1" applyBorder="1" applyAlignment="1">
      <alignment horizontal="center" wrapText="1"/>
    </xf>
    <xf numFmtId="0" fontId="22" fillId="2" borderId="250" xfId="6" applyNumberFormat="1" applyFont="1" applyFill="1" applyBorder="1" applyAlignment="1">
      <alignment horizontal="center" wrapText="1"/>
    </xf>
    <xf numFmtId="3" fontId="22" fillId="2" borderId="248" xfId="6" applyNumberFormat="1" applyFont="1" applyFill="1" applyBorder="1" applyAlignment="1">
      <alignment horizontal="center" wrapText="1"/>
    </xf>
    <xf numFmtId="177" fontId="22" fillId="2" borderId="75" xfId="6" applyNumberFormat="1" applyFont="1" applyFill="1" applyBorder="1" applyAlignment="1">
      <alignment horizontal="center" wrapText="1"/>
    </xf>
    <xf numFmtId="0" fontId="22" fillId="0" borderId="85" xfId="6" applyNumberFormat="1" applyFont="1" applyFill="1" applyBorder="1" applyAlignment="1">
      <alignment horizontal="center" wrapText="1"/>
    </xf>
    <xf numFmtId="0" fontId="22" fillId="2" borderId="249" xfId="6" applyNumberFormat="1" applyFont="1" applyFill="1" applyBorder="1" applyAlignment="1">
      <alignment horizontal="center" wrapText="1"/>
    </xf>
    <xf numFmtId="3" fontId="22" fillId="2" borderId="80" xfId="6" applyNumberFormat="1" applyFont="1" applyFill="1" applyBorder="1" applyAlignment="1">
      <alignment horizontal="center" wrapText="1"/>
    </xf>
    <xf numFmtId="0" fontId="22" fillId="18" borderId="80" xfId="6" applyNumberFormat="1" applyFont="1" applyFill="1" applyBorder="1" applyAlignment="1">
      <alignment horizontal="center" wrapText="1"/>
    </xf>
    <xf numFmtId="0" fontId="24" fillId="2" borderId="0" xfId="6" applyNumberFormat="1" applyFont="1" applyFill="1" applyAlignment="1">
      <alignment horizontal="left"/>
    </xf>
    <xf numFmtId="37" fontId="24" fillId="2" borderId="0" xfId="6" applyNumberFormat="1" applyFill="1"/>
    <xf numFmtId="0" fontId="18" fillId="2" borderId="58" xfId="6" applyNumberFormat="1" applyFont="1" applyFill="1" applyBorder="1" applyAlignment="1">
      <alignment horizontal="center" wrapText="1"/>
    </xf>
    <xf numFmtId="37" fontId="18" fillId="2" borderId="63" xfId="6" applyNumberFormat="1" applyFont="1" applyFill="1" applyBorder="1" applyAlignment="1">
      <alignment horizontal="center" wrapText="1"/>
    </xf>
    <xf numFmtId="37" fontId="18" fillId="2" borderId="251" xfId="6" applyNumberFormat="1" applyFont="1" applyFill="1" applyBorder="1" applyAlignment="1">
      <alignment wrapText="1"/>
    </xf>
    <xf numFmtId="10" fontId="18" fillId="2" borderId="252" xfId="6" applyNumberFormat="1" applyFont="1" applyFill="1" applyBorder="1" applyAlignment="1">
      <alignment horizontal="center" wrapText="1"/>
    </xf>
    <xf numFmtId="37" fontId="18" fillId="2" borderId="253" xfId="6" applyNumberFormat="1" applyFont="1" applyFill="1" applyBorder="1" applyAlignment="1">
      <alignment horizontal="center" wrapText="1"/>
    </xf>
    <xf numFmtId="37" fontId="18" fillId="2" borderId="24" xfId="6" applyNumberFormat="1" applyFont="1" applyFill="1" applyBorder="1" applyAlignment="1">
      <alignment horizontal="center" wrapText="1"/>
    </xf>
    <xf numFmtId="37" fontId="18" fillId="0" borderId="80" xfId="6" applyNumberFormat="1" applyFont="1" applyFill="1" applyBorder="1" applyAlignment="1">
      <alignment horizontal="center" wrapText="1"/>
    </xf>
    <xf numFmtId="37" fontId="18" fillId="2" borderId="80" xfId="6" applyNumberFormat="1" applyFont="1" applyFill="1" applyBorder="1" applyAlignment="1">
      <alignment horizontal="center" wrapText="1"/>
    </xf>
    <xf numFmtId="37" fontId="18" fillId="18" borderId="80" xfId="6" applyNumberFormat="1" applyFont="1" applyFill="1" applyBorder="1" applyAlignment="1">
      <alignment wrapText="1"/>
    </xf>
    <xf numFmtId="6" fontId="24" fillId="2" borderId="0" xfId="6" applyNumberFormat="1" applyFill="1" applyAlignment="1">
      <alignment wrapText="1"/>
    </xf>
    <xf numFmtId="5" fontId="24" fillId="2" borderId="0" xfId="6" applyNumberFormat="1" applyFill="1" applyAlignment="1">
      <alignment wrapText="1"/>
    </xf>
    <xf numFmtId="0" fontId="22" fillId="2" borderId="80" xfId="6" applyNumberFormat="1" applyFont="1" applyFill="1" applyBorder="1" applyAlignment="1">
      <alignment horizontal="center" wrapText="1"/>
    </xf>
    <xf numFmtId="0" fontId="18" fillId="2" borderId="62" xfId="6" applyNumberFormat="1" applyFont="1" applyFill="1" applyBorder="1" applyAlignment="1">
      <alignment wrapText="1"/>
    </xf>
    <xf numFmtId="10" fontId="18" fillId="2" borderId="0" xfId="6" applyNumberFormat="1" applyFont="1" applyFill="1" applyBorder="1" applyAlignment="1">
      <alignment wrapText="1"/>
    </xf>
    <xf numFmtId="0" fontId="18" fillId="2" borderId="0" xfId="6" applyNumberFormat="1" applyFont="1" applyFill="1" applyBorder="1" applyAlignment="1">
      <alignment wrapText="1"/>
    </xf>
    <xf numFmtId="0" fontId="18" fillId="0" borderId="24" xfId="6" applyNumberFormat="1" applyFont="1" applyFill="1" applyBorder="1" applyAlignment="1">
      <alignment wrapText="1"/>
    </xf>
    <xf numFmtId="0" fontId="18" fillId="2" borderId="24" xfId="6" applyNumberFormat="1" applyFont="1" applyFill="1" applyBorder="1" applyAlignment="1">
      <alignment wrapText="1"/>
    </xf>
    <xf numFmtId="0" fontId="18" fillId="18" borderId="64" xfId="6" applyNumberFormat="1" applyFont="1" applyFill="1" applyBorder="1" applyAlignment="1">
      <alignment wrapText="1"/>
    </xf>
    <xf numFmtId="8" fontId="24" fillId="2" borderId="0" xfId="6" applyNumberFormat="1" applyFill="1" applyAlignment="1">
      <alignment wrapText="1"/>
    </xf>
    <xf numFmtId="1" fontId="25" fillId="2" borderId="254" xfId="6" applyNumberFormat="1" applyFont="1" applyFill="1" applyBorder="1" applyAlignment="1">
      <alignment horizontal="center"/>
    </xf>
    <xf numFmtId="0" fontId="45" fillId="2" borderId="255" xfId="6" applyNumberFormat="1" applyFont="1" applyFill="1" applyBorder="1"/>
    <xf numFmtId="37" fontId="45" fillId="2" borderId="256" xfId="6" applyNumberFormat="1" applyFont="1" applyFill="1" applyBorder="1"/>
    <xf numFmtId="10" fontId="45" fillId="2" borderId="257" xfId="6" applyNumberFormat="1" applyFont="1" applyFill="1" applyBorder="1"/>
    <xf numFmtId="37" fontId="45" fillId="2" borderId="255" xfId="6" applyNumberFormat="1" applyFont="1" applyFill="1" applyBorder="1"/>
    <xf numFmtId="10" fontId="45" fillId="2" borderId="258" xfId="6" applyNumberFormat="1" applyFont="1" applyFill="1" applyBorder="1"/>
    <xf numFmtId="37" fontId="45" fillId="2" borderId="255" xfId="6" applyNumberFormat="1" applyFont="1" applyFill="1" applyBorder="1" applyAlignment="1">
      <alignment horizontal="right"/>
    </xf>
    <xf numFmtId="10" fontId="45" fillId="2" borderId="259" xfId="6" applyNumberFormat="1" applyFont="1" applyFill="1" applyBorder="1"/>
    <xf numFmtId="37" fontId="45" fillId="2" borderId="260" xfId="6" applyNumberFormat="1" applyFont="1" applyFill="1" applyBorder="1"/>
    <xf numFmtId="10" fontId="45" fillId="2" borderId="261" xfId="6" applyNumberFormat="1" applyFont="1" applyFill="1" applyBorder="1"/>
    <xf numFmtId="37" fontId="45" fillId="2" borderId="262" xfId="6" applyNumberFormat="1" applyFont="1" applyFill="1" applyBorder="1" applyAlignment="1">
      <alignment horizontal="right"/>
    </xf>
    <xf numFmtId="37" fontId="45" fillId="0" borderId="254" xfId="6" applyNumberFormat="1" applyFont="1" applyFill="1" applyBorder="1"/>
    <xf numFmtId="37" fontId="45" fillId="2" borderId="82" xfId="6" applyNumberFormat="1" applyFont="1" applyFill="1" applyBorder="1" applyAlignment="1">
      <alignment horizontal="right"/>
    </xf>
    <xf numFmtId="37" fontId="45" fillId="18" borderId="82" xfId="6" applyNumberFormat="1" applyFont="1" applyFill="1" applyBorder="1"/>
    <xf numFmtId="0" fontId="25" fillId="2" borderId="78" xfId="6" applyNumberFormat="1" applyFont="1" applyFill="1" applyBorder="1" applyAlignment="1">
      <alignment horizontal="center"/>
    </xf>
    <xf numFmtId="37" fontId="45" fillId="2" borderId="263" xfId="6" applyNumberFormat="1" applyFont="1" applyFill="1" applyBorder="1" applyAlignment="1">
      <alignment horizontal="right"/>
    </xf>
    <xf numFmtId="37" fontId="45" fillId="2" borderId="15" xfId="6" applyNumberFormat="1" applyFont="1" applyFill="1" applyBorder="1"/>
    <xf numFmtId="10" fontId="45" fillId="2" borderId="206" xfId="6" applyNumberFormat="1" applyFont="1" applyFill="1" applyBorder="1"/>
    <xf numFmtId="3" fontId="45" fillId="2" borderId="264" xfId="6" applyNumberFormat="1" applyFont="1" applyFill="1" applyBorder="1"/>
    <xf numFmtId="10" fontId="45" fillId="2" borderId="265" xfId="6" applyNumberFormat="1" applyFont="1" applyFill="1" applyBorder="1"/>
    <xf numFmtId="37" fontId="45" fillId="2" borderId="266" xfId="6" applyNumberFormat="1" applyFont="1" applyFill="1" applyBorder="1"/>
    <xf numFmtId="10" fontId="45" fillId="2" borderId="90" xfId="0" applyNumberFormat="1" applyFont="1" applyFill="1" applyBorder="1" applyAlignment="1">
      <alignment horizontal="right" wrapText="1"/>
    </xf>
    <xf numFmtId="37" fontId="45" fillId="2" borderId="87" xfId="6" applyNumberFormat="1" applyFont="1" applyFill="1" applyBorder="1" applyAlignment="1">
      <alignment horizontal="right"/>
    </xf>
    <xf numFmtId="37" fontId="45" fillId="0" borderId="78" xfId="6" applyNumberFormat="1" applyFont="1" applyFill="1" applyBorder="1"/>
    <xf numFmtId="37" fontId="45" fillId="18" borderId="247" xfId="6" applyNumberFormat="1" applyFont="1" applyFill="1" applyBorder="1"/>
    <xf numFmtId="37" fontId="24" fillId="0" borderId="0" xfId="6" applyNumberFormat="1"/>
    <xf numFmtId="0" fontId="24" fillId="0" borderId="0" xfId="6"/>
    <xf numFmtId="0" fontId="25" fillId="0" borderId="80" xfId="6" applyFont="1" applyBorder="1" applyAlignment="1">
      <alignment horizontal="right"/>
    </xf>
    <xf numFmtId="37" fontId="45" fillId="0" borderId="63" xfId="6" applyNumberFormat="1" applyFont="1" applyBorder="1"/>
    <xf numFmtId="171" fontId="45" fillId="0" borderId="24" xfId="6" applyNumberFormat="1" applyFont="1" applyBorder="1"/>
    <xf numFmtId="10" fontId="45" fillId="0" borderId="24" xfId="6" applyNumberFormat="1" applyFont="1" applyBorder="1"/>
    <xf numFmtId="10" fontId="45" fillId="0" borderId="24" xfId="6" applyNumberFormat="1" applyFont="1" applyFill="1" applyBorder="1" applyAlignment="1">
      <alignment horizontal="center"/>
    </xf>
    <xf numFmtId="180" fontId="45" fillId="0" borderId="24" xfId="6" applyNumberFormat="1" applyFont="1" applyBorder="1"/>
    <xf numFmtId="37" fontId="45" fillId="0" borderId="80" xfId="6" applyNumberFormat="1" applyFont="1" applyBorder="1"/>
    <xf numFmtId="10" fontId="45" fillId="8" borderId="80" xfId="6" applyNumberFormat="1" applyFont="1" applyFill="1" applyBorder="1" applyAlignment="1">
      <alignment horizontal="center"/>
    </xf>
    <xf numFmtId="0" fontId="22" fillId="2" borderId="74" xfId="0" applyNumberFormat="1" applyFont="1" applyFill="1" applyBorder="1" applyAlignment="1">
      <alignment horizontal="center" wrapText="1"/>
    </xf>
    <xf numFmtId="177" fontId="22" fillId="2" borderId="74" xfId="0" applyNumberFormat="1" applyFont="1" applyFill="1" applyBorder="1" applyAlignment="1">
      <alignment horizontal="center" wrapText="1"/>
    </xf>
    <xf numFmtId="3" fontId="22" fillId="2" borderId="74" xfId="0" applyNumberFormat="1" applyFont="1" applyFill="1" applyBorder="1" applyAlignment="1">
      <alignment horizontal="center" wrapText="1"/>
    </xf>
    <xf numFmtId="37" fontId="22" fillId="2" borderId="128" xfId="0" applyNumberFormat="1" applyFont="1" applyFill="1" applyBorder="1" applyAlignment="1">
      <alignment horizontal="center" wrapText="1"/>
    </xf>
    <xf numFmtId="0" fontId="0" fillId="2" borderId="0" xfId="0" applyNumberFormat="1" applyFill="1" applyAlignment="1">
      <alignment horizontal="right" wrapText="1"/>
    </xf>
    <xf numFmtId="3" fontId="0" fillId="2" borderId="0" xfId="0" applyNumberFormat="1" applyFill="1" applyBorder="1" applyAlignment="1">
      <alignment horizontal="right" wrapText="1"/>
    </xf>
    <xf numFmtId="0" fontId="0" fillId="2" borderId="0" xfId="0" applyNumberFormat="1" applyFill="1" applyAlignment="1">
      <alignment wrapText="1"/>
    </xf>
    <xf numFmtId="1" fontId="18" fillId="2" borderId="267" xfId="0" applyNumberFormat="1" applyFont="1" applyFill="1" applyBorder="1"/>
    <xf numFmtId="0" fontId="22" fillId="2" borderId="268" xfId="0" applyNumberFormat="1" applyFont="1" applyFill="1" applyBorder="1" applyAlignment="1">
      <alignment horizontal="center" wrapText="1"/>
    </xf>
    <xf numFmtId="3" fontId="0" fillId="2" borderId="0" xfId="0" applyNumberFormat="1" applyFill="1" applyAlignment="1">
      <alignment wrapText="1"/>
    </xf>
    <xf numFmtId="0" fontId="22" fillId="2" borderId="14" xfId="0" applyNumberFormat="1" applyFont="1" applyFill="1" applyBorder="1" applyAlignment="1">
      <alignment horizontal="center" wrapText="1"/>
    </xf>
    <xf numFmtId="177" fontId="22" fillId="2" borderId="14" xfId="0" applyNumberFormat="1" applyFont="1" applyFill="1" applyBorder="1" applyAlignment="1">
      <alignment horizontal="center" wrapText="1"/>
    </xf>
    <xf numFmtId="3" fontId="18" fillId="2" borderId="6" xfId="0" applyNumberFormat="1" applyFont="1" applyFill="1" applyBorder="1" applyAlignment="1">
      <alignment horizontal="right" wrapText="1"/>
    </xf>
    <xf numFmtId="37" fontId="18" fillId="0" borderId="14" xfId="0" applyNumberFormat="1" applyFont="1" applyFill="1" applyBorder="1" applyAlignment="1"/>
    <xf numFmtId="3" fontId="22" fillId="2" borderId="21" xfId="0" applyNumberFormat="1" applyFont="1" applyFill="1" applyBorder="1" applyAlignment="1">
      <alignment horizontal="center" wrapText="1"/>
    </xf>
    <xf numFmtId="37" fontId="18" fillId="2" borderId="21" xfId="0" applyNumberFormat="1" applyFont="1" applyFill="1" applyBorder="1" applyAlignment="1">
      <alignment horizontal="right" wrapText="1"/>
    </xf>
    <xf numFmtId="3" fontId="18" fillId="2" borderId="0" xfId="0" applyNumberFormat="1" applyFont="1" applyFill="1" applyBorder="1" applyAlignment="1">
      <alignment horizontal="right"/>
    </xf>
    <xf numFmtId="0" fontId="22" fillId="2" borderId="6" xfId="0" applyNumberFormat="1" applyFont="1" applyFill="1" applyBorder="1" applyAlignment="1">
      <alignment horizontal="center" wrapText="1"/>
    </xf>
    <xf numFmtId="177" fontId="22" fillId="2" borderId="6" xfId="0" applyNumberFormat="1" applyFont="1" applyFill="1" applyBorder="1" applyAlignment="1">
      <alignment horizontal="center" wrapText="1"/>
    </xf>
    <xf numFmtId="3" fontId="22" fillId="2" borderId="6" xfId="0" applyNumberFormat="1" applyFont="1" applyFill="1" applyBorder="1" applyAlignment="1">
      <alignment horizontal="center" wrapText="1"/>
    </xf>
    <xf numFmtId="37" fontId="18" fillId="2" borderId="6" xfId="0" applyNumberFormat="1" applyFont="1" applyFill="1" applyBorder="1" applyAlignment="1">
      <alignment horizontal="right" wrapText="1"/>
    </xf>
    <xf numFmtId="0" fontId="22" fillId="2" borderId="17" xfId="0" applyNumberFormat="1" applyFont="1" applyFill="1" applyBorder="1" applyAlignment="1">
      <alignment horizontal="center" wrapText="1"/>
    </xf>
    <xf numFmtId="177" fontId="22" fillId="2" borderId="17" xfId="0" applyNumberFormat="1" applyFont="1" applyFill="1" applyBorder="1" applyAlignment="1">
      <alignment horizontal="center" wrapText="1"/>
    </xf>
    <xf numFmtId="3" fontId="18" fillId="2" borderId="14" xfId="0" applyNumberFormat="1" applyFont="1" applyFill="1" applyBorder="1" applyAlignment="1">
      <alignment horizontal="center"/>
    </xf>
    <xf numFmtId="3" fontId="18" fillId="2" borderId="6" xfId="0" applyNumberFormat="1" applyFont="1" applyFill="1" applyBorder="1" applyAlignment="1">
      <alignment horizontal="center"/>
    </xf>
    <xf numFmtId="3" fontId="18" fillId="2" borderId="6" xfId="0" applyNumberFormat="1" applyFont="1" applyFill="1" applyBorder="1"/>
    <xf numFmtId="0" fontId="18" fillId="2" borderId="268" xfId="0" applyNumberFormat="1" applyFont="1" applyFill="1" applyBorder="1" applyAlignment="1">
      <alignment horizontal="center" wrapText="1"/>
    </xf>
    <xf numFmtId="1" fontId="18" fillId="2" borderId="269" xfId="0" applyNumberFormat="1" applyFont="1" applyFill="1" applyBorder="1"/>
    <xf numFmtId="0" fontId="22" fillId="2" borderId="5" xfId="0" applyNumberFormat="1" applyFont="1" applyFill="1" applyBorder="1" applyAlignment="1">
      <alignment horizontal="center" wrapText="1"/>
    </xf>
    <xf numFmtId="3" fontId="18" fillId="2" borderId="17" xfId="0" applyNumberFormat="1" applyFont="1" applyFill="1" applyBorder="1" applyAlignment="1">
      <alignment horizontal="center"/>
    </xf>
    <xf numFmtId="17" fontId="18" fillId="2" borderId="14" xfId="0" applyNumberFormat="1" applyFont="1" applyFill="1" applyBorder="1"/>
    <xf numFmtId="177" fontId="18" fillId="2" borderId="14" xfId="0" applyNumberFormat="1" applyFont="1" applyFill="1" applyBorder="1" applyAlignment="1">
      <alignment horizontal="center"/>
    </xf>
    <xf numFmtId="0" fontId="18" fillId="2" borderId="268" xfId="0" applyNumberFormat="1" applyFont="1" applyFill="1" applyBorder="1" applyAlignment="1">
      <alignment horizontal="center"/>
    </xf>
    <xf numFmtId="17" fontId="18" fillId="2" borderId="6" xfId="0" applyNumberFormat="1" applyFont="1" applyFill="1" applyBorder="1"/>
    <xf numFmtId="177" fontId="18" fillId="2" borderId="6" xfId="0" applyNumberFormat="1" applyFont="1" applyFill="1" applyBorder="1" applyAlignment="1">
      <alignment horizontal="center"/>
    </xf>
    <xf numFmtId="0" fontId="18" fillId="0" borderId="268" xfId="0" applyNumberFormat="1" applyFont="1" applyFill="1" applyBorder="1" applyAlignment="1">
      <alignment horizontal="center" textRotation="90"/>
    </xf>
    <xf numFmtId="1" fontId="18" fillId="2" borderId="270" xfId="0" applyNumberFormat="1" applyFont="1" applyFill="1" applyBorder="1"/>
    <xf numFmtId="17" fontId="18" fillId="2" borderId="17" xfId="0" applyNumberFormat="1" applyFont="1" applyFill="1" applyBorder="1"/>
    <xf numFmtId="177" fontId="18" fillId="2" borderId="17" xfId="0" applyNumberFormat="1" applyFont="1" applyFill="1" applyBorder="1" applyAlignment="1">
      <alignment horizontal="center"/>
    </xf>
    <xf numFmtId="3" fontId="18" fillId="2" borderId="17" xfId="0" applyNumberFormat="1" applyFont="1" applyFill="1" applyBorder="1"/>
    <xf numFmtId="0" fontId="22" fillId="2" borderId="268" xfId="0" applyNumberFormat="1" applyFont="1" applyFill="1" applyBorder="1" applyAlignment="1">
      <alignment horizontal="center"/>
    </xf>
    <xf numFmtId="3" fontId="18" fillId="19" borderId="6" xfId="0" applyNumberFormat="1" applyFont="1" applyFill="1" applyBorder="1"/>
    <xf numFmtId="0" fontId="0" fillId="2" borderId="5" xfId="0" applyNumberFormat="1" applyFill="1" applyBorder="1" applyAlignment="1">
      <alignment horizontal="center"/>
    </xf>
    <xf numFmtId="177" fontId="18" fillId="2" borderId="0" xfId="0" applyNumberFormat="1" applyFont="1" applyFill="1" applyBorder="1" applyAlignment="1">
      <alignment horizontal="center"/>
    </xf>
    <xf numFmtId="0" fontId="18" fillId="0" borderId="268" xfId="0" applyNumberFormat="1" applyFont="1" applyFill="1" applyBorder="1" applyAlignment="1">
      <alignment horizontal="center"/>
    </xf>
    <xf numFmtId="0" fontId="0" fillId="2" borderId="268" xfId="0" applyNumberFormat="1" applyFill="1" applyBorder="1" applyAlignment="1">
      <alignment horizontal="center"/>
    </xf>
    <xf numFmtId="3" fontId="18" fillId="19" borderId="17" xfId="0" applyNumberFormat="1" applyFont="1" applyFill="1" applyBorder="1"/>
    <xf numFmtId="0" fontId="22" fillId="2" borderId="271" xfId="0" applyNumberFormat="1" applyFont="1" applyFill="1" applyBorder="1" applyAlignment="1">
      <alignment horizontal="center"/>
    </xf>
    <xf numFmtId="3" fontId="18" fillId="0" borderId="0" xfId="0" applyNumberFormat="1" applyFont="1" applyFill="1" applyBorder="1"/>
    <xf numFmtId="3" fontId="18" fillId="2" borderId="0" xfId="0" applyNumberFormat="1" applyFont="1" applyFill="1"/>
    <xf numFmtId="177" fontId="18" fillId="0" borderId="0" xfId="0" applyNumberFormat="1" applyFont="1" applyFill="1" applyBorder="1" applyAlignment="1">
      <alignment horizontal="center"/>
    </xf>
    <xf numFmtId="3" fontId="18" fillId="2" borderId="0" xfId="0" applyNumberFormat="1" applyFont="1" applyFill="1" applyAlignment="1">
      <alignment horizontal="center"/>
    </xf>
    <xf numFmtId="3" fontId="15" fillId="5" borderId="32" xfId="0" applyNumberFormat="1" applyFont="1" applyFill="1" applyBorder="1"/>
    <xf numFmtId="3" fontId="0" fillId="0" borderId="0" xfId="0" applyNumberFormat="1" applyFill="1" applyBorder="1"/>
    <xf numFmtId="177" fontId="0" fillId="0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right"/>
    </xf>
    <xf numFmtId="177" fontId="0" fillId="2" borderId="0" xfId="0" applyNumberFormat="1" applyFill="1" applyAlignment="1">
      <alignment horizontal="center"/>
    </xf>
    <xf numFmtId="37" fontId="0" fillId="2" borderId="0" xfId="0" applyNumberFormat="1" applyFill="1" applyAlignment="1"/>
    <xf numFmtId="3" fontId="15" fillId="0" borderId="0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5" fillId="2" borderId="0" xfId="0" applyNumberFormat="1" applyFont="1" applyFill="1" applyAlignment="1">
      <alignment horizontal="right"/>
    </xf>
    <xf numFmtId="0" fontId="15" fillId="5" borderId="80" xfId="0" applyNumberFormat="1" applyFont="1" applyFill="1" applyBorder="1"/>
    <xf numFmtId="0" fontId="15" fillId="0" borderId="0" xfId="0" applyNumberFormat="1" applyFont="1" applyFill="1" applyBorder="1"/>
    <xf numFmtId="17" fontId="0" fillId="2" borderId="0" xfId="0" applyNumberFormat="1" applyFill="1" applyBorder="1"/>
    <xf numFmtId="3" fontId="0" fillId="2" borderId="0" xfId="0" applyNumberFormat="1" applyFill="1" applyAlignment="1">
      <alignment horizontal="center"/>
    </xf>
    <xf numFmtId="17" fontId="0" fillId="2" borderId="0" xfId="0" applyNumberFormat="1" applyFill="1"/>
    <xf numFmtId="3" fontId="82" fillId="16" borderId="6" xfId="10" applyNumberFormat="1" applyFont="1" applyFill="1" applyBorder="1"/>
    <xf numFmtId="3" fontId="82" fillId="16" borderId="14" xfId="10" applyNumberFormat="1" applyFont="1" applyFill="1" applyBorder="1"/>
    <xf numFmtId="177" fontId="18" fillId="2" borderId="120" xfId="0" applyNumberFormat="1" applyFont="1" applyFill="1" applyBorder="1" applyAlignment="1">
      <alignment horizontal="center"/>
    </xf>
    <xf numFmtId="37" fontId="18" fillId="0" borderId="120" xfId="0" applyNumberFormat="1" applyFont="1" applyFill="1" applyBorder="1" applyAlignment="1"/>
    <xf numFmtId="3" fontId="18" fillId="2" borderId="120" xfId="0" applyNumberFormat="1" applyFont="1" applyFill="1" applyBorder="1" applyAlignment="1">
      <alignment horizontal="center"/>
    </xf>
    <xf numFmtId="3" fontId="18" fillId="2" borderId="120" xfId="0" applyNumberFormat="1" applyFont="1" applyFill="1" applyBorder="1"/>
    <xf numFmtId="171" fontId="61" fillId="4" borderId="0" xfId="0" applyNumberFormat="1" applyFont="1" applyFill="1" applyBorder="1"/>
    <xf numFmtId="1" fontId="61" fillId="10" borderId="6" xfId="4" applyNumberFormat="1" applyFont="1" applyFill="1" applyBorder="1"/>
    <xf numFmtId="37" fontId="61" fillId="10" borderId="6" xfId="4" applyNumberFormat="1" applyFont="1" applyFill="1" applyBorder="1"/>
    <xf numFmtId="173" fontId="61" fillId="10" borderId="128" xfId="11" applyNumberFormat="1" applyFont="1" applyFill="1" applyBorder="1" applyAlignment="1">
      <alignment horizontal="center"/>
    </xf>
    <xf numFmtId="10" fontId="61" fillId="10" borderId="201" xfId="12" applyNumberFormat="1" applyFont="1" applyFill="1" applyBorder="1"/>
    <xf numFmtId="177" fontId="72" fillId="10" borderId="93" xfId="11" applyNumberFormat="1" applyFont="1" applyFill="1" applyBorder="1" applyAlignment="1">
      <alignment horizontal="center"/>
    </xf>
    <xf numFmtId="0" fontId="61" fillId="10" borderId="38" xfId="11" applyNumberFormat="1" applyFont="1" applyFill="1" applyBorder="1" applyProtection="1">
      <protection locked="0"/>
    </xf>
    <xf numFmtId="5" fontId="61" fillId="16" borderId="272" xfId="11" applyNumberFormat="1" applyFont="1" applyFill="1" applyBorder="1"/>
    <xf numFmtId="1" fontId="61" fillId="0" borderId="38" xfId="11" applyNumberFormat="1" applyFont="1" applyFill="1" applyBorder="1" applyAlignment="1" applyProtection="1">
      <alignment horizontal="center"/>
      <protection locked="0"/>
    </xf>
    <xf numFmtId="5" fontId="58" fillId="0" borderId="64" xfId="11" applyNumberFormat="1" applyFont="1" applyFill="1" applyBorder="1" applyAlignment="1">
      <alignment horizontal="center"/>
    </xf>
    <xf numFmtId="2" fontId="61" fillId="17" borderId="6" xfId="5" applyNumberFormat="1" applyFont="1" applyFill="1" applyBorder="1" applyProtection="1">
      <protection locked="0"/>
    </xf>
    <xf numFmtId="3" fontId="61" fillId="10" borderId="6" xfId="5" applyNumberFormat="1" applyFont="1" applyFill="1" applyBorder="1" applyProtection="1">
      <protection locked="0"/>
    </xf>
    <xf numFmtId="3" fontId="61" fillId="17" borderId="6" xfId="5" applyNumberFormat="1" applyFont="1" applyFill="1" applyBorder="1" applyProtection="1">
      <protection locked="0"/>
    </xf>
    <xf numFmtId="0" fontId="61" fillId="10" borderId="6" xfId="5" applyNumberFormat="1" applyFont="1" applyFill="1" applyBorder="1" applyAlignment="1" applyProtection="1">
      <alignment horizontal="center"/>
      <protection locked="0"/>
    </xf>
    <xf numFmtId="2" fontId="61" fillId="10" borderId="6" xfId="5" applyNumberFormat="1" applyFont="1" applyFill="1" applyBorder="1" applyProtection="1">
      <protection locked="0"/>
    </xf>
    <xf numFmtId="4" fontId="61" fillId="0" borderId="6" xfId="5" applyNumberFormat="1" applyFont="1" applyFill="1" applyBorder="1" applyProtection="1">
      <protection locked="0"/>
    </xf>
    <xf numFmtId="188" fontId="61" fillId="0" borderId="6" xfId="5" applyNumberFormat="1" applyFont="1" applyFill="1" applyBorder="1" applyProtection="1">
      <protection locked="0"/>
    </xf>
    <xf numFmtId="0" fontId="61" fillId="10" borderId="6" xfId="5" applyNumberFormat="1" applyFont="1" applyFill="1" applyBorder="1"/>
    <xf numFmtId="4" fontId="61" fillId="10" borderId="6" xfId="5" applyNumberFormat="1" applyFont="1" applyFill="1" applyBorder="1" applyProtection="1">
      <protection locked="0"/>
    </xf>
    <xf numFmtId="2" fontId="16" fillId="0" borderId="244" xfId="9" applyNumberFormat="1" applyFont="1" applyFill="1" applyBorder="1"/>
    <xf numFmtId="2" fontId="15" fillId="0" borderId="244" xfId="9" applyNumberFormat="1" applyFont="1" applyFill="1" applyBorder="1"/>
    <xf numFmtId="173" fontId="16" fillId="0" borderId="38" xfId="9" applyNumberFormat="1" applyFill="1" applyBorder="1"/>
    <xf numFmtId="2" fontId="16" fillId="0" borderId="202" xfId="9" applyNumberFormat="1" applyFont="1" applyFill="1" applyBorder="1"/>
    <xf numFmtId="173" fontId="16" fillId="0" borderId="273" xfId="9" applyNumberFormat="1" applyFill="1" applyBorder="1"/>
    <xf numFmtId="0" fontId="15" fillId="8" borderId="63" xfId="9" applyNumberFormat="1" applyFont="1" applyFill="1" applyBorder="1"/>
    <xf numFmtId="44" fontId="40" fillId="8" borderId="80" xfId="2" applyFont="1" applyFill="1" applyBorder="1"/>
    <xf numFmtId="44" fontId="40" fillId="8" borderId="24" xfId="2" applyFont="1" applyFill="1" applyBorder="1"/>
    <xf numFmtId="0" fontId="93" fillId="8" borderId="58" xfId="3" applyNumberFormat="1" applyFont="1" applyFill="1" applyBorder="1" applyAlignment="1" applyProtection="1">
      <alignment horizontal="center"/>
    </xf>
    <xf numFmtId="0" fontId="93" fillId="8" borderId="8" xfId="9" applyNumberFormat="1" applyFont="1" applyFill="1" applyBorder="1" applyAlignment="1">
      <alignment horizontal="center"/>
    </xf>
    <xf numFmtId="0" fontId="96" fillId="8" borderId="274" xfId="9" applyNumberFormat="1" applyFont="1" applyFill="1" applyBorder="1" applyAlignment="1">
      <alignment horizontal="center"/>
    </xf>
    <xf numFmtId="0" fontId="93" fillId="8" borderId="79" xfId="9" applyNumberFormat="1" applyFont="1" applyFill="1" applyBorder="1" applyAlignment="1">
      <alignment horizontal="center"/>
    </xf>
    <xf numFmtId="10" fontId="93" fillId="8" borderId="62" xfId="12" applyNumberFormat="1" applyFont="1" applyFill="1" applyBorder="1" applyAlignment="1">
      <alignment horizontal="center"/>
    </xf>
    <xf numFmtId="0" fontId="96" fillId="8" borderId="79" xfId="9" applyNumberFormat="1" applyFont="1" applyFill="1" applyBorder="1" applyAlignment="1">
      <alignment horizontal="center"/>
    </xf>
    <xf numFmtId="2" fontId="97" fillId="8" borderId="274" xfId="9" applyNumberFormat="1" applyFont="1" applyFill="1" applyBorder="1" applyAlignment="1">
      <alignment horizontal="center"/>
    </xf>
    <xf numFmtId="2" fontId="96" fillId="8" borderId="79" xfId="9" applyNumberFormat="1" applyFont="1" applyFill="1" applyBorder="1" applyAlignment="1">
      <alignment horizontal="center"/>
    </xf>
    <xf numFmtId="44" fontId="40" fillId="8" borderId="64" xfId="2" applyNumberFormat="1" applyFont="1" applyFill="1" applyBorder="1"/>
    <xf numFmtId="2" fontId="98" fillId="8" borderId="274" xfId="9" applyNumberFormat="1" applyFont="1" applyFill="1" applyBorder="1" applyAlignment="1">
      <alignment horizontal="center"/>
    </xf>
    <xf numFmtId="2" fontId="96" fillId="8" borderId="275" xfId="9" applyNumberFormat="1" applyFont="1" applyFill="1" applyBorder="1" applyAlignment="1">
      <alignment horizontal="center"/>
    </xf>
    <xf numFmtId="10" fontId="93" fillId="8" borderId="79" xfId="12" applyNumberFormat="1" applyFont="1" applyFill="1" applyBorder="1" applyAlignment="1">
      <alignment horizontal="center"/>
    </xf>
    <xf numFmtId="2" fontId="96" fillId="8" borderId="65" xfId="9" applyNumberFormat="1" applyFont="1" applyFill="1" applyBorder="1" applyAlignment="1">
      <alignment horizontal="center"/>
    </xf>
    <xf numFmtId="0" fontId="94" fillId="18" borderId="57" xfId="9" applyNumberFormat="1" applyFont="1" applyFill="1" applyBorder="1"/>
    <xf numFmtId="0" fontId="94" fillId="18" borderId="8" xfId="9" applyNumberFormat="1" applyFont="1" applyFill="1" applyBorder="1"/>
    <xf numFmtId="10" fontId="94" fillId="8" borderId="24" xfId="9" applyNumberFormat="1" applyFont="1" applyFill="1" applyBorder="1"/>
    <xf numFmtId="8" fontId="22" fillId="8" borderId="80" xfId="2" applyNumberFormat="1" applyFont="1" applyFill="1" applyBorder="1"/>
    <xf numFmtId="183" fontId="57" fillId="8" borderId="80" xfId="9" applyNumberFormat="1" applyFont="1" applyFill="1" applyBorder="1"/>
    <xf numFmtId="0" fontId="0" fillId="0" borderId="0" xfId="0" applyFill="1"/>
    <xf numFmtId="0" fontId="61" fillId="0" borderId="0" xfId="0" applyFont="1" applyFill="1" applyBorder="1"/>
    <xf numFmtId="0" fontId="0" fillId="0" borderId="0" xfId="0" applyFill="1" applyBorder="1"/>
    <xf numFmtId="0" fontId="11" fillId="0" borderId="56" xfId="9" applyNumberFormat="1" applyFont="1" applyFill="1" applyBorder="1" applyAlignment="1">
      <alignment horizontal="center"/>
    </xf>
    <xf numFmtId="0" fontId="61" fillId="0" borderId="56" xfId="0" applyFont="1" applyFill="1" applyBorder="1"/>
    <xf numFmtId="44" fontId="40" fillId="0" borderId="56" xfId="2" applyFont="1" applyFill="1" applyBorder="1"/>
    <xf numFmtId="44" fontId="40" fillId="0" borderId="0" xfId="2" applyFont="1" applyFill="1" applyBorder="1"/>
    <xf numFmtId="44" fontId="15" fillId="0" borderId="0" xfId="2" applyFont="1" applyFill="1" applyBorder="1"/>
    <xf numFmtId="8" fontId="22" fillId="0" borderId="0" xfId="2" applyNumberFormat="1" applyFont="1" applyFill="1" applyBorder="1"/>
    <xf numFmtId="2" fontId="16" fillId="0" borderId="0" xfId="9" applyNumberFormat="1" applyFill="1"/>
    <xf numFmtId="10" fontId="16" fillId="0" borderId="0" xfId="9" applyNumberFormat="1" applyFill="1"/>
    <xf numFmtId="4" fontId="16" fillId="0" borderId="0" xfId="9" applyNumberFormat="1" applyFill="1"/>
    <xf numFmtId="0" fontId="9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69" fillId="2" borderId="70" xfId="9" applyNumberFormat="1" applyFont="1" applyBorder="1" applyAlignment="1">
      <alignment horizontal="center"/>
    </xf>
    <xf numFmtId="0" fontId="61" fillId="0" borderId="276" xfId="9" applyNumberFormat="1" applyFont="1" applyFill="1" applyBorder="1"/>
    <xf numFmtId="0" fontId="16" fillId="0" borderId="93" xfId="9" applyNumberFormat="1" applyFill="1" applyBorder="1"/>
    <xf numFmtId="0" fontId="16" fillId="0" borderId="277" xfId="9" applyNumberFormat="1" applyFill="1" applyBorder="1"/>
    <xf numFmtId="0" fontId="71" fillId="2" borderId="96" xfId="9" applyNumberFormat="1" applyFont="1" applyBorder="1" applyAlignment="1">
      <alignment horizontal="center"/>
    </xf>
    <xf numFmtId="0" fontId="94" fillId="0" borderId="58" xfId="3" applyNumberFormat="1" applyFont="1" applyFill="1" applyBorder="1" applyAlignment="1" applyProtection="1">
      <alignment horizontal="center"/>
    </xf>
    <xf numFmtId="0" fontId="94" fillId="0" borderId="59" xfId="9" applyNumberFormat="1" applyFont="1" applyFill="1" applyBorder="1" applyAlignment="1">
      <alignment horizontal="center"/>
    </xf>
    <xf numFmtId="0" fontId="94" fillId="0" borderId="79" xfId="9" applyNumberFormat="1" applyFont="1" applyFill="1" applyBorder="1" applyAlignment="1">
      <alignment horizontal="center"/>
    </xf>
    <xf numFmtId="10" fontId="94" fillId="0" borderId="65" xfId="12" applyNumberFormat="1" applyFont="1" applyFill="1" applyBorder="1" applyAlignment="1">
      <alignment horizontal="center"/>
    </xf>
    <xf numFmtId="10" fontId="94" fillId="0" borderId="80" xfId="9" quotePrefix="1" applyNumberFormat="1" applyFont="1" applyFill="1" applyBorder="1" applyAlignment="1">
      <alignment horizontal="center"/>
    </xf>
    <xf numFmtId="0" fontId="11" fillId="0" borderId="274" xfId="9" applyNumberFormat="1" applyFont="1" applyFill="1" applyBorder="1" applyAlignment="1">
      <alignment horizontal="center"/>
    </xf>
    <xf numFmtId="0" fontId="11" fillId="0" borderId="278" xfId="9" applyNumberFormat="1" applyFont="1" applyFill="1" applyBorder="1" applyAlignment="1">
      <alignment horizontal="center"/>
    </xf>
    <xf numFmtId="2" fontId="11" fillId="0" borderId="274" xfId="9" applyNumberFormat="1" applyFont="1" applyFill="1" applyBorder="1" applyAlignment="1">
      <alignment horizontal="center"/>
    </xf>
    <xf numFmtId="2" fontId="11" fillId="0" borderId="79" xfId="9" applyNumberFormat="1" applyFont="1" applyFill="1" applyBorder="1" applyAlignment="1">
      <alignment horizontal="center"/>
    </xf>
    <xf numFmtId="10" fontId="11" fillId="0" borderId="79" xfId="12" applyNumberFormat="1" applyFont="1" applyFill="1" applyBorder="1" applyAlignment="1">
      <alignment horizontal="center"/>
    </xf>
    <xf numFmtId="2" fontId="94" fillId="0" borderId="274" xfId="9" applyNumberFormat="1" applyFont="1" applyFill="1" applyBorder="1" applyAlignment="1">
      <alignment horizontal="center"/>
    </xf>
    <xf numFmtId="0" fontId="11" fillId="0" borderId="279" xfId="9" applyNumberFormat="1" applyFont="1" applyFill="1" applyBorder="1" applyAlignment="1">
      <alignment horizontal="center"/>
    </xf>
    <xf numFmtId="10" fontId="94" fillId="0" borderId="79" xfId="12" applyNumberFormat="1" applyFont="1" applyFill="1" applyBorder="1" applyAlignment="1">
      <alignment horizontal="center"/>
    </xf>
    <xf numFmtId="0" fontId="11" fillId="0" borderId="66" xfId="9" applyNumberFormat="1" applyFont="1" applyFill="1" applyBorder="1" applyAlignment="1">
      <alignment horizontal="center"/>
    </xf>
    <xf numFmtId="7" fontId="57" fillId="0" borderId="0" xfId="4" applyNumberFormat="1" applyFont="1" applyFill="1"/>
    <xf numFmtId="0" fontId="108" fillId="2" borderId="0" xfId="0" applyFont="1" applyAlignment="1">
      <alignment horizontal="center"/>
    </xf>
    <xf numFmtId="0" fontId="27" fillId="2" borderId="0" xfId="0" applyFont="1" applyAlignment="1">
      <alignment horizontal="center"/>
    </xf>
    <xf numFmtId="0" fontId="109" fillId="2" borderId="280" xfId="0" applyFont="1" applyBorder="1" applyAlignment="1">
      <alignment horizontal="center"/>
    </xf>
    <xf numFmtId="0" fontId="109" fillId="2" borderId="281" xfId="0" applyFont="1" applyBorder="1" applyAlignment="1">
      <alignment horizontal="center"/>
    </xf>
    <xf numFmtId="0" fontId="109" fillId="2" borderId="59" xfId="0" applyFont="1" applyBorder="1" applyAlignment="1">
      <alignment horizontal="center"/>
    </xf>
    <xf numFmtId="0" fontId="109" fillId="2" borderId="282" xfId="0" applyFont="1" applyBorder="1" applyAlignment="1">
      <alignment horizontal="center"/>
    </xf>
    <xf numFmtId="0" fontId="109" fillId="2" borderId="283" xfId="0" applyFont="1" applyBorder="1" applyAlignment="1">
      <alignment horizontal="center"/>
    </xf>
    <xf numFmtId="0" fontId="109" fillId="2" borderId="65" xfId="0" applyFont="1" applyBorder="1" applyAlignment="1">
      <alignment horizontal="center"/>
    </xf>
    <xf numFmtId="0" fontId="110" fillId="2" borderId="284" xfId="0" applyFont="1" applyBorder="1"/>
    <xf numFmtId="0" fontId="110" fillId="2" borderId="285" xfId="0" applyFont="1" applyBorder="1"/>
    <xf numFmtId="0" fontId="110" fillId="2" borderId="286" xfId="0" applyFont="1" applyBorder="1"/>
    <xf numFmtId="0" fontId="109" fillId="2" borderId="284" xfId="0" quotePrefix="1" applyFont="1" applyBorder="1" applyAlignment="1">
      <alignment horizontal="center"/>
    </xf>
    <xf numFmtId="0" fontId="109" fillId="2" borderId="285" xfId="0" applyFont="1" applyBorder="1"/>
    <xf numFmtId="187" fontId="110" fillId="0" borderId="285" xfId="1" applyNumberFormat="1" applyFont="1" applyBorder="1"/>
    <xf numFmtId="0" fontId="110" fillId="2" borderId="285" xfId="0" applyFont="1" applyBorder="1" applyAlignment="1">
      <alignment horizontal="center"/>
    </xf>
    <xf numFmtId="192" fontId="110" fillId="0" borderId="285" xfId="2" applyNumberFormat="1" applyFont="1" applyBorder="1"/>
    <xf numFmtId="192" fontId="110" fillId="0" borderId="286" xfId="2" applyNumberFormat="1" applyFont="1" applyBorder="1"/>
    <xf numFmtId="0" fontId="110" fillId="2" borderId="284" xfId="0" quotePrefix="1" applyFont="1" applyBorder="1"/>
    <xf numFmtId="192" fontId="109" fillId="0" borderId="286" xfId="2" applyNumberFormat="1" applyFont="1" applyBorder="1"/>
    <xf numFmtId="187" fontId="109" fillId="0" borderId="285" xfId="1" applyNumberFormat="1" applyFont="1" applyBorder="1"/>
    <xf numFmtId="0" fontId="110" fillId="2" borderId="284" xfId="0" applyFont="1" applyBorder="1" applyAlignment="1">
      <alignment horizontal="center"/>
    </xf>
    <xf numFmtId="0" fontId="109" fillId="2" borderId="285" xfId="0" applyFont="1" applyBorder="1" applyAlignment="1">
      <alignment horizontal="left"/>
    </xf>
    <xf numFmtId="0" fontId="109" fillId="2" borderId="285" xfId="0" applyFont="1" applyBorder="1" applyAlignment="1">
      <alignment horizontal="center"/>
    </xf>
    <xf numFmtId="192" fontId="111" fillId="0" borderId="286" xfId="2" applyNumberFormat="1" applyFont="1" applyBorder="1"/>
    <xf numFmtId="0" fontId="110" fillId="2" borderId="284" xfId="0" quotePrefix="1" applyFont="1" applyBorder="1" applyAlignment="1">
      <alignment horizontal="center"/>
    </xf>
    <xf numFmtId="0" fontId="110" fillId="2" borderId="285" xfId="0" applyFont="1" applyBorder="1" applyAlignment="1">
      <alignment horizontal="left"/>
    </xf>
    <xf numFmtId="0" fontId="109" fillId="2" borderId="284" xfId="0" applyFont="1" applyBorder="1" applyAlignment="1">
      <alignment horizontal="center"/>
    </xf>
    <xf numFmtId="192" fontId="109" fillId="0" borderId="287" xfId="2" applyNumberFormat="1" applyFont="1" applyBorder="1"/>
    <xf numFmtId="192" fontId="109" fillId="0" borderId="65" xfId="2" applyNumberFormat="1" applyFont="1" applyFill="1" applyBorder="1"/>
    <xf numFmtId="0" fontId="110" fillId="2" borderId="0" xfId="0" applyFont="1"/>
    <xf numFmtId="44" fontId="110" fillId="2" borderId="0" xfId="0" applyNumberFormat="1" applyFont="1"/>
    <xf numFmtId="0" fontId="112" fillId="2" borderId="0" xfId="0" applyFont="1"/>
    <xf numFmtId="44" fontId="109" fillId="0" borderId="285" xfId="2" applyFont="1" applyBorder="1"/>
    <xf numFmtId="44" fontId="110" fillId="0" borderId="285" xfId="2" applyFont="1" applyBorder="1"/>
    <xf numFmtId="192" fontId="24" fillId="2" borderId="0" xfId="0" applyNumberFormat="1" applyFont="1"/>
    <xf numFmtId="0" fontId="61" fillId="0" borderId="288" xfId="0" applyNumberFormat="1" applyFont="1" applyFill="1" applyBorder="1"/>
    <xf numFmtId="39" fontId="61" fillId="0" borderId="288" xfId="0" applyNumberFormat="1" applyFont="1" applyFill="1" applyBorder="1"/>
    <xf numFmtId="177" fontId="22" fillId="2" borderId="128" xfId="0" applyNumberFormat="1" applyFont="1" applyFill="1" applyBorder="1" applyAlignment="1">
      <alignment horizontal="center" wrapText="1"/>
    </xf>
    <xf numFmtId="0" fontId="22" fillId="2" borderId="289" xfId="0" applyNumberFormat="1" applyFont="1" applyFill="1" applyBorder="1" applyAlignment="1">
      <alignment horizontal="center" wrapText="1"/>
    </xf>
    <xf numFmtId="177" fontId="22" fillId="2" borderId="289" xfId="0" applyNumberFormat="1" applyFont="1" applyFill="1" applyBorder="1" applyAlignment="1">
      <alignment horizontal="center" wrapText="1"/>
    </xf>
    <xf numFmtId="3" fontId="18" fillId="2" borderId="53" xfId="0" applyNumberFormat="1" applyFont="1" applyFill="1" applyBorder="1" applyAlignment="1">
      <alignment horizontal="right"/>
    </xf>
    <xf numFmtId="3" fontId="22" fillId="2" borderId="289" xfId="0" applyNumberFormat="1" applyFont="1" applyFill="1" applyBorder="1" applyAlignment="1">
      <alignment horizontal="center" wrapText="1"/>
    </xf>
    <xf numFmtId="37" fontId="18" fillId="2" borderId="289" xfId="0" applyNumberFormat="1" applyFont="1" applyFill="1" applyBorder="1" applyAlignment="1">
      <alignment horizontal="right" wrapText="1"/>
    </xf>
    <xf numFmtId="3" fontId="18" fillId="2" borderId="15" xfId="0" applyNumberFormat="1" applyFont="1" applyFill="1" applyBorder="1" applyAlignment="1">
      <alignment horizontal="right"/>
    </xf>
    <xf numFmtId="37" fontId="18" fillId="0" borderId="33" xfId="0" applyNumberFormat="1" applyFont="1" applyFill="1" applyBorder="1" applyAlignment="1"/>
    <xf numFmtId="3" fontId="22" fillId="2" borderId="14" xfId="0" applyNumberFormat="1" applyFont="1" applyFill="1" applyBorder="1" applyAlignment="1">
      <alignment horizontal="center" wrapText="1"/>
    </xf>
    <xf numFmtId="37" fontId="18" fillId="2" borderId="14" xfId="0" applyNumberFormat="1" applyFont="1" applyFill="1" applyBorder="1" applyAlignment="1">
      <alignment horizontal="right" wrapText="1"/>
    </xf>
    <xf numFmtId="3" fontId="18" fillId="0" borderId="6" xfId="0" applyNumberFormat="1" applyFont="1" applyFill="1" applyBorder="1" applyAlignment="1">
      <alignment horizontal="center"/>
    </xf>
    <xf numFmtId="37" fontId="18" fillId="0" borderId="19" xfId="0" applyNumberFormat="1" applyFont="1" applyFill="1" applyBorder="1" applyAlignment="1"/>
    <xf numFmtId="3" fontId="18" fillId="2" borderId="15" xfId="0" applyNumberFormat="1" applyFont="1" applyFill="1" applyBorder="1" applyAlignment="1">
      <alignment horizontal="right" wrapText="1"/>
    </xf>
    <xf numFmtId="190" fontId="18" fillId="2" borderId="0" xfId="0" applyNumberFormat="1" applyFont="1" applyFill="1" applyAlignment="1">
      <alignment horizontal="center"/>
    </xf>
    <xf numFmtId="0" fontId="25" fillId="2" borderId="81" xfId="6" applyNumberFormat="1" applyFont="1" applyFill="1" applyBorder="1" applyAlignment="1">
      <alignment horizontal="center"/>
    </xf>
    <xf numFmtId="37" fontId="45" fillId="2" borderId="13" xfId="6" applyNumberFormat="1" applyFont="1" applyFill="1" applyBorder="1"/>
    <xf numFmtId="3" fontId="45" fillId="2" borderId="263" xfId="6" applyNumberFormat="1" applyFont="1" applyFill="1" applyBorder="1"/>
    <xf numFmtId="10" fontId="45" fillId="2" borderId="290" xfId="6" applyNumberFormat="1" applyFont="1" applyFill="1" applyBorder="1"/>
    <xf numFmtId="37" fontId="45" fillId="2" borderId="291" xfId="6" applyNumberFormat="1" applyFont="1" applyFill="1" applyBorder="1"/>
    <xf numFmtId="10" fontId="45" fillId="2" borderId="88" xfId="0" applyNumberFormat="1" applyFont="1" applyFill="1" applyBorder="1" applyAlignment="1">
      <alignment horizontal="right" wrapText="1"/>
    </xf>
    <xf numFmtId="37" fontId="45" fillId="0" borderId="81" xfId="6" applyNumberFormat="1" applyFont="1" applyFill="1" applyBorder="1"/>
    <xf numFmtId="0" fontId="25" fillId="2" borderId="292" xfId="6" applyNumberFormat="1" applyFont="1" applyFill="1" applyBorder="1" applyAlignment="1">
      <alignment horizontal="center"/>
    </xf>
    <xf numFmtId="37" fontId="45" fillId="2" borderId="293" xfId="6" applyNumberFormat="1" applyFont="1" applyFill="1" applyBorder="1" applyAlignment="1">
      <alignment horizontal="right"/>
    </xf>
    <xf numFmtId="37" fontId="45" fillId="2" borderId="294" xfId="6" applyNumberFormat="1" applyFont="1" applyFill="1" applyBorder="1"/>
    <xf numFmtId="10" fontId="45" fillId="2" borderId="295" xfId="6" applyNumberFormat="1" applyFont="1" applyFill="1" applyBorder="1"/>
    <xf numFmtId="3" fontId="45" fillId="2" borderId="293" xfId="6" applyNumberFormat="1" applyFont="1" applyFill="1" applyBorder="1"/>
    <xf numFmtId="10" fontId="45" fillId="2" borderId="296" xfId="6" applyNumberFormat="1" applyFont="1" applyFill="1" applyBorder="1"/>
    <xf numFmtId="37" fontId="45" fillId="2" borderId="297" xfId="6" applyNumberFormat="1" applyFont="1" applyFill="1" applyBorder="1"/>
    <xf numFmtId="10" fontId="45" fillId="2" borderId="298" xfId="0" applyNumberFormat="1" applyFont="1" applyFill="1" applyBorder="1" applyAlignment="1">
      <alignment horizontal="right" wrapText="1"/>
    </xf>
    <xf numFmtId="37" fontId="45" fillId="2" borderId="299" xfId="6" applyNumberFormat="1" applyFont="1" applyFill="1" applyBorder="1" applyAlignment="1">
      <alignment horizontal="right"/>
    </xf>
    <xf numFmtId="37" fontId="45" fillId="0" borderId="292" xfId="6" applyNumberFormat="1" applyFont="1" applyFill="1" applyBorder="1"/>
    <xf numFmtId="180" fontId="45" fillId="2" borderId="6" xfId="0" applyNumberFormat="1" applyFont="1" applyFill="1" applyBorder="1" applyAlignment="1">
      <alignment horizontal="right"/>
    </xf>
    <xf numFmtId="10" fontId="18" fillId="2" borderId="6" xfId="0" applyNumberFormat="1" applyFont="1" applyFill="1" applyBorder="1" applyAlignment="1">
      <alignment horizontal="right"/>
    </xf>
    <xf numFmtId="37" fontId="18" fillId="0" borderId="300" xfId="0" applyNumberFormat="1" applyFont="1" applyFill="1" applyBorder="1" applyAlignment="1"/>
    <xf numFmtId="10" fontId="18" fillId="2" borderId="14" xfId="0" applyNumberFormat="1" applyFont="1" applyFill="1" applyBorder="1" applyAlignment="1">
      <alignment horizontal="right"/>
    </xf>
    <xf numFmtId="177" fontId="18" fillId="2" borderId="288" xfId="6" applyNumberFormat="1" applyFont="1" applyFill="1" applyBorder="1"/>
    <xf numFmtId="177" fontId="18" fillId="2" borderId="6" xfId="6" applyNumberFormat="1" applyFont="1" applyFill="1" applyBorder="1"/>
    <xf numFmtId="10" fontId="18" fillId="2" borderId="6" xfId="6" applyNumberFormat="1" applyFont="1" applyFill="1" applyBorder="1"/>
    <xf numFmtId="10" fontId="18" fillId="0" borderId="6" xfId="6" applyNumberFormat="1" applyFont="1" applyFill="1" applyBorder="1"/>
    <xf numFmtId="3" fontId="18" fillId="2" borderId="120" xfId="0" applyNumberFormat="1" applyFont="1" applyFill="1" applyBorder="1" applyAlignment="1">
      <alignment horizontal="right" wrapText="1"/>
    </xf>
    <xf numFmtId="10" fontId="18" fillId="2" borderId="120" xfId="0" applyNumberFormat="1" applyFont="1" applyFill="1" applyBorder="1" applyAlignment="1">
      <alignment horizontal="right"/>
    </xf>
    <xf numFmtId="10" fontId="45" fillId="2" borderId="6" xfId="6" applyNumberFormat="1" applyFont="1" applyFill="1" applyBorder="1"/>
    <xf numFmtId="10" fontId="45" fillId="2" borderId="14" xfId="0" applyNumberFormat="1" applyFont="1" applyFill="1" applyBorder="1" applyAlignment="1">
      <alignment horizontal="right"/>
    </xf>
    <xf numFmtId="10" fontId="45" fillId="2" borderId="6" xfId="0" applyNumberFormat="1" applyFont="1" applyFill="1" applyBorder="1" applyAlignment="1">
      <alignment horizontal="right"/>
    </xf>
    <xf numFmtId="10" fontId="45" fillId="2" borderId="120" xfId="0" applyNumberFormat="1" applyFont="1" applyFill="1" applyBorder="1" applyAlignment="1">
      <alignment horizontal="right"/>
    </xf>
    <xf numFmtId="10" fontId="45" fillId="2" borderId="301" xfId="0" applyNumberFormat="1" applyFont="1" applyFill="1" applyBorder="1" applyAlignment="1">
      <alignment horizontal="right"/>
    </xf>
    <xf numFmtId="0" fontId="61" fillId="0" borderId="39" xfId="11" applyNumberFormat="1" applyFont="1" applyFill="1" applyBorder="1" applyAlignment="1" applyProtection="1">
      <alignment horizontal="center"/>
      <protection locked="0"/>
    </xf>
    <xf numFmtId="0" fontId="61" fillId="0" borderId="160" xfId="11" applyNumberFormat="1" applyFont="1" applyFill="1" applyBorder="1" applyAlignment="1">
      <alignment horizontal="right"/>
    </xf>
    <xf numFmtId="0" fontId="61" fillId="0" borderId="157" xfId="11" applyNumberFormat="1" applyFont="1" applyFill="1" applyBorder="1" applyAlignment="1">
      <alignment horizontal="left"/>
    </xf>
    <xf numFmtId="0" fontId="57" fillId="0" borderId="302" xfId="11" applyNumberFormat="1" applyFont="1" applyFill="1" applyBorder="1"/>
    <xf numFmtId="0" fontId="57" fillId="0" borderId="166" xfId="11" applyNumberFormat="1" applyFont="1" applyFill="1" applyBorder="1"/>
    <xf numFmtId="0" fontId="61" fillId="0" borderId="303" xfId="11" applyNumberFormat="1" applyFont="1" applyFill="1" applyBorder="1" applyProtection="1">
      <protection locked="0"/>
    </xf>
    <xf numFmtId="0" fontId="61" fillId="0" borderId="304" xfId="11" applyNumberFormat="1" applyFont="1" applyFill="1" applyBorder="1"/>
    <xf numFmtId="0" fontId="61" fillId="0" borderId="38" xfId="11" quotePrefix="1" applyNumberFormat="1" applyFont="1" applyFill="1" applyBorder="1" applyAlignment="1" applyProtection="1">
      <alignment horizontal="center"/>
      <protection locked="0"/>
    </xf>
    <xf numFmtId="0" fontId="61" fillId="0" borderId="305" xfId="11" applyNumberFormat="1" applyFont="1" applyFill="1" applyBorder="1" applyAlignment="1">
      <alignment horizontal="right"/>
    </xf>
    <xf numFmtId="0" fontId="61" fillId="0" borderId="306" xfId="11" applyNumberFormat="1" applyFont="1" applyFill="1" applyBorder="1"/>
    <xf numFmtId="0" fontId="61" fillId="0" borderId="179" xfId="11" applyNumberFormat="1" applyFont="1" applyFill="1" applyBorder="1"/>
    <xf numFmtId="10" fontId="61" fillId="0" borderId="166" xfId="11" applyNumberFormat="1" applyFont="1" applyFill="1" applyBorder="1"/>
    <xf numFmtId="6" fontId="61" fillId="0" borderId="0" xfId="11" applyNumberFormat="1" applyFont="1" applyFill="1"/>
    <xf numFmtId="176" fontId="61" fillId="0" borderId="6" xfId="5" applyNumberFormat="1" applyFont="1" applyFill="1" applyBorder="1" applyAlignment="1">
      <alignment horizontal="right"/>
    </xf>
    <xf numFmtId="176" fontId="61" fillId="0" borderId="6" xfId="5" applyNumberFormat="1" applyFont="1" applyFill="1" applyBorder="1"/>
    <xf numFmtId="0" fontId="61" fillId="20" borderId="0" xfId="0" applyFont="1" applyFill="1"/>
    <xf numFmtId="0" fontId="0" fillId="20" borderId="0" xfId="0" applyFill="1"/>
    <xf numFmtId="0" fontId="0" fillId="20" borderId="0" xfId="0" applyNumberFormat="1" applyFill="1"/>
    <xf numFmtId="0" fontId="61" fillId="20" borderId="217" xfId="0" applyFont="1" applyFill="1" applyBorder="1"/>
    <xf numFmtId="0" fontId="61" fillId="20" borderId="129" xfId="0" applyFont="1" applyFill="1" applyBorder="1"/>
    <xf numFmtId="0" fontId="61" fillId="20" borderId="128" xfId="0" applyFont="1" applyFill="1" applyBorder="1"/>
    <xf numFmtId="10" fontId="61" fillId="20" borderId="217" xfId="0" applyNumberFormat="1" applyFont="1" applyFill="1" applyBorder="1"/>
    <xf numFmtId="0" fontId="61" fillId="20" borderId="201" xfId="0" applyFont="1" applyFill="1" applyBorder="1"/>
    <xf numFmtId="0" fontId="61" fillId="20" borderId="74" xfId="0" applyFont="1" applyFill="1" applyBorder="1"/>
    <xf numFmtId="10" fontId="61" fillId="20" borderId="3" xfId="0" applyNumberFormat="1" applyFont="1" applyFill="1" applyBorder="1"/>
    <xf numFmtId="1" fontId="80" fillId="21" borderId="74" xfId="0" applyNumberFormat="1" applyFont="1" applyFill="1" applyBorder="1"/>
    <xf numFmtId="9" fontId="80" fillId="21" borderId="74" xfId="0" applyNumberFormat="1" applyFont="1" applyFill="1" applyBorder="1"/>
    <xf numFmtId="5" fontId="61" fillId="21" borderId="15" xfId="0" applyNumberFormat="1" applyFont="1" applyFill="1" applyBorder="1"/>
    <xf numFmtId="169" fontId="61" fillId="2" borderId="0" xfId="0" applyNumberFormat="1" applyFont="1" applyFill="1"/>
    <xf numFmtId="4" fontId="61" fillId="21" borderId="6" xfId="0" applyNumberFormat="1" applyFont="1" applyFill="1" applyBorder="1" applyProtection="1">
      <protection locked="0"/>
    </xf>
    <xf numFmtId="169" fontId="61" fillId="21" borderId="6" xfId="0" applyNumberFormat="1" applyFont="1" applyFill="1" applyBorder="1"/>
    <xf numFmtId="0" fontId="61" fillId="21" borderId="6" xfId="0" applyNumberFormat="1" applyFont="1" applyFill="1" applyBorder="1" applyProtection="1">
      <protection locked="0"/>
    </xf>
    <xf numFmtId="0" fontId="114" fillId="10" borderId="0" xfId="0" applyNumberFormat="1" applyFont="1" applyFill="1" applyAlignment="1"/>
    <xf numFmtId="181" fontId="69" fillId="23" borderId="0" xfId="0" applyNumberFormat="1" applyFont="1" applyFill="1" applyBorder="1" applyAlignment="1" applyProtection="1">
      <alignment horizontal="left"/>
      <protection locked="0"/>
    </xf>
    <xf numFmtId="181" fontId="69" fillId="23" borderId="97" xfId="0" applyNumberFormat="1" applyFont="1" applyFill="1" applyBorder="1" applyAlignment="1" applyProtection="1">
      <alignment horizontal="left"/>
      <protection locked="0"/>
    </xf>
    <xf numFmtId="0" fontId="72" fillId="0" borderId="347" xfId="0" applyNumberFormat="1" applyFont="1" applyFill="1" applyBorder="1"/>
    <xf numFmtId="5" fontId="72" fillId="0" borderId="77" xfId="0" applyNumberFormat="1" applyFont="1" applyFill="1" applyBorder="1"/>
    <xf numFmtId="170" fontId="69" fillId="10" borderId="0" xfId="0" applyNumberFormat="1" applyFont="1" applyFill="1" applyAlignment="1" applyProtection="1">
      <alignment horizontal="left"/>
      <protection locked="0"/>
    </xf>
    <xf numFmtId="0" fontId="61" fillId="2" borderId="0" xfId="0" applyFont="1"/>
    <xf numFmtId="0" fontId="61" fillId="0" borderId="315" xfId="4" applyNumberFormat="1" applyFont="1" applyFill="1" applyBorder="1"/>
    <xf numFmtId="0" fontId="61" fillId="0" borderId="316" xfId="4" applyNumberFormat="1" applyFont="1" applyFill="1" applyBorder="1"/>
    <xf numFmtId="0" fontId="61" fillId="24" borderId="317" xfId="4" applyNumberFormat="1" applyFont="1" applyFill="1" applyBorder="1"/>
    <xf numFmtId="0" fontId="57" fillId="0" borderId="1" xfId="4" applyNumberFormat="1" applyFont="1" applyFill="1" applyBorder="1" applyAlignment="1"/>
    <xf numFmtId="0" fontId="57" fillId="0" borderId="2" xfId="4" applyNumberFormat="1" applyFont="1" applyFill="1" applyBorder="1" applyAlignment="1"/>
    <xf numFmtId="0" fontId="57" fillId="0" borderId="2" xfId="4" applyNumberFormat="1" applyFont="1" applyFill="1" applyBorder="1" applyAlignment="1">
      <alignment horizontal="center"/>
    </xf>
    <xf numFmtId="0" fontId="57" fillId="0" borderId="3" xfId="4" applyNumberFormat="1" applyFont="1" applyFill="1" applyBorder="1" applyAlignment="1"/>
    <xf numFmtId="0" fontId="113" fillId="25" borderId="0" xfId="13" applyNumberFormat="1" applyFont="1" applyFill="1" applyBorder="1" applyAlignment="1" applyProtection="1">
      <alignment horizontal="center" wrapText="1"/>
    </xf>
    <xf numFmtId="0" fontId="61" fillId="0" borderId="318" xfId="4" applyNumberFormat="1" applyFont="1" applyFill="1" applyBorder="1"/>
    <xf numFmtId="0" fontId="61" fillId="0" borderId="319" xfId="4" applyNumberFormat="1" applyFont="1" applyFill="1" applyBorder="1"/>
    <xf numFmtId="183" fontId="61" fillId="24" borderId="320" xfId="4" applyNumberFormat="1" applyFont="1" applyFill="1" applyBorder="1"/>
    <xf numFmtId="0" fontId="61" fillId="0" borderId="321" xfId="4" applyNumberFormat="1" applyFont="1" applyFill="1" applyBorder="1"/>
    <xf numFmtId="0" fontId="61" fillId="0" borderId="322" xfId="4" applyNumberFormat="1" applyFont="1" applyFill="1" applyBorder="1"/>
    <xf numFmtId="0" fontId="61" fillId="0" borderId="323" xfId="4" applyNumberFormat="1" applyFont="1" applyFill="1" applyBorder="1"/>
    <xf numFmtId="0" fontId="61" fillId="24" borderId="324" xfId="4" applyNumberFormat="1" applyFont="1" applyFill="1" applyBorder="1" applyAlignment="1">
      <alignment horizontal="center"/>
    </xf>
    <xf numFmtId="0" fontId="82" fillId="0" borderId="325" xfId="4" applyNumberFormat="1" applyFont="1" applyFill="1" applyBorder="1"/>
    <xf numFmtId="0" fontId="61" fillId="0" borderId="327" xfId="4" applyNumberFormat="1" applyFont="1" applyFill="1" applyBorder="1"/>
    <xf numFmtId="0" fontId="61" fillId="0" borderId="328" xfId="4" applyNumberFormat="1" applyFont="1" applyFill="1" applyBorder="1"/>
    <xf numFmtId="0" fontId="61" fillId="0" borderId="329" xfId="4" applyNumberFormat="1" applyFont="1" applyFill="1" applyBorder="1"/>
    <xf numFmtId="0" fontId="61" fillId="24" borderId="330" xfId="4" applyNumberFormat="1" applyFont="1" applyFill="1" applyBorder="1" applyAlignment="1">
      <alignment horizontal="center"/>
    </xf>
    <xf numFmtId="0" fontId="82" fillId="0" borderId="331" xfId="4" applyNumberFormat="1" applyFont="1" applyFill="1" applyBorder="1"/>
    <xf numFmtId="192" fontId="113" fillId="25" borderId="0" xfId="2" applyNumberFormat="1" applyFont="1" applyFill="1" applyBorder="1" applyAlignment="1" applyProtection="1">
      <alignment horizontal="right" wrapText="1"/>
    </xf>
    <xf numFmtId="0" fontId="113" fillId="25" borderId="1" xfId="13" applyNumberFormat="1" applyFont="1" applyFill="1" applyBorder="1" applyAlignment="1" applyProtection="1">
      <alignment horizontal="center" wrapText="1"/>
    </xf>
    <xf numFmtId="0" fontId="113" fillId="25" borderId="74" xfId="13" applyNumberFormat="1" applyFont="1" applyFill="1" applyBorder="1" applyAlignment="1" applyProtection="1">
      <alignment horizontal="center" wrapText="1"/>
    </xf>
    <xf numFmtId="10" fontId="61" fillId="24" borderId="332" xfId="0" applyNumberFormat="1" applyFont="1" applyFill="1" applyBorder="1" applyAlignment="1">
      <alignment horizontal="center"/>
    </xf>
    <xf numFmtId="3" fontId="16" fillId="25" borderId="4" xfId="13" applyNumberFormat="1" applyFont="1" applyFill="1" applyBorder="1" applyAlignment="1" applyProtection="1"/>
    <xf numFmtId="192" fontId="16" fillId="25" borderId="217" xfId="2" applyNumberFormat="1" applyFont="1" applyFill="1" applyBorder="1" applyAlignment="1" applyProtection="1"/>
    <xf numFmtId="192" fontId="16" fillId="25" borderId="0" xfId="2" applyNumberFormat="1" applyFont="1" applyFill="1" applyBorder="1" applyAlignment="1" applyProtection="1"/>
    <xf numFmtId="10" fontId="61" fillId="26" borderId="332" xfId="14" applyNumberFormat="1" applyFont="1" applyFill="1" applyBorder="1" applyAlignment="1" applyProtection="1">
      <alignment horizontal="center"/>
    </xf>
    <xf numFmtId="192" fontId="16" fillId="25" borderId="201" xfId="2" applyNumberFormat="1" applyFont="1" applyFill="1" applyBorder="1" applyAlignment="1" applyProtection="1"/>
    <xf numFmtId="0" fontId="61" fillId="0" borderId="333" xfId="4" applyNumberFormat="1" applyFont="1" applyFill="1" applyBorder="1"/>
    <xf numFmtId="10" fontId="61" fillId="24" borderId="348" xfId="0" applyNumberFormat="1" applyFont="1" applyFill="1" applyBorder="1" applyAlignment="1">
      <alignment horizontal="center"/>
    </xf>
    <xf numFmtId="0" fontId="82" fillId="0" borderId="335" xfId="4" applyNumberFormat="1" applyFont="1" applyFill="1" applyBorder="1"/>
    <xf numFmtId="3" fontId="16" fillId="25" borderId="0" xfId="13" applyNumberFormat="1" applyFont="1" applyFill="1" applyBorder="1" applyAlignment="1" applyProtection="1"/>
    <xf numFmtId="192" fontId="16" fillId="25" borderId="74" xfId="2" applyNumberFormat="1" applyFont="1" applyFill="1" applyBorder="1" applyAlignment="1" applyProtection="1"/>
    <xf numFmtId="0" fontId="61" fillId="0" borderId="334" xfId="4" applyNumberFormat="1" applyFont="1" applyFill="1" applyBorder="1"/>
    <xf numFmtId="10" fontId="61" fillId="0" borderId="348" xfId="0" applyNumberFormat="1" applyFont="1" applyFill="1" applyBorder="1" applyAlignment="1">
      <alignment horizontal="center"/>
    </xf>
    <xf numFmtId="3" fontId="16" fillId="25" borderId="201" xfId="13" applyNumberFormat="1" applyFont="1" applyFill="1" applyBorder="1" applyAlignment="1" applyProtection="1"/>
    <xf numFmtId="0" fontId="61" fillId="0" borderId="0" xfId="4" applyNumberFormat="1" applyFont="1" applyFill="1" applyBorder="1"/>
    <xf numFmtId="10" fontId="61" fillId="0" borderId="349" xfId="0" applyNumberFormat="1" applyFont="1" applyFill="1" applyBorder="1"/>
    <xf numFmtId="0" fontId="61" fillId="2" borderId="349" xfId="0" applyNumberFormat="1" applyFont="1" applyFill="1" applyBorder="1"/>
    <xf numFmtId="39" fontId="61" fillId="24" borderId="350" xfId="0" applyNumberFormat="1" applyFont="1" applyFill="1" applyBorder="1" applyAlignment="1">
      <alignment horizontal="center"/>
    </xf>
    <xf numFmtId="0" fontId="61" fillId="0" borderId="336" xfId="4" applyNumberFormat="1" applyFont="1" applyFill="1" applyBorder="1"/>
    <xf numFmtId="0" fontId="61" fillId="24" borderId="337" xfId="4" applyNumberFormat="1" applyFont="1" applyFill="1" applyBorder="1" applyAlignment="1">
      <alignment horizontal="center"/>
    </xf>
    <xf numFmtId="183" fontId="61" fillId="0" borderId="0" xfId="4" applyNumberFormat="1" applyFont="1" applyFill="1" applyBorder="1"/>
    <xf numFmtId="10" fontId="61" fillId="0" borderId="337" xfId="4" applyNumberFormat="1" applyFont="1" applyFill="1" applyBorder="1" applyAlignment="1">
      <alignment horizontal="center"/>
    </xf>
    <xf numFmtId="0" fontId="61" fillId="24" borderId="338" xfId="4" applyNumberFormat="1" applyFont="1" applyFill="1" applyBorder="1" applyAlignment="1">
      <alignment horizontal="center"/>
    </xf>
    <xf numFmtId="0" fontId="82" fillId="0" borderId="339" xfId="4" applyNumberFormat="1" applyFont="1" applyFill="1" applyBorder="1"/>
    <xf numFmtId="0" fontId="90" fillId="0" borderId="0" xfId="0" applyNumberFormat="1" applyFont="1" applyFill="1" applyBorder="1"/>
    <xf numFmtId="0" fontId="61" fillId="0" borderId="0" xfId="0" applyFont="1" applyFill="1"/>
    <xf numFmtId="0" fontId="61" fillId="0" borderId="0" xfId="0" applyNumberFormat="1" applyFont="1" applyFill="1" applyBorder="1" applyAlignment="1">
      <alignment horizontal="right"/>
    </xf>
    <xf numFmtId="2" fontId="69" fillId="0" borderId="0" xfId="0" applyNumberFormat="1" applyFont="1" applyFill="1" applyBorder="1" applyAlignment="1">
      <alignment horizontal="center"/>
    </xf>
    <xf numFmtId="10" fontId="61" fillId="0" borderId="0" xfId="0" applyNumberFormat="1" applyFont="1" applyFill="1" applyBorder="1"/>
    <xf numFmtId="2" fontId="61" fillId="0" borderId="0" xfId="0" applyNumberFormat="1" applyFont="1" applyFill="1" applyBorder="1"/>
    <xf numFmtId="0" fontId="61" fillId="0" borderId="0" xfId="0" quotePrefix="1" applyNumberFormat="1" applyFont="1" applyFill="1" applyAlignment="1">
      <alignment horizontal="center"/>
    </xf>
    <xf numFmtId="0" fontId="69" fillId="0" borderId="71" xfId="0" applyNumberFormat="1" applyFont="1" applyFill="1" applyBorder="1" applyAlignment="1">
      <alignment horizontal="center"/>
    </xf>
    <xf numFmtId="0" fontId="69" fillId="0" borderId="76" xfId="0" applyNumberFormat="1" applyFont="1" applyFill="1" applyBorder="1" applyAlignment="1">
      <alignment horizontal="center"/>
    </xf>
    <xf numFmtId="0" fontId="61" fillId="0" borderId="76" xfId="0" applyNumberFormat="1" applyFont="1" applyFill="1" applyBorder="1" applyAlignment="1">
      <alignment horizontal="center"/>
    </xf>
    <xf numFmtId="2" fontId="69" fillId="0" borderId="76" xfId="0" applyNumberFormat="1" applyFont="1" applyFill="1" applyBorder="1" applyAlignment="1">
      <alignment horizontal="center"/>
    </xf>
    <xf numFmtId="2" fontId="61" fillId="0" borderId="76" xfId="0" applyNumberFormat="1" applyFont="1" applyFill="1" applyBorder="1" applyAlignment="1">
      <alignment horizontal="center"/>
    </xf>
    <xf numFmtId="0" fontId="69" fillId="0" borderId="106" xfId="0" applyNumberFormat="1" applyFont="1" applyFill="1" applyBorder="1" applyAlignment="1">
      <alignment horizontal="center"/>
    </xf>
    <xf numFmtId="0" fontId="61" fillId="0" borderId="96" xfId="0" applyNumberFormat="1" applyFont="1" applyFill="1" applyBorder="1"/>
    <xf numFmtId="0" fontId="18" fillId="7" borderId="352" xfId="0" applyFont="1" applyFill="1" applyBorder="1"/>
    <xf numFmtId="0" fontId="69" fillId="0" borderId="93" xfId="0" applyNumberFormat="1" applyFont="1" applyFill="1" applyBorder="1" applyAlignment="1">
      <alignment horizontal="center"/>
    </xf>
    <xf numFmtId="0" fontId="69" fillId="0" borderId="0" xfId="0" applyNumberFormat="1" applyFont="1" applyFill="1" applyBorder="1" applyAlignment="1">
      <alignment horizontal="center"/>
    </xf>
    <xf numFmtId="2" fontId="61" fillId="0" borderId="0" xfId="0" applyNumberFormat="1" applyFont="1" applyFill="1" applyBorder="1" applyAlignment="1">
      <alignment horizontal="center"/>
    </xf>
    <xf numFmtId="0" fontId="69" fillId="0" borderId="94" xfId="0" applyNumberFormat="1" applyFont="1" applyFill="1" applyBorder="1" applyAlignment="1">
      <alignment horizontal="center"/>
    </xf>
    <xf numFmtId="2" fontId="0" fillId="0" borderId="355" xfId="0" applyNumberFormat="1" applyFill="1" applyBorder="1"/>
    <xf numFmtId="0" fontId="0" fillId="0" borderId="14" xfId="0" applyFill="1" applyBorder="1"/>
    <xf numFmtId="0" fontId="0" fillId="2" borderId="14" xfId="0" applyBorder="1"/>
    <xf numFmtId="2" fontId="0" fillId="2" borderId="14" xfId="0" applyNumberFormat="1" applyBorder="1"/>
    <xf numFmtId="0" fontId="61" fillId="22" borderId="276" xfId="0" applyNumberFormat="1" applyFont="1" applyFill="1" applyBorder="1"/>
    <xf numFmtId="1" fontId="61" fillId="0" borderId="202" xfId="0" applyNumberFormat="1" applyFont="1" applyFill="1" applyBorder="1" applyAlignment="1">
      <alignment horizontal="center"/>
    </xf>
    <xf numFmtId="14" fontId="61" fillId="0" borderId="340" xfId="0" applyNumberFormat="1" applyFont="1" applyFill="1" applyBorder="1" applyAlignment="1">
      <alignment horizontal="center"/>
    </xf>
    <xf numFmtId="173" fontId="61" fillId="0" borderId="0" xfId="0" applyNumberFormat="1" applyFont="1" applyFill="1"/>
    <xf numFmtId="0" fontId="61" fillId="0" borderId="0" xfId="0" applyNumberFormat="1" applyFont="1" applyFill="1" applyAlignment="1">
      <alignment horizontal="right"/>
    </xf>
    <xf numFmtId="0" fontId="116" fillId="0" borderId="341" xfId="0" applyNumberFormat="1" applyFont="1" applyFill="1" applyBorder="1"/>
    <xf numFmtId="2" fontId="116" fillId="0" borderId="356" xfId="0" applyNumberFormat="1" applyFont="1" applyFill="1" applyBorder="1"/>
    <xf numFmtId="0" fontId="116" fillId="0" borderId="356" xfId="0" applyFont="1" applyFill="1" applyBorder="1"/>
    <xf numFmtId="0" fontId="116" fillId="2" borderId="356" xfId="0" applyFont="1" applyBorder="1"/>
    <xf numFmtId="2" fontId="116" fillId="2" borderId="356" xfId="0" applyNumberFormat="1" applyFont="1" applyBorder="1"/>
    <xf numFmtId="0" fontId="116" fillId="2" borderId="356" xfId="0" applyNumberFormat="1" applyFont="1" applyBorder="1"/>
    <xf numFmtId="0" fontId="16" fillId="0" borderId="357" xfId="0" applyNumberFormat="1" applyFont="1" applyFill="1" applyBorder="1"/>
    <xf numFmtId="0" fontId="0" fillId="2" borderId="358" xfId="0" applyBorder="1"/>
    <xf numFmtId="0" fontId="0" fillId="2" borderId="359" xfId="0" applyBorder="1"/>
    <xf numFmtId="0" fontId="61" fillId="22" borderId="360" xfId="0" applyNumberFormat="1" applyFont="1" applyFill="1" applyBorder="1"/>
    <xf numFmtId="2" fontId="61" fillId="0" borderId="361" xfId="0" applyNumberFormat="1" applyFont="1" applyFill="1" applyBorder="1"/>
    <xf numFmtId="14" fontId="61" fillId="0" borderId="362" xfId="0" applyNumberFormat="1" applyFont="1" applyFill="1" applyBorder="1" applyAlignment="1">
      <alignment horizontal="center"/>
    </xf>
    <xf numFmtId="2" fontId="116" fillId="0" borderId="363" xfId="0" applyNumberFormat="1" applyFont="1" applyFill="1" applyBorder="1"/>
    <xf numFmtId="2" fontId="116" fillId="0" borderId="364" xfId="0" applyNumberFormat="1" applyFont="1" applyFill="1" applyBorder="1"/>
    <xf numFmtId="0" fontId="116" fillId="0" borderId="364" xfId="0" applyFont="1" applyFill="1" applyBorder="1"/>
    <xf numFmtId="0" fontId="116" fillId="2" borderId="364" xfId="0" applyFont="1" applyBorder="1"/>
    <xf numFmtId="2" fontId="116" fillId="2" borderId="364" xfId="0" applyNumberFormat="1" applyFont="1" applyBorder="1"/>
    <xf numFmtId="0" fontId="116" fillId="2" borderId="364" xfId="0" applyNumberFormat="1" applyFont="1" applyBorder="1"/>
    <xf numFmtId="0" fontId="16" fillId="0" borderId="365" xfId="0" applyNumberFormat="1" applyFont="1" applyFill="1" applyBorder="1"/>
    <xf numFmtId="10" fontId="0" fillId="2" borderId="217" xfId="0" applyNumberFormat="1" applyBorder="1"/>
    <xf numFmtId="0" fontId="61" fillId="22" borderId="366" xfId="0" applyNumberFormat="1" applyFont="1" applyFill="1" applyBorder="1"/>
    <xf numFmtId="1" fontId="61" fillId="0" borderId="367" xfId="0" applyNumberFormat="1" applyFont="1" applyFill="1" applyBorder="1" applyAlignment="1">
      <alignment horizontal="center"/>
    </xf>
    <xf numFmtId="2" fontId="61" fillId="0" borderId="367" xfId="0" applyNumberFormat="1" applyFont="1" applyFill="1" applyBorder="1"/>
    <xf numFmtId="14" fontId="61" fillId="0" borderId="368" xfId="0" applyNumberFormat="1" applyFont="1" applyFill="1" applyBorder="1" applyAlignment="1">
      <alignment horizontal="center"/>
    </xf>
    <xf numFmtId="0" fontId="116" fillId="0" borderId="369" xfId="0" applyNumberFormat="1" applyFont="1" applyFill="1" applyBorder="1"/>
    <xf numFmtId="2" fontId="116" fillId="0" borderId="370" xfId="0" applyNumberFormat="1" applyFont="1" applyFill="1" applyBorder="1"/>
    <xf numFmtId="0" fontId="116" fillId="0" borderId="370" xfId="0" applyFont="1" applyFill="1" applyBorder="1"/>
    <xf numFmtId="0" fontId="116" fillId="2" borderId="370" xfId="0" applyFont="1" applyBorder="1"/>
    <xf numFmtId="2" fontId="116" fillId="2" borderId="370" xfId="0" applyNumberFormat="1" applyFont="1" applyBorder="1"/>
    <xf numFmtId="0" fontId="116" fillId="2" borderId="370" xfId="0" applyNumberFormat="1" applyFont="1" applyBorder="1"/>
    <xf numFmtId="0" fontId="18" fillId="0" borderId="371" xfId="0" applyNumberFormat="1" applyFont="1" applyFill="1" applyBorder="1"/>
    <xf numFmtId="0" fontId="0" fillId="2" borderId="201" xfId="0" applyBorder="1"/>
    <xf numFmtId="0" fontId="61" fillId="0" borderId="372" xfId="0" applyNumberFormat="1" applyFont="1" applyFill="1" applyBorder="1"/>
    <xf numFmtId="1" fontId="61" fillId="0" borderId="373" xfId="0" applyNumberFormat="1" applyFont="1" applyFill="1" applyBorder="1" applyAlignment="1">
      <alignment horizontal="center"/>
    </xf>
    <xf numFmtId="2" fontId="61" fillId="0" borderId="373" xfId="0" applyNumberFormat="1" applyFont="1" applyFill="1" applyBorder="1"/>
    <xf numFmtId="14" fontId="61" fillId="0" borderId="374" xfId="0" applyNumberFormat="1" applyFont="1" applyFill="1" applyBorder="1" applyAlignment="1">
      <alignment horizontal="center"/>
    </xf>
    <xf numFmtId="2" fontId="116" fillId="0" borderId="375" xfId="0" applyNumberFormat="1" applyFont="1" applyFill="1" applyBorder="1"/>
    <xf numFmtId="2" fontId="116" fillId="0" borderId="376" xfId="0" applyNumberFormat="1" applyFont="1" applyFill="1" applyBorder="1"/>
    <xf numFmtId="0" fontId="116" fillId="0" borderId="376" xfId="0" applyFont="1" applyFill="1" applyBorder="1"/>
    <xf numFmtId="0" fontId="116" fillId="2" borderId="376" xfId="0" applyFont="1" applyBorder="1"/>
    <xf numFmtId="2" fontId="116" fillId="2" borderId="376" xfId="0" applyNumberFormat="1" applyFont="1" applyBorder="1"/>
    <xf numFmtId="0" fontId="116" fillId="2" borderId="376" xfId="0" applyNumberFormat="1" applyFont="1" applyBorder="1"/>
    <xf numFmtId="0" fontId="18" fillId="0" borderId="377" xfId="0" applyNumberFormat="1" applyFont="1" applyFill="1" applyBorder="1"/>
    <xf numFmtId="0" fontId="61" fillId="0" borderId="378" xfId="0" applyNumberFormat="1" applyFont="1" applyFill="1" applyBorder="1"/>
    <xf numFmtId="1" fontId="61" fillId="0" borderId="379" xfId="0" applyNumberFormat="1" applyFont="1" applyFill="1" applyBorder="1" applyAlignment="1">
      <alignment horizontal="center"/>
    </xf>
    <xf numFmtId="2" fontId="61" fillId="0" borderId="379" xfId="0" applyNumberFormat="1" applyFont="1" applyFill="1" applyBorder="1"/>
    <xf numFmtId="14" fontId="61" fillId="0" borderId="380" xfId="0" applyNumberFormat="1" applyFont="1" applyFill="1" applyBorder="1" applyAlignment="1">
      <alignment horizontal="center"/>
    </xf>
    <xf numFmtId="0" fontId="116" fillId="0" borderId="381" xfId="0" applyNumberFormat="1" applyFont="1" applyFill="1" applyBorder="1"/>
    <xf numFmtId="2" fontId="116" fillId="0" borderId="382" xfId="0" applyNumberFormat="1" applyFont="1" applyFill="1" applyBorder="1"/>
    <xf numFmtId="0" fontId="116" fillId="0" borderId="382" xfId="0" applyFont="1" applyFill="1" applyBorder="1"/>
    <xf numFmtId="0" fontId="116" fillId="2" borderId="382" xfId="0" applyFont="1" applyBorder="1"/>
    <xf numFmtId="2" fontId="116" fillId="2" borderId="382" xfId="0" applyNumberFormat="1" applyFont="1" applyBorder="1"/>
    <xf numFmtId="0" fontId="116" fillId="2" borderId="382" xfId="0" applyNumberFormat="1" applyFont="1" applyBorder="1"/>
    <xf numFmtId="0" fontId="18" fillId="0" borderId="383" xfId="0" applyNumberFormat="1" applyFont="1" applyFill="1" applyBorder="1"/>
    <xf numFmtId="0" fontId="61" fillId="0" borderId="384" xfId="0" applyNumberFormat="1" applyFont="1" applyFill="1" applyBorder="1"/>
    <xf numFmtId="1" fontId="61" fillId="0" borderId="385" xfId="0" applyNumberFormat="1" applyFont="1" applyFill="1" applyBorder="1" applyAlignment="1">
      <alignment horizontal="center"/>
    </xf>
    <xf numFmtId="2" fontId="61" fillId="0" borderId="385" xfId="0" applyNumberFormat="1" applyFont="1" applyFill="1" applyBorder="1"/>
    <xf numFmtId="14" fontId="61" fillId="0" borderId="386" xfId="0" applyNumberFormat="1" applyFont="1" applyFill="1" applyBorder="1" applyAlignment="1">
      <alignment horizontal="center"/>
    </xf>
    <xf numFmtId="2" fontId="116" fillId="0" borderId="387" xfId="0" applyNumberFormat="1" applyFont="1" applyFill="1" applyBorder="1"/>
    <xf numFmtId="2" fontId="116" fillId="0" borderId="388" xfId="0" applyNumberFormat="1" applyFont="1" applyFill="1" applyBorder="1"/>
    <xf numFmtId="0" fontId="116" fillId="0" borderId="388" xfId="0" applyFont="1" applyFill="1" applyBorder="1"/>
    <xf numFmtId="0" fontId="116" fillId="2" borderId="388" xfId="0" applyFont="1" applyBorder="1"/>
    <xf numFmtId="2" fontId="116" fillId="2" borderId="388" xfId="0" applyNumberFormat="1" applyFont="1" applyBorder="1"/>
    <xf numFmtId="0" fontId="116" fillId="2" borderId="388" xfId="0" applyNumberFormat="1" applyFont="1" applyBorder="1"/>
    <xf numFmtId="176" fontId="116" fillId="2" borderId="388" xfId="0" applyNumberFormat="1" applyFont="1" applyBorder="1"/>
    <xf numFmtId="0" fontId="18" fillId="0" borderId="389" xfId="0" applyNumberFormat="1" applyFont="1" applyFill="1" applyBorder="1"/>
    <xf numFmtId="0" fontId="61" fillId="22" borderId="390" xfId="0" applyNumberFormat="1" applyFont="1" applyFill="1" applyBorder="1"/>
    <xf numFmtId="1" fontId="61" fillId="0" borderId="391" xfId="0" applyNumberFormat="1" applyFont="1" applyFill="1" applyBorder="1" applyAlignment="1">
      <alignment horizontal="center"/>
    </xf>
    <xf numFmtId="2" fontId="61" fillId="0" borderId="391" xfId="0" applyNumberFormat="1" applyFont="1" applyFill="1" applyBorder="1"/>
    <xf numFmtId="14" fontId="61" fillId="0" borderId="392" xfId="0" applyNumberFormat="1" applyFont="1" applyFill="1" applyBorder="1" applyAlignment="1">
      <alignment horizontal="center"/>
    </xf>
    <xf numFmtId="0" fontId="116" fillId="0" borderId="393" xfId="0" applyNumberFormat="1" applyFont="1" applyFill="1" applyBorder="1"/>
    <xf numFmtId="2" fontId="116" fillId="0" borderId="394" xfId="0" applyNumberFormat="1" applyFont="1" applyFill="1" applyBorder="1"/>
    <xf numFmtId="0" fontId="116" fillId="0" borderId="394" xfId="0" applyFont="1" applyFill="1" applyBorder="1"/>
    <xf numFmtId="0" fontId="116" fillId="2" borderId="394" xfId="0" applyFont="1" applyBorder="1"/>
    <xf numFmtId="2" fontId="116" fillId="2" borderId="394" xfId="0" applyNumberFormat="1" applyFont="1" applyBorder="1"/>
    <xf numFmtId="0" fontId="116" fillId="2" borderId="394" xfId="0" applyNumberFormat="1" applyFont="1" applyBorder="1"/>
    <xf numFmtId="0" fontId="18" fillId="0" borderId="395" xfId="0" applyNumberFormat="1" applyFont="1" applyFill="1" applyBorder="1"/>
    <xf numFmtId="2" fontId="116" fillId="0" borderId="393" xfId="0" applyNumberFormat="1" applyFont="1" applyFill="1" applyBorder="1"/>
    <xf numFmtId="0" fontId="61" fillId="22" borderId="396" xfId="0" applyNumberFormat="1" applyFont="1" applyFill="1" applyBorder="1"/>
    <xf numFmtId="1" fontId="61" fillId="0" borderId="397" xfId="0" applyNumberFormat="1" applyFont="1" applyFill="1" applyBorder="1" applyAlignment="1">
      <alignment horizontal="center"/>
    </xf>
    <xf numFmtId="2" fontId="61" fillId="0" borderId="397" xfId="0" applyNumberFormat="1" applyFont="1" applyFill="1" applyBorder="1"/>
    <xf numFmtId="14" fontId="61" fillId="0" borderId="398" xfId="0" applyNumberFormat="1" applyFont="1" applyFill="1" applyBorder="1" applyAlignment="1">
      <alignment horizontal="center"/>
    </xf>
    <xf numFmtId="0" fontId="116" fillId="0" borderId="399" xfId="0" applyNumberFormat="1" applyFont="1" applyFill="1" applyBorder="1"/>
    <xf numFmtId="2" fontId="116" fillId="0" borderId="400" xfId="0" applyNumberFormat="1" applyFont="1" applyFill="1" applyBorder="1"/>
    <xf numFmtId="0" fontId="116" fillId="0" borderId="400" xfId="0" applyFont="1" applyFill="1" applyBorder="1"/>
    <xf numFmtId="0" fontId="116" fillId="2" borderId="400" xfId="0" applyFont="1" applyBorder="1"/>
    <xf numFmtId="2" fontId="116" fillId="2" borderId="400" xfId="0" applyNumberFormat="1" applyFont="1" applyBorder="1"/>
    <xf numFmtId="0" fontId="116" fillId="2" borderId="400" xfId="0" applyNumberFormat="1" applyFont="1" applyBorder="1"/>
    <xf numFmtId="0" fontId="18" fillId="0" borderId="401" xfId="0" applyNumberFormat="1" applyFont="1" applyFill="1" applyBorder="1"/>
    <xf numFmtId="0" fontId="61" fillId="0" borderId="402" xfId="0" applyNumberFormat="1" applyFont="1" applyFill="1" applyBorder="1"/>
    <xf numFmtId="1" fontId="61" fillId="0" borderId="403" xfId="0" applyNumberFormat="1" applyFont="1" applyFill="1" applyBorder="1" applyAlignment="1">
      <alignment horizontal="center"/>
    </xf>
    <xf numFmtId="2" fontId="61" fillId="0" borderId="403" xfId="0" applyNumberFormat="1" applyFont="1" applyFill="1" applyBorder="1"/>
    <xf numFmtId="14" fontId="61" fillId="0" borderId="404" xfId="0" applyNumberFormat="1" applyFont="1" applyFill="1" applyBorder="1" applyAlignment="1">
      <alignment horizontal="center"/>
    </xf>
    <xf numFmtId="0" fontId="116" fillId="0" borderId="405" xfId="0" applyNumberFormat="1" applyFont="1" applyFill="1" applyBorder="1"/>
    <xf numFmtId="2" fontId="116" fillId="0" borderId="406" xfId="0" applyNumberFormat="1" applyFont="1" applyFill="1" applyBorder="1"/>
    <xf numFmtId="0" fontId="116" fillId="0" borderId="406" xfId="0" applyFont="1" applyFill="1" applyBorder="1"/>
    <xf numFmtId="0" fontId="116" fillId="2" borderId="406" xfId="0" applyFont="1" applyBorder="1"/>
    <xf numFmtId="2" fontId="116" fillId="2" borderId="406" xfId="0" applyNumberFormat="1" applyFont="1" applyBorder="1"/>
    <xf numFmtId="0" fontId="116" fillId="2" borderId="406" xfId="0" applyNumberFormat="1" applyFont="1" applyBorder="1"/>
    <xf numFmtId="0" fontId="18" fillId="0" borderId="407" xfId="0" applyNumberFormat="1" applyFont="1" applyFill="1" applyBorder="1"/>
    <xf numFmtId="0" fontId="61" fillId="22" borderId="402" xfId="0" applyNumberFormat="1" applyFont="1" applyFill="1" applyBorder="1"/>
    <xf numFmtId="0" fontId="61" fillId="22" borderId="408" xfId="0" applyNumberFormat="1" applyFont="1" applyFill="1" applyBorder="1"/>
    <xf numFmtId="1" fontId="61" fillId="0" borderId="409" xfId="0" applyNumberFormat="1" applyFont="1" applyFill="1" applyBorder="1" applyAlignment="1">
      <alignment horizontal="center"/>
    </xf>
    <xf numFmtId="2" fontId="61" fillId="0" borderId="409" xfId="0" applyNumberFormat="1" applyFont="1" applyFill="1" applyBorder="1"/>
    <xf numFmtId="14" fontId="61" fillId="0" borderId="410" xfId="0" applyNumberFormat="1" applyFont="1" applyFill="1" applyBorder="1" applyAlignment="1">
      <alignment horizontal="center"/>
    </xf>
    <xf numFmtId="0" fontId="116" fillId="0" borderId="411" xfId="0" applyNumberFormat="1" applyFont="1" applyFill="1" applyBorder="1"/>
    <xf numFmtId="2" fontId="116" fillId="0" borderId="412" xfId="0" applyNumberFormat="1" applyFont="1" applyFill="1" applyBorder="1"/>
    <xf numFmtId="0" fontId="116" fillId="0" borderId="412" xfId="0" applyFont="1" applyFill="1" applyBorder="1"/>
    <xf numFmtId="0" fontId="116" fillId="2" borderId="412" xfId="0" applyFont="1" applyBorder="1"/>
    <xf numFmtId="2" fontId="116" fillId="2" borderId="412" xfId="0" applyNumberFormat="1" applyFont="1" applyBorder="1"/>
    <xf numFmtId="0" fontId="116" fillId="2" borderId="412" xfId="0" applyNumberFormat="1" applyFont="1" applyBorder="1"/>
    <xf numFmtId="0" fontId="18" fillId="0" borderId="413" xfId="0" applyNumberFormat="1" applyFont="1" applyFill="1" applyBorder="1"/>
    <xf numFmtId="0" fontId="61" fillId="22" borderId="414" xfId="0" applyNumberFormat="1" applyFont="1" applyFill="1" applyBorder="1"/>
    <xf numFmtId="1" fontId="61" fillId="0" borderId="415" xfId="0" applyNumberFormat="1" applyFont="1" applyFill="1" applyBorder="1" applyAlignment="1">
      <alignment horizontal="center"/>
    </xf>
    <xf numFmtId="2" fontId="61" fillId="0" borderId="415" xfId="0" applyNumberFormat="1" applyFont="1" applyFill="1" applyBorder="1"/>
    <xf numFmtId="14" fontId="61" fillId="0" borderId="416" xfId="0" applyNumberFormat="1" applyFont="1" applyFill="1" applyBorder="1" applyAlignment="1">
      <alignment horizontal="center"/>
    </xf>
    <xf numFmtId="0" fontId="116" fillId="0" borderId="417" xfId="0" applyNumberFormat="1" applyFont="1" applyFill="1" applyBorder="1"/>
    <xf numFmtId="2" fontId="116" fillId="0" borderId="418" xfId="0" applyNumberFormat="1" applyFont="1" applyFill="1" applyBorder="1"/>
    <xf numFmtId="0" fontId="116" fillId="0" borderId="418" xfId="0" applyFont="1" applyFill="1" applyBorder="1"/>
    <xf numFmtId="0" fontId="116" fillId="2" borderId="418" xfId="0" applyFont="1" applyBorder="1"/>
    <xf numFmtId="2" fontId="116" fillId="2" borderId="418" xfId="0" applyNumberFormat="1" applyFont="1" applyBorder="1"/>
    <xf numFmtId="0" fontId="116" fillId="2" borderId="418" xfId="0" applyNumberFormat="1" applyFont="1" applyBorder="1"/>
    <xf numFmtId="0" fontId="18" fillId="0" borderId="419" xfId="0" applyNumberFormat="1" applyFont="1" applyFill="1" applyBorder="1"/>
    <xf numFmtId="0" fontId="61" fillId="22" borderId="420" xfId="0" applyNumberFormat="1" applyFont="1" applyFill="1" applyBorder="1"/>
    <xf numFmtId="1" fontId="61" fillId="0" borderId="421" xfId="0" applyNumberFormat="1" applyFont="1" applyFill="1" applyBorder="1" applyAlignment="1">
      <alignment horizontal="center"/>
    </xf>
    <xf numFmtId="2" fontId="61" fillId="0" borderId="421" xfId="0" applyNumberFormat="1" applyFont="1" applyFill="1" applyBorder="1"/>
    <xf numFmtId="14" fontId="61" fillId="0" borderId="422" xfId="0" applyNumberFormat="1" applyFont="1" applyFill="1" applyBorder="1" applyAlignment="1">
      <alignment horizontal="center"/>
    </xf>
    <xf numFmtId="0" fontId="116" fillId="0" borderId="423" xfId="0" applyNumberFormat="1" applyFont="1" applyFill="1" applyBorder="1"/>
    <xf numFmtId="2" fontId="116" fillId="0" borderId="424" xfId="0" applyNumberFormat="1" applyFont="1" applyFill="1" applyBorder="1"/>
    <xf numFmtId="0" fontId="116" fillId="0" borderId="424" xfId="0" applyFont="1" applyFill="1" applyBorder="1"/>
    <xf numFmtId="0" fontId="116" fillId="2" borderId="424" xfId="0" applyFont="1" applyBorder="1"/>
    <xf numFmtId="2" fontId="116" fillId="2" borderId="424" xfId="0" applyNumberFormat="1" applyFont="1" applyBorder="1"/>
    <xf numFmtId="0" fontId="116" fillId="2" borderId="424" xfId="0" applyNumberFormat="1" applyFont="1" applyBorder="1"/>
    <xf numFmtId="0" fontId="18" fillId="0" borderId="425" xfId="0" applyNumberFormat="1" applyFont="1" applyFill="1" applyBorder="1"/>
    <xf numFmtId="0" fontId="61" fillId="22" borderId="426" xfId="0" applyNumberFormat="1" applyFont="1" applyFill="1" applyBorder="1"/>
    <xf numFmtId="1" fontId="61" fillId="0" borderId="427" xfId="0" applyNumberFormat="1" applyFont="1" applyFill="1" applyBorder="1" applyAlignment="1">
      <alignment horizontal="center"/>
    </xf>
    <xf numFmtId="2" fontId="61" fillId="0" borderId="427" xfId="0" applyNumberFormat="1" applyFont="1" applyFill="1" applyBorder="1"/>
    <xf numFmtId="14" fontId="61" fillId="0" borderId="428" xfId="0" applyNumberFormat="1" applyFont="1" applyFill="1" applyBorder="1" applyAlignment="1">
      <alignment horizontal="center"/>
    </xf>
    <xf numFmtId="0" fontId="116" fillId="0" borderId="429" xfId="0" applyNumberFormat="1" applyFont="1" applyFill="1" applyBorder="1"/>
    <xf numFmtId="2" fontId="116" fillId="0" borderId="430" xfId="0" applyNumberFormat="1" applyFont="1" applyFill="1" applyBorder="1"/>
    <xf numFmtId="0" fontId="116" fillId="0" borderId="430" xfId="0" applyFont="1" applyFill="1" applyBorder="1"/>
    <xf numFmtId="0" fontId="116" fillId="2" borderId="430" xfId="0" applyFont="1" applyBorder="1"/>
    <xf numFmtId="2" fontId="116" fillId="2" borderId="430" xfId="0" applyNumberFormat="1" applyFont="1" applyBorder="1"/>
    <xf numFmtId="0" fontId="116" fillId="2" borderId="430" xfId="0" applyNumberFormat="1" applyFont="1" applyBorder="1"/>
    <xf numFmtId="2" fontId="24" fillId="2" borderId="430" xfId="0" applyNumberFormat="1" applyFont="1" applyBorder="1"/>
    <xf numFmtId="0" fontId="18" fillId="0" borderId="431" xfId="0" applyNumberFormat="1" applyFont="1" applyFill="1" applyBorder="1"/>
    <xf numFmtId="0" fontId="61" fillId="0" borderId="432" xfId="0" applyNumberFormat="1" applyFont="1" applyFill="1" applyBorder="1"/>
    <xf numFmtId="1" fontId="61" fillId="0" borderId="433" xfId="0" applyNumberFormat="1" applyFont="1" applyFill="1" applyBorder="1" applyAlignment="1">
      <alignment horizontal="center"/>
    </xf>
    <xf numFmtId="2" fontId="61" fillId="0" borderId="433" xfId="0" applyNumberFormat="1" applyFont="1" applyFill="1" applyBorder="1"/>
    <xf numFmtId="14" fontId="61" fillId="0" borderId="434" xfId="0" applyNumberFormat="1" applyFont="1" applyFill="1" applyBorder="1" applyAlignment="1">
      <alignment horizontal="center"/>
    </xf>
    <xf numFmtId="0" fontId="116" fillId="0" borderId="435" xfId="0" applyNumberFormat="1" applyFont="1" applyFill="1" applyBorder="1"/>
    <xf numFmtId="2" fontId="116" fillId="0" borderId="436" xfId="0" applyNumberFormat="1" applyFont="1" applyFill="1" applyBorder="1"/>
    <xf numFmtId="0" fontId="116" fillId="0" borderId="436" xfId="0" applyFont="1" applyFill="1" applyBorder="1"/>
    <xf numFmtId="0" fontId="116" fillId="2" borderId="436" xfId="0" applyFont="1" applyBorder="1"/>
    <xf numFmtId="2" fontId="116" fillId="2" borderId="436" xfId="0" applyNumberFormat="1" applyFont="1" applyBorder="1"/>
    <xf numFmtId="0" fontId="116" fillId="2" borderId="436" xfId="0" applyNumberFormat="1" applyFont="1" applyBorder="1"/>
    <xf numFmtId="0" fontId="18" fillId="0" borderId="437" xfId="0" applyNumberFormat="1" applyFont="1" applyFill="1" applyBorder="1"/>
    <xf numFmtId="0" fontId="61" fillId="0" borderId="438" xfId="0" applyNumberFormat="1" applyFont="1" applyFill="1" applyBorder="1"/>
    <xf numFmtId="1" fontId="61" fillId="0" borderId="439" xfId="0" applyNumberFormat="1" applyFont="1" applyFill="1" applyBorder="1" applyAlignment="1">
      <alignment horizontal="center"/>
    </xf>
    <xf numFmtId="2" fontId="61" fillId="0" borderId="439" xfId="0" applyNumberFormat="1" applyFont="1" applyFill="1" applyBorder="1"/>
    <xf numFmtId="14" fontId="61" fillId="0" borderId="440" xfId="0" applyNumberFormat="1" applyFont="1" applyFill="1" applyBorder="1" applyAlignment="1">
      <alignment horizontal="center"/>
    </xf>
    <xf numFmtId="0" fontId="116" fillId="0" borderId="441" xfId="0" applyNumberFormat="1" applyFont="1" applyFill="1" applyBorder="1"/>
    <xf numFmtId="2" fontId="116" fillId="0" borderId="442" xfId="0" applyNumberFormat="1" applyFont="1" applyFill="1" applyBorder="1"/>
    <xf numFmtId="0" fontId="116" fillId="0" borderId="442" xfId="0" applyFont="1" applyFill="1" applyBorder="1"/>
    <xf numFmtId="0" fontId="116" fillId="2" borderId="442" xfId="0" applyFont="1" applyBorder="1"/>
    <xf numFmtId="2" fontId="116" fillId="2" borderId="442" xfId="0" applyNumberFormat="1" applyFont="1" applyBorder="1"/>
    <xf numFmtId="0" fontId="116" fillId="2" borderId="442" xfId="0" applyNumberFormat="1" applyFont="1" applyBorder="1"/>
    <xf numFmtId="0" fontId="18" fillId="0" borderId="443" xfId="0" applyNumberFormat="1" applyFont="1" applyFill="1" applyBorder="1"/>
    <xf numFmtId="0" fontId="0" fillId="2" borderId="217" xfId="0" applyBorder="1"/>
    <xf numFmtId="0" fontId="61" fillId="0" borderId="444" xfId="0" applyNumberFormat="1" applyFont="1" applyFill="1" applyBorder="1"/>
    <xf numFmtId="1" fontId="61" fillId="0" borderId="445" xfId="0" applyNumberFormat="1" applyFont="1" applyFill="1" applyBorder="1" applyAlignment="1">
      <alignment horizontal="center"/>
    </xf>
    <xf numFmtId="2" fontId="61" fillId="0" borderId="445" xfId="0" applyNumberFormat="1" applyFont="1" applyFill="1" applyBorder="1"/>
    <xf numFmtId="14" fontId="61" fillId="0" borderId="446" xfId="0" applyNumberFormat="1" applyFont="1" applyFill="1" applyBorder="1" applyAlignment="1">
      <alignment horizontal="center"/>
    </xf>
    <xf numFmtId="0" fontId="116" fillId="0" borderId="447" xfId="0" applyNumberFormat="1" applyFont="1" applyFill="1" applyBorder="1"/>
    <xf numFmtId="2" fontId="116" fillId="0" borderId="448" xfId="0" applyNumberFormat="1" applyFont="1" applyFill="1" applyBorder="1"/>
    <xf numFmtId="0" fontId="116" fillId="0" borderId="448" xfId="0" applyFont="1" applyFill="1" applyBorder="1"/>
    <xf numFmtId="0" fontId="116" fillId="2" borderId="448" xfId="0" applyFont="1" applyBorder="1"/>
    <xf numFmtId="2" fontId="116" fillId="2" borderId="448" xfId="0" applyNumberFormat="1" applyFont="1" applyBorder="1"/>
    <xf numFmtId="0" fontId="116" fillId="2" borderId="448" xfId="0" applyNumberFormat="1" applyFont="1" applyBorder="1"/>
    <xf numFmtId="0" fontId="18" fillId="0" borderId="449" xfId="0" applyNumberFormat="1" applyFont="1" applyFill="1" applyBorder="1"/>
    <xf numFmtId="0" fontId="61" fillId="0" borderId="450" xfId="0" applyNumberFormat="1" applyFont="1" applyFill="1" applyBorder="1"/>
    <xf numFmtId="1" fontId="61" fillId="0" borderId="451" xfId="0" applyNumberFormat="1" applyFont="1" applyFill="1" applyBorder="1" applyAlignment="1">
      <alignment horizontal="center"/>
    </xf>
    <xf numFmtId="2" fontId="61" fillId="0" borderId="451" xfId="0" applyNumberFormat="1" applyFont="1" applyFill="1" applyBorder="1"/>
    <xf numFmtId="14" fontId="61" fillId="0" borderId="452" xfId="0" applyNumberFormat="1" applyFont="1" applyFill="1" applyBorder="1" applyAlignment="1">
      <alignment horizontal="center"/>
    </xf>
    <xf numFmtId="0" fontId="116" fillId="0" borderId="453" xfId="0" applyNumberFormat="1" applyFont="1" applyFill="1" applyBorder="1"/>
    <xf numFmtId="2" fontId="116" fillId="0" borderId="454" xfId="0" applyNumberFormat="1" applyFont="1" applyFill="1" applyBorder="1"/>
    <xf numFmtId="0" fontId="116" fillId="0" borderId="454" xfId="0" applyFont="1" applyFill="1" applyBorder="1"/>
    <xf numFmtId="0" fontId="116" fillId="2" borderId="454" xfId="0" applyFont="1" applyBorder="1"/>
    <xf numFmtId="2" fontId="116" fillId="2" borderId="454" xfId="0" applyNumberFormat="1" applyFont="1" applyBorder="1"/>
    <xf numFmtId="0" fontId="116" fillId="2" borderId="454" xfId="0" applyNumberFormat="1" applyFont="1" applyBorder="1"/>
    <xf numFmtId="0" fontId="18" fillId="0" borderId="455" xfId="0" applyNumberFormat="1" applyFont="1" applyFill="1" applyBorder="1"/>
    <xf numFmtId="0" fontId="61" fillId="0" borderId="456" xfId="0" applyNumberFormat="1" applyFont="1" applyFill="1" applyBorder="1"/>
    <xf numFmtId="1" fontId="61" fillId="0" borderId="457" xfId="0" applyNumberFormat="1" applyFont="1" applyFill="1" applyBorder="1" applyAlignment="1">
      <alignment horizontal="center"/>
    </xf>
    <xf numFmtId="2" fontId="61" fillId="0" borderId="457" xfId="0" applyNumberFormat="1" applyFont="1" applyFill="1" applyBorder="1"/>
    <xf numFmtId="14" fontId="61" fillId="0" borderId="458" xfId="0" applyNumberFormat="1" applyFont="1" applyFill="1" applyBorder="1" applyAlignment="1">
      <alignment horizontal="center"/>
    </xf>
    <xf numFmtId="0" fontId="116" fillId="0" borderId="459" xfId="0" applyNumberFormat="1" applyFont="1" applyFill="1" applyBorder="1"/>
    <xf numFmtId="2" fontId="116" fillId="0" borderId="460" xfId="0" applyNumberFormat="1" applyFont="1" applyFill="1" applyBorder="1"/>
    <xf numFmtId="0" fontId="116" fillId="0" borderId="460" xfId="0" applyFont="1" applyFill="1" applyBorder="1"/>
    <xf numFmtId="0" fontId="116" fillId="2" borderId="460" xfId="0" applyFont="1" applyBorder="1"/>
    <xf numFmtId="2" fontId="116" fillId="2" borderId="460" xfId="0" applyNumberFormat="1" applyFont="1" applyBorder="1"/>
    <xf numFmtId="0" fontId="116" fillId="2" borderId="460" xfId="0" applyNumberFormat="1" applyFont="1" applyBorder="1"/>
    <xf numFmtId="0" fontId="18" fillId="0" borderId="461" xfId="0" applyNumberFormat="1" applyFont="1" applyFill="1" applyBorder="1"/>
    <xf numFmtId="0" fontId="61" fillId="22" borderId="462" xfId="0" applyNumberFormat="1" applyFont="1" applyFill="1" applyBorder="1"/>
    <xf numFmtId="1" fontId="61" fillId="0" borderId="463" xfId="0" applyNumberFormat="1" applyFont="1" applyFill="1" applyBorder="1" applyAlignment="1">
      <alignment horizontal="center"/>
    </xf>
    <xf numFmtId="2" fontId="61" fillId="0" borderId="463" xfId="0" applyNumberFormat="1" applyFont="1" applyFill="1" applyBorder="1"/>
    <xf numFmtId="14" fontId="61" fillId="0" borderId="464" xfId="0" applyNumberFormat="1" applyFont="1" applyFill="1" applyBorder="1" applyAlignment="1">
      <alignment horizontal="center"/>
    </xf>
    <xf numFmtId="0" fontId="116" fillId="0" borderId="465" xfId="0" applyNumberFormat="1" applyFont="1" applyFill="1" applyBorder="1"/>
    <xf numFmtId="2" fontId="116" fillId="0" borderId="466" xfId="0" applyNumberFormat="1" applyFont="1" applyFill="1" applyBorder="1"/>
    <xf numFmtId="0" fontId="116" fillId="0" borderId="466" xfId="0" applyFont="1" applyFill="1" applyBorder="1"/>
    <xf numFmtId="0" fontId="116" fillId="2" borderId="466" xfId="0" applyFont="1" applyBorder="1"/>
    <xf numFmtId="2" fontId="116" fillId="2" borderId="466" xfId="0" applyNumberFormat="1" applyFont="1" applyBorder="1"/>
    <xf numFmtId="0" fontId="116" fillId="2" borderId="466" xfId="0" applyNumberFormat="1" applyFont="1" applyBorder="1"/>
    <xf numFmtId="0" fontId="18" fillId="0" borderId="467" xfId="0" applyNumberFormat="1" applyFont="1" applyFill="1" applyBorder="1"/>
    <xf numFmtId="0" fontId="61" fillId="22" borderId="468" xfId="0" applyNumberFormat="1" applyFont="1" applyFill="1" applyBorder="1"/>
    <xf numFmtId="1" fontId="61" fillId="0" borderId="469" xfId="0" applyNumberFormat="1" applyFont="1" applyFill="1" applyBorder="1" applyAlignment="1">
      <alignment horizontal="center"/>
    </xf>
    <xf numFmtId="2" fontId="61" fillId="0" borderId="469" xfId="0" applyNumberFormat="1" applyFont="1" applyFill="1" applyBorder="1"/>
    <xf numFmtId="14" fontId="61" fillId="0" borderId="470" xfId="0" applyNumberFormat="1" applyFont="1" applyFill="1" applyBorder="1" applyAlignment="1">
      <alignment horizontal="center"/>
    </xf>
    <xf numFmtId="0" fontId="116" fillId="0" borderId="471" xfId="0" applyNumberFormat="1" applyFont="1" applyFill="1" applyBorder="1"/>
    <xf numFmtId="2" fontId="116" fillId="0" borderId="472" xfId="0" applyNumberFormat="1" applyFont="1" applyFill="1" applyBorder="1"/>
    <xf numFmtId="0" fontId="116" fillId="0" borderId="472" xfId="0" applyFont="1" applyFill="1" applyBorder="1"/>
    <xf numFmtId="0" fontId="116" fillId="2" borderId="472" xfId="0" applyFont="1" applyBorder="1"/>
    <xf numFmtId="2" fontId="116" fillId="2" borderId="472" xfId="0" applyNumberFormat="1" applyFont="1" applyBorder="1"/>
    <xf numFmtId="0" fontId="116" fillId="2" borderId="472" xfId="0" applyNumberFormat="1" applyFont="1" applyBorder="1"/>
    <xf numFmtId="0" fontId="18" fillId="0" borderId="473" xfId="0" applyNumberFormat="1" applyFont="1" applyFill="1" applyBorder="1"/>
    <xf numFmtId="0" fontId="61" fillId="0" borderId="474" xfId="0" applyNumberFormat="1" applyFont="1" applyFill="1" applyBorder="1"/>
    <xf numFmtId="1" fontId="61" fillId="0" borderId="475" xfId="0" applyNumberFormat="1" applyFont="1" applyFill="1" applyBorder="1" applyAlignment="1">
      <alignment horizontal="center"/>
    </xf>
    <xf numFmtId="2" fontId="61" fillId="0" borderId="475" xfId="0" applyNumberFormat="1" applyFont="1" applyFill="1" applyBorder="1"/>
    <xf numFmtId="14" fontId="61" fillId="0" borderId="476" xfId="0" applyNumberFormat="1" applyFont="1" applyFill="1" applyBorder="1" applyAlignment="1">
      <alignment horizontal="center"/>
    </xf>
    <xf numFmtId="0" fontId="116" fillId="0" borderId="477" xfId="0" applyNumberFormat="1" applyFont="1" applyFill="1" applyBorder="1"/>
    <xf numFmtId="2" fontId="116" fillId="0" borderId="478" xfId="0" applyNumberFormat="1" applyFont="1" applyFill="1" applyBorder="1"/>
    <xf numFmtId="0" fontId="116" fillId="0" borderId="478" xfId="0" applyFont="1" applyFill="1" applyBorder="1"/>
    <xf numFmtId="0" fontId="116" fillId="2" borderId="478" xfId="0" applyFont="1" applyBorder="1"/>
    <xf numFmtId="2" fontId="116" fillId="2" borderId="478" xfId="0" applyNumberFormat="1" applyFont="1" applyBorder="1"/>
    <xf numFmtId="0" fontId="116" fillId="2" borderId="478" xfId="0" applyNumberFormat="1" applyFont="1" applyBorder="1"/>
    <xf numFmtId="0" fontId="18" fillId="0" borderId="479" xfId="0" applyNumberFormat="1" applyFont="1" applyFill="1" applyBorder="1"/>
    <xf numFmtId="0" fontId="61" fillId="0" borderId="480" xfId="0" applyNumberFormat="1" applyFont="1" applyFill="1" applyBorder="1"/>
    <xf numFmtId="1" fontId="61" fillId="0" borderId="481" xfId="0" applyNumberFormat="1" applyFont="1" applyFill="1" applyBorder="1" applyAlignment="1">
      <alignment horizontal="center"/>
    </xf>
    <xf numFmtId="2" fontId="61" fillId="0" borderId="481" xfId="0" applyNumberFormat="1" applyFont="1" applyFill="1" applyBorder="1"/>
    <xf numFmtId="14" fontId="61" fillId="0" borderId="482" xfId="0" applyNumberFormat="1" applyFont="1" applyFill="1" applyBorder="1" applyAlignment="1">
      <alignment horizontal="center"/>
    </xf>
    <xf numFmtId="0" fontId="116" fillId="0" borderId="483" xfId="0" applyNumberFormat="1" applyFont="1" applyFill="1" applyBorder="1"/>
    <xf numFmtId="2" fontId="116" fillId="0" borderId="484" xfId="0" applyNumberFormat="1" applyFont="1" applyFill="1" applyBorder="1"/>
    <xf numFmtId="0" fontId="116" fillId="0" borderId="484" xfId="0" applyFont="1" applyFill="1" applyBorder="1"/>
    <xf numFmtId="0" fontId="116" fillId="2" borderId="484" xfId="0" applyFont="1" applyBorder="1"/>
    <xf numFmtId="2" fontId="116" fillId="2" borderId="484" xfId="0" applyNumberFormat="1" applyFont="1" applyBorder="1"/>
    <xf numFmtId="0" fontId="116" fillId="2" borderId="484" xfId="0" applyNumberFormat="1" applyFont="1" applyBorder="1"/>
    <xf numFmtId="0" fontId="18" fillId="0" borderId="485" xfId="0" applyNumberFormat="1" applyFont="1" applyFill="1" applyBorder="1"/>
    <xf numFmtId="0" fontId="61" fillId="0" borderId="486" xfId="0" applyNumberFormat="1" applyFont="1" applyFill="1" applyBorder="1"/>
    <xf numFmtId="1" fontId="61" fillId="0" borderId="487" xfId="0" applyNumberFormat="1" applyFont="1" applyFill="1" applyBorder="1" applyAlignment="1">
      <alignment horizontal="center"/>
    </xf>
    <xf numFmtId="2" fontId="61" fillId="0" borderId="487" xfId="0" applyNumberFormat="1" applyFont="1" applyFill="1" applyBorder="1"/>
    <xf numFmtId="14" fontId="61" fillId="0" borderId="488" xfId="0" applyNumberFormat="1" applyFont="1" applyFill="1" applyBorder="1" applyAlignment="1">
      <alignment horizontal="center"/>
    </xf>
    <xf numFmtId="0" fontId="116" fillId="0" borderId="489" xfId="0" applyNumberFormat="1" applyFont="1" applyFill="1" applyBorder="1"/>
    <xf numFmtId="2" fontId="116" fillId="0" borderId="490" xfId="0" applyNumberFormat="1" applyFont="1" applyFill="1" applyBorder="1"/>
    <xf numFmtId="0" fontId="116" fillId="0" borderId="490" xfId="0" applyFont="1" applyFill="1" applyBorder="1"/>
    <xf numFmtId="0" fontId="116" fillId="2" borderId="490" xfId="0" applyFont="1" applyBorder="1"/>
    <xf numFmtId="2" fontId="116" fillId="2" borderId="490" xfId="0" applyNumberFormat="1" applyFont="1" applyBorder="1"/>
    <xf numFmtId="0" fontId="116" fillId="2" borderId="490" xfId="0" applyNumberFormat="1" applyFont="1" applyBorder="1"/>
    <xf numFmtId="0" fontId="18" fillId="0" borderId="491" xfId="0" applyNumberFormat="1" applyFont="1" applyFill="1" applyBorder="1"/>
    <xf numFmtId="0" fontId="61" fillId="0" borderId="492" xfId="0" applyNumberFormat="1" applyFont="1" applyFill="1" applyBorder="1"/>
    <xf numFmtId="1" fontId="61" fillId="0" borderId="493" xfId="0" applyNumberFormat="1" applyFont="1" applyFill="1" applyBorder="1" applyAlignment="1">
      <alignment horizontal="center"/>
    </xf>
    <xf numFmtId="2" fontId="61" fillId="0" borderId="493" xfId="0" applyNumberFormat="1" applyFont="1" applyFill="1" applyBorder="1"/>
    <xf numFmtId="14" fontId="61" fillId="0" borderId="494" xfId="0" applyNumberFormat="1" applyFont="1" applyFill="1" applyBorder="1" applyAlignment="1">
      <alignment horizontal="center"/>
    </xf>
    <xf numFmtId="0" fontId="116" fillId="0" borderId="495" xfId="0" applyNumberFormat="1" applyFont="1" applyFill="1" applyBorder="1"/>
    <xf numFmtId="2" fontId="116" fillId="0" borderId="496" xfId="0" applyNumberFormat="1" applyFont="1" applyFill="1" applyBorder="1"/>
    <xf numFmtId="0" fontId="116" fillId="0" borderId="496" xfId="0" applyFont="1" applyFill="1" applyBorder="1"/>
    <xf numFmtId="0" fontId="116" fillId="2" borderId="496" xfId="0" applyFont="1" applyBorder="1"/>
    <xf numFmtId="2" fontId="116" fillId="2" borderId="496" xfId="0" applyNumberFormat="1" applyFont="1" applyBorder="1"/>
    <xf numFmtId="0" fontId="116" fillId="2" borderId="496" xfId="0" applyNumberFormat="1" applyFont="1" applyBorder="1"/>
    <xf numFmtId="0" fontId="18" fillId="0" borderId="497" xfId="0" applyNumberFormat="1" applyFont="1" applyFill="1" applyBorder="1"/>
    <xf numFmtId="0" fontId="61" fillId="0" borderId="498" xfId="0" applyNumberFormat="1" applyFont="1" applyFill="1" applyBorder="1"/>
    <xf numFmtId="1" fontId="61" fillId="0" borderId="499" xfId="0" applyNumberFormat="1" applyFont="1" applyFill="1" applyBorder="1" applyAlignment="1">
      <alignment horizontal="center"/>
    </xf>
    <xf numFmtId="2" fontId="61" fillId="0" borderId="499" xfId="0" applyNumberFormat="1" applyFont="1" applyFill="1" applyBorder="1"/>
    <xf numFmtId="14" fontId="61" fillId="0" borderId="500" xfId="0" applyNumberFormat="1" applyFont="1" applyFill="1" applyBorder="1" applyAlignment="1">
      <alignment horizontal="center"/>
    </xf>
    <xf numFmtId="0" fontId="116" fillId="0" borderId="501" xfId="0" applyNumberFormat="1" applyFont="1" applyFill="1" applyBorder="1"/>
    <xf numFmtId="2" fontId="116" fillId="0" borderId="502" xfId="0" applyNumberFormat="1" applyFont="1" applyFill="1" applyBorder="1"/>
    <xf numFmtId="0" fontId="116" fillId="0" borderId="502" xfId="0" applyFont="1" applyFill="1" applyBorder="1"/>
    <xf numFmtId="0" fontId="116" fillId="2" borderId="502" xfId="0" applyFont="1" applyBorder="1"/>
    <xf numFmtId="2" fontId="116" fillId="2" borderId="502" xfId="0" applyNumberFormat="1" applyFont="1" applyBorder="1"/>
    <xf numFmtId="0" fontId="116" fillId="2" borderId="502" xfId="0" applyNumberFormat="1" applyFont="1" applyBorder="1"/>
    <xf numFmtId="0" fontId="18" fillId="0" borderId="503" xfId="0" applyNumberFormat="1" applyFont="1" applyFill="1" applyBorder="1"/>
    <xf numFmtId="0" fontId="61" fillId="0" borderId="504" xfId="0" applyNumberFormat="1" applyFont="1" applyFill="1" applyBorder="1"/>
    <xf numFmtId="1" fontId="61" fillId="0" borderId="505" xfId="0" applyNumberFormat="1" applyFont="1" applyFill="1" applyBorder="1" applyAlignment="1">
      <alignment horizontal="center"/>
    </xf>
    <xf numFmtId="2" fontId="61" fillId="0" borderId="505" xfId="0" applyNumberFormat="1" applyFont="1" applyFill="1" applyBorder="1"/>
    <xf numFmtId="14" fontId="61" fillId="0" borderId="506" xfId="0" applyNumberFormat="1" applyFont="1" applyFill="1" applyBorder="1" applyAlignment="1">
      <alignment horizontal="center"/>
    </xf>
    <xf numFmtId="0" fontId="116" fillId="0" borderId="507" xfId="0" applyNumberFormat="1" applyFont="1" applyFill="1" applyBorder="1"/>
    <xf numFmtId="2" fontId="116" fillId="0" borderId="508" xfId="0" applyNumberFormat="1" applyFont="1" applyFill="1" applyBorder="1"/>
    <xf numFmtId="0" fontId="116" fillId="0" borderId="508" xfId="0" applyFont="1" applyFill="1" applyBorder="1"/>
    <xf numFmtId="0" fontId="116" fillId="2" borderId="508" xfId="0" applyFont="1" applyBorder="1"/>
    <xf numFmtId="2" fontId="116" fillId="2" borderId="508" xfId="0" applyNumberFormat="1" applyFont="1" applyBorder="1"/>
    <xf numFmtId="0" fontId="116" fillId="2" borderId="508" xfId="0" applyNumberFormat="1" applyFont="1" applyBorder="1"/>
    <xf numFmtId="0" fontId="18" fillId="0" borderId="509" xfId="0" applyNumberFormat="1" applyFont="1" applyFill="1" applyBorder="1"/>
    <xf numFmtId="0" fontId="61" fillId="0" borderId="510" xfId="0" applyNumberFormat="1" applyFont="1" applyFill="1" applyBorder="1"/>
    <xf numFmtId="1" fontId="61" fillId="0" borderId="511" xfId="0" applyNumberFormat="1" applyFont="1" applyFill="1" applyBorder="1" applyAlignment="1">
      <alignment horizontal="center"/>
    </xf>
    <xf numFmtId="2" fontId="61" fillId="0" borderId="511" xfId="0" applyNumberFormat="1" applyFont="1" applyFill="1" applyBorder="1"/>
    <xf numFmtId="14" fontId="61" fillId="0" borderId="512" xfId="0" applyNumberFormat="1" applyFont="1" applyFill="1" applyBorder="1" applyAlignment="1">
      <alignment horizontal="center"/>
    </xf>
    <xf numFmtId="0" fontId="116" fillId="0" borderId="513" xfId="0" applyNumberFormat="1" applyFont="1" applyFill="1" applyBorder="1"/>
    <xf numFmtId="2" fontId="116" fillId="0" borderId="514" xfId="0" applyNumberFormat="1" applyFont="1" applyFill="1" applyBorder="1"/>
    <xf numFmtId="0" fontId="116" fillId="0" borderId="514" xfId="0" applyFont="1" applyFill="1" applyBorder="1"/>
    <xf numFmtId="0" fontId="116" fillId="2" borderId="514" xfId="0" applyFont="1" applyBorder="1"/>
    <xf numFmtId="2" fontId="116" fillId="2" borderId="514" xfId="0" applyNumberFormat="1" applyFont="1" applyBorder="1"/>
    <xf numFmtId="0" fontId="116" fillId="2" borderId="514" xfId="0" applyNumberFormat="1" applyFont="1" applyBorder="1"/>
    <xf numFmtId="0" fontId="18" fillId="0" borderId="515" xfId="0" applyNumberFormat="1" applyFont="1" applyFill="1" applyBorder="1"/>
    <xf numFmtId="0" fontId="61" fillId="0" borderId="516" xfId="0" applyNumberFormat="1" applyFont="1" applyFill="1" applyBorder="1"/>
    <xf numFmtId="1" fontId="61" fillId="0" borderId="517" xfId="0" applyNumberFormat="1" applyFont="1" applyFill="1" applyBorder="1" applyAlignment="1">
      <alignment horizontal="center"/>
    </xf>
    <xf numFmtId="2" fontId="61" fillId="0" borderId="517" xfId="0" applyNumberFormat="1" applyFont="1" applyFill="1" applyBorder="1"/>
    <xf numFmtId="14" fontId="61" fillId="0" borderId="518" xfId="0" applyNumberFormat="1" applyFont="1" applyFill="1" applyBorder="1" applyAlignment="1">
      <alignment horizontal="center"/>
    </xf>
    <xf numFmtId="0" fontId="116" fillId="0" borderId="519" xfId="0" applyNumberFormat="1" applyFont="1" applyFill="1" applyBorder="1"/>
    <xf numFmtId="2" fontId="116" fillId="0" borderId="520" xfId="0" applyNumberFormat="1" applyFont="1" applyFill="1" applyBorder="1"/>
    <xf numFmtId="0" fontId="116" fillId="0" borderId="520" xfId="0" applyFont="1" applyFill="1" applyBorder="1"/>
    <xf numFmtId="0" fontId="116" fillId="2" borderId="520" xfId="0" applyFont="1" applyBorder="1"/>
    <xf numFmtId="2" fontId="116" fillId="2" borderId="520" xfId="0" applyNumberFormat="1" applyFont="1" applyBorder="1"/>
    <xf numFmtId="0" fontId="116" fillId="2" borderId="520" xfId="0" applyNumberFormat="1" applyFont="1" applyBorder="1"/>
    <xf numFmtId="0" fontId="18" fillId="0" borderId="521" xfId="0" applyNumberFormat="1" applyFont="1" applyFill="1" applyBorder="1"/>
    <xf numFmtId="0" fontId="61" fillId="22" borderId="522" xfId="0" applyNumberFormat="1" applyFont="1" applyFill="1" applyBorder="1"/>
    <xf numFmtId="1" fontId="61" fillId="0" borderId="523" xfId="0" applyNumberFormat="1" applyFont="1" applyFill="1" applyBorder="1" applyAlignment="1">
      <alignment horizontal="center"/>
    </xf>
    <xf numFmtId="2" fontId="61" fillId="0" borderId="523" xfId="0" applyNumberFormat="1" applyFont="1" applyFill="1" applyBorder="1"/>
    <xf numFmtId="14" fontId="61" fillId="0" borderId="524" xfId="0" applyNumberFormat="1" applyFont="1" applyFill="1" applyBorder="1" applyAlignment="1">
      <alignment horizontal="center"/>
    </xf>
    <xf numFmtId="0" fontId="116" fillId="0" borderId="525" xfId="0" applyNumberFormat="1" applyFont="1" applyFill="1" applyBorder="1"/>
    <xf numFmtId="2" fontId="116" fillId="0" borderId="526" xfId="0" applyNumberFormat="1" applyFont="1" applyFill="1" applyBorder="1"/>
    <xf numFmtId="0" fontId="116" fillId="0" borderId="526" xfId="0" applyFont="1" applyFill="1" applyBorder="1"/>
    <xf numFmtId="0" fontId="116" fillId="2" borderId="526" xfId="0" applyFont="1" applyBorder="1"/>
    <xf numFmtId="2" fontId="116" fillId="2" borderId="526" xfId="0" applyNumberFormat="1" applyFont="1" applyBorder="1"/>
    <xf numFmtId="0" fontId="116" fillId="2" borderId="526" xfId="0" applyNumberFormat="1" applyFont="1" applyBorder="1"/>
    <xf numFmtId="0" fontId="18" fillId="0" borderId="527" xfId="0" applyNumberFormat="1" applyFont="1" applyFill="1" applyBorder="1"/>
    <xf numFmtId="0" fontId="61" fillId="22" borderId="528" xfId="0" applyNumberFormat="1" applyFont="1" applyFill="1" applyBorder="1"/>
    <xf numFmtId="1" fontId="61" fillId="0" borderId="529" xfId="0" applyNumberFormat="1" applyFont="1" applyFill="1" applyBorder="1" applyAlignment="1">
      <alignment horizontal="center"/>
    </xf>
    <xf numFmtId="2" fontId="61" fillId="0" borderId="529" xfId="0" applyNumberFormat="1" applyFont="1" applyFill="1" applyBorder="1"/>
    <xf numFmtId="14" fontId="61" fillId="0" borderId="530" xfId="0" applyNumberFormat="1" applyFont="1" applyFill="1" applyBorder="1" applyAlignment="1">
      <alignment horizontal="center"/>
    </xf>
    <xf numFmtId="0" fontId="116" fillId="0" borderId="531" xfId="0" applyNumberFormat="1" applyFont="1" applyFill="1" applyBorder="1"/>
    <xf numFmtId="2" fontId="116" fillId="0" borderId="532" xfId="0" applyNumberFormat="1" applyFont="1" applyFill="1" applyBorder="1"/>
    <xf numFmtId="0" fontId="116" fillId="0" borderId="532" xfId="0" applyFont="1" applyFill="1" applyBorder="1"/>
    <xf numFmtId="0" fontId="116" fillId="2" borderId="532" xfId="0" applyFont="1" applyBorder="1"/>
    <xf numFmtId="2" fontId="116" fillId="2" borderId="532" xfId="0" applyNumberFormat="1" applyFont="1" applyBorder="1"/>
    <xf numFmtId="0" fontId="116" fillId="2" borderId="532" xfId="0" applyNumberFormat="1" applyFont="1" applyBorder="1"/>
    <xf numFmtId="0" fontId="18" fillId="0" borderId="533" xfId="0" applyNumberFormat="1" applyFont="1" applyFill="1" applyBorder="1"/>
    <xf numFmtId="0" fontId="61" fillId="22" borderId="534" xfId="0" applyNumberFormat="1" applyFont="1" applyFill="1" applyBorder="1"/>
    <xf numFmtId="1" fontId="61" fillId="0" borderId="535" xfId="0" applyNumberFormat="1" applyFont="1" applyFill="1" applyBorder="1" applyAlignment="1">
      <alignment horizontal="center"/>
    </xf>
    <xf numFmtId="2" fontId="61" fillId="0" borderId="535" xfId="0" applyNumberFormat="1" applyFont="1" applyFill="1" applyBorder="1"/>
    <xf numFmtId="14" fontId="61" fillId="0" borderId="536" xfId="0" applyNumberFormat="1" applyFont="1" applyFill="1" applyBorder="1" applyAlignment="1">
      <alignment horizontal="center"/>
    </xf>
    <xf numFmtId="0" fontId="116" fillId="0" borderId="537" xfId="0" applyNumberFormat="1" applyFont="1" applyFill="1" applyBorder="1"/>
    <xf numFmtId="2" fontId="116" fillId="0" borderId="538" xfId="0" applyNumberFormat="1" applyFont="1" applyFill="1" applyBorder="1"/>
    <xf numFmtId="0" fontId="116" fillId="0" borderId="538" xfId="0" applyFont="1" applyFill="1" applyBorder="1"/>
    <xf numFmtId="0" fontId="116" fillId="2" borderId="538" xfId="0" applyFont="1" applyBorder="1"/>
    <xf numFmtId="2" fontId="116" fillId="2" borderId="538" xfId="0" applyNumberFormat="1" applyFont="1" applyBorder="1"/>
    <xf numFmtId="0" fontId="116" fillId="2" borderId="538" xfId="0" applyNumberFormat="1" applyFont="1" applyBorder="1"/>
    <xf numFmtId="0" fontId="18" fillId="0" borderId="539" xfId="0" applyNumberFormat="1" applyFont="1" applyFill="1" applyBorder="1"/>
    <xf numFmtId="0" fontId="61" fillId="22" borderId="540" xfId="0" applyNumberFormat="1" applyFont="1" applyFill="1" applyBorder="1"/>
    <xf numFmtId="1" fontId="61" fillId="0" borderId="541" xfId="0" applyNumberFormat="1" applyFont="1" applyFill="1" applyBorder="1" applyAlignment="1">
      <alignment horizontal="center"/>
    </xf>
    <xf numFmtId="2" fontId="61" fillId="0" borderId="541" xfId="0" applyNumberFormat="1" applyFont="1" applyFill="1" applyBorder="1"/>
    <xf numFmtId="14" fontId="61" fillId="0" borderId="542" xfId="0" applyNumberFormat="1" applyFont="1" applyFill="1" applyBorder="1" applyAlignment="1">
      <alignment horizontal="center"/>
    </xf>
    <xf numFmtId="0" fontId="116" fillId="0" borderId="543" xfId="0" applyNumberFormat="1" applyFont="1" applyFill="1" applyBorder="1"/>
    <xf numFmtId="2" fontId="116" fillId="0" borderId="544" xfId="0" applyNumberFormat="1" applyFont="1" applyFill="1" applyBorder="1"/>
    <xf numFmtId="0" fontId="116" fillId="0" borderId="544" xfId="0" applyFont="1" applyFill="1" applyBorder="1"/>
    <xf numFmtId="0" fontId="116" fillId="2" borderId="544" xfId="0" applyFont="1" applyBorder="1"/>
    <xf numFmtId="2" fontId="116" fillId="2" borderId="544" xfId="0" applyNumberFormat="1" applyFont="1" applyBorder="1"/>
    <xf numFmtId="0" fontId="116" fillId="2" borderId="544" xfId="0" applyNumberFormat="1" applyFont="1" applyBorder="1"/>
    <xf numFmtId="176" fontId="116" fillId="2" borderId="544" xfId="0" applyNumberFormat="1" applyFont="1" applyBorder="1"/>
    <xf numFmtId="0" fontId="18" fillId="0" borderId="545" xfId="0" applyNumberFormat="1" applyFont="1" applyFill="1" applyBorder="1"/>
    <xf numFmtId="0" fontId="61" fillId="0" borderId="546" xfId="0" applyNumberFormat="1" applyFont="1" applyFill="1" applyBorder="1"/>
    <xf numFmtId="1" fontId="61" fillId="0" borderId="547" xfId="0" applyNumberFormat="1" applyFont="1" applyFill="1" applyBorder="1" applyAlignment="1">
      <alignment horizontal="center"/>
    </xf>
    <xf numFmtId="2" fontId="61" fillId="0" borderId="547" xfId="0" applyNumberFormat="1" applyFont="1" applyFill="1" applyBorder="1"/>
    <xf numFmtId="14" fontId="61" fillId="0" borderId="548" xfId="0" applyNumberFormat="1" applyFont="1" applyFill="1" applyBorder="1" applyAlignment="1">
      <alignment horizontal="center"/>
    </xf>
    <xf numFmtId="0" fontId="117" fillId="0" borderId="549" xfId="0" applyNumberFormat="1" applyFont="1" applyFill="1" applyBorder="1" applyAlignment="1">
      <alignment horizontal="center"/>
    </xf>
    <xf numFmtId="2" fontId="116" fillId="0" borderId="550" xfId="0" applyNumberFormat="1" applyFont="1" applyFill="1" applyBorder="1"/>
    <xf numFmtId="0" fontId="116" fillId="0" borderId="550" xfId="0" applyFont="1" applyFill="1" applyBorder="1"/>
    <xf numFmtId="0" fontId="116" fillId="2" borderId="550" xfId="0" applyFont="1" applyBorder="1"/>
    <xf numFmtId="2" fontId="116" fillId="2" borderId="550" xfId="0" applyNumberFormat="1" applyFont="1" applyBorder="1"/>
    <xf numFmtId="0" fontId="116" fillId="2" borderId="550" xfId="0" applyNumberFormat="1" applyFont="1" applyBorder="1"/>
    <xf numFmtId="0" fontId="18" fillId="0" borderId="551" xfId="0" applyNumberFormat="1" applyFont="1" applyFill="1" applyBorder="1"/>
    <xf numFmtId="0" fontId="61" fillId="0" borderId="552" xfId="0" applyNumberFormat="1" applyFont="1" applyFill="1" applyBorder="1"/>
    <xf numFmtId="1" fontId="61" fillId="0" borderId="553" xfId="0" applyNumberFormat="1" applyFont="1" applyFill="1" applyBorder="1" applyAlignment="1">
      <alignment horizontal="center"/>
    </xf>
    <xf numFmtId="2" fontId="61" fillId="0" borderId="553" xfId="0" applyNumberFormat="1" applyFont="1" applyFill="1" applyBorder="1"/>
    <xf numFmtId="14" fontId="61" fillId="0" borderId="554" xfId="0" applyNumberFormat="1" applyFont="1" applyFill="1" applyBorder="1" applyAlignment="1">
      <alignment horizontal="center"/>
    </xf>
    <xf numFmtId="0" fontId="117" fillId="0" borderId="555" xfId="0" applyNumberFormat="1" applyFont="1" applyFill="1" applyBorder="1" applyAlignment="1">
      <alignment horizontal="center"/>
    </xf>
    <xf numFmtId="2" fontId="116" fillId="0" borderId="556" xfId="0" applyNumberFormat="1" applyFont="1" applyFill="1" applyBorder="1"/>
    <xf numFmtId="0" fontId="116" fillId="0" borderId="556" xfId="0" applyFont="1" applyFill="1" applyBorder="1"/>
    <xf numFmtId="0" fontId="116" fillId="2" borderId="556" xfId="0" applyFont="1" applyBorder="1"/>
    <xf numFmtId="2" fontId="116" fillId="2" borderId="556" xfId="0" applyNumberFormat="1" applyFont="1" applyBorder="1"/>
    <xf numFmtId="0" fontId="116" fillId="2" borderId="556" xfId="0" applyNumberFormat="1" applyFont="1" applyBorder="1"/>
    <xf numFmtId="0" fontId="18" fillId="0" borderId="557" xfId="0" applyNumberFormat="1" applyFont="1" applyFill="1" applyBorder="1"/>
    <xf numFmtId="0" fontId="61" fillId="0" borderId="558" xfId="0" applyNumberFormat="1" applyFont="1" applyFill="1" applyBorder="1"/>
    <xf numFmtId="1" fontId="61" fillId="0" borderId="559" xfId="0" applyNumberFormat="1" applyFont="1" applyFill="1" applyBorder="1" applyAlignment="1">
      <alignment horizontal="center"/>
    </xf>
    <xf numFmtId="2" fontId="61" fillId="0" borderId="559" xfId="0" applyNumberFormat="1" applyFont="1" applyFill="1" applyBorder="1"/>
    <xf numFmtId="14" fontId="61" fillId="0" borderId="560" xfId="0" applyNumberFormat="1" applyFont="1" applyFill="1" applyBorder="1" applyAlignment="1">
      <alignment horizontal="center"/>
    </xf>
    <xf numFmtId="0" fontId="117" fillId="0" borderId="561" xfId="0" applyNumberFormat="1" applyFont="1" applyFill="1" applyBorder="1" applyAlignment="1">
      <alignment horizontal="center"/>
    </xf>
    <xf numFmtId="2" fontId="116" fillId="0" borderId="562" xfId="0" applyNumberFormat="1" applyFont="1" applyFill="1" applyBorder="1"/>
    <xf numFmtId="0" fontId="116" fillId="0" borderId="562" xfId="0" applyFont="1" applyFill="1" applyBorder="1"/>
    <xf numFmtId="0" fontId="116" fillId="2" borderId="562" xfId="0" applyFont="1" applyBorder="1"/>
    <xf numFmtId="2" fontId="116" fillId="2" borderId="562" xfId="0" applyNumberFormat="1" applyFont="1" applyBorder="1"/>
    <xf numFmtId="0" fontId="116" fillId="2" borderId="562" xfId="0" applyNumberFormat="1" applyFont="1" applyBorder="1"/>
    <xf numFmtId="0" fontId="18" fillId="0" borderId="563" xfId="0" applyNumberFormat="1" applyFont="1" applyFill="1" applyBorder="1"/>
    <xf numFmtId="0" fontId="61" fillId="22" borderId="564" xfId="0" applyNumberFormat="1" applyFont="1" applyFill="1" applyBorder="1"/>
    <xf numFmtId="1" fontId="61" fillId="0" borderId="565" xfId="0" applyNumberFormat="1" applyFont="1" applyFill="1" applyBorder="1" applyAlignment="1">
      <alignment horizontal="center"/>
    </xf>
    <xf numFmtId="2" fontId="61" fillId="0" borderId="565" xfId="0" applyNumberFormat="1" applyFont="1" applyFill="1" applyBorder="1"/>
    <xf numFmtId="14" fontId="61" fillId="0" borderId="566" xfId="0" applyNumberFormat="1" applyFont="1" applyFill="1" applyBorder="1" applyAlignment="1">
      <alignment horizontal="center"/>
    </xf>
    <xf numFmtId="2" fontId="117" fillId="0" borderId="561" xfId="0" applyNumberFormat="1" applyFont="1" applyFill="1" applyBorder="1" applyAlignment="1">
      <alignment horizontal="right"/>
    </xf>
    <xf numFmtId="0" fontId="18" fillId="0" borderId="567" xfId="0" applyNumberFormat="1" applyFont="1" applyFill="1" applyBorder="1"/>
    <xf numFmtId="0" fontId="0" fillId="2" borderId="353" xfId="0" applyBorder="1"/>
    <xf numFmtId="10" fontId="0" fillId="2" borderId="354" xfId="0" applyNumberFormat="1" applyBorder="1"/>
    <xf numFmtId="167" fontId="61" fillId="0" borderId="0" xfId="0" applyNumberFormat="1" applyFont="1" applyFill="1"/>
    <xf numFmtId="2" fontId="61" fillId="0" borderId="342" xfId="0" applyNumberFormat="1" applyFont="1" applyFill="1" applyBorder="1"/>
    <xf numFmtId="2" fontId="80" fillId="0" borderId="97" xfId="0" applyNumberFormat="1" applyFont="1" applyFill="1" applyBorder="1"/>
    <xf numFmtId="2" fontId="80" fillId="2" borderId="97" xfId="0" applyNumberFormat="1" applyFont="1" applyBorder="1"/>
    <xf numFmtId="2" fontId="61" fillId="22" borderId="0" xfId="0" applyNumberFormat="1" applyFont="1" applyFill="1"/>
    <xf numFmtId="0" fontId="61" fillId="22" borderId="0" xfId="0" applyNumberFormat="1" applyFont="1" applyFill="1"/>
    <xf numFmtId="1" fontId="80" fillId="0" borderId="351" xfId="0" applyNumberFormat="1" applyFont="1" applyFill="1" applyBorder="1"/>
    <xf numFmtId="2" fontId="80" fillId="0" borderId="352" xfId="0" applyNumberFormat="1" applyFont="1" applyFill="1" applyBorder="1"/>
    <xf numFmtId="1" fontId="80" fillId="0" borderId="352" xfId="0" applyNumberFormat="1" applyFont="1" applyFill="1" applyBorder="1"/>
    <xf numFmtId="1" fontId="80" fillId="2" borderId="352" xfId="0" applyNumberFormat="1" applyFont="1" applyBorder="1"/>
    <xf numFmtId="1" fontId="80" fillId="2" borderId="352" xfId="0" applyNumberFormat="1" applyFont="1" applyBorder="1" applyAlignment="1">
      <alignment horizontal="left" indent="2"/>
    </xf>
    <xf numFmtId="1" fontId="116" fillId="7" borderId="352" xfId="0" applyNumberFormat="1" applyFont="1" applyFill="1" applyBorder="1"/>
    <xf numFmtId="9" fontId="116" fillId="7" borderId="352" xfId="0" applyNumberFormat="1" applyFont="1" applyFill="1" applyBorder="1"/>
    <xf numFmtId="4" fontId="61" fillId="0" borderId="0" xfId="0" applyNumberFormat="1" applyFont="1" applyFill="1" applyBorder="1"/>
    <xf numFmtId="10" fontId="61" fillId="0" borderId="0" xfId="0" applyNumberFormat="1" applyFont="1" applyFill="1" applyBorder="1" applyAlignment="1">
      <alignment horizontal="center"/>
    </xf>
    <xf numFmtId="37" fontId="69" fillId="0" borderId="0" xfId="0" applyNumberFormat="1" applyFont="1" applyFill="1" applyBorder="1" applyAlignment="1">
      <alignment horizontal="center"/>
    </xf>
    <xf numFmtId="0" fontId="69" fillId="0" borderId="568" xfId="0" applyNumberFormat="1" applyFont="1" applyFill="1" applyBorder="1" applyAlignment="1">
      <alignment horizontal="center"/>
    </xf>
    <xf numFmtId="0" fontId="69" fillId="0" borderId="352" xfId="0" applyNumberFormat="1" applyFont="1" applyFill="1" applyBorder="1" applyAlignment="1">
      <alignment horizontal="center"/>
    </xf>
    <xf numFmtId="2" fontId="61" fillId="0" borderId="352" xfId="0" applyNumberFormat="1" applyFont="1" applyFill="1" applyBorder="1" applyAlignment="1">
      <alignment horizontal="center" wrapText="1"/>
    </xf>
    <xf numFmtId="0" fontId="61" fillId="0" borderId="4" xfId="0" applyNumberFormat="1" applyFont="1" applyFill="1" applyBorder="1"/>
    <xf numFmtId="0" fontId="61" fillId="0" borderId="5" xfId="0" applyNumberFormat="1" applyFont="1" applyFill="1" applyBorder="1"/>
    <xf numFmtId="0" fontId="61" fillId="0" borderId="569" xfId="0" applyFont="1" applyFill="1" applyBorder="1"/>
    <xf numFmtId="0" fontId="61" fillId="0" borderId="570" xfId="0" applyNumberFormat="1" applyFont="1" applyFill="1" applyBorder="1"/>
    <xf numFmtId="2" fontId="61" fillId="0" borderId="571" xfId="0" applyNumberFormat="1" applyFont="1" applyFill="1" applyBorder="1"/>
    <xf numFmtId="2" fontId="61" fillId="0" borderId="214" xfId="0" applyNumberFormat="1" applyFont="1" applyFill="1" applyBorder="1"/>
    <xf numFmtId="39" fontId="61" fillId="0" borderId="0" xfId="0" applyNumberFormat="1" applyFont="1" applyFill="1" applyBorder="1"/>
    <xf numFmtId="0" fontId="61" fillId="0" borderId="572" xfId="0" applyNumberFormat="1" applyFont="1" applyFill="1" applyBorder="1"/>
    <xf numFmtId="2" fontId="61" fillId="0" borderId="573" xfId="0" applyNumberFormat="1" applyFont="1" applyFill="1" applyBorder="1"/>
    <xf numFmtId="0" fontId="61" fillId="0" borderId="574" xfId="0" applyFont="1" applyFill="1" applyBorder="1"/>
    <xf numFmtId="2" fontId="82" fillId="0" borderId="0" xfId="0" applyNumberFormat="1" applyFont="1" applyFill="1" applyBorder="1"/>
    <xf numFmtId="2" fontId="61" fillId="0" borderId="574" xfId="0" applyNumberFormat="1" applyFont="1" applyFill="1" applyBorder="1"/>
    <xf numFmtId="184" fontId="61" fillId="0" borderId="0" xfId="0" applyNumberFormat="1" applyFont="1" applyFill="1" applyBorder="1"/>
    <xf numFmtId="0" fontId="61" fillId="0" borderId="575" xfId="0" applyNumberFormat="1" applyFont="1" applyFill="1" applyBorder="1"/>
    <xf numFmtId="2" fontId="61" fillId="0" borderId="576" xfId="0" applyNumberFormat="1" applyFont="1" applyFill="1" applyBorder="1"/>
    <xf numFmtId="2" fontId="61" fillId="0" borderId="577" xfId="0" applyNumberFormat="1" applyFont="1" applyFill="1" applyBorder="1"/>
    <xf numFmtId="0" fontId="61" fillId="0" borderId="578" xfId="0" applyNumberFormat="1" applyFont="1" applyFill="1" applyBorder="1"/>
    <xf numFmtId="0" fontId="61" fillId="0" borderId="574" xfId="0" applyNumberFormat="1" applyFont="1" applyFill="1" applyBorder="1"/>
    <xf numFmtId="2" fontId="61" fillId="0" borderId="0" xfId="0" applyNumberFormat="1" applyFont="1" applyFill="1" applyAlignment="1">
      <alignment horizontal="left"/>
    </xf>
    <xf numFmtId="0" fontId="61" fillId="0" borderId="571" xfId="0" applyNumberFormat="1" applyFont="1" applyFill="1" applyBorder="1"/>
    <xf numFmtId="10" fontId="61" fillId="0" borderId="0" xfId="0" applyNumberFormat="1" applyFont="1" applyFill="1" applyAlignment="1">
      <alignment horizontal="center"/>
    </xf>
    <xf numFmtId="0" fontId="61" fillId="0" borderId="579" xfId="0" applyNumberFormat="1" applyFont="1" applyFill="1" applyBorder="1"/>
    <xf numFmtId="0" fontId="61" fillId="0" borderId="580" xfId="0" applyNumberFormat="1" applyFont="1" applyFill="1" applyBorder="1"/>
    <xf numFmtId="0" fontId="61" fillId="0" borderId="581" xfId="0" applyFont="1" applyFill="1" applyBorder="1"/>
    <xf numFmtId="0" fontId="61" fillId="2" borderId="0" xfId="0" applyFont="1" applyBorder="1"/>
    <xf numFmtId="0" fontId="61" fillId="2" borderId="582" xfId="0" applyFont="1" applyBorder="1"/>
    <xf numFmtId="0" fontId="61" fillId="2" borderId="583" xfId="0" applyFont="1" applyBorder="1"/>
    <xf numFmtId="0" fontId="61" fillId="0" borderId="212" xfId="0" applyNumberFormat="1" applyFont="1" applyFill="1" applyBorder="1"/>
    <xf numFmtId="0" fontId="61" fillId="0" borderId="215" xfId="0" applyNumberFormat="1" applyFont="1" applyFill="1" applyBorder="1"/>
    <xf numFmtId="0" fontId="61" fillId="0" borderId="215" xfId="0" applyFont="1" applyFill="1" applyBorder="1"/>
    <xf numFmtId="0" fontId="61" fillId="0" borderId="584" xfId="0" applyNumberFormat="1" applyFont="1" applyFill="1" applyBorder="1"/>
    <xf numFmtId="2" fontId="61" fillId="0" borderId="584" xfId="0" applyNumberFormat="1" applyFont="1" applyFill="1" applyBorder="1"/>
    <xf numFmtId="44" fontId="61" fillId="0" borderId="0" xfId="2" applyFont="1" applyFill="1" applyBorder="1"/>
    <xf numFmtId="0" fontId="89" fillId="2" borderId="587" xfId="0" applyNumberFormat="1" applyFont="1" applyFill="1" applyBorder="1" applyAlignment="1">
      <alignment vertical="center"/>
    </xf>
    <xf numFmtId="2" fontId="89" fillId="2" borderId="583" xfId="0" applyNumberFormat="1" applyFont="1" applyBorder="1" applyAlignment="1">
      <alignment horizontal="center"/>
    </xf>
    <xf numFmtId="0" fontId="89" fillId="2" borderId="343" xfId="0" applyNumberFormat="1" applyFont="1" applyFill="1" applyBorder="1" applyAlignment="1">
      <alignment vertical="center"/>
    </xf>
    <xf numFmtId="2" fontId="89" fillId="0" borderId="0" xfId="0" applyNumberFormat="1" applyFont="1" applyFill="1" applyBorder="1" applyAlignment="1">
      <alignment horizontal="center"/>
    </xf>
    <xf numFmtId="2" fontId="89" fillId="2" borderId="0" xfId="0" applyNumberFormat="1" applyFont="1" applyBorder="1" applyAlignment="1">
      <alignment horizontal="center"/>
    </xf>
    <xf numFmtId="2" fontId="89" fillId="2" borderId="582" xfId="0" applyNumberFormat="1" applyFont="1" applyBorder="1" applyAlignment="1">
      <alignment horizontal="center"/>
    </xf>
    <xf numFmtId="0" fontId="61" fillId="0" borderId="345" xfId="0" applyNumberFormat="1" applyFont="1" applyFill="1" applyBorder="1"/>
    <xf numFmtId="2" fontId="61" fillId="24" borderId="590" xfId="0" applyNumberFormat="1" applyFont="1" applyFill="1" applyBorder="1"/>
    <xf numFmtId="39" fontId="61" fillId="0" borderId="346" xfId="0" applyNumberFormat="1" applyFont="1" applyFill="1" applyBorder="1"/>
    <xf numFmtId="39" fontId="61" fillId="0" borderId="571" xfId="0" applyNumberFormat="1" applyFont="1" applyFill="1" applyBorder="1"/>
    <xf numFmtId="2" fontId="61" fillId="0" borderId="570" xfId="0" applyNumberFormat="1" applyFont="1" applyFill="1" applyBorder="1"/>
    <xf numFmtId="0" fontId="61" fillId="0" borderId="591" xfId="0" applyNumberFormat="1" applyFont="1" applyFill="1" applyBorder="1"/>
    <xf numFmtId="39" fontId="61" fillId="0" borderId="576" xfId="0" applyNumberFormat="1" applyFont="1" applyFill="1" applyBorder="1"/>
    <xf numFmtId="2" fontId="61" fillId="0" borderId="592" xfId="0" applyNumberFormat="1" applyFont="1" applyFill="1" applyBorder="1"/>
    <xf numFmtId="0" fontId="61" fillId="0" borderId="590" xfId="0" applyNumberFormat="1" applyFont="1" applyFill="1" applyBorder="1"/>
    <xf numFmtId="39" fontId="61" fillId="0" borderId="590" xfId="0" applyNumberFormat="1" applyFont="1" applyFill="1" applyBorder="1"/>
    <xf numFmtId="39" fontId="61" fillId="0" borderId="593" xfId="0" applyNumberFormat="1" applyFont="1" applyFill="1" applyBorder="1"/>
    <xf numFmtId="0" fontId="82" fillId="0" borderId="206" xfId="8" applyFont="1" applyBorder="1" applyAlignment="1">
      <alignment wrapText="1"/>
    </xf>
    <xf numFmtId="0" fontId="82" fillId="0" borderId="20" xfId="8" applyFont="1" applyBorder="1" applyAlignment="1">
      <alignment wrapText="1"/>
    </xf>
    <xf numFmtId="0" fontId="82" fillId="0" borderId="207" xfId="8" applyFont="1" applyBorder="1" applyAlignment="1">
      <alignment horizontal="center" wrapText="1"/>
    </xf>
    <xf numFmtId="49" fontId="82" fillId="0" borderId="207" xfId="8" applyNumberFormat="1" applyFont="1" applyBorder="1" applyAlignment="1">
      <alignment horizontal="center" wrapText="1"/>
    </xf>
    <xf numFmtId="0" fontId="82" fillId="0" borderId="208" xfId="8" applyFont="1" applyBorder="1" applyAlignment="1">
      <alignment wrapText="1"/>
    </xf>
    <xf numFmtId="9" fontId="82" fillId="14" borderId="207" xfId="12" applyFont="1" applyFill="1" applyBorder="1" applyAlignment="1">
      <alignment wrapText="1"/>
    </xf>
    <xf numFmtId="0" fontId="82" fillId="14" borderId="209" xfId="8" applyFont="1" applyFill="1" applyBorder="1" applyAlignment="1">
      <alignment wrapText="1"/>
    </xf>
    <xf numFmtId="0" fontId="82" fillId="0" borderId="210" xfId="8" applyFont="1" applyBorder="1" applyAlignment="1">
      <alignment wrapText="1"/>
    </xf>
    <xf numFmtId="0" fontId="82" fillId="0" borderId="23" xfId="8" applyFont="1" applyBorder="1" applyAlignment="1">
      <alignment wrapText="1"/>
    </xf>
    <xf numFmtId="0" fontId="82" fillId="0" borderId="208" xfId="8" applyFont="1" applyBorder="1" applyAlignment="1">
      <alignment horizontal="center" wrapText="1"/>
    </xf>
    <xf numFmtId="43" fontId="82" fillId="0" borderId="208" xfId="1" applyFont="1" applyBorder="1" applyAlignment="1">
      <alignment wrapText="1"/>
    </xf>
    <xf numFmtId="43" fontId="82" fillId="0" borderId="208" xfId="1" applyFont="1" applyBorder="1" applyAlignment="1">
      <alignment horizontal="center" wrapText="1"/>
    </xf>
    <xf numFmtId="9" fontId="82" fillId="0" borderId="208" xfId="12" applyFont="1" applyBorder="1" applyAlignment="1">
      <alignment wrapText="1"/>
    </xf>
    <xf numFmtId="0" fontId="82" fillId="0" borderId="211" xfId="8" applyFont="1" applyBorder="1" applyAlignment="1">
      <alignment wrapText="1"/>
    </xf>
    <xf numFmtId="0" fontId="82" fillId="0" borderId="212" xfId="8" applyFont="1" applyBorder="1" applyAlignment="1">
      <alignment wrapText="1"/>
    </xf>
    <xf numFmtId="0" fontId="82" fillId="0" borderId="213" xfId="8" applyFont="1" applyBorder="1" applyAlignment="1">
      <alignment wrapText="1"/>
    </xf>
    <xf numFmtId="0" fontId="82" fillId="0" borderId="214" xfId="8" applyFont="1" applyBorder="1" applyAlignment="1">
      <alignment horizontal="center" wrapText="1"/>
    </xf>
    <xf numFmtId="0" fontId="82" fillId="0" borderId="128" xfId="8" applyFont="1" applyBorder="1" applyAlignment="1">
      <alignment wrapText="1"/>
    </xf>
    <xf numFmtId="9" fontId="82" fillId="14" borderId="214" xfId="12" applyFont="1" applyFill="1" applyBorder="1" applyAlignment="1">
      <alignment wrapText="1"/>
    </xf>
    <xf numFmtId="0" fontId="82" fillId="14" borderId="215" xfId="8" applyFont="1" applyFill="1" applyBorder="1" applyAlignment="1">
      <alignment wrapText="1"/>
    </xf>
    <xf numFmtId="0" fontId="82" fillId="0" borderId="216" xfId="8" applyFont="1" applyBorder="1" applyAlignment="1">
      <alignment wrapText="1"/>
    </xf>
    <xf numFmtId="0" fontId="82" fillId="0" borderId="212" xfId="8" applyFont="1" applyFill="1" applyBorder="1" applyAlignment="1">
      <alignment wrapText="1"/>
    </xf>
    <xf numFmtId="0" fontId="82" fillId="0" borderId="214" xfId="8" applyFont="1" applyFill="1" applyBorder="1" applyAlignment="1">
      <alignment horizontal="center" wrapText="1"/>
    </xf>
    <xf numFmtId="0" fontId="82" fillId="0" borderId="217" xfId="8" applyFont="1" applyBorder="1" applyAlignment="1">
      <alignment wrapText="1"/>
    </xf>
    <xf numFmtId="0" fontId="118" fillId="0" borderId="212" xfId="8" applyFont="1" applyFill="1" applyBorder="1" applyAlignment="1">
      <alignment wrapText="1"/>
    </xf>
    <xf numFmtId="1" fontId="82" fillId="0" borderId="211" xfId="8" applyNumberFormat="1" applyFont="1" applyBorder="1" applyAlignment="1">
      <alignment wrapText="1"/>
    </xf>
    <xf numFmtId="9" fontId="82" fillId="0" borderId="214" xfId="12" applyFont="1" applyBorder="1" applyAlignment="1">
      <alignment wrapText="1"/>
    </xf>
    <xf numFmtId="0" fontId="82" fillId="0" borderId="215" xfId="8" applyFont="1" applyBorder="1" applyAlignment="1">
      <alignment wrapText="1"/>
    </xf>
    <xf numFmtId="0" fontId="82" fillId="0" borderId="218" xfId="8" applyFont="1" applyBorder="1" applyAlignment="1">
      <alignment wrapText="1"/>
    </xf>
    <xf numFmtId="0" fontId="82" fillId="0" borderId="16" xfId="8" applyFont="1" applyBorder="1" applyAlignment="1">
      <alignment wrapText="1"/>
    </xf>
    <xf numFmtId="0" fontId="82" fillId="0" borderId="219" xfId="8" applyFont="1" applyBorder="1" applyAlignment="1">
      <alignment horizontal="center" wrapText="1"/>
    </xf>
    <xf numFmtId="9" fontId="82" fillId="14" borderId="219" xfId="12" applyFont="1" applyFill="1" applyBorder="1" applyAlignment="1">
      <alignment wrapText="1"/>
    </xf>
    <xf numFmtId="0" fontId="82" fillId="14" borderId="220" xfId="8" applyFont="1" applyFill="1" applyBorder="1" applyAlignment="1">
      <alignment wrapText="1"/>
    </xf>
    <xf numFmtId="0" fontId="89" fillId="0" borderId="203" xfId="8" applyFont="1" applyBorder="1" applyAlignment="1">
      <alignment horizontal="center" vertical="center" wrapText="1"/>
    </xf>
    <xf numFmtId="0" fontId="89" fillId="0" borderId="91" xfId="8" applyFont="1" applyBorder="1" applyAlignment="1">
      <alignment horizontal="center" vertical="center" wrapText="1"/>
    </xf>
    <xf numFmtId="0" fontId="89" fillId="0" borderId="204" xfId="8" applyFont="1" applyBorder="1" applyAlignment="1">
      <alignment horizontal="center" vertical="center" wrapText="1"/>
    </xf>
    <xf numFmtId="9" fontId="89" fillId="0" borderId="204" xfId="12" applyFont="1" applyBorder="1" applyAlignment="1">
      <alignment horizontal="center" vertical="center" wrapText="1"/>
    </xf>
    <xf numFmtId="0" fontId="89" fillId="0" borderId="205" xfId="8" applyFont="1" applyBorder="1" applyAlignment="1">
      <alignment horizontal="center" vertical="center" wrapText="1"/>
    </xf>
    <xf numFmtId="0" fontId="89" fillId="0" borderId="0" xfId="8" applyFont="1" applyBorder="1" applyAlignment="1">
      <alignment horizontal="left" wrapText="1"/>
    </xf>
    <xf numFmtId="0" fontId="82" fillId="0" borderId="0" xfId="8" applyFont="1" applyBorder="1" applyAlignment="1">
      <alignment horizontal="left" vertical="center" wrapText="1"/>
    </xf>
    <xf numFmtId="0" fontId="82" fillId="0" borderId="0" xfId="8" applyFont="1" applyBorder="1" applyAlignment="1">
      <alignment horizontal="left" vertical="center"/>
    </xf>
    <xf numFmtId="9" fontId="82" fillId="0" borderId="0" xfId="12" applyFont="1" applyBorder="1" applyAlignment="1">
      <alignment wrapText="1"/>
    </xf>
    <xf numFmtId="0" fontId="69" fillId="10" borderId="0" xfId="0" applyNumberFormat="1" applyFont="1" applyFill="1" applyAlignment="1">
      <alignment horizontal="right"/>
    </xf>
    <xf numFmtId="0" fontId="69" fillId="10" borderId="0" xfId="0" applyNumberFormat="1" applyFont="1" applyFill="1" applyBorder="1" applyAlignment="1">
      <alignment horizontal="right"/>
    </xf>
    <xf numFmtId="0" fontId="61" fillId="2" borderId="0" xfId="0" applyNumberFormat="1" applyFont="1" applyFill="1" applyAlignment="1">
      <alignment horizontal="center"/>
    </xf>
    <xf numFmtId="37" fontId="61" fillId="0" borderId="6" xfId="0" applyNumberFormat="1" applyFont="1" applyFill="1" applyBorder="1" applyAlignment="1">
      <alignment horizontal="center"/>
    </xf>
    <xf numFmtId="0" fontId="61" fillId="4" borderId="0" xfId="0" applyNumberFormat="1" applyFont="1" applyFill="1" applyBorder="1" applyAlignment="1">
      <alignment horizontal="center"/>
    </xf>
    <xf numFmtId="0" fontId="69" fillId="4" borderId="0" xfId="0" applyNumberFormat="1" applyFont="1" applyFill="1" applyBorder="1" applyAlignment="1">
      <alignment horizontal="center"/>
    </xf>
    <xf numFmtId="37" fontId="69" fillId="0" borderId="12" xfId="0" applyNumberFormat="1" applyFont="1" applyFill="1" applyBorder="1" applyAlignment="1">
      <alignment horizontal="center"/>
    </xf>
    <xf numFmtId="37" fontId="69" fillId="0" borderId="14" xfId="0" applyNumberFormat="1" applyFont="1" applyFill="1" applyBorder="1" applyAlignment="1">
      <alignment horizontal="center"/>
    </xf>
    <xf numFmtId="37" fontId="72" fillId="0" borderId="25" xfId="0" applyNumberFormat="1" applyFont="1" applyFill="1" applyBorder="1" applyAlignment="1">
      <alignment horizontal="center"/>
    </xf>
    <xf numFmtId="37" fontId="69" fillId="0" borderId="17" xfId="0" applyNumberFormat="1" applyFont="1" applyFill="1" applyBorder="1" applyAlignment="1">
      <alignment horizontal="center"/>
    </xf>
    <xf numFmtId="37" fontId="72" fillId="0" borderId="6" xfId="0" applyNumberFormat="1" applyFont="1" applyFill="1" applyBorder="1" applyAlignment="1">
      <alignment horizontal="center"/>
    </xf>
    <xf numFmtId="37" fontId="57" fillId="0" borderId="25" xfId="0" applyNumberFormat="1" applyFont="1" applyFill="1" applyBorder="1" applyAlignment="1">
      <alignment horizontal="center"/>
    </xf>
    <xf numFmtId="37" fontId="57" fillId="0" borderId="14" xfId="0" applyNumberFormat="1" applyFont="1" applyFill="1" applyBorder="1" applyAlignment="1">
      <alignment horizontal="center"/>
    </xf>
    <xf numFmtId="37" fontId="72" fillId="0" borderId="125" xfId="0" applyNumberFormat="1" applyFont="1" applyFill="1" applyBorder="1" applyAlignment="1">
      <alignment horizontal="center"/>
    </xf>
    <xf numFmtId="37" fontId="69" fillId="0" borderId="25" xfId="0" applyNumberFormat="1" applyFont="1" applyFill="1" applyBorder="1" applyAlignment="1">
      <alignment horizontal="center"/>
    </xf>
    <xf numFmtId="37" fontId="72" fillId="0" borderId="27" xfId="0" applyNumberFormat="1" applyFont="1" applyFill="1" applyBorder="1" applyAlignment="1">
      <alignment horizontal="center"/>
    </xf>
    <xf numFmtId="37" fontId="57" fillId="0" borderId="27" xfId="0" applyNumberFormat="1" applyFont="1" applyFill="1" applyBorder="1" applyAlignment="1">
      <alignment horizontal="center"/>
    </xf>
    <xf numFmtId="1" fontId="61" fillId="0" borderId="583" xfId="5" applyNumberFormat="1" applyFont="1" applyFill="1" applyBorder="1"/>
    <xf numFmtId="1" fontId="57" fillId="0" borderId="583" xfId="5" applyNumberFormat="1" applyFont="1" applyFill="1" applyBorder="1"/>
    <xf numFmtId="1" fontId="57" fillId="0" borderId="595" xfId="5" applyNumberFormat="1" applyFont="1" applyFill="1" applyBorder="1"/>
    <xf numFmtId="0" fontId="57" fillId="16" borderId="0" xfId="5" applyNumberFormat="1" applyFont="1" applyFill="1" applyBorder="1" applyAlignment="1">
      <alignment horizontal="center"/>
    </xf>
    <xf numFmtId="0" fontId="61" fillId="10" borderId="600" xfId="0" applyNumberFormat="1" applyFont="1" applyFill="1" applyBorder="1" applyProtection="1">
      <protection locked="0"/>
    </xf>
    <xf numFmtId="0" fontId="61" fillId="10" borderId="5" xfId="0" applyNumberFormat="1" applyFont="1" applyFill="1" applyBorder="1" applyAlignment="1">
      <alignment horizontal="right"/>
    </xf>
    <xf numFmtId="0" fontId="61" fillId="10" borderId="285" xfId="0" applyNumberFormat="1" applyFont="1" applyFill="1" applyBorder="1" applyAlignment="1">
      <alignment horizontal="right"/>
    </xf>
    <xf numFmtId="5" fontId="72" fillId="0" borderId="600" xfId="0" applyNumberFormat="1" applyFont="1" applyFill="1" applyBorder="1"/>
    <xf numFmtId="5" fontId="72" fillId="0" borderId="5" xfId="0" applyNumberFormat="1" applyFont="1" applyFill="1" applyBorder="1"/>
    <xf numFmtId="5" fontId="72" fillId="0" borderId="602" xfId="0" applyNumberFormat="1" applyFont="1" applyFill="1" applyBorder="1"/>
    <xf numFmtId="5" fontId="57" fillId="0" borderId="601" xfId="0" applyNumberFormat="1" applyFont="1" applyFill="1" applyBorder="1"/>
    <xf numFmtId="5" fontId="72" fillId="4" borderId="5" xfId="0" applyNumberFormat="1" applyFont="1" applyFill="1" applyBorder="1"/>
    <xf numFmtId="5" fontId="72" fillId="4" borderId="603" xfId="0" applyNumberFormat="1" applyFont="1" applyFill="1" applyBorder="1"/>
    <xf numFmtId="5" fontId="57" fillId="0" borderId="5" xfId="0" applyNumberFormat="1" applyFont="1" applyFill="1" applyBorder="1"/>
    <xf numFmtId="5" fontId="72" fillId="4" borderId="601" xfId="0" applyNumberFormat="1" applyFont="1" applyFill="1" applyBorder="1"/>
    <xf numFmtId="5" fontId="72" fillId="0" borderId="604" xfId="0" applyNumberFormat="1" applyFont="1" applyFill="1" applyBorder="1"/>
    <xf numFmtId="37" fontId="72" fillId="4" borderId="603" xfId="0" applyNumberFormat="1" applyFont="1" applyFill="1" applyBorder="1"/>
    <xf numFmtId="5" fontId="81" fillId="10" borderId="605" xfId="0" applyNumberFormat="1" applyFont="1" applyFill="1" applyBorder="1"/>
    <xf numFmtId="5" fontId="68" fillId="0" borderId="5" xfId="0" applyNumberFormat="1" applyFont="1" applyFill="1" applyBorder="1" applyAlignment="1">
      <alignment horizontal="right"/>
    </xf>
    <xf numFmtId="0" fontId="61" fillId="2" borderId="281" xfId="0" applyNumberFormat="1" applyFont="1" applyFill="1" applyBorder="1"/>
    <xf numFmtId="5" fontId="57" fillId="2" borderId="5" xfId="0" applyNumberFormat="1" applyFont="1" applyFill="1" applyBorder="1"/>
    <xf numFmtId="5" fontId="65" fillId="5" borderId="606" xfId="0" applyNumberFormat="1" applyFont="1" applyFill="1" applyBorder="1"/>
    <xf numFmtId="5" fontId="68" fillId="0" borderId="283" xfId="0" applyNumberFormat="1" applyFont="1" applyFill="1" applyBorder="1" applyAlignment="1">
      <alignment horizontal="right"/>
    </xf>
    <xf numFmtId="5" fontId="68" fillId="0" borderId="5" xfId="0" applyNumberFormat="1" applyFont="1" applyFill="1" applyBorder="1"/>
    <xf numFmtId="5" fontId="72" fillId="0" borderId="283" xfId="0" applyNumberFormat="1" applyFont="1" applyFill="1" applyBorder="1"/>
    <xf numFmtId="0" fontId="72" fillId="10" borderId="601" xfId="0" applyNumberFormat="1" applyFont="1" applyFill="1" applyBorder="1" applyProtection="1">
      <protection locked="0"/>
    </xf>
    <xf numFmtId="0" fontId="72" fillId="10" borderId="604" xfId="0" applyNumberFormat="1" applyFont="1" applyFill="1" applyBorder="1" applyProtection="1">
      <protection locked="0"/>
    </xf>
    <xf numFmtId="0" fontId="61" fillId="0" borderId="583" xfId="0" applyNumberFormat="1" applyFont="1" applyFill="1" applyBorder="1"/>
    <xf numFmtId="169" fontId="69" fillId="0" borderId="583" xfId="0" applyNumberFormat="1" applyFont="1" applyFill="1" applyBorder="1"/>
    <xf numFmtId="37" fontId="61" fillId="0" borderId="583" xfId="0" applyNumberFormat="1" applyFont="1" applyFill="1" applyBorder="1"/>
    <xf numFmtId="169" fontId="69" fillId="25" borderId="583" xfId="0" applyNumberFormat="1" applyFont="1" applyFill="1" applyBorder="1"/>
    <xf numFmtId="0" fontId="61" fillId="21" borderId="583" xfId="0" applyNumberFormat="1" applyFont="1" applyFill="1" applyBorder="1"/>
    <xf numFmtId="169" fontId="69" fillId="21" borderId="583" xfId="0" applyNumberFormat="1" applyFont="1" applyFill="1" applyBorder="1"/>
    <xf numFmtId="169" fontId="61" fillId="21" borderId="583" xfId="0" applyNumberFormat="1" applyFont="1" applyFill="1" applyBorder="1"/>
    <xf numFmtId="0" fontId="61" fillId="21" borderId="0" xfId="0" applyNumberFormat="1" applyFont="1" applyFill="1" applyBorder="1"/>
    <xf numFmtId="0" fontId="61" fillId="21" borderId="0" xfId="0" applyNumberFormat="1" applyFont="1" applyFill="1"/>
    <xf numFmtId="0" fontId="61" fillId="20" borderId="0" xfId="0" applyNumberFormat="1" applyFont="1" applyFill="1"/>
    <xf numFmtId="0" fontId="61" fillId="25" borderId="583" xfId="0" applyNumberFormat="1" applyFont="1" applyFill="1" applyBorder="1"/>
    <xf numFmtId="169" fontId="61" fillId="0" borderId="583" xfId="0" applyNumberFormat="1" applyFont="1" applyFill="1" applyBorder="1"/>
    <xf numFmtId="0" fontId="0" fillId="2" borderId="583" xfId="0" applyNumberFormat="1" applyFill="1" applyBorder="1"/>
    <xf numFmtId="0" fontId="0" fillId="2" borderId="583" xfId="0" applyNumberFormat="1" applyFill="1" applyBorder="1" applyAlignment="1">
      <alignment horizontal="center"/>
    </xf>
    <xf numFmtId="0" fontId="0" fillId="2" borderId="583" xfId="0" applyNumberFormat="1" applyFill="1" applyBorder="1" applyAlignment="1">
      <alignment horizontal="right"/>
    </xf>
    <xf numFmtId="0" fontId="61" fillId="27" borderId="583" xfId="0" applyNumberFormat="1" applyFont="1" applyFill="1" applyBorder="1"/>
    <xf numFmtId="0" fontId="0" fillId="2" borderId="97" xfId="0" applyNumberFormat="1" applyFill="1" applyBorder="1"/>
    <xf numFmtId="1" fontId="0" fillId="2" borderId="0" xfId="0" applyNumberFormat="1" applyFill="1"/>
    <xf numFmtId="0" fontId="61" fillId="21" borderId="14" xfId="0" applyNumberFormat="1" applyFont="1" applyFill="1" applyBorder="1"/>
    <xf numFmtId="4" fontId="61" fillId="21" borderId="14" xfId="0" applyNumberFormat="1" applyFont="1" applyFill="1" applyBorder="1"/>
    <xf numFmtId="2" fontId="61" fillId="21" borderId="14" xfId="0" applyNumberFormat="1" applyFont="1" applyFill="1" applyBorder="1"/>
    <xf numFmtId="37" fontId="61" fillId="21" borderId="14" xfId="0" applyNumberFormat="1" applyFont="1" applyFill="1" applyBorder="1"/>
    <xf numFmtId="5" fontId="61" fillId="21" borderId="14" xfId="0" applyNumberFormat="1" applyFont="1" applyFill="1" applyBorder="1"/>
    <xf numFmtId="5" fontId="61" fillId="21" borderId="13" xfId="0" applyNumberFormat="1" applyFont="1" applyFill="1" applyBorder="1"/>
    <xf numFmtId="0" fontId="61" fillId="21" borderId="14" xfId="0" applyNumberFormat="1" applyFont="1" applyFill="1" applyBorder="1" applyAlignment="1">
      <alignment horizontal="center"/>
    </xf>
    <xf numFmtId="0" fontId="61" fillId="21" borderId="6" xfId="0" applyNumberFormat="1" applyFont="1" applyFill="1" applyBorder="1"/>
    <xf numFmtId="166" fontId="61" fillId="21" borderId="6" xfId="0" applyNumberFormat="1" applyFont="1" applyFill="1" applyBorder="1" applyAlignment="1">
      <alignment horizontal="center"/>
    </xf>
    <xf numFmtId="166" fontId="61" fillId="21" borderId="6" xfId="0" applyNumberFormat="1" applyFont="1" applyFill="1" applyBorder="1"/>
    <xf numFmtId="38" fontId="61" fillId="21" borderId="6" xfId="0" applyNumberFormat="1" applyFont="1" applyFill="1" applyBorder="1" applyAlignment="1">
      <alignment horizontal="center"/>
    </xf>
    <xf numFmtId="0" fontId="61" fillId="21" borderId="6" xfId="0" applyNumberFormat="1" applyFont="1" applyFill="1" applyBorder="1" applyAlignment="1">
      <alignment horizontal="center"/>
    </xf>
    <xf numFmtId="4" fontId="61" fillId="21" borderId="6" xfId="0" applyNumberFormat="1" applyFont="1" applyFill="1" applyBorder="1" applyAlignment="1" applyProtection="1">
      <alignment horizontal="right"/>
      <protection locked="0"/>
    </xf>
    <xf numFmtId="2" fontId="61" fillId="21" borderId="6" xfId="0" applyNumberFormat="1" applyFont="1" applyFill="1" applyBorder="1"/>
    <xf numFmtId="37" fontId="61" fillId="21" borderId="6" xfId="0" applyNumberFormat="1" applyFont="1" applyFill="1" applyBorder="1"/>
    <xf numFmtId="39" fontId="61" fillId="21" borderId="6" xfId="0" applyNumberFormat="1" applyFont="1" applyFill="1" applyBorder="1"/>
    <xf numFmtId="37" fontId="61" fillId="21" borderId="6" xfId="0" applyNumberFormat="1" applyFont="1" applyFill="1" applyBorder="1" applyAlignment="1">
      <alignment horizontal="right"/>
    </xf>
    <xf numFmtId="37" fontId="61" fillId="21" borderId="6" xfId="0" applyNumberFormat="1" applyFont="1" applyFill="1" applyBorder="1" applyAlignment="1">
      <alignment horizontal="center"/>
    </xf>
    <xf numFmtId="5" fontId="61" fillId="21" borderId="6" xfId="0" applyNumberFormat="1" applyFont="1" applyFill="1" applyBorder="1"/>
    <xf numFmtId="38" fontId="61" fillId="21" borderId="6" xfId="0" applyNumberFormat="1" applyFont="1" applyFill="1" applyBorder="1"/>
    <xf numFmtId="37" fontId="61" fillId="21" borderId="6" xfId="0" applyNumberFormat="1" applyFont="1" applyFill="1" applyBorder="1" applyAlignment="1" applyProtection="1">
      <alignment horizontal="right"/>
      <protection locked="0"/>
    </xf>
    <xf numFmtId="170" fontId="61" fillId="21" borderId="6" xfId="0" applyNumberFormat="1" applyFont="1" applyFill="1" applyBorder="1" applyProtection="1">
      <protection locked="0"/>
    </xf>
    <xf numFmtId="5" fontId="61" fillId="29" borderId="76" xfId="0" applyNumberFormat="1" applyFont="1" applyFill="1" applyBorder="1"/>
    <xf numFmtId="0" fontId="61" fillId="29" borderId="0" xfId="0" applyNumberFormat="1" applyFont="1" applyFill="1" applyBorder="1"/>
    <xf numFmtId="37" fontId="61" fillId="20" borderId="0" xfId="0" applyNumberFormat="1" applyFont="1" applyFill="1"/>
    <xf numFmtId="175" fontId="61" fillId="21" borderId="6" xfId="0" applyNumberFormat="1" applyFont="1" applyFill="1" applyBorder="1"/>
    <xf numFmtId="0" fontId="61" fillId="21" borderId="25" xfId="0" applyNumberFormat="1" applyFont="1" applyFill="1" applyBorder="1"/>
    <xf numFmtId="0" fontId="61" fillId="21" borderId="25" xfId="0" applyNumberFormat="1" applyFont="1" applyFill="1" applyBorder="1" applyAlignment="1">
      <alignment horizontal="center"/>
    </xf>
    <xf numFmtId="5" fontId="57" fillId="21" borderId="15" xfId="0" applyNumberFormat="1" applyFont="1" applyFill="1" applyBorder="1"/>
    <xf numFmtId="37" fontId="61" fillId="21" borderId="0" xfId="0" applyNumberFormat="1" applyFont="1" applyFill="1"/>
    <xf numFmtId="169" fontId="61" fillId="21" borderId="17" xfId="0" applyNumberFormat="1" applyFont="1" applyFill="1" applyBorder="1"/>
    <xf numFmtId="0" fontId="61" fillId="21" borderId="17" xfId="0" applyNumberFormat="1" applyFont="1" applyFill="1" applyBorder="1"/>
    <xf numFmtId="0" fontId="61" fillId="21" borderId="17" xfId="0" applyNumberFormat="1" applyFont="1" applyFill="1" applyBorder="1" applyAlignment="1">
      <alignment horizontal="center"/>
    </xf>
    <xf numFmtId="37" fontId="61" fillId="21" borderId="15" xfId="0" applyNumberFormat="1" applyFont="1" applyFill="1" applyBorder="1"/>
    <xf numFmtId="169" fontId="61" fillId="21" borderId="14" xfId="0" applyNumberFormat="1" applyFont="1" applyFill="1" applyBorder="1"/>
    <xf numFmtId="0" fontId="61" fillId="21" borderId="14" xfId="0" applyNumberFormat="1" applyFont="1" applyFill="1" applyBorder="1" applyProtection="1">
      <protection locked="0"/>
    </xf>
    <xf numFmtId="37" fontId="61" fillId="21" borderId="14" xfId="0" applyNumberFormat="1" applyFont="1" applyFill="1" applyBorder="1" applyAlignment="1">
      <alignment horizontal="center"/>
    </xf>
    <xf numFmtId="0" fontId="57" fillId="21" borderId="6" xfId="0" applyNumberFormat="1" applyFont="1" applyFill="1" applyBorder="1"/>
    <xf numFmtId="0" fontId="61" fillId="20" borderId="0" xfId="0" applyNumberFormat="1" applyFont="1" applyFill="1" applyAlignment="1">
      <alignment horizontal="center"/>
    </xf>
    <xf numFmtId="4" fontId="61" fillId="21" borderId="17" xfId="0" applyNumberFormat="1" applyFont="1" applyFill="1" applyBorder="1" applyProtection="1">
      <protection locked="0"/>
    </xf>
    <xf numFmtId="6" fontId="61" fillId="21" borderId="0" xfId="0" applyNumberFormat="1" applyFont="1" applyFill="1"/>
    <xf numFmtId="4" fontId="61" fillId="21" borderId="14" xfId="0" applyNumberFormat="1" applyFont="1" applyFill="1" applyBorder="1" applyProtection="1">
      <protection locked="0"/>
    </xf>
    <xf numFmtId="0" fontId="57" fillId="21" borderId="14" xfId="0" applyNumberFormat="1" applyFont="1" applyFill="1" applyBorder="1"/>
    <xf numFmtId="169" fontId="57" fillId="21" borderId="6" xfId="0" applyNumberFormat="1" applyFont="1" applyFill="1" applyBorder="1"/>
    <xf numFmtId="169" fontId="57" fillId="21" borderId="25" xfId="0" applyNumberFormat="1" applyFont="1" applyFill="1" applyBorder="1"/>
    <xf numFmtId="167" fontId="57" fillId="21" borderId="25" xfId="0" applyNumberFormat="1" applyFont="1" applyFill="1" applyBorder="1" applyAlignment="1">
      <alignment horizontal="center"/>
    </xf>
    <xf numFmtId="4" fontId="57" fillId="21" borderId="25" xfId="0" applyNumberFormat="1" applyFont="1" applyFill="1" applyBorder="1" applyProtection="1">
      <protection locked="0"/>
    </xf>
    <xf numFmtId="0" fontId="57" fillId="21" borderId="25" xfId="0" applyNumberFormat="1" applyFont="1" applyFill="1" applyBorder="1" applyProtection="1">
      <protection locked="0"/>
    </xf>
    <xf numFmtId="169" fontId="57" fillId="21" borderId="14" xfId="0" applyNumberFormat="1" applyFont="1" applyFill="1" applyBorder="1"/>
    <xf numFmtId="167" fontId="57" fillId="21" borderId="14" xfId="0" applyNumberFormat="1" applyFont="1" applyFill="1" applyBorder="1" applyAlignment="1">
      <alignment horizontal="center"/>
    </xf>
    <xf numFmtId="4" fontId="57" fillId="21" borderId="14" xfId="0" applyNumberFormat="1" applyFont="1" applyFill="1" applyBorder="1" applyProtection="1">
      <protection locked="0"/>
    </xf>
    <xf numFmtId="0" fontId="57" fillId="21" borderId="14" xfId="0" applyNumberFormat="1" applyFont="1" applyFill="1" applyBorder="1" applyProtection="1">
      <protection locked="0"/>
    </xf>
    <xf numFmtId="0" fontId="61" fillId="20" borderId="6" xfId="0" applyNumberFormat="1" applyFont="1" applyFill="1" applyBorder="1" applyAlignment="1">
      <alignment horizontal="center"/>
    </xf>
    <xf numFmtId="0" fontId="61" fillId="21" borderId="15" xfId="0" applyNumberFormat="1" applyFont="1" applyFill="1" applyBorder="1"/>
    <xf numFmtId="5" fontId="61" fillId="21" borderId="6" xfId="0" applyNumberFormat="1" applyFont="1" applyFill="1" applyBorder="1" applyProtection="1">
      <protection locked="0"/>
    </xf>
    <xf numFmtId="0" fontId="61" fillId="21" borderId="121" xfId="0" applyNumberFormat="1" applyFont="1" applyFill="1" applyBorder="1"/>
    <xf numFmtId="166" fontId="61" fillId="21" borderId="121" xfId="0" applyNumberFormat="1" applyFont="1" applyFill="1" applyBorder="1" applyAlignment="1">
      <alignment horizontal="center"/>
    </xf>
    <xf numFmtId="166" fontId="61" fillId="21" borderId="121" xfId="0" applyNumberFormat="1" applyFont="1" applyFill="1" applyBorder="1"/>
    <xf numFmtId="1" fontId="61" fillId="21" borderId="6" xfId="0" applyNumberFormat="1" applyFont="1" applyFill="1" applyBorder="1" applyProtection="1">
      <protection locked="0"/>
    </xf>
    <xf numFmtId="166" fontId="57" fillId="21" borderId="6" xfId="0" applyNumberFormat="1" applyFont="1" applyFill="1" applyBorder="1" applyAlignment="1">
      <alignment horizontal="center"/>
    </xf>
    <xf numFmtId="166" fontId="57" fillId="21" borderId="6" xfId="0" applyNumberFormat="1" applyFont="1" applyFill="1" applyBorder="1" applyAlignment="1">
      <alignment horizontal="left"/>
    </xf>
    <xf numFmtId="5" fontId="57" fillId="21" borderId="6" xfId="0" applyNumberFormat="1" applyFont="1" applyFill="1" applyBorder="1"/>
    <xf numFmtId="10" fontId="61" fillId="21" borderId="6" xfId="0" applyNumberFormat="1" applyFont="1" applyFill="1" applyBorder="1"/>
    <xf numFmtId="0" fontId="61" fillId="21" borderId="122" xfId="0" applyNumberFormat="1" applyFont="1" applyFill="1" applyBorder="1" applyAlignment="1">
      <alignment horizontal="center"/>
    </xf>
    <xf numFmtId="166" fontId="61" fillId="21" borderId="122" xfId="0" applyNumberFormat="1" applyFont="1" applyFill="1" applyBorder="1"/>
    <xf numFmtId="186" fontId="61" fillId="21" borderId="122" xfId="0" applyNumberFormat="1" applyFont="1" applyFill="1" applyBorder="1" applyProtection="1">
      <protection locked="0"/>
    </xf>
    <xf numFmtId="4" fontId="61" fillId="21" borderId="122" xfId="0" applyNumberFormat="1" applyFont="1" applyFill="1" applyBorder="1" applyProtection="1">
      <protection locked="0"/>
    </xf>
    <xf numFmtId="37" fontId="61" fillId="21" borderId="122" xfId="0" applyNumberFormat="1" applyFont="1" applyFill="1" applyBorder="1" applyProtection="1">
      <protection locked="0"/>
    </xf>
    <xf numFmtId="2" fontId="61" fillId="21" borderId="122" xfId="0" applyNumberFormat="1" applyFont="1" applyFill="1" applyBorder="1"/>
    <xf numFmtId="37" fontId="61" fillId="21" borderId="122" xfId="0" applyNumberFormat="1" applyFont="1" applyFill="1" applyBorder="1"/>
    <xf numFmtId="5" fontId="61" fillId="21" borderId="122" xfId="0" applyNumberFormat="1" applyFont="1" applyFill="1" applyBorder="1"/>
    <xf numFmtId="37" fontId="61" fillId="21" borderId="0" xfId="0" applyNumberFormat="1" applyFont="1" applyFill="1" applyBorder="1"/>
    <xf numFmtId="0" fontId="61" fillId="21" borderId="13" xfId="0" applyNumberFormat="1" applyFont="1" applyFill="1" applyBorder="1" applyAlignment="1">
      <alignment horizontal="center"/>
    </xf>
    <xf numFmtId="38" fontId="61" fillId="21" borderId="6" xfId="0" applyNumberFormat="1" applyFont="1" applyFill="1" applyBorder="1" applyProtection="1">
      <protection locked="0"/>
    </xf>
    <xf numFmtId="37" fontId="61" fillId="21" borderId="14" xfId="0" applyNumberFormat="1" applyFont="1" applyFill="1" applyBorder="1" applyAlignment="1">
      <alignment horizontal="right"/>
    </xf>
    <xf numFmtId="39" fontId="61" fillId="21" borderId="6" xfId="0" applyNumberFormat="1" applyFont="1" applyFill="1" applyBorder="1" applyProtection="1">
      <protection locked="0"/>
    </xf>
    <xf numFmtId="39" fontId="61" fillId="21" borderId="6" xfId="0" applyNumberFormat="1" applyFont="1" applyFill="1" applyBorder="1" applyAlignment="1" applyProtection="1">
      <alignment horizontal="right"/>
      <protection locked="0"/>
    </xf>
    <xf numFmtId="0" fontId="57" fillId="21" borderId="25" xfId="0" applyNumberFormat="1" applyFont="1" applyFill="1" applyBorder="1" applyAlignment="1">
      <alignment horizontal="left"/>
    </xf>
    <xf numFmtId="2" fontId="57" fillId="21" borderId="25" xfId="0" applyNumberFormat="1" applyFont="1" applyFill="1" applyBorder="1"/>
    <xf numFmtId="37" fontId="57" fillId="21" borderId="25" xfId="0" applyNumberFormat="1" applyFont="1" applyFill="1" applyBorder="1"/>
    <xf numFmtId="37" fontId="57" fillId="21" borderId="25" xfId="0" applyNumberFormat="1" applyFont="1" applyFill="1" applyBorder="1" applyAlignment="1">
      <alignment horizontal="center"/>
    </xf>
    <xf numFmtId="5" fontId="57" fillId="21" borderId="25" xfId="0" applyNumberFormat="1" applyFont="1" applyFill="1" applyBorder="1"/>
    <xf numFmtId="2" fontId="57" fillId="21" borderId="14" xfId="0" applyNumberFormat="1" applyFont="1" applyFill="1" applyBorder="1"/>
    <xf numFmtId="37" fontId="57" fillId="21" borderId="14" xfId="0" applyNumberFormat="1" applyFont="1" applyFill="1" applyBorder="1"/>
    <xf numFmtId="37" fontId="57" fillId="21" borderId="14" xfId="0" applyNumberFormat="1" applyFont="1" applyFill="1" applyBorder="1" applyAlignment="1">
      <alignment horizontal="center"/>
    </xf>
    <xf numFmtId="5" fontId="57" fillId="21" borderId="14" xfId="0" applyNumberFormat="1" applyFont="1" applyFill="1" applyBorder="1"/>
    <xf numFmtId="37" fontId="61" fillId="21" borderId="0" xfId="0" applyNumberFormat="1" applyFont="1" applyFill="1" applyBorder="1" applyProtection="1">
      <protection locked="0"/>
    </xf>
    <xf numFmtId="0" fontId="61" fillId="21" borderId="17" xfId="0" applyNumberFormat="1" applyFont="1" applyFill="1" applyBorder="1" applyProtection="1">
      <protection locked="0"/>
    </xf>
    <xf numFmtId="184" fontId="57" fillId="21" borderId="25" xfId="0" applyNumberFormat="1" applyFont="1" applyFill="1" applyBorder="1" applyProtection="1">
      <protection locked="0"/>
    </xf>
    <xf numFmtId="39" fontId="61" fillId="21" borderId="25" xfId="0" applyNumberFormat="1" applyFont="1" applyFill="1" applyBorder="1"/>
    <xf numFmtId="0" fontId="57" fillId="21" borderId="17" xfId="0" applyNumberFormat="1" applyFont="1" applyFill="1" applyBorder="1"/>
    <xf numFmtId="37" fontId="57" fillId="21" borderId="6" xfId="0" applyNumberFormat="1" applyFont="1" applyFill="1" applyBorder="1"/>
    <xf numFmtId="37" fontId="57" fillId="21" borderId="6" xfId="0" applyNumberFormat="1" applyFont="1" applyFill="1" applyBorder="1" applyAlignment="1">
      <alignment horizontal="center"/>
    </xf>
    <xf numFmtId="2" fontId="57" fillId="21" borderId="6" xfId="0" applyNumberFormat="1" applyFont="1" applyFill="1" applyBorder="1"/>
    <xf numFmtId="2" fontId="61" fillId="21" borderId="6" xfId="0" applyNumberFormat="1" applyFont="1" applyFill="1" applyBorder="1" applyProtection="1">
      <protection locked="0"/>
    </xf>
    <xf numFmtId="3" fontId="61" fillId="21" borderId="6" xfId="0" applyNumberFormat="1" applyFont="1" applyFill="1" applyBorder="1" applyProtection="1">
      <protection locked="0"/>
    </xf>
    <xf numFmtId="188" fontId="61" fillId="21" borderId="6" xfId="0" applyNumberFormat="1" applyFont="1" applyFill="1" applyBorder="1" applyProtection="1">
      <protection locked="0"/>
    </xf>
    <xf numFmtId="177" fontId="61" fillId="21" borderId="6" xfId="0" applyNumberFormat="1" applyFont="1" applyFill="1" applyBorder="1" applyProtection="1">
      <protection locked="0"/>
    </xf>
    <xf numFmtId="38" fontId="57" fillId="21" borderId="6" xfId="0" applyNumberFormat="1" applyFont="1" applyFill="1" applyBorder="1" applyAlignment="1">
      <alignment horizontal="center"/>
    </xf>
    <xf numFmtId="7" fontId="61" fillId="21" borderId="6" xfId="0" applyNumberFormat="1" applyFont="1" applyFill="1" applyBorder="1" applyProtection="1">
      <protection locked="0"/>
    </xf>
    <xf numFmtId="39" fontId="57" fillId="21" borderId="25" xfId="0" applyNumberFormat="1" applyFont="1" applyFill="1" applyBorder="1" applyProtection="1">
      <protection locked="0"/>
    </xf>
    <xf numFmtId="175" fontId="57" fillId="21" borderId="25" xfId="0" applyNumberFormat="1" applyFont="1" applyFill="1" applyBorder="1"/>
    <xf numFmtId="175" fontId="57" fillId="21" borderId="25" xfId="0" applyNumberFormat="1" applyFont="1" applyFill="1" applyBorder="1" applyAlignment="1">
      <alignment horizontal="center"/>
    </xf>
    <xf numFmtId="2" fontId="57" fillId="21" borderId="17" xfId="0" applyNumberFormat="1" applyFont="1" applyFill="1" applyBorder="1"/>
    <xf numFmtId="37" fontId="57" fillId="21" borderId="17" xfId="0" applyNumberFormat="1" applyFont="1" applyFill="1" applyBorder="1"/>
    <xf numFmtId="37" fontId="57" fillId="21" borderId="17" xfId="0" applyNumberFormat="1" applyFont="1" applyFill="1" applyBorder="1" applyAlignment="1">
      <alignment horizontal="center"/>
    </xf>
    <xf numFmtId="5" fontId="57" fillId="21" borderId="17" xfId="0" applyNumberFormat="1" applyFont="1" applyFill="1" applyBorder="1"/>
    <xf numFmtId="0" fontId="57" fillId="21" borderId="14" xfId="0" applyNumberFormat="1" applyFont="1" applyFill="1" applyBorder="1" applyAlignment="1">
      <alignment horizontal="right"/>
    </xf>
    <xf numFmtId="166" fontId="0" fillId="21" borderId="17" xfId="0" applyNumberFormat="1" applyFont="1" applyFill="1" applyBorder="1"/>
    <xf numFmtId="0" fontId="57" fillId="21" borderId="122" xfId="0" applyNumberFormat="1" applyFont="1" applyFill="1" applyBorder="1"/>
    <xf numFmtId="38" fontId="61" fillId="21" borderId="122" xfId="0" applyNumberFormat="1" applyFont="1" applyFill="1" applyBorder="1" applyAlignment="1">
      <alignment horizontal="center"/>
    </xf>
    <xf numFmtId="37" fontId="61" fillId="21" borderId="122" xfId="0" applyNumberFormat="1" applyFont="1" applyFill="1" applyBorder="1" applyAlignment="1">
      <alignment horizontal="right"/>
    </xf>
    <xf numFmtId="37" fontId="61" fillId="21" borderId="122" xfId="0" applyNumberFormat="1" applyFont="1" applyFill="1" applyBorder="1" applyAlignment="1">
      <alignment horizontal="center"/>
    </xf>
    <xf numFmtId="9" fontId="57" fillId="21" borderId="14" xfId="0" applyNumberFormat="1" applyFont="1" applyFill="1" applyBorder="1"/>
    <xf numFmtId="6" fontId="57" fillId="21" borderId="14" xfId="0" applyNumberFormat="1" applyFont="1" applyFill="1" applyBorder="1"/>
    <xf numFmtId="0" fontId="57" fillId="29" borderId="26" xfId="0" applyNumberFormat="1" applyFont="1" applyFill="1" applyBorder="1"/>
    <xf numFmtId="38" fontId="61" fillId="21" borderId="6" xfId="0" applyNumberFormat="1" applyFont="1" applyFill="1" applyBorder="1" applyAlignment="1">
      <alignment horizontal="right"/>
    </xf>
    <xf numFmtId="5" fontId="61" fillId="0" borderId="594" xfId="0" applyNumberFormat="1" applyFont="1" applyFill="1" applyBorder="1"/>
    <xf numFmtId="175" fontId="57" fillId="2" borderId="0" xfId="0" applyNumberFormat="1" applyFont="1" applyFill="1"/>
    <xf numFmtId="6" fontId="57" fillId="2" borderId="0" xfId="0" applyNumberFormat="1" applyFont="1" applyFill="1" applyAlignment="1">
      <alignment horizontal="right"/>
    </xf>
    <xf numFmtId="169" fontId="61" fillId="0" borderId="582" xfId="0" applyNumberFormat="1" applyFont="1" applyFill="1" applyBorder="1"/>
    <xf numFmtId="38" fontId="69" fillId="0" borderId="583" xfId="0" applyNumberFormat="1" applyFont="1" applyFill="1" applyBorder="1" applyAlignment="1">
      <alignment horizontal="center"/>
    </xf>
    <xf numFmtId="38" fontId="61" fillId="0" borderId="583" xfId="0" applyNumberFormat="1" applyFont="1" applyFill="1" applyBorder="1" applyProtection="1">
      <protection locked="0"/>
    </xf>
    <xf numFmtId="38" fontId="61" fillId="0" borderId="583" xfId="0" applyNumberFormat="1" applyFont="1" applyFill="1" applyBorder="1"/>
    <xf numFmtId="38" fontId="69" fillId="0" borderId="583" xfId="0" applyNumberFormat="1" applyFont="1" applyFill="1" applyBorder="1" applyAlignment="1">
      <alignment horizontal="right"/>
    </xf>
    <xf numFmtId="37" fontId="69" fillId="0" borderId="583" xfId="0" applyNumberFormat="1" applyFont="1" applyFill="1" applyBorder="1" applyAlignment="1">
      <alignment horizontal="right"/>
    </xf>
    <xf numFmtId="5" fontId="61" fillId="0" borderId="583" xfId="0" applyNumberFormat="1" applyFont="1" applyFill="1" applyBorder="1"/>
    <xf numFmtId="0" fontId="120" fillId="0" borderId="315" xfId="4" applyNumberFormat="1" applyFont="1" applyFill="1" applyBorder="1"/>
    <xf numFmtId="0" fontId="120" fillId="0" borderId="316" xfId="4" applyNumberFormat="1" applyFont="1" applyFill="1" applyBorder="1"/>
    <xf numFmtId="0" fontId="120" fillId="0" borderId="318" xfId="4" applyNumberFormat="1" applyFont="1" applyFill="1" applyBorder="1"/>
    <xf numFmtId="0" fontId="120" fillId="0" borderId="319" xfId="4" applyNumberFormat="1" applyFont="1" applyFill="1" applyBorder="1"/>
    <xf numFmtId="0" fontId="57" fillId="30" borderId="607" xfId="4" applyNumberFormat="1" applyFont="1" applyFill="1" applyBorder="1" applyAlignment="1"/>
    <xf numFmtId="0" fontId="57" fillId="30" borderId="608" xfId="4" applyNumberFormat="1" applyFont="1" applyFill="1" applyBorder="1" applyAlignment="1"/>
    <xf numFmtId="0" fontId="57" fillId="30" borderId="608" xfId="4" applyNumberFormat="1" applyFont="1" applyFill="1" applyBorder="1" applyAlignment="1">
      <alignment horizontal="center"/>
    </xf>
    <xf numFmtId="0" fontId="57" fillId="30" borderId="609" xfId="4" applyNumberFormat="1" applyFont="1" applyFill="1" applyBorder="1" applyAlignment="1"/>
    <xf numFmtId="0" fontId="120" fillId="0" borderId="321" xfId="4" applyNumberFormat="1" applyFont="1" applyFill="1" applyBorder="1"/>
    <xf numFmtId="0" fontId="120" fillId="0" borderId="322" xfId="4" applyNumberFormat="1" applyFont="1" applyFill="1" applyBorder="1"/>
    <xf numFmtId="0" fontId="120" fillId="0" borderId="323" xfId="4" applyNumberFormat="1" applyFont="1" applyFill="1" applyBorder="1"/>
    <xf numFmtId="0" fontId="120" fillId="24" borderId="324" xfId="4" applyNumberFormat="1" applyFont="1" applyFill="1" applyBorder="1" applyAlignment="1">
      <alignment horizontal="center"/>
    </xf>
    <xf numFmtId="0" fontId="82" fillId="0" borderId="611" xfId="4" applyNumberFormat="1" applyFont="1" applyFill="1" applyBorder="1"/>
    <xf numFmtId="0" fontId="82" fillId="0" borderId="612" xfId="4" applyNumberFormat="1" applyFont="1" applyFill="1" applyBorder="1"/>
    <xf numFmtId="0" fontId="120" fillId="0" borderId="327" xfId="4" applyNumberFormat="1" applyFont="1" applyFill="1" applyBorder="1"/>
    <xf numFmtId="0" fontId="120" fillId="0" borderId="328" xfId="4" applyNumberFormat="1" applyFont="1" applyFill="1" applyBorder="1"/>
    <xf numFmtId="0" fontId="120" fillId="0" borderId="329" xfId="4" applyNumberFormat="1" applyFont="1" applyFill="1" applyBorder="1"/>
    <xf numFmtId="0" fontId="120" fillId="24" borderId="330" xfId="4" applyNumberFormat="1" applyFont="1" applyFill="1" applyBorder="1" applyAlignment="1">
      <alignment horizontal="center"/>
    </xf>
    <xf numFmtId="0" fontId="82" fillId="0" borderId="613" xfId="4" applyNumberFormat="1" applyFont="1" applyFill="1" applyBorder="1"/>
    <xf numFmtId="0" fontId="82" fillId="0" borderId="329" xfId="4" applyNumberFormat="1" applyFont="1" applyFill="1" applyBorder="1"/>
    <xf numFmtId="0" fontId="121" fillId="0" borderId="607" xfId="13" applyNumberFormat="1" applyFont="1" applyFill="1" applyBorder="1" applyAlignment="1" applyProtection="1">
      <alignment horizontal="center" wrapText="1"/>
    </xf>
    <xf numFmtId="0" fontId="121" fillId="0" borderId="614" xfId="13" applyNumberFormat="1" applyFont="1" applyFill="1" applyBorder="1" applyAlignment="1" applyProtection="1">
      <alignment horizontal="center" wrapText="1"/>
    </xf>
    <xf numFmtId="10" fontId="120" fillId="24" borderId="332" xfId="0" applyNumberFormat="1" applyFont="1" applyFill="1" applyBorder="1" applyAlignment="1">
      <alignment horizontal="center"/>
    </xf>
    <xf numFmtId="0" fontId="122" fillId="0" borderId="613" xfId="4" applyNumberFormat="1" applyFont="1" applyFill="1" applyBorder="1"/>
    <xf numFmtId="3" fontId="120" fillId="0" borderId="4" xfId="13" applyNumberFormat="1" applyFont="1" applyFill="1" applyBorder="1" applyAlignment="1" applyProtection="1"/>
    <xf numFmtId="192" fontId="120" fillId="0" borderId="217" xfId="2" applyNumberFormat="1" applyFont="1" applyFill="1" applyBorder="1" applyAlignment="1" applyProtection="1"/>
    <xf numFmtId="10" fontId="120" fillId="26" borderId="332" xfId="14" applyNumberFormat="1" applyFont="1" applyFill="1" applyBorder="1" applyAlignment="1" applyProtection="1">
      <alignment horizontal="center"/>
    </xf>
    <xf numFmtId="192" fontId="120" fillId="0" borderId="201" xfId="2" applyNumberFormat="1" applyFont="1" applyFill="1" applyBorder="1" applyAlignment="1" applyProtection="1"/>
    <xf numFmtId="0" fontId="120" fillId="0" borderId="333" xfId="4" applyNumberFormat="1" applyFont="1" applyFill="1" applyBorder="1"/>
    <xf numFmtId="10" fontId="120" fillId="24" borderId="348" xfId="0" applyNumberFormat="1" applyFont="1" applyFill="1" applyBorder="1" applyAlignment="1">
      <alignment horizontal="center"/>
    </xf>
    <xf numFmtId="0" fontId="122" fillId="0" borderId="615" xfId="4" applyNumberFormat="1" applyFont="1" applyFill="1" applyBorder="1"/>
    <xf numFmtId="0" fontId="82" fillId="0" borderId="616" xfId="4" applyNumberFormat="1" applyFont="1" applyFill="1" applyBorder="1"/>
    <xf numFmtId="192" fontId="120" fillId="0" borderId="614" xfId="2" applyNumberFormat="1" applyFont="1" applyFill="1" applyBorder="1" applyAlignment="1" applyProtection="1"/>
    <xf numFmtId="0" fontId="120" fillId="0" borderId="334" xfId="4" applyNumberFormat="1" applyFont="1" applyFill="1" applyBorder="1"/>
    <xf numFmtId="10" fontId="120" fillId="25" borderId="348" xfId="0" applyNumberFormat="1" applyFont="1" applyFill="1" applyBorder="1" applyAlignment="1">
      <alignment horizontal="center"/>
    </xf>
    <xf numFmtId="3" fontId="120" fillId="0" borderId="201" xfId="13" applyNumberFormat="1" applyFont="1" applyFill="1" applyBorder="1" applyAlignment="1" applyProtection="1"/>
    <xf numFmtId="10" fontId="120" fillId="0" borderId="349" xfId="0" applyNumberFormat="1" applyFont="1" applyFill="1" applyBorder="1"/>
    <xf numFmtId="0" fontId="120" fillId="2" borderId="349" xfId="0" applyNumberFormat="1" applyFont="1" applyFill="1" applyBorder="1"/>
    <xf numFmtId="39" fontId="120" fillId="24" borderId="350" xfId="0" applyNumberFormat="1" applyFont="1" applyFill="1" applyBorder="1" applyAlignment="1">
      <alignment horizontal="center"/>
    </xf>
    <xf numFmtId="0" fontId="120" fillId="0" borderId="336" xfId="4" applyNumberFormat="1" applyFont="1" applyFill="1" applyBorder="1"/>
    <xf numFmtId="0" fontId="120" fillId="24" borderId="337" xfId="4" applyNumberFormat="1" applyFont="1" applyFill="1" applyBorder="1" applyAlignment="1">
      <alignment horizontal="center"/>
    </xf>
    <xf numFmtId="0" fontId="120" fillId="24" borderId="338" xfId="4" applyNumberFormat="1" applyFont="1" applyFill="1" applyBorder="1" applyAlignment="1">
      <alignment horizontal="center"/>
    </xf>
    <xf numFmtId="0" fontId="122" fillId="0" borderId="617" xfId="4" applyNumberFormat="1" applyFont="1" applyFill="1" applyBorder="1"/>
    <xf numFmtId="0" fontId="82" fillId="0" borderId="618" xfId="4" applyNumberFormat="1" applyFont="1" applyFill="1" applyBorder="1"/>
    <xf numFmtId="0" fontId="89" fillId="31" borderId="614" xfId="0" applyNumberFormat="1" applyFont="1" applyFill="1" applyBorder="1" applyAlignment="1">
      <alignment vertical="center"/>
    </xf>
    <xf numFmtId="0" fontId="120" fillId="0" borderId="621" xfId="0" applyNumberFormat="1" applyFont="1" applyFill="1" applyBorder="1"/>
    <xf numFmtId="0" fontId="0" fillId="2" borderId="609" xfId="0" applyFont="1" applyBorder="1"/>
    <xf numFmtId="0" fontId="120" fillId="0" borderId="614" xfId="0" applyNumberFormat="1" applyFont="1" applyFill="1" applyBorder="1"/>
    <xf numFmtId="2" fontId="120" fillId="24" borderId="614" xfId="0" applyNumberFormat="1" applyFont="1" applyFill="1" applyBorder="1"/>
    <xf numFmtId="39" fontId="120" fillId="0" borderId="614" xfId="0" applyNumberFormat="1" applyFont="1" applyFill="1" applyBorder="1"/>
    <xf numFmtId="39" fontId="120" fillId="0" borderId="620" xfId="0" applyNumberFormat="1" applyFont="1" applyFill="1" applyBorder="1"/>
    <xf numFmtId="2" fontId="120" fillId="0" borderId="614" xfId="0" applyNumberFormat="1" applyFont="1" applyFill="1" applyBorder="1"/>
    <xf numFmtId="0" fontId="120" fillId="0" borderId="314" xfId="0" applyNumberFormat="1" applyFont="1" applyFill="1" applyBorder="1"/>
    <xf numFmtId="0" fontId="0" fillId="2" borderId="205" xfId="0" applyFont="1" applyBorder="1"/>
    <xf numFmtId="2" fontId="120" fillId="0" borderId="204" xfId="0" applyNumberFormat="1" applyFont="1" applyFill="1" applyBorder="1"/>
    <xf numFmtId="2" fontId="120" fillId="24" borderId="204" xfId="0" applyNumberFormat="1" applyFont="1" applyFill="1" applyBorder="1"/>
    <xf numFmtId="39" fontId="120" fillId="0" borderId="204" xfId="0" applyNumberFormat="1" applyFont="1" applyFill="1" applyBorder="1"/>
    <xf numFmtId="39" fontId="120" fillId="0" borderId="249" xfId="0" applyNumberFormat="1" applyFont="1" applyFill="1" applyBorder="1"/>
    <xf numFmtId="0" fontId="123" fillId="30" borderId="614" xfId="0" applyNumberFormat="1" applyFont="1" applyFill="1" applyBorder="1" applyAlignment="1">
      <alignment horizontal="center" vertical="center"/>
    </xf>
    <xf numFmtId="0" fontId="120" fillId="30" borderId="614" xfId="0" applyNumberFormat="1" applyFont="1" applyFill="1" applyBorder="1" applyAlignment="1">
      <alignment horizontal="center" vertical="center"/>
    </xf>
    <xf numFmtId="0" fontId="123" fillId="30" borderId="614" xfId="0" applyNumberFormat="1" applyFont="1" applyFill="1" applyBorder="1" applyAlignment="1">
      <alignment horizontal="center" vertical="center" wrapText="1"/>
    </xf>
    <xf numFmtId="2" fontId="123" fillId="30" borderId="614" xfId="0" applyNumberFormat="1" applyFont="1" applyFill="1" applyBorder="1" applyAlignment="1">
      <alignment horizontal="center" vertical="center"/>
    </xf>
    <xf numFmtId="2" fontId="120" fillId="30" borderId="614" xfId="0" applyNumberFormat="1" applyFont="1" applyFill="1" applyBorder="1" applyAlignment="1">
      <alignment horizontal="center" vertical="center"/>
    </xf>
    <xf numFmtId="0" fontId="120" fillId="22" borderId="622" xfId="0" applyNumberFormat="1" applyFont="1" applyFill="1" applyBorder="1"/>
    <xf numFmtId="1" fontId="120" fillId="0" borderId="623" xfId="0" applyNumberFormat="1" applyFont="1" applyFill="1" applyBorder="1" applyAlignment="1">
      <alignment horizontal="center"/>
    </xf>
    <xf numFmtId="2" fontId="120" fillId="0" borderId="623" xfId="0" applyNumberFormat="1" applyFont="1" applyFill="1" applyBorder="1"/>
    <xf numFmtId="14" fontId="120" fillId="0" borderId="624" xfId="0" applyNumberFormat="1" applyFont="1" applyFill="1" applyBorder="1" applyAlignment="1">
      <alignment horizontal="center"/>
    </xf>
    <xf numFmtId="0" fontId="0" fillId="2" borderId="0" xfId="0" applyFont="1"/>
    <xf numFmtId="0" fontId="120" fillId="0" borderId="622" xfId="0" applyNumberFormat="1" applyFont="1" applyFill="1" applyBorder="1"/>
    <xf numFmtId="0" fontId="120" fillId="22" borderId="625" xfId="0" applyNumberFormat="1" applyFont="1" applyFill="1" applyBorder="1"/>
    <xf numFmtId="1" fontId="120" fillId="0" borderId="626" xfId="0" applyNumberFormat="1" applyFont="1" applyFill="1" applyBorder="1" applyAlignment="1">
      <alignment horizontal="center"/>
    </xf>
    <xf numFmtId="2" fontId="120" fillId="0" borderId="626" xfId="0" applyNumberFormat="1" applyFont="1" applyFill="1" applyBorder="1"/>
    <xf numFmtId="14" fontId="120" fillId="0" borderId="627" xfId="0" applyNumberFormat="1" applyFont="1" applyFill="1" applyBorder="1" applyAlignment="1">
      <alignment horizontal="center"/>
    </xf>
    <xf numFmtId="0" fontId="124" fillId="2" borderId="0" xfId="0" applyFont="1"/>
    <xf numFmtId="0" fontId="125" fillId="30" borderId="628" xfId="0" applyNumberFormat="1" applyFont="1" applyFill="1" applyBorder="1" applyAlignment="1">
      <alignment horizontal="center" vertical="center"/>
    </xf>
    <xf numFmtId="0" fontId="125" fillId="30" borderId="614" xfId="0" applyNumberFormat="1" applyFont="1" applyFill="1" applyBorder="1" applyAlignment="1">
      <alignment horizontal="center" vertical="center"/>
    </xf>
    <xf numFmtId="2" fontId="80" fillId="30" borderId="614" xfId="0" applyNumberFormat="1" applyFont="1" applyFill="1" applyBorder="1" applyAlignment="1">
      <alignment horizontal="center" vertical="center" wrapText="1"/>
    </xf>
    <xf numFmtId="0" fontId="61" fillId="0" borderId="629" xfId="0" applyFont="1" applyFill="1" applyBorder="1"/>
    <xf numFmtId="0" fontId="120" fillId="0" borderId="630" xfId="0" applyNumberFormat="1" applyFont="1" applyFill="1" applyBorder="1"/>
    <xf numFmtId="2" fontId="120" fillId="0" borderId="631" xfId="0" applyNumberFormat="1" applyFont="1" applyFill="1" applyBorder="1"/>
    <xf numFmtId="2" fontId="120" fillId="0" borderId="214" xfId="0" applyNumberFormat="1" applyFont="1" applyFill="1" applyBorder="1"/>
    <xf numFmtId="2" fontId="120" fillId="0" borderId="632" xfId="0" applyNumberFormat="1" applyFont="1" applyFill="1" applyBorder="1"/>
    <xf numFmtId="0" fontId="120" fillId="0" borderId="633" xfId="0" applyNumberFormat="1" applyFont="1" applyFill="1" applyBorder="1"/>
    <xf numFmtId="2" fontId="120" fillId="0" borderId="573" xfId="0" applyNumberFormat="1" applyFont="1" applyFill="1" applyBorder="1"/>
    <xf numFmtId="0" fontId="120" fillId="0" borderId="632" xfId="0" applyFont="1" applyFill="1" applyBorder="1"/>
    <xf numFmtId="0" fontId="122" fillId="0" borderId="633" xfId="0" applyNumberFormat="1" applyFont="1" applyFill="1" applyBorder="1"/>
    <xf numFmtId="0" fontId="120" fillId="0" borderId="575" xfId="0" applyNumberFormat="1" applyFont="1" applyFill="1" applyBorder="1"/>
    <xf numFmtId="2" fontId="120" fillId="0" borderId="576" xfId="0" applyNumberFormat="1" applyFont="1" applyFill="1" applyBorder="1"/>
    <xf numFmtId="2" fontId="120" fillId="0" borderId="577" xfId="0" applyNumberFormat="1" applyFont="1" applyFill="1" applyBorder="1"/>
    <xf numFmtId="0" fontId="120" fillId="0" borderId="578" xfId="0" applyNumberFormat="1" applyFont="1" applyFill="1" applyBorder="1"/>
    <xf numFmtId="0" fontId="120" fillId="0" borderId="632" xfId="0" applyNumberFormat="1" applyFont="1" applyFill="1" applyBorder="1"/>
    <xf numFmtId="0" fontId="120" fillId="0" borderId="631" xfId="0" applyNumberFormat="1" applyFont="1" applyFill="1" applyBorder="1"/>
    <xf numFmtId="39" fontId="61" fillId="0" borderId="0" xfId="0" applyNumberFormat="1" applyFont="1" applyFill="1"/>
    <xf numFmtId="0" fontId="120" fillId="0" borderId="579" xfId="0" applyNumberFormat="1" applyFont="1" applyFill="1" applyBorder="1"/>
    <xf numFmtId="0" fontId="120" fillId="0" borderId="580" xfId="0" applyNumberFormat="1" applyFont="1" applyFill="1" applyBorder="1"/>
    <xf numFmtId="0" fontId="120" fillId="0" borderId="581" xfId="0" applyFont="1" applyFill="1" applyBorder="1"/>
    <xf numFmtId="0" fontId="120" fillId="0" borderId="212" xfId="0" applyNumberFormat="1" applyFont="1" applyFill="1" applyBorder="1"/>
    <xf numFmtId="0" fontId="120" fillId="0" borderId="215" xfId="0" applyNumberFormat="1" applyFont="1" applyFill="1" applyBorder="1"/>
    <xf numFmtId="0" fontId="120" fillId="0" borderId="215" xfId="0" applyFont="1" applyFill="1" applyBorder="1"/>
    <xf numFmtId="0" fontId="120" fillId="0" borderId="584" xfId="0" applyNumberFormat="1" applyFont="1" applyFill="1" applyBorder="1"/>
    <xf numFmtId="2" fontId="120" fillId="0" borderId="584" xfId="0" applyNumberFormat="1" applyFont="1" applyFill="1" applyBorder="1"/>
    <xf numFmtId="0" fontId="126" fillId="0" borderId="634" xfId="0" applyNumberFormat="1" applyFont="1" applyFill="1" applyBorder="1"/>
    <xf numFmtId="0" fontId="126" fillId="0" borderId="635" xfId="0" applyNumberFormat="1" applyFont="1" applyFill="1" applyBorder="1" applyAlignment="1">
      <alignment horizontal="center"/>
    </xf>
    <xf numFmtId="0" fontId="127" fillId="0" borderId="636" xfId="0" applyNumberFormat="1" applyFont="1" applyFill="1" applyBorder="1"/>
    <xf numFmtId="0" fontId="116" fillId="0" borderId="14" xfId="0" applyNumberFormat="1" applyFont="1" applyFill="1" applyBorder="1"/>
    <xf numFmtId="2" fontId="116" fillId="0" borderId="638" xfId="0" applyNumberFormat="1" applyFont="1" applyFill="1" applyBorder="1"/>
    <xf numFmtId="0" fontId="116" fillId="0" borderId="14" xfId="0" applyFont="1" applyFill="1" applyBorder="1"/>
    <xf numFmtId="0" fontId="127" fillId="0" borderId="639" xfId="0" applyNumberFormat="1" applyFont="1" applyFill="1" applyBorder="1"/>
    <xf numFmtId="0" fontId="116" fillId="0" borderId="641" xfId="0" applyNumberFormat="1" applyFont="1" applyFill="1" applyBorder="1"/>
    <xf numFmtId="2" fontId="116" fillId="0" borderId="642" xfId="0" applyNumberFormat="1" applyFont="1" applyFill="1" applyBorder="1"/>
    <xf numFmtId="0" fontId="116" fillId="0" borderId="641" xfId="0" applyFont="1" applyFill="1" applyBorder="1"/>
    <xf numFmtId="0" fontId="127" fillId="0" borderId="643" xfId="0" applyNumberFormat="1" applyFont="1" applyFill="1" applyBorder="1"/>
    <xf numFmtId="0" fontId="116" fillId="0" borderId="595" xfId="0" applyNumberFormat="1" applyFont="1" applyFill="1" applyBorder="1"/>
    <xf numFmtId="2" fontId="116" fillId="0" borderId="645" xfId="0" applyNumberFormat="1" applyFont="1" applyFill="1" applyBorder="1"/>
    <xf numFmtId="0" fontId="127" fillId="0" borderId="646" xfId="0" applyNumberFormat="1" applyFont="1" applyFill="1" applyBorder="1"/>
    <xf numFmtId="1" fontId="80" fillId="0" borderId="647" xfId="0" applyNumberFormat="1" applyFont="1" applyFill="1" applyBorder="1"/>
    <xf numFmtId="2" fontId="80" fillId="0" borderId="648" xfId="0" applyNumberFormat="1" applyFont="1" applyFill="1" applyBorder="1"/>
    <xf numFmtId="1" fontId="0" fillId="2" borderId="0" xfId="0" applyNumberFormat="1"/>
    <xf numFmtId="0" fontId="116" fillId="0" borderId="21" xfId="0" applyFont="1" applyFill="1" applyBorder="1"/>
    <xf numFmtId="0" fontId="127" fillId="0" borderId="0" xfId="0" applyNumberFormat="1" applyFont="1" applyFill="1" applyBorder="1"/>
    <xf numFmtId="1" fontId="80" fillId="0" borderId="0" xfId="0" applyNumberFormat="1" applyFont="1" applyFill="1" applyBorder="1"/>
    <xf numFmtId="2" fontId="80" fillId="0" borderId="0" xfId="0" applyNumberFormat="1" applyFont="1" applyFill="1" applyBorder="1"/>
    <xf numFmtId="0" fontId="127" fillId="0" borderId="649" xfId="0" applyNumberFormat="1" applyFont="1" applyFill="1" applyBorder="1"/>
    <xf numFmtId="0" fontId="128" fillId="0" borderId="636" xfId="0" applyNumberFormat="1" applyFont="1" applyFill="1" applyBorder="1"/>
    <xf numFmtId="0" fontId="128" fillId="0" borderId="639" xfId="0" applyNumberFormat="1" applyFont="1" applyFill="1" applyBorder="1"/>
    <xf numFmtId="0" fontId="128" fillId="0" borderId="597" xfId="0" applyNumberFormat="1" applyFont="1" applyFill="1" applyBorder="1"/>
    <xf numFmtId="0" fontId="129" fillId="0" borderId="646" xfId="0" applyNumberFormat="1" applyFont="1" applyFill="1" applyBorder="1"/>
    <xf numFmtId="0" fontId="127" fillId="0" borderId="597" xfId="0" applyNumberFormat="1" applyFont="1" applyFill="1" applyBorder="1"/>
    <xf numFmtId="0" fontId="126" fillId="0" borderId="651" xfId="0" applyNumberFormat="1" applyFont="1" applyFill="1" applyBorder="1"/>
    <xf numFmtId="0" fontId="126" fillId="0" borderId="614" xfId="0" applyNumberFormat="1" applyFont="1" applyFill="1" applyBorder="1" applyAlignment="1">
      <alignment horizontal="center"/>
    </xf>
    <xf numFmtId="0" fontId="127" fillId="0" borderId="633" xfId="0" applyNumberFormat="1" applyFont="1" applyFill="1" applyBorder="1"/>
    <xf numFmtId="0" fontId="127" fillId="0" borderId="599" xfId="0" applyNumberFormat="1" applyFont="1" applyFill="1" applyBorder="1"/>
    <xf numFmtId="2" fontId="116" fillId="0" borderId="576" xfId="0" applyNumberFormat="1" applyFont="1" applyFill="1" applyBorder="1"/>
    <xf numFmtId="0" fontId="127" fillId="0" borderId="651" xfId="0" applyNumberFormat="1" applyFont="1" applyFill="1" applyBorder="1"/>
    <xf numFmtId="1" fontId="80" fillId="0" borderId="652" xfId="0" applyNumberFormat="1" applyFont="1" applyFill="1" applyBorder="1"/>
    <xf numFmtId="2" fontId="80" fillId="0" borderId="653" xfId="0" applyNumberFormat="1" applyFont="1" applyFill="1" applyBorder="1"/>
    <xf numFmtId="0" fontId="127" fillId="0" borderId="661" xfId="0" applyNumberFormat="1" applyFont="1" applyFill="1" applyBorder="1"/>
    <xf numFmtId="0" fontId="127" fillId="0" borderId="621" xfId="0" applyNumberFormat="1" applyFont="1" applyFill="1" applyBorder="1"/>
    <xf numFmtId="0" fontId="127" fillId="0" borderId="63" xfId="0" applyNumberFormat="1" applyFont="1" applyFill="1" applyBorder="1"/>
    <xf numFmtId="2" fontId="129" fillId="0" borderId="0" xfId="0" applyNumberFormat="1" applyFont="1" applyFill="1" applyBorder="1"/>
    <xf numFmtId="0" fontId="120" fillId="28" borderId="337" xfId="4" applyNumberFormat="1" applyFont="1" applyFill="1" applyBorder="1" applyAlignment="1">
      <alignment horizontal="center"/>
    </xf>
    <xf numFmtId="0" fontId="122" fillId="28" borderId="615" xfId="4" applyNumberFormat="1" applyFont="1" applyFill="1" applyBorder="1"/>
    <xf numFmtId="0" fontId="124" fillId="0" borderId="0" xfId="0" applyFont="1" applyFill="1"/>
    <xf numFmtId="0" fontId="119" fillId="0" borderId="222" xfId="0" applyFont="1" applyFill="1" applyBorder="1"/>
    <xf numFmtId="0" fontId="0" fillId="0" borderId="637" xfId="0" applyFont="1" applyFill="1" applyBorder="1"/>
    <xf numFmtId="0" fontId="0" fillId="0" borderId="0" xfId="0" applyFont="1" applyFill="1"/>
    <xf numFmtId="0" fontId="0" fillId="0" borderId="640" xfId="0" applyFont="1" applyFill="1" applyBorder="1"/>
    <xf numFmtId="0" fontId="0" fillId="0" borderId="644" xfId="0" applyFont="1" applyFill="1" applyBorder="1"/>
    <xf numFmtId="0" fontId="0" fillId="0" borderId="91" xfId="0" applyFont="1" applyFill="1" applyBorder="1"/>
    <xf numFmtId="0" fontId="0" fillId="0" borderId="0" xfId="0" applyFont="1" applyFill="1" applyBorder="1"/>
    <xf numFmtId="0" fontId="0" fillId="0" borderId="637" xfId="0" applyFill="1" applyBorder="1"/>
    <xf numFmtId="0" fontId="0" fillId="0" borderId="640" xfId="0" applyFill="1" applyBorder="1"/>
    <xf numFmtId="176" fontId="116" fillId="0" borderId="642" xfId="0" applyNumberFormat="1" applyFont="1" applyFill="1" applyBorder="1"/>
    <xf numFmtId="0" fontId="0" fillId="0" borderId="650" xfId="0" applyFill="1" applyBorder="1"/>
    <xf numFmtId="0" fontId="116" fillId="0" borderId="595" xfId="0" applyFont="1" applyFill="1" applyBorder="1"/>
    <xf numFmtId="0" fontId="0" fillId="0" borderId="644" xfId="0" applyFill="1" applyBorder="1"/>
    <xf numFmtId="0" fontId="0" fillId="0" borderId="91" xfId="0" applyFill="1" applyBorder="1"/>
    <xf numFmtId="0" fontId="119" fillId="0" borderId="608" xfId="0" applyFont="1" applyFill="1" applyBorder="1"/>
    <xf numFmtId="2" fontId="116" fillId="0" borderId="631" xfId="0" applyNumberFormat="1" applyFont="1" applyFill="1" applyBorder="1"/>
    <xf numFmtId="0" fontId="0" fillId="0" borderId="608" xfId="0" applyFont="1" applyFill="1" applyBorder="1"/>
    <xf numFmtId="0" fontId="0" fillId="0" borderId="56" xfId="0" applyFill="1" applyBorder="1"/>
    <xf numFmtId="0" fontId="0" fillId="0" borderId="61" xfId="0" applyFill="1" applyBorder="1"/>
    <xf numFmtId="0" fontId="0" fillId="0" borderId="655" xfId="0" applyFont="1" applyFill="1" applyBorder="1"/>
    <xf numFmtId="0" fontId="0" fillId="0" borderId="214" xfId="0" applyFont="1" applyFill="1" applyBorder="1"/>
    <xf numFmtId="0" fontId="0" fillId="0" borderId="656" xfId="0" applyFont="1" applyFill="1" applyBorder="1"/>
    <xf numFmtId="0" fontId="0" fillId="0" borderId="657" xfId="0" applyFont="1" applyFill="1" applyBorder="1"/>
    <xf numFmtId="0" fontId="0" fillId="0" borderId="632" xfId="0" applyFont="1" applyFill="1" applyBorder="1"/>
    <xf numFmtId="171" fontId="0" fillId="0" borderId="658" xfId="0" applyNumberFormat="1" applyFont="1" applyFill="1" applyBorder="1"/>
    <xf numFmtId="0" fontId="0" fillId="0" borderId="659" xfId="0" applyFont="1" applyFill="1" applyBorder="1"/>
    <xf numFmtId="0" fontId="0" fillId="0" borderId="581" xfId="0" applyFont="1" applyFill="1" applyBorder="1"/>
    <xf numFmtId="171" fontId="0" fillId="0" borderId="660" xfId="0" applyNumberFormat="1" applyFont="1" applyFill="1" applyBorder="1"/>
    <xf numFmtId="0" fontId="0" fillId="0" borderId="13" xfId="0" applyFont="1" applyFill="1" applyBorder="1"/>
    <xf numFmtId="0" fontId="0" fillId="0" borderId="629" xfId="0" applyFont="1" applyFill="1" applyBorder="1"/>
    <xf numFmtId="171" fontId="0" fillId="0" borderId="662" xfId="0" applyNumberFormat="1" applyFont="1" applyFill="1" applyBorder="1"/>
    <xf numFmtId="0" fontId="0" fillId="0" borderId="596" xfId="0" applyFont="1" applyFill="1" applyBorder="1"/>
    <xf numFmtId="0" fontId="0" fillId="0" borderId="577" xfId="0" applyFont="1" applyFill="1" applyBorder="1"/>
    <xf numFmtId="171" fontId="0" fillId="0" borderId="663" xfId="0" applyNumberFormat="1" applyFont="1" applyFill="1" applyBorder="1"/>
    <xf numFmtId="171" fontId="0" fillId="0" borderId="656" xfId="0" applyNumberFormat="1" applyFont="1" applyFill="1" applyBorder="1"/>
    <xf numFmtId="0" fontId="0" fillId="0" borderId="664" xfId="0" applyFont="1" applyFill="1" applyBorder="1"/>
    <xf numFmtId="0" fontId="0" fillId="0" borderId="614" xfId="0" applyFont="1" applyFill="1" applyBorder="1"/>
    <xf numFmtId="171" fontId="0" fillId="0" borderId="620" xfId="0" applyNumberFormat="1" applyFont="1" applyFill="1" applyBorder="1"/>
    <xf numFmtId="1" fontId="0" fillId="0" borderId="629" xfId="0" applyNumberFormat="1" applyFont="1" applyFill="1" applyBorder="1"/>
    <xf numFmtId="0" fontId="0" fillId="0" borderId="598" xfId="0" applyFont="1" applyFill="1" applyBorder="1"/>
    <xf numFmtId="0" fontId="0" fillId="0" borderId="665" xfId="0" applyFont="1" applyFill="1" applyBorder="1"/>
    <xf numFmtId="1" fontId="0" fillId="0" borderId="654" xfId="0" applyNumberFormat="1" applyFont="1" applyFill="1" applyBorder="1"/>
    <xf numFmtId="171" fontId="0" fillId="0" borderId="252" xfId="0" applyNumberFormat="1" applyFont="1" applyFill="1" applyBorder="1"/>
    <xf numFmtId="0" fontId="82" fillId="28" borderId="216" xfId="8" applyFont="1" applyFill="1" applyBorder="1" applyAlignment="1">
      <alignment wrapText="1"/>
    </xf>
    <xf numFmtId="9" fontId="82" fillId="28" borderId="208" xfId="12" applyFont="1" applyFill="1" applyBorder="1" applyAlignment="1">
      <alignment wrapText="1"/>
    </xf>
    <xf numFmtId="0" fontId="82" fillId="28" borderId="211" xfId="8" applyFont="1" applyFill="1" applyBorder="1" applyAlignment="1">
      <alignment wrapText="1"/>
    </xf>
    <xf numFmtId="0" fontId="82" fillId="28" borderId="208" xfId="8" applyFont="1" applyFill="1" applyBorder="1" applyAlignment="1">
      <alignment wrapText="1"/>
    </xf>
    <xf numFmtId="0" fontId="82" fillId="28" borderId="208" xfId="8" applyFont="1" applyFill="1" applyBorder="1" applyAlignment="1">
      <alignment horizontal="right" wrapText="1"/>
    </xf>
    <xf numFmtId="14" fontId="82" fillId="28" borderId="0" xfId="12" applyNumberFormat="1" applyFont="1" applyFill="1" applyBorder="1" applyAlignment="1">
      <alignment horizontal="left"/>
    </xf>
    <xf numFmtId="0" fontId="68" fillId="4" borderId="0" xfId="0" applyNumberFormat="1" applyFont="1" applyFill="1" applyBorder="1" applyAlignment="1">
      <alignment horizontal="left" vertical="center"/>
    </xf>
    <xf numFmtId="0" fontId="130" fillId="4" borderId="0" xfId="0" applyNumberFormat="1" applyFont="1" applyFill="1" applyBorder="1" applyAlignment="1">
      <alignment horizontal="left" vertical="center"/>
    </xf>
    <xf numFmtId="2" fontId="120" fillId="28" borderId="614" xfId="0" applyNumberFormat="1" applyFont="1" applyFill="1" applyBorder="1"/>
    <xf numFmtId="2" fontId="120" fillId="28" borderId="204" xfId="0" applyNumberFormat="1" applyFont="1" applyFill="1" applyBorder="1"/>
    <xf numFmtId="2" fontId="120" fillId="0" borderId="666" xfId="0" applyNumberFormat="1" applyFont="1" applyFill="1" applyBorder="1"/>
    <xf numFmtId="4" fontId="120" fillId="28" borderId="0" xfId="0" applyNumberFormat="1" applyFont="1" applyFill="1" applyBorder="1"/>
    <xf numFmtId="0" fontId="120" fillId="28" borderId="0" xfId="0" applyNumberFormat="1" applyFont="1" applyFill="1" applyBorder="1"/>
    <xf numFmtId="0" fontId="120" fillId="28" borderId="0" xfId="0" applyNumberFormat="1" applyFont="1" applyFill="1" applyBorder="1" applyAlignment="1">
      <alignment horizontal="right"/>
    </xf>
    <xf numFmtId="9" fontId="120" fillId="28" borderId="0" xfId="12" applyNumberFormat="1" applyFont="1" applyFill="1" applyBorder="1" applyAlignment="1">
      <alignment horizontal="center"/>
    </xf>
    <xf numFmtId="5" fontId="61" fillId="0" borderId="657" xfId="0" applyNumberFormat="1" applyFont="1" applyFill="1" applyBorder="1"/>
    <xf numFmtId="10" fontId="61" fillId="0" borderId="14" xfId="0" applyNumberFormat="1" applyFont="1" applyFill="1" applyBorder="1"/>
    <xf numFmtId="0" fontId="69" fillId="10" borderId="0" xfId="0" applyNumberFormat="1" applyFont="1" applyFill="1" applyBorder="1" applyAlignment="1">
      <alignment horizontal="right"/>
    </xf>
    <xf numFmtId="189" fontId="72" fillId="0" borderId="641" xfId="0" applyNumberFormat="1" applyFont="1" applyFill="1" applyBorder="1"/>
    <xf numFmtId="189" fontId="61" fillId="0" borderId="657" xfId="0" applyNumberFormat="1" applyFont="1" applyFill="1" applyBorder="1" applyAlignment="1">
      <alignment horizontal="center"/>
    </xf>
    <xf numFmtId="169" fontId="61" fillId="0" borderId="640" xfId="0" applyNumberFormat="1" applyFont="1" applyFill="1" applyBorder="1"/>
    <xf numFmtId="38" fontId="69" fillId="0" borderId="641" xfId="0" applyNumberFormat="1" applyFont="1" applyFill="1" applyBorder="1" applyAlignment="1">
      <alignment horizontal="center"/>
    </xf>
    <xf numFmtId="38" fontId="61" fillId="0" borderId="641" xfId="0" applyNumberFormat="1" applyFont="1" applyFill="1" applyBorder="1" applyProtection="1">
      <protection locked="0"/>
    </xf>
    <xf numFmtId="38" fontId="61" fillId="0" borderId="641" xfId="0" applyNumberFormat="1" applyFont="1" applyFill="1" applyBorder="1"/>
    <xf numFmtId="37" fontId="61" fillId="0" borderId="641" xfId="0" applyNumberFormat="1" applyFont="1" applyFill="1" applyBorder="1"/>
    <xf numFmtId="38" fontId="69" fillId="0" borderId="641" xfId="0" applyNumberFormat="1" applyFont="1" applyFill="1" applyBorder="1" applyAlignment="1">
      <alignment horizontal="right"/>
    </xf>
    <xf numFmtId="5" fontId="61" fillId="0" borderId="641" xfId="0" applyNumberFormat="1" applyFont="1" applyFill="1" applyBorder="1"/>
    <xf numFmtId="189" fontId="61" fillId="0" borderId="0" xfId="0" applyNumberFormat="1" applyFont="1" applyFill="1" applyBorder="1"/>
    <xf numFmtId="189" fontId="61" fillId="0" borderId="0" xfId="0" applyNumberFormat="1" applyFont="1" applyFill="1"/>
    <xf numFmtId="37" fontId="69" fillId="0" borderId="641" xfId="0" applyNumberFormat="1" applyFont="1" applyFill="1" applyBorder="1" applyAlignment="1">
      <alignment horizontal="right"/>
    </xf>
    <xf numFmtId="189" fontId="61" fillId="2" borderId="0" xfId="0" applyNumberFormat="1" applyFont="1" applyFill="1"/>
    <xf numFmtId="189" fontId="72" fillId="0" borderId="583" xfId="0" applyNumberFormat="1" applyFont="1" applyFill="1" applyBorder="1"/>
    <xf numFmtId="189" fontId="61" fillId="0" borderId="594" xfId="0" applyNumberFormat="1" applyFont="1" applyFill="1" applyBorder="1" applyAlignment="1">
      <alignment horizontal="center"/>
    </xf>
    <xf numFmtId="189" fontId="69" fillId="0" borderId="641" xfId="0" applyNumberFormat="1" applyFont="1" applyFill="1" applyBorder="1"/>
    <xf numFmtId="189" fontId="69" fillId="0" borderId="583" xfId="0" applyNumberFormat="1" applyFont="1" applyFill="1" applyBorder="1"/>
    <xf numFmtId="189" fontId="69" fillId="4" borderId="668" xfId="0" applyNumberFormat="1" applyFont="1" applyFill="1" applyBorder="1"/>
    <xf numFmtId="169" fontId="61" fillId="0" borderId="669" xfId="0" applyNumberFormat="1" applyFont="1" applyFill="1" applyBorder="1" applyProtection="1">
      <protection locked="0"/>
    </xf>
    <xf numFmtId="38" fontId="69" fillId="0" borderId="669" xfId="0" applyNumberFormat="1" applyFont="1" applyFill="1" applyBorder="1" applyAlignment="1">
      <alignment horizontal="center"/>
    </xf>
    <xf numFmtId="4" fontId="61" fillId="0" borderId="669" xfId="0" applyNumberFormat="1" applyFont="1" applyFill="1" applyBorder="1" applyAlignment="1">
      <alignment horizontal="right"/>
    </xf>
    <xf numFmtId="37" fontId="61" fillId="0" borderId="669" xfId="0" applyNumberFormat="1" applyFont="1" applyFill="1" applyBorder="1" applyAlignment="1" applyProtection="1">
      <alignment horizontal="right"/>
      <protection locked="0"/>
    </xf>
    <xf numFmtId="2" fontId="61" fillId="0" borderId="669" xfId="0" applyNumberFormat="1" applyFont="1" applyFill="1" applyBorder="1" applyAlignment="1">
      <alignment horizontal="right"/>
    </xf>
    <xf numFmtId="37" fontId="61" fillId="0" borderId="669" xfId="0" applyNumberFormat="1" applyFont="1" applyFill="1" applyBorder="1" applyAlignment="1">
      <alignment horizontal="right"/>
    </xf>
    <xf numFmtId="37" fontId="61" fillId="0" borderId="669" xfId="0" applyNumberFormat="1" applyFont="1" applyFill="1" applyBorder="1"/>
    <xf numFmtId="37" fontId="69" fillId="0" borderId="669" xfId="0" applyNumberFormat="1" applyFont="1" applyFill="1" applyBorder="1" applyAlignment="1">
      <alignment horizontal="right"/>
    </xf>
    <xf numFmtId="37" fontId="69" fillId="0" borderId="669" xfId="0" applyNumberFormat="1" applyFont="1" applyFill="1" applyBorder="1" applyAlignment="1">
      <alignment horizontal="center"/>
    </xf>
    <xf numFmtId="5" fontId="61" fillId="0" borderId="669" xfId="0" applyNumberFormat="1" applyFont="1" applyFill="1" applyBorder="1"/>
    <xf numFmtId="5" fontId="61" fillId="0" borderId="670" xfId="0" applyNumberFormat="1" applyFont="1" applyFill="1" applyBorder="1"/>
    <xf numFmtId="178" fontId="61" fillId="0" borderId="671" xfId="0" applyNumberFormat="1" applyFont="1" applyFill="1" applyBorder="1" applyAlignment="1" applyProtection="1">
      <alignment horizontal="center"/>
      <protection locked="0"/>
    </xf>
    <xf numFmtId="37" fontId="69" fillId="0" borderId="671" xfId="0" applyNumberFormat="1" applyFont="1" applyFill="1" applyBorder="1" applyAlignment="1">
      <alignment horizontal="right"/>
    </xf>
    <xf numFmtId="38" fontId="61" fillId="0" borderId="671" xfId="0" applyNumberFormat="1" applyFont="1" applyFill="1" applyBorder="1"/>
    <xf numFmtId="5" fontId="61" fillId="0" borderId="671" xfId="0" applyNumberFormat="1" applyFont="1" applyFill="1" applyBorder="1"/>
    <xf numFmtId="5" fontId="61" fillId="0" borderId="672" xfId="0" applyNumberFormat="1" applyFont="1" applyFill="1" applyBorder="1"/>
    <xf numFmtId="14" fontId="61" fillId="21" borderId="6" xfId="0" applyNumberFormat="1" applyFont="1" applyFill="1" applyBorder="1"/>
    <xf numFmtId="38" fontId="61" fillId="0" borderId="6" xfId="0" applyNumberFormat="1" applyFont="1" applyFill="1" applyBorder="1" applyAlignment="1">
      <alignment horizontal="center"/>
    </xf>
    <xf numFmtId="37" fontId="61" fillId="0" borderId="6" xfId="0" applyNumberFormat="1" applyFont="1" applyFill="1" applyBorder="1" applyAlignment="1">
      <alignment horizontal="right"/>
    </xf>
    <xf numFmtId="5" fontId="61" fillId="0" borderId="667" xfId="0" applyNumberFormat="1" applyFont="1" applyFill="1" applyBorder="1"/>
    <xf numFmtId="166" fontId="61" fillId="0" borderId="671" xfId="0" applyNumberFormat="1" applyFont="1" applyFill="1" applyBorder="1"/>
    <xf numFmtId="38" fontId="61" fillId="0" borderId="671" xfId="0" applyNumberFormat="1" applyFont="1" applyFill="1" applyBorder="1" applyAlignment="1">
      <alignment horizontal="center"/>
    </xf>
    <xf numFmtId="0" fontId="61" fillId="0" borderId="671" xfId="0" applyNumberFormat="1" applyFont="1" applyFill="1" applyBorder="1" applyAlignment="1">
      <alignment horizontal="center"/>
    </xf>
    <xf numFmtId="4" fontId="61" fillId="0" borderId="671" xfId="0" applyNumberFormat="1" applyFont="1" applyFill="1" applyBorder="1" applyProtection="1">
      <protection locked="0"/>
    </xf>
    <xf numFmtId="37" fontId="61" fillId="21" borderId="671" xfId="0" applyNumberFormat="1" applyFont="1" applyFill="1" applyBorder="1" applyProtection="1">
      <protection locked="0"/>
    </xf>
    <xf numFmtId="0" fontId="72" fillId="4" borderId="673" xfId="0" applyNumberFormat="1" applyFont="1" applyFill="1" applyBorder="1"/>
    <xf numFmtId="176" fontId="69" fillId="10" borderId="0" xfId="0" applyNumberFormat="1" applyFont="1" applyFill="1" applyAlignment="1" applyProtection="1">
      <alignment horizontal="left"/>
      <protection locked="0"/>
    </xf>
    <xf numFmtId="0" fontId="61" fillId="0" borderId="667" xfId="0" applyNumberFormat="1" applyFont="1" applyFill="1" applyBorder="1"/>
    <xf numFmtId="5" fontId="61" fillId="21" borderId="672" xfId="0" applyNumberFormat="1" applyFont="1" applyFill="1" applyBorder="1"/>
    <xf numFmtId="0" fontId="61" fillId="10" borderId="103" xfId="0" applyNumberFormat="1" applyFont="1" applyFill="1" applyBorder="1" applyAlignment="1">
      <alignment horizontal="left"/>
    </xf>
    <xf numFmtId="9" fontId="61" fillId="21" borderId="6" xfId="0" applyNumberFormat="1" applyFont="1" applyFill="1" applyBorder="1"/>
    <xf numFmtId="5" fontId="57" fillId="21" borderId="672" xfId="0" applyNumberFormat="1" applyFont="1" applyFill="1" applyBorder="1"/>
    <xf numFmtId="5" fontId="61" fillId="21" borderId="0" xfId="0" applyNumberFormat="1" applyFont="1" applyFill="1" applyBorder="1" applyProtection="1">
      <protection locked="0"/>
    </xf>
    <xf numFmtId="3" fontId="61" fillId="0" borderId="671" xfId="0" applyNumberFormat="1" applyFont="1" applyFill="1" applyBorder="1" applyProtection="1">
      <protection locked="0"/>
    </xf>
    <xf numFmtId="1" fontId="61" fillId="0" borderId="6" xfId="0" applyNumberFormat="1" applyFont="1" applyFill="1" applyBorder="1" applyProtection="1">
      <protection locked="0"/>
    </xf>
    <xf numFmtId="0" fontId="61" fillId="2" borderId="0" xfId="0" applyNumberFormat="1" applyFont="1" applyFill="1" applyAlignment="1">
      <alignment horizontal="center"/>
    </xf>
    <xf numFmtId="182" fontId="57" fillId="2" borderId="0" xfId="0" applyNumberFormat="1" applyFont="1" applyFill="1" applyAlignment="1">
      <alignment horizontal="center"/>
    </xf>
    <xf numFmtId="0" fontId="64" fillId="2" borderId="0" xfId="0" applyNumberFormat="1" applyFont="1" applyFill="1" applyAlignment="1">
      <alignment horizontal="center"/>
    </xf>
    <xf numFmtId="0" fontId="62" fillId="2" borderId="0" xfId="0" applyNumberFormat="1" applyFont="1" applyFill="1" applyAlignment="1">
      <alignment horizontal="center"/>
    </xf>
    <xf numFmtId="0" fontId="64" fillId="2" borderId="0" xfId="0" applyNumberFormat="1" applyFont="1" applyFill="1" applyAlignment="1">
      <alignment horizontal="center" wrapText="1"/>
    </xf>
    <xf numFmtId="189" fontId="62" fillId="2" borderId="0" xfId="0" applyNumberFormat="1" applyFont="1" applyFill="1" applyAlignment="1">
      <alignment horizontal="center"/>
    </xf>
    <xf numFmtId="189" fontId="58" fillId="2" borderId="0" xfId="0" applyNumberFormat="1" applyFont="1" applyFill="1" applyAlignment="1">
      <alignment horizontal="center"/>
    </xf>
    <xf numFmtId="182" fontId="62" fillId="0" borderId="0" xfId="0" applyNumberFormat="1" applyFont="1" applyFill="1" applyAlignment="1">
      <alignment horizontal="center"/>
    </xf>
    <xf numFmtId="189" fontId="62" fillId="2" borderId="0" xfId="0" applyNumberFormat="1" applyFont="1" applyFill="1" applyBorder="1" applyAlignment="1">
      <alignment horizontal="center"/>
    </xf>
    <xf numFmtId="0" fontId="131" fillId="2" borderId="0" xfId="0" applyNumberFormat="1" applyFont="1" applyFill="1" applyAlignment="1">
      <alignment horizontal="center"/>
    </xf>
    <xf numFmtId="189" fontId="62" fillId="0" borderId="0" xfId="0" applyNumberFormat="1" applyFont="1" applyFill="1" applyAlignment="1">
      <alignment horizontal="center"/>
    </xf>
    <xf numFmtId="0" fontId="68" fillId="4" borderId="57" xfId="0" applyNumberFormat="1" applyFont="1" applyFill="1" applyBorder="1" applyAlignment="1">
      <alignment horizontal="left"/>
    </xf>
    <xf numFmtId="0" fontId="68" fillId="4" borderId="8" xfId="0" applyNumberFormat="1" applyFont="1" applyFill="1" applyBorder="1" applyAlignment="1">
      <alignment horizontal="left"/>
    </xf>
    <xf numFmtId="0" fontId="73" fillId="4" borderId="0" xfId="0" applyNumberFormat="1" applyFont="1" applyFill="1" applyAlignment="1">
      <alignment horizontal="center" vertical="center"/>
    </xf>
    <xf numFmtId="0" fontId="74" fillId="2" borderId="0" xfId="0" applyNumberFormat="1" applyFont="1" applyFill="1" applyAlignment="1"/>
    <xf numFmtId="0" fontId="69" fillId="10" borderId="75" xfId="0" applyNumberFormat="1" applyFont="1" applyFill="1" applyBorder="1" applyAlignment="1">
      <alignment horizontal="right"/>
    </xf>
    <xf numFmtId="0" fontId="69" fillId="10" borderId="0" xfId="0" applyNumberFormat="1" applyFont="1" applyFill="1" applyBorder="1" applyAlignment="1">
      <alignment horizontal="right"/>
    </xf>
    <xf numFmtId="0" fontId="69" fillId="10" borderId="0" xfId="0" applyNumberFormat="1" applyFont="1" applyFill="1" applyAlignment="1">
      <alignment horizontal="right"/>
    </xf>
    <xf numFmtId="171" fontId="69" fillId="10" borderId="97" xfId="0" applyNumberFormat="1" applyFont="1" applyFill="1" applyBorder="1" applyAlignment="1">
      <alignment horizontal="right"/>
    </xf>
    <xf numFmtId="0" fontId="72" fillId="4" borderId="70" xfId="0" applyNumberFormat="1" applyFont="1" applyFill="1" applyBorder="1" applyAlignment="1">
      <alignment horizontal="left"/>
    </xf>
    <xf numFmtId="0" fontId="61" fillId="2" borderId="100" xfId="0" applyNumberFormat="1" applyFont="1" applyFill="1" applyBorder="1" applyAlignment="1"/>
    <xf numFmtId="0" fontId="61" fillId="2" borderId="93" xfId="0" applyNumberFormat="1" applyFont="1" applyFill="1" applyBorder="1" applyAlignment="1"/>
    <xf numFmtId="0" fontId="61" fillId="2" borderId="309" xfId="0" applyNumberFormat="1" applyFont="1" applyFill="1" applyBorder="1" applyAlignment="1"/>
    <xf numFmtId="0" fontId="61" fillId="2" borderId="95" xfId="0" applyNumberFormat="1" applyFont="1" applyFill="1" applyBorder="1" applyAlignment="1"/>
    <xf numFmtId="0" fontId="61" fillId="2" borderId="104" xfId="0" applyNumberFormat="1" applyFont="1" applyFill="1" applyBorder="1" applyAlignment="1"/>
    <xf numFmtId="0" fontId="72" fillId="4" borderId="310" xfId="0" applyNumberFormat="1" applyFont="1" applyFill="1" applyBorder="1" applyAlignment="1">
      <alignment horizontal="center"/>
    </xf>
    <xf numFmtId="0" fontId="61" fillId="2" borderId="76" xfId="0" applyNumberFormat="1" applyFont="1" applyFill="1" applyBorder="1" applyAlignment="1">
      <alignment horizontal="center"/>
    </xf>
    <xf numFmtId="0" fontId="61" fillId="2" borderId="311" xfId="0" applyNumberFormat="1" applyFont="1" applyFill="1" applyBorder="1" applyAlignment="1">
      <alignment horizontal="center"/>
    </xf>
    <xf numFmtId="0" fontId="77" fillId="0" borderId="0" xfId="0" applyNumberFormat="1" applyFont="1" applyFill="1" applyBorder="1" applyAlignment="1">
      <alignment horizontal="center"/>
    </xf>
    <xf numFmtId="0" fontId="78" fillId="2" borderId="0" xfId="0" applyNumberFormat="1" applyFont="1" applyFill="1" applyAlignment="1">
      <alignment horizontal="center"/>
    </xf>
    <xf numFmtId="0" fontId="72" fillId="4" borderId="308" xfId="0" applyNumberFormat="1" applyFont="1" applyFill="1" applyBorder="1" applyAlignment="1">
      <alignment horizontal="center" wrapText="1"/>
    </xf>
    <xf numFmtId="0" fontId="0" fillId="2" borderId="307" xfId="0" applyNumberFormat="1" applyFill="1" applyBorder="1" applyAlignment="1">
      <alignment horizontal="center" wrapText="1"/>
    </xf>
    <xf numFmtId="0" fontId="0" fillId="2" borderId="0" xfId="0" applyNumberFormat="1" applyFill="1" applyAlignment="1">
      <alignment horizontal="center"/>
    </xf>
    <xf numFmtId="0" fontId="57" fillId="6" borderId="0" xfId="0" applyNumberFormat="1" applyFont="1" applyFill="1" applyBorder="1" applyAlignment="1">
      <alignment horizontal="center" wrapText="1"/>
    </xf>
    <xf numFmtId="0" fontId="61" fillId="2" borderId="0" xfId="0" applyNumberFormat="1" applyFont="1" applyFill="1" applyBorder="1" applyAlignment="1">
      <alignment wrapText="1"/>
    </xf>
    <xf numFmtId="0" fontId="61" fillId="2" borderId="9" xfId="0" applyNumberFormat="1" applyFont="1" applyFill="1" applyBorder="1" applyAlignment="1">
      <alignment wrapText="1"/>
    </xf>
    <xf numFmtId="0" fontId="71" fillId="6" borderId="93" xfId="0" applyNumberFormat="1" applyFont="1" applyFill="1" applyBorder="1" applyAlignment="1">
      <alignment horizontal="center" vertical="center"/>
    </xf>
    <xf numFmtId="0" fontId="71" fillId="6" borderId="0" xfId="0" applyNumberFormat="1" applyFont="1" applyFill="1" applyBorder="1" applyAlignment="1">
      <alignment horizontal="center" vertical="center"/>
    </xf>
    <xf numFmtId="0" fontId="61" fillId="2" borderId="0" xfId="0" applyNumberFormat="1" applyFont="1" applyFill="1" applyAlignment="1">
      <alignment horizontal="center" vertical="center"/>
    </xf>
    <xf numFmtId="0" fontId="61" fillId="2" borderId="94" xfId="0" applyNumberFormat="1" applyFont="1" applyFill="1" applyBorder="1" applyAlignment="1">
      <alignment horizontal="center" vertical="center"/>
    </xf>
    <xf numFmtId="0" fontId="72" fillId="6" borderId="119" xfId="0" applyNumberFormat="1" applyFont="1" applyFill="1" applyBorder="1" applyAlignment="1">
      <alignment horizontal="center" vertical="center" wrapText="1"/>
    </xf>
    <xf numFmtId="0" fontId="61" fillId="2" borderId="10" xfId="0" applyNumberFormat="1" applyFont="1" applyFill="1" applyBorder="1" applyAlignment="1">
      <alignment vertical="center" wrapText="1"/>
    </xf>
    <xf numFmtId="0" fontId="72" fillId="6" borderId="119" xfId="0" applyNumberFormat="1" applyFont="1" applyFill="1" applyBorder="1" applyAlignment="1">
      <alignment horizontal="center" wrapText="1"/>
    </xf>
    <xf numFmtId="0" fontId="61" fillId="2" borderId="119" xfId="0" applyNumberFormat="1" applyFont="1" applyFill="1" applyBorder="1" applyAlignment="1">
      <alignment horizontal="center" wrapText="1"/>
    </xf>
    <xf numFmtId="0" fontId="61" fillId="2" borderId="10" xfId="0" applyNumberFormat="1" applyFont="1" applyFill="1" applyBorder="1" applyAlignment="1">
      <alignment horizontal="center" wrapText="1"/>
    </xf>
    <xf numFmtId="0" fontId="72" fillId="6" borderId="0" xfId="0" applyNumberFormat="1" applyFont="1" applyFill="1" applyBorder="1" applyAlignment="1">
      <alignment horizontal="center"/>
    </xf>
    <xf numFmtId="0" fontId="72" fillId="6" borderId="9" xfId="0" applyNumberFormat="1" applyFont="1" applyFill="1" applyBorder="1" applyAlignment="1">
      <alignment horizontal="center"/>
    </xf>
    <xf numFmtId="0" fontId="69" fillId="6" borderId="119" xfId="0" applyNumberFormat="1" applyFont="1" applyFill="1" applyBorder="1" applyAlignment="1">
      <alignment horizontal="center" wrapText="1"/>
    </xf>
    <xf numFmtId="0" fontId="69" fillId="6" borderId="119" xfId="0" applyNumberFormat="1" applyFont="1" applyFill="1" applyBorder="1" applyAlignment="1">
      <alignment horizontal="center"/>
    </xf>
    <xf numFmtId="0" fontId="69" fillId="6" borderId="10" xfId="0" applyNumberFormat="1" applyFont="1" applyFill="1" applyBorder="1" applyAlignment="1">
      <alignment horizontal="center"/>
    </xf>
    <xf numFmtId="0" fontId="69" fillId="6" borderId="94" xfId="0" applyNumberFormat="1" applyFont="1" applyFill="1" applyBorder="1" applyAlignment="1">
      <alignment horizontal="center"/>
    </xf>
    <xf numFmtId="0" fontId="69" fillId="6" borderId="312" xfId="0" applyNumberFormat="1" applyFont="1" applyFill="1" applyBorder="1" applyAlignment="1">
      <alignment horizontal="center"/>
    </xf>
    <xf numFmtId="0" fontId="76" fillId="6" borderId="119" xfId="0" applyNumberFormat="1" applyFont="1" applyFill="1" applyBorder="1" applyAlignment="1">
      <alignment horizontal="center" wrapText="1"/>
    </xf>
    <xf numFmtId="0" fontId="76" fillId="6" borderId="10" xfId="0" applyNumberFormat="1" applyFont="1" applyFill="1" applyBorder="1" applyAlignment="1">
      <alignment horizontal="center" wrapText="1"/>
    </xf>
    <xf numFmtId="2" fontId="69" fillId="6" borderId="119" xfId="0" applyNumberFormat="1" applyFont="1" applyFill="1" applyBorder="1" applyAlignment="1">
      <alignment horizontal="center" wrapText="1"/>
    </xf>
    <xf numFmtId="0" fontId="71" fillId="6" borderId="119" xfId="0" applyNumberFormat="1" applyFont="1" applyFill="1" applyBorder="1" applyAlignment="1">
      <alignment horizontal="center" wrapText="1"/>
    </xf>
    <xf numFmtId="4" fontId="69" fillId="6" borderId="119" xfId="0" applyNumberFormat="1" applyFont="1" applyFill="1" applyBorder="1" applyAlignment="1">
      <alignment horizontal="center" wrapText="1"/>
    </xf>
    <xf numFmtId="4" fontId="69" fillId="6" borderId="10" xfId="0" applyNumberFormat="1" applyFont="1" applyFill="1" applyBorder="1" applyAlignment="1">
      <alignment horizontal="center" wrapText="1"/>
    </xf>
    <xf numFmtId="0" fontId="72" fillId="6" borderId="94" xfId="0" applyNumberFormat="1" applyFont="1" applyFill="1" applyBorder="1" applyAlignment="1">
      <alignment horizontal="center"/>
    </xf>
    <xf numFmtId="0" fontId="72" fillId="6" borderId="312" xfId="0" applyNumberFormat="1" applyFont="1" applyFill="1" applyBorder="1" applyAlignment="1">
      <alignment horizontal="center"/>
    </xf>
    <xf numFmtId="0" fontId="20" fillId="6" borderId="0" xfId="0" applyNumberFormat="1" applyFont="1" applyFill="1" applyBorder="1" applyAlignment="1">
      <alignment horizontal="center" wrapText="1"/>
    </xf>
    <xf numFmtId="0" fontId="0" fillId="2" borderId="0" xfId="0" applyNumberFormat="1" applyFill="1" applyAlignment="1">
      <alignment horizontal="center" wrapText="1"/>
    </xf>
    <xf numFmtId="0" fontId="0" fillId="2" borderId="0" xfId="0" applyNumberFormat="1" applyFill="1" applyBorder="1" applyAlignment="1">
      <alignment horizontal="center" wrapText="1"/>
    </xf>
    <xf numFmtId="0" fontId="20" fillId="6" borderId="0" xfId="0" applyNumberFormat="1" applyFont="1" applyFill="1" applyBorder="1" applyAlignment="1">
      <alignment horizontal="center"/>
    </xf>
    <xf numFmtId="0" fontId="20" fillId="6" borderId="9" xfId="0" applyNumberFormat="1" applyFont="1" applyFill="1" applyBorder="1" applyAlignment="1">
      <alignment horizontal="center"/>
    </xf>
    <xf numFmtId="0" fontId="20" fillId="6" borderId="94" xfId="0" applyNumberFormat="1" applyFont="1" applyFill="1" applyBorder="1" applyAlignment="1">
      <alignment horizontal="center"/>
    </xf>
    <xf numFmtId="0" fontId="20" fillId="6" borderId="312" xfId="0" applyNumberFormat="1" applyFont="1" applyFill="1" applyBorder="1" applyAlignment="1">
      <alignment horizontal="center"/>
    </xf>
    <xf numFmtId="0" fontId="19" fillId="6" borderId="119" xfId="0" applyNumberFormat="1" applyFont="1" applyFill="1" applyBorder="1" applyAlignment="1">
      <alignment horizontal="center"/>
    </xf>
    <xf numFmtId="0" fontId="19" fillId="6" borderId="10" xfId="0" applyNumberFormat="1" applyFont="1" applyFill="1" applyBorder="1" applyAlignment="1">
      <alignment horizontal="center"/>
    </xf>
    <xf numFmtId="0" fontId="19" fillId="6" borderId="119" xfId="0" applyNumberFormat="1" applyFont="1" applyFill="1" applyBorder="1" applyAlignment="1">
      <alignment horizontal="center" wrapText="1"/>
    </xf>
    <xf numFmtId="0" fontId="0" fillId="2" borderId="119" xfId="0" applyNumberFormat="1" applyFill="1" applyBorder="1" applyAlignment="1">
      <alignment horizontal="center" wrapText="1"/>
    </xf>
    <xf numFmtId="0" fontId="0" fillId="2" borderId="10" xfId="0" applyNumberFormat="1" applyFill="1" applyBorder="1" applyAlignment="1">
      <alignment horizontal="center" wrapText="1"/>
    </xf>
    <xf numFmtId="2" fontId="19" fillId="6" borderId="119" xfId="0" applyNumberFormat="1" applyFont="1" applyFill="1" applyBorder="1" applyAlignment="1">
      <alignment horizontal="center" wrapText="1"/>
    </xf>
    <xf numFmtId="0" fontId="19" fillId="6" borderId="119" xfId="0" applyNumberFormat="1" applyFont="1" applyFill="1" applyBorder="1" applyAlignment="1">
      <alignment horizontal="center" vertical="center"/>
    </xf>
    <xf numFmtId="0" fontId="0" fillId="2" borderId="119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19" fillId="6" borderId="94" xfId="0" applyNumberFormat="1" applyFont="1" applyFill="1" applyBorder="1" applyAlignment="1">
      <alignment horizontal="center"/>
    </xf>
    <xf numFmtId="0" fontId="19" fillId="6" borderId="312" xfId="0" applyNumberFormat="1" applyFont="1" applyFill="1" applyBorder="1" applyAlignment="1">
      <alignment horizontal="center"/>
    </xf>
    <xf numFmtId="0" fontId="46" fillId="6" borderId="119" xfId="0" applyNumberFormat="1" applyFont="1" applyFill="1" applyBorder="1" applyAlignment="1">
      <alignment horizontal="center" wrapText="1"/>
    </xf>
    <xf numFmtId="0" fontId="46" fillId="6" borderId="10" xfId="0" applyNumberFormat="1" applyFont="1" applyFill="1" applyBorder="1" applyAlignment="1">
      <alignment horizontal="center" wrapText="1"/>
    </xf>
    <xf numFmtId="4" fontId="19" fillId="6" borderId="119" xfId="0" applyNumberFormat="1" applyFont="1" applyFill="1" applyBorder="1" applyAlignment="1">
      <alignment horizontal="center" wrapText="1"/>
    </xf>
    <xf numFmtId="4" fontId="19" fillId="6" borderId="10" xfId="0" applyNumberFormat="1" applyFont="1" applyFill="1" applyBorder="1" applyAlignment="1">
      <alignment horizontal="center" wrapText="1"/>
    </xf>
    <xf numFmtId="0" fontId="15" fillId="18" borderId="119" xfId="0" applyNumberFormat="1" applyFont="1" applyFill="1" applyBorder="1" applyAlignment="1">
      <alignment horizontal="center" textRotation="90" wrapText="1"/>
    </xf>
    <xf numFmtId="0" fontId="15" fillId="18" borderId="119" xfId="0" applyNumberFormat="1" applyFont="1" applyFill="1" applyBorder="1" applyAlignment="1">
      <alignment horizontal="center" wrapText="1"/>
    </xf>
    <xf numFmtId="0" fontId="15" fillId="18" borderId="10" xfId="0" applyNumberFormat="1" applyFont="1" applyFill="1" applyBorder="1" applyAlignment="1">
      <alignment horizontal="center" wrapText="1"/>
    </xf>
    <xf numFmtId="0" fontId="48" fillId="6" borderId="119" xfId="0" applyNumberFormat="1" applyFont="1" applyFill="1" applyBorder="1" applyAlignment="1">
      <alignment horizontal="center" wrapText="1"/>
    </xf>
    <xf numFmtId="0" fontId="48" fillId="6" borderId="93" xfId="0" applyNumberFormat="1" applyFont="1" applyFill="1" applyBorder="1" applyAlignment="1">
      <alignment horizontal="center" vertical="center"/>
    </xf>
    <xf numFmtId="0" fontId="48" fillId="6" borderId="0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2" borderId="94" xfId="0" applyNumberFormat="1" applyFill="1" applyBorder="1" applyAlignment="1">
      <alignment horizontal="center" vertical="center"/>
    </xf>
    <xf numFmtId="0" fontId="20" fillId="6" borderId="119" xfId="0" applyNumberFormat="1" applyFont="1" applyFill="1" applyBorder="1" applyAlignment="1">
      <alignment horizontal="center" wrapText="1"/>
    </xf>
    <xf numFmtId="0" fontId="22" fillId="6" borderId="0" xfId="0" applyNumberFormat="1" applyFont="1" applyFill="1" applyBorder="1" applyAlignment="1">
      <alignment horizontal="center" wrapText="1"/>
    </xf>
    <xf numFmtId="0" fontId="55" fillId="2" borderId="0" xfId="0" applyNumberFormat="1" applyFont="1" applyFill="1" applyBorder="1" applyAlignment="1">
      <alignment wrapText="1"/>
    </xf>
    <xf numFmtId="0" fontId="55" fillId="2" borderId="9" xfId="0" applyNumberFormat="1" applyFont="1" applyFill="1" applyBorder="1" applyAlignment="1">
      <alignment wrapText="1"/>
    </xf>
    <xf numFmtId="0" fontId="20" fillId="6" borderId="119" xfId="0" applyNumberFormat="1" applyFon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vertical="center" wrapText="1"/>
    </xf>
    <xf numFmtId="0" fontId="15" fillId="18" borderId="119" xfId="0" applyNumberFormat="1" applyFont="1" applyFill="1" applyBorder="1" applyAlignment="1" applyProtection="1">
      <alignment horizontal="center" textRotation="90" wrapText="1"/>
    </xf>
    <xf numFmtId="0" fontId="15" fillId="18" borderId="119" xfId="0" applyNumberFormat="1" applyFont="1" applyFill="1" applyBorder="1" applyAlignment="1" applyProtection="1">
      <alignment horizontal="center" wrapText="1"/>
    </xf>
    <xf numFmtId="0" fontId="15" fillId="18" borderId="10" xfId="0" applyNumberFormat="1" applyFont="1" applyFill="1" applyBorder="1" applyAlignment="1" applyProtection="1">
      <alignment horizontal="center" wrapText="1"/>
    </xf>
    <xf numFmtId="0" fontId="47" fillId="2" borderId="0" xfId="0" applyNumberFormat="1" applyFont="1" applyFill="1" applyBorder="1" applyAlignment="1" applyProtection="1">
      <alignment horizontal="center" vertical="center"/>
    </xf>
    <xf numFmtId="42" fontId="21" fillId="2" borderId="80" xfId="0" applyNumberFormat="1" applyFont="1" applyFill="1" applyBorder="1" applyAlignment="1" applyProtection="1">
      <alignment horizontal="center"/>
    </xf>
    <xf numFmtId="0" fontId="18" fillId="2" borderId="16" xfId="0" applyNumberFormat="1" applyFont="1" applyFill="1" applyBorder="1" applyAlignment="1" applyProtection="1">
      <alignment wrapText="1"/>
    </xf>
    <xf numFmtId="0" fontId="18" fillId="2" borderId="90" xfId="0" applyNumberFormat="1" applyFont="1" applyFill="1" applyBorder="1" applyAlignment="1" applyProtection="1">
      <alignment wrapText="1"/>
    </xf>
    <xf numFmtId="0" fontId="21" fillId="2" borderId="57" xfId="0" applyNumberFormat="1" applyFont="1" applyFill="1" applyBorder="1" applyAlignment="1" applyProtection="1"/>
    <xf numFmtId="0" fontId="0" fillId="2" borderId="8" xfId="0" applyNumberFormat="1" applyFill="1" applyBorder="1" applyAlignment="1" applyProtection="1"/>
    <xf numFmtId="0" fontId="0" fillId="2" borderId="59" xfId="0" applyNumberFormat="1" applyFill="1" applyBorder="1" applyAlignment="1" applyProtection="1"/>
    <xf numFmtId="0" fontId="0" fillId="2" borderId="246" xfId="0" applyNumberFormat="1" applyFill="1" applyBorder="1" applyAlignment="1" applyProtection="1"/>
    <xf numFmtId="0" fontId="0" fillId="2" borderId="97" xfId="0" applyNumberFormat="1" applyFill="1" applyBorder="1" applyAlignment="1" applyProtection="1"/>
    <xf numFmtId="0" fontId="0" fillId="2" borderId="286" xfId="0" applyNumberFormat="1" applyFill="1" applyBorder="1" applyAlignment="1" applyProtection="1"/>
    <xf numFmtId="0" fontId="22" fillId="0" borderId="62" xfId="0" applyNumberFormat="1" applyFont="1" applyFill="1" applyBorder="1" applyAlignment="1" applyProtection="1"/>
    <xf numFmtId="0" fontId="0" fillId="2" borderId="62" xfId="0" applyNumberFormat="1" applyFill="1" applyBorder="1" applyAlignment="1" applyProtection="1"/>
    <xf numFmtId="0" fontId="47" fillId="2" borderId="0" xfId="0" applyNumberFormat="1" applyFont="1" applyFill="1" applyBorder="1" applyAlignment="1">
      <alignment horizontal="center"/>
    </xf>
    <xf numFmtId="0" fontId="21" fillId="2" borderId="57" xfId="0" applyNumberFormat="1" applyFont="1" applyFill="1" applyBorder="1" applyAlignment="1"/>
    <xf numFmtId="0" fontId="0" fillId="2" borderId="8" xfId="0" applyNumberFormat="1" applyFill="1" applyBorder="1" applyAlignment="1"/>
    <xf numFmtId="0" fontId="0" fillId="2" borderId="59" xfId="0" applyNumberFormat="1" applyFill="1" applyBorder="1" applyAlignment="1"/>
    <xf numFmtId="0" fontId="0" fillId="2" borderId="56" xfId="0" applyNumberFormat="1" applyFill="1" applyBorder="1" applyAlignment="1"/>
    <xf numFmtId="0" fontId="0" fillId="2" borderId="0" xfId="0" applyNumberFormat="1" applyFill="1" applyBorder="1" applyAlignment="1"/>
    <xf numFmtId="0" fontId="0" fillId="2" borderId="61" xfId="0" applyNumberFormat="1" applyFill="1" applyBorder="1" applyAlignment="1"/>
    <xf numFmtId="42" fontId="21" fillId="2" borderId="82" xfId="0" applyNumberFormat="1" applyFont="1" applyFill="1" applyBorder="1" applyAlignment="1">
      <alignment horizontal="center"/>
    </xf>
    <xf numFmtId="0" fontId="61" fillId="21" borderId="74" xfId="0" applyFont="1" applyFill="1" applyBorder="1" applyAlignment="1">
      <alignment horizontal="center"/>
    </xf>
    <xf numFmtId="0" fontId="113" fillId="25" borderId="129" xfId="13" applyNumberFormat="1" applyFont="1" applyFill="1" applyBorder="1" applyAlignment="1" applyProtection="1">
      <alignment horizontal="center" wrapText="1"/>
    </xf>
    <xf numFmtId="0" fontId="113" fillId="25" borderId="130" xfId="13" applyNumberFormat="1" applyFont="1" applyFill="1" applyBorder="1" applyAlignment="1" applyProtection="1">
      <alignment horizontal="center" wrapText="1"/>
    </xf>
    <xf numFmtId="0" fontId="113" fillId="25" borderId="326" xfId="13" applyNumberFormat="1" applyFont="1" applyFill="1" applyBorder="1" applyAlignment="1" applyProtection="1">
      <alignment horizontal="center" wrapText="1"/>
    </xf>
    <xf numFmtId="0" fontId="113" fillId="25" borderId="285" xfId="13" applyNumberFormat="1" applyFont="1" applyFill="1" applyBorder="1" applyAlignment="1" applyProtection="1">
      <alignment horizontal="center" wrapText="1"/>
    </xf>
    <xf numFmtId="192" fontId="113" fillId="25" borderId="1" xfId="2" applyNumberFormat="1" applyFont="1" applyFill="1" applyBorder="1" applyAlignment="1" applyProtection="1">
      <alignment horizontal="right" wrapText="1"/>
    </xf>
    <xf numFmtId="192" fontId="113" fillId="25" borderId="3" xfId="2" applyNumberFormat="1" applyFont="1" applyFill="1" applyBorder="1" applyAlignment="1" applyProtection="1">
      <alignment horizontal="right" wrapText="1"/>
    </xf>
    <xf numFmtId="2" fontId="57" fillId="0" borderId="0" xfId="0" applyNumberFormat="1" applyFont="1" applyFill="1" applyBorder="1" applyAlignment="1">
      <alignment horizontal="center"/>
    </xf>
    <xf numFmtId="2" fontId="61" fillId="2" borderId="353" xfId="0" applyNumberFormat="1" applyFont="1" applyBorder="1" applyAlignment="1">
      <alignment horizontal="center"/>
    </xf>
    <xf numFmtId="2" fontId="61" fillId="2" borderId="354" xfId="0" applyNumberFormat="1" applyFont="1" applyBorder="1" applyAlignment="1">
      <alignment horizontal="center"/>
    </xf>
    <xf numFmtId="2" fontId="61" fillId="2" borderId="352" xfId="0" applyNumberFormat="1" applyFont="1" applyBorder="1" applyAlignment="1">
      <alignment horizontal="center"/>
    </xf>
    <xf numFmtId="0" fontId="115" fillId="2" borderId="0" xfId="0" applyFont="1" applyFill="1" applyAlignment="1">
      <alignment horizontal="center"/>
    </xf>
    <xf numFmtId="2" fontId="61" fillId="0" borderId="1" xfId="0" applyNumberFormat="1" applyFont="1" applyFill="1" applyBorder="1" applyAlignment="1">
      <alignment horizontal="center" vertical="center" wrapText="1"/>
    </xf>
    <xf numFmtId="2" fontId="61" fillId="0" borderId="3" xfId="0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 wrapText="1"/>
    </xf>
    <xf numFmtId="0" fontId="61" fillId="2" borderId="74" xfId="0" applyFont="1" applyBorder="1" applyAlignment="1">
      <alignment horizontal="center" vertical="center"/>
    </xf>
    <xf numFmtId="0" fontId="61" fillId="2" borderId="1" xfId="0" applyFont="1" applyBorder="1" applyAlignment="1">
      <alignment horizontal="center" vertical="center" wrapText="1"/>
    </xf>
    <xf numFmtId="0" fontId="61" fillId="2" borderId="3" xfId="0" applyFont="1" applyBorder="1" applyAlignment="1">
      <alignment horizontal="center" vertical="center" wrapText="1"/>
    </xf>
    <xf numFmtId="2" fontId="61" fillId="0" borderId="351" xfId="0" applyNumberFormat="1" applyFont="1" applyFill="1" applyBorder="1" applyAlignment="1">
      <alignment horizontal="center"/>
    </xf>
    <xf numFmtId="2" fontId="61" fillId="0" borderId="352" xfId="0" applyNumberFormat="1" applyFont="1" applyFill="1" applyBorder="1" applyAlignment="1">
      <alignment horizontal="center"/>
    </xf>
    <xf numFmtId="0" fontId="18" fillId="7" borderId="352" xfId="0" applyFont="1" applyFill="1" applyBorder="1" applyAlignment="1">
      <alignment horizontal="center"/>
    </xf>
    <xf numFmtId="0" fontId="92" fillId="0" borderId="358" xfId="0" applyNumberFormat="1" applyFont="1" applyFill="1" applyBorder="1" applyAlignment="1">
      <alignment horizontal="center"/>
    </xf>
    <xf numFmtId="0" fontId="92" fillId="0" borderId="585" xfId="0" applyNumberFormat="1" applyFont="1" applyFill="1" applyBorder="1" applyAlignment="1">
      <alignment horizontal="center"/>
    </xf>
    <xf numFmtId="0" fontId="92" fillId="0" borderId="586" xfId="0" applyNumberFormat="1" applyFont="1" applyFill="1" applyBorder="1" applyAlignment="1">
      <alignment horizontal="center"/>
    </xf>
    <xf numFmtId="0" fontId="92" fillId="0" borderId="326" xfId="0" applyNumberFormat="1" applyFont="1" applyFill="1" applyBorder="1" applyAlignment="1">
      <alignment horizontal="center"/>
    </xf>
    <xf numFmtId="0" fontId="92" fillId="0" borderId="97" xfId="0" applyNumberFormat="1" applyFont="1" applyFill="1" applyBorder="1" applyAlignment="1">
      <alignment horizontal="center"/>
    </xf>
    <xf numFmtId="0" fontId="92" fillId="0" borderId="285" xfId="0" applyNumberFormat="1" applyFont="1" applyFill="1" applyBorder="1" applyAlignment="1">
      <alignment horizontal="center"/>
    </xf>
    <xf numFmtId="0" fontId="89" fillId="0" borderId="358" xfId="0" applyNumberFormat="1" applyFont="1" applyFill="1" applyBorder="1" applyAlignment="1">
      <alignment horizontal="center" vertical="center"/>
    </xf>
    <xf numFmtId="0" fontId="89" fillId="0" borderId="326" xfId="0" applyNumberFormat="1" applyFont="1" applyFill="1" applyBorder="1" applyAlignment="1">
      <alignment horizontal="center" vertical="center"/>
    </xf>
    <xf numFmtId="0" fontId="89" fillId="0" borderId="588" xfId="0" applyNumberFormat="1" applyFont="1" applyFill="1" applyBorder="1" applyAlignment="1">
      <alignment horizontal="center" vertical="center"/>
    </xf>
    <xf numFmtId="0" fontId="89" fillId="0" borderId="344" xfId="0" applyNumberFormat="1" applyFont="1" applyFill="1" applyBorder="1" applyAlignment="1">
      <alignment horizontal="center" vertical="center"/>
    </xf>
    <xf numFmtId="0" fontId="89" fillId="0" borderId="588" xfId="0" applyNumberFormat="1" applyFont="1" applyFill="1" applyBorder="1" applyAlignment="1">
      <alignment horizontal="center" vertical="center" wrapText="1"/>
    </xf>
    <xf numFmtId="0" fontId="89" fillId="0" borderId="344" xfId="0" applyNumberFormat="1" applyFont="1" applyFill="1" applyBorder="1" applyAlignment="1">
      <alignment horizontal="center" vertical="center" wrapText="1"/>
    </xf>
    <xf numFmtId="39" fontId="89" fillId="0" borderId="588" xfId="0" applyNumberFormat="1" applyFont="1" applyFill="1" applyBorder="1" applyAlignment="1">
      <alignment horizontal="center" vertical="center"/>
    </xf>
    <xf numFmtId="39" fontId="89" fillId="0" borderId="344" xfId="0" applyNumberFormat="1" applyFont="1" applyFill="1" applyBorder="1" applyAlignment="1">
      <alignment horizontal="center" vertical="center"/>
    </xf>
    <xf numFmtId="39" fontId="89" fillId="0" borderId="589" xfId="0" applyNumberFormat="1" applyFont="1" applyFill="1" applyBorder="1" applyAlignment="1">
      <alignment horizontal="center" vertical="center" wrapText="1"/>
    </xf>
    <xf numFmtId="39" fontId="89" fillId="0" borderId="271" xfId="0" applyNumberFormat="1" applyFont="1" applyFill="1" applyBorder="1" applyAlignment="1">
      <alignment horizontal="center" vertical="center"/>
    </xf>
    <xf numFmtId="0" fontId="108" fillId="2" borderId="0" xfId="0" applyFont="1" applyAlignment="1">
      <alignment horizontal="center"/>
    </xf>
    <xf numFmtId="0" fontId="27" fillId="2" borderId="0" xfId="0" applyFont="1" applyAlignment="1">
      <alignment horizontal="center"/>
    </xf>
    <xf numFmtId="0" fontId="108" fillId="2" borderId="0" xfId="0" quotePrefix="1" applyFont="1" applyAlignment="1">
      <alignment horizontal="center"/>
    </xf>
    <xf numFmtId="0" fontId="109" fillId="2" borderId="313" xfId="0" applyFont="1" applyBorder="1" applyAlignment="1">
      <alignment horizontal="right"/>
    </xf>
    <xf numFmtId="0" fontId="109" fillId="2" borderId="2" xfId="0" applyFont="1" applyBorder="1" applyAlignment="1">
      <alignment horizontal="right"/>
    </xf>
    <xf numFmtId="0" fontId="109" fillId="2" borderId="3" xfId="0" applyFont="1" applyBorder="1" applyAlignment="1">
      <alignment horizontal="right"/>
    </xf>
    <xf numFmtId="0" fontId="109" fillId="0" borderId="314" xfId="0" applyFont="1" applyFill="1" applyBorder="1" applyAlignment="1">
      <alignment horizontal="right"/>
    </xf>
    <xf numFmtId="0" fontId="109" fillId="0" borderId="91" xfId="0" applyFont="1" applyFill="1" applyBorder="1" applyAlignment="1">
      <alignment horizontal="right"/>
    </xf>
    <xf numFmtId="0" fontId="109" fillId="0" borderId="205" xfId="0" applyFont="1" applyFill="1" applyBorder="1" applyAlignment="1">
      <alignment horizontal="right"/>
    </xf>
    <xf numFmtId="17" fontId="108" fillId="2" borderId="0" xfId="0" quotePrefix="1" applyNumberFormat="1" applyFont="1" applyAlignment="1">
      <alignment horizontal="center"/>
    </xf>
    <xf numFmtId="0" fontId="58" fillId="0" borderId="0" xfId="9" applyNumberFormat="1" applyFont="1" applyFill="1" applyBorder="1" applyAlignment="1">
      <alignment horizontal="center"/>
    </xf>
    <xf numFmtId="4" fontId="94" fillId="0" borderId="63" xfId="9" applyNumberFormat="1" applyFont="1" applyFill="1" applyBorder="1" applyAlignment="1">
      <alignment horizontal="center"/>
    </xf>
    <xf numFmtId="4" fontId="94" fillId="0" borderId="24" xfId="9" applyNumberFormat="1" applyFont="1" applyFill="1" applyBorder="1" applyAlignment="1">
      <alignment horizontal="center"/>
    </xf>
    <xf numFmtId="4" fontId="94" fillId="0" borderId="64" xfId="9" applyNumberFormat="1" applyFont="1" applyFill="1" applyBorder="1" applyAlignment="1">
      <alignment horizontal="center"/>
    </xf>
    <xf numFmtId="0" fontId="94" fillId="18" borderId="63" xfId="9" applyNumberFormat="1" applyFont="1" applyFill="1" applyBorder="1" applyAlignment="1">
      <alignment horizontal="center"/>
    </xf>
    <xf numFmtId="0" fontId="94" fillId="18" borderId="24" xfId="9" applyNumberFormat="1" applyFont="1" applyFill="1" applyBorder="1" applyAlignment="1">
      <alignment horizontal="center"/>
    </xf>
    <xf numFmtId="0" fontId="58" fillId="0" borderId="56" xfId="9" applyNumberFormat="1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654" xfId="0" applyFont="1" applyFill="1" applyBorder="1" applyAlignment="1">
      <alignment horizontal="center"/>
    </xf>
    <xf numFmtId="0" fontId="18" fillId="0" borderId="252" xfId="0" applyFont="1" applyFill="1" applyBorder="1" applyAlignment="1">
      <alignment horizontal="center"/>
    </xf>
    <xf numFmtId="0" fontId="120" fillId="28" borderId="610" xfId="4" applyNumberFormat="1" applyFont="1" applyFill="1" applyBorder="1" applyAlignment="1">
      <alignment horizontal="left"/>
    </xf>
    <xf numFmtId="0" fontId="120" fillId="28" borderId="602" xfId="4" applyNumberFormat="1" applyFont="1" applyFill="1" applyBorder="1" applyAlignment="1">
      <alignment horizontal="left"/>
    </xf>
    <xf numFmtId="183" fontId="120" fillId="28" borderId="326" xfId="4" applyNumberFormat="1" applyFont="1" applyFill="1" applyBorder="1" applyAlignment="1">
      <alignment horizontal="left"/>
    </xf>
    <xf numFmtId="183" fontId="120" fillId="28" borderId="285" xfId="4" applyNumberFormat="1" applyFont="1" applyFill="1" applyBorder="1" applyAlignment="1">
      <alignment horizontal="left"/>
    </xf>
    <xf numFmtId="0" fontId="113" fillId="30" borderId="610" xfId="13" applyNumberFormat="1" applyFont="1" applyFill="1" applyBorder="1" applyAlignment="1" applyProtection="1">
      <alignment horizontal="center" wrapText="1"/>
    </xf>
    <xf numFmtId="0" fontId="113" fillId="30" borderId="602" xfId="13" applyNumberFormat="1" applyFont="1" applyFill="1" applyBorder="1" applyAlignment="1" applyProtection="1">
      <alignment horizontal="center" wrapText="1"/>
    </xf>
    <xf numFmtId="0" fontId="113" fillId="30" borderId="326" xfId="13" applyNumberFormat="1" applyFont="1" applyFill="1" applyBorder="1" applyAlignment="1" applyProtection="1">
      <alignment horizontal="center" wrapText="1"/>
    </xf>
    <xf numFmtId="0" fontId="113" fillId="30" borderId="285" xfId="13" applyNumberFormat="1" applyFont="1" applyFill="1" applyBorder="1" applyAlignment="1" applyProtection="1">
      <alignment horizontal="center" wrapText="1"/>
    </xf>
    <xf numFmtId="192" fontId="121" fillId="0" borderId="607" xfId="2" applyNumberFormat="1" applyFont="1" applyFill="1" applyBorder="1" applyAlignment="1" applyProtection="1">
      <alignment horizontal="right" wrapText="1"/>
    </xf>
    <xf numFmtId="192" fontId="121" fillId="0" borderId="609" xfId="2" applyNumberFormat="1" applyFont="1" applyFill="1" applyBorder="1" applyAlignment="1" applyProtection="1">
      <alignment horizontal="right" wrapText="1"/>
    </xf>
    <xf numFmtId="0" fontId="92" fillId="30" borderId="57" xfId="0" applyNumberFormat="1" applyFont="1" applyFill="1" applyBorder="1" applyAlignment="1">
      <alignment horizontal="center"/>
    </xf>
    <xf numFmtId="0" fontId="92" fillId="30" borderId="8" xfId="0" applyNumberFormat="1" applyFont="1" applyFill="1" applyBorder="1" applyAlignment="1">
      <alignment horizontal="center"/>
    </xf>
    <xf numFmtId="0" fontId="92" fillId="30" borderId="59" xfId="0" applyNumberFormat="1" applyFont="1" applyFill="1" applyBorder="1" applyAlignment="1">
      <alignment horizontal="center"/>
    </xf>
    <xf numFmtId="0" fontId="92" fillId="30" borderId="56" xfId="0" applyNumberFormat="1" applyFont="1" applyFill="1" applyBorder="1" applyAlignment="1">
      <alignment horizontal="center"/>
    </xf>
    <xf numFmtId="0" fontId="92" fillId="30" borderId="0" xfId="0" applyNumberFormat="1" applyFont="1" applyFill="1" applyBorder="1" applyAlignment="1">
      <alignment horizontal="center"/>
    </xf>
    <xf numFmtId="0" fontId="92" fillId="30" borderId="61" xfId="0" applyNumberFormat="1" applyFont="1" applyFill="1" applyBorder="1" applyAlignment="1">
      <alignment horizontal="center"/>
    </xf>
    <xf numFmtId="0" fontId="89" fillId="30" borderId="619" xfId="0" applyNumberFormat="1" applyFont="1" applyFill="1" applyBorder="1" applyAlignment="1">
      <alignment horizontal="center" vertical="center"/>
    </xf>
    <xf numFmtId="0" fontId="89" fillId="30" borderId="614" xfId="0" applyNumberFormat="1" applyFont="1" applyFill="1" applyBorder="1" applyAlignment="1">
      <alignment horizontal="center" vertical="center"/>
    </xf>
    <xf numFmtId="0" fontId="89" fillId="28" borderId="614" xfId="0" applyNumberFormat="1" applyFont="1" applyFill="1" applyBorder="1" applyAlignment="1">
      <alignment horizontal="center" vertical="center" wrapText="1"/>
    </xf>
    <xf numFmtId="39" fontId="89" fillId="30" borderId="614" xfId="0" applyNumberFormat="1" applyFont="1" applyFill="1" applyBorder="1" applyAlignment="1">
      <alignment horizontal="center" vertical="center"/>
    </xf>
    <xf numFmtId="39" fontId="89" fillId="30" borderId="620" xfId="0" applyNumberFormat="1" applyFont="1" applyFill="1" applyBorder="1" applyAlignment="1">
      <alignment horizontal="center" vertical="center" wrapText="1"/>
    </xf>
    <xf numFmtId="3" fontId="61" fillId="0" borderId="1" xfId="10" applyNumberFormat="1" applyFont="1" applyFill="1" applyBorder="1" applyAlignment="1">
      <alignment horizontal="center" wrapText="1"/>
    </xf>
    <xf numFmtId="3" fontId="61" fillId="0" borderId="2" xfId="10" applyNumberFormat="1" applyFont="1" applyFill="1" applyBorder="1" applyAlignment="1">
      <alignment horizontal="center" wrapText="1"/>
    </xf>
    <xf numFmtId="3" fontId="61" fillId="0" borderId="3" xfId="10" applyNumberFormat="1" applyFont="1" applyFill="1" applyBorder="1" applyAlignment="1">
      <alignment horizontal="center" wrapText="1"/>
    </xf>
    <xf numFmtId="0" fontId="82" fillId="0" borderId="63" xfId="10" applyFont="1" applyBorder="1" applyAlignment="1">
      <alignment horizontal="center"/>
    </xf>
    <xf numFmtId="0" fontId="61" fillId="2" borderId="24" xfId="0" applyNumberFormat="1" applyFont="1" applyFill="1" applyBorder="1" applyAlignment="1">
      <alignment horizontal="center"/>
    </xf>
    <xf numFmtId="0" fontId="61" fillId="2" borderId="64" xfId="0" applyNumberFormat="1" applyFont="1" applyFill="1" applyBorder="1" applyAlignment="1">
      <alignment horizontal="center"/>
    </xf>
    <xf numFmtId="164" fontId="75" fillId="0" borderId="0" xfId="0" applyNumberFormat="1" applyFont="1" applyFill="1" applyAlignment="1">
      <alignment horizontal="center" vertical="center"/>
    </xf>
    <xf numFmtId="0" fontId="61" fillId="2" borderId="24" xfId="0" applyNumberFormat="1" applyFont="1" applyFill="1" applyBorder="1" applyAlignment="1"/>
    <xf numFmtId="0" fontId="61" fillId="2" borderId="64" xfId="0" applyNumberFormat="1" applyFont="1" applyFill="1" applyBorder="1" applyAlignment="1"/>
    <xf numFmtId="0" fontId="68" fillId="0" borderId="1" xfId="0" applyNumberFormat="1" applyFont="1" applyFill="1" applyBorder="1" applyAlignment="1">
      <alignment horizontal="center" vertical="center"/>
    </xf>
    <xf numFmtId="0" fontId="68" fillId="0" borderId="3" xfId="0" applyNumberFormat="1" applyFont="1" applyFill="1" applyBorder="1" applyAlignment="1">
      <alignment horizontal="center" vertical="center"/>
    </xf>
    <xf numFmtId="0" fontId="68" fillId="0" borderId="1" xfId="0" applyNumberFormat="1" applyFont="1" applyFill="1" applyBorder="1" applyAlignment="1">
      <alignment horizontal="center"/>
    </xf>
    <xf numFmtId="0" fontId="68" fillId="0" borderId="3" xfId="0" applyNumberFormat="1" applyFont="1" applyFill="1" applyBorder="1" applyAlignment="1">
      <alignment horizontal="center"/>
    </xf>
    <xf numFmtId="0" fontId="65" fillId="0" borderId="63" xfId="11" applyNumberFormat="1" applyFont="1" applyFill="1" applyBorder="1" applyAlignment="1">
      <alignment horizontal="center"/>
    </xf>
    <xf numFmtId="0" fontId="65" fillId="0" borderId="24" xfId="11" applyNumberFormat="1" applyFont="1" applyFill="1" applyBorder="1" applyAlignment="1">
      <alignment horizontal="center"/>
    </xf>
    <xf numFmtId="0" fontId="65" fillId="0" borderId="64" xfId="11" applyNumberFormat="1" applyFont="1" applyFill="1" applyBorder="1" applyAlignment="1">
      <alignment horizontal="center"/>
    </xf>
    <xf numFmtId="0" fontId="57" fillId="0" borderId="0" xfId="5" applyNumberFormat="1" applyFont="1" applyFill="1" applyBorder="1" applyAlignment="1">
      <alignment horizontal="center"/>
    </xf>
    <xf numFmtId="0" fontId="68" fillId="4" borderId="0" xfId="0" applyNumberFormat="1" applyFont="1" applyFill="1" applyBorder="1" applyAlignment="1">
      <alignment horizontal="center"/>
    </xf>
    <xf numFmtId="0" fontId="57" fillId="0" borderId="23" xfId="5" applyNumberFormat="1" applyFont="1" applyFill="1" applyBorder="1" applyAlignment="1">
      <alignment horizontal="center"/>
    </xf>
    <xf numFmtId="0" fontId="57" fillId="16" borderId="63" xfId="5" applyNumberFormat="1" applyFont="1" applyFill="1" applyBorder="1" applyAlignment="1">
      <alignment horizontal="center"/>
    </xf>
    <xf numFmtId="0" fontId="57" fillId="16" borderId="24" xfId="5" applyNumberFormat="1" applyFont="1" applyFill="1" applyBorder="1" applyAlignment="1">
      <alignment horizontal="center"/>
    </xf>
    <xf numFmtId="0" fontId="57" fillId="16" borderId="64" xfId="5" applyNumberFormat="1" applyFont="1" applyFill="1" applyBorder="1" applyAlignment="1">
      <alignment horizontal="center"/>
    </xf>
    <xf numFmtId="0" fontId="57" fillId="16" borderId="1" xfId="4" applyNumberFormat="1" applyFont="1" applyFill="1" applyBorder="1" applyAlignment="1">
      <alignment horizontal="center"/>
    </xf>
    <xf numFmtId="0" fontId="57" fillId="16" borderId="3" xfId="4" applyNumberFormat="1" applyFont="1" applyFill="1" applyBorder="1" applyAlignment="1">
      <alignment horizontal="center"/>
    </xf>
    <xf numFmtId="0" fontId="57" fillId="17" borderId="1" xfId="4" applyNumberFormat="1" applyFont="1" applyFill="1" applyBorder="1" applyAlignment="1">
      <alignment horizontal="center"/>
    </xf>
    <xf numFmtId="0" fontId="57" fillId="17" borderId="3" xfId="4" applyNumberFormat="1" applyFont="1" applyFill="1" applyBorder="1" applyAlignment="1">
      <alignment horizontal="center"/>
    </xf>
    <xf numFmtId="0" fontId="57" fillId="10" borderId="1" xfId="4" applyNumberFormat="1" applyFont="1" applyFill="1" applyBorder="1" applyAlignment="1">
      <alignment horizontal="center"/>
    </xf>
    <xf numFmtId="0" fontId="57" fillId="10" borderId="3" xfId="4" applyNumberFormat="1" applyFont="1" applyFill="1" applyBorder="1" applyAlignment="1">
      <alignment horizontal="center"/>
    </xf>
    <xf numFmtId="0" fontId="82" fillId="0" borderId="214" xfId="8" applyFont="1" applyBorder="1" applyAlignment="1">
      <alignment horizontal="center" wrapText="1"/>
    </xf>
    <xf numFmtId="0" fontId="103" fillId="2" borderId="0" xfId="6" applyNumberFormat="1" applyFont="1" applyFill="1" applyAlignment="1">
      <alignment horizontal="center"/>
    </xf>
    <xf numFmtId="0" fontId="104" fillId="2" borderId="0" xfId="0" applyNumberFormat="1" applyFont="1" applyFill="1" applyAlignment="1">
      <alignment horizontal="center"/>
    </xf>
    <xf numFmtId="0" fontId="105" fillId="2" borderId="0" xfId="6" applyNumberFormat="1" applyFont="1" applyFill="1" applyBorder="1" applyAlignment="1">
      <alignment horizontal="center"/>
    </xf>
    <xf numFmtId="0" fontId="104" fillId="2" borderId="0" xfId="0" applyNumberFormat="1" applyFont="1" applyFill="1" applyBorder="1" applyAlignment="1">
      <alignment horizontal="center"/>
    </xf>
    <xf numFmtId="0" fontId="22" fillId="2" borderId="246" xfId="6" applyNumberFormat="1" applyFont="1" applyFill="1" applyBorder="1" applyAlignment="1">
      <alignment horizontal="center"/>
    </xf>
    <xf numFmtId="0" fontId="22" fillId="2" borderId="97" xfId="6" applyNumberFormat="1" applyFont="1" applyFill="1" applyBorder="1" applyAlignment="1">
      <alignment horizontal="center"/>
    </xf>
    <xf numFmtId="0" fontId="0" fillId="2" borderId="286" xfId="0" applyNumberFormat="1" applyFill="1" applyBorder="1" applyAlignment="1">
      <alignment horizontal="center"/>
    </xf>
    <xf numFmtId="0" fontId="22" fillId="2" borderId="79" xfId="6" applyNumberFormat="1" applyFont="1" applyFill="1" applyBorder="1" applyAlignment="1">
      <alignment horizontal="center"/>
    </xf>
    <xf numFmtId="0" fontId="18" fillId="2" borderId="286" xfId="0" applyNumberFormat="1" applyFont="1" applyFill="1" applyBorder="1" applyAlignment="1">
      <alignment horizontal="center"/>
    </xf>
    <xf numFmtId="0" fontId="18" fillId="2" borderId="97" xfId="0" applyNumberFormat="1" applyFont="1" applyFill="1" applyBorder="1" applyAlignment="1">
      <alignment horizontal="center"/>
    </xf>
    <xf numFmtId="0" fontId="22" fillId="2" borderId="57" xfId="6" applyNumberFormat="1" applyFont="1" applyFill="1" applyBorder="1" applyAlignment="1">
      <alignment horizontal="center"/>
    </xf>
    <xf numFmtId="0" fontId="22" fillId="2" borderId="8" xfId="6" applyNumberFormat="1" applyFont="1" applyFill="1" applyBorder="1" applyAlignment="1">
      <alignment horizontal="center"/>
    </xf>
    <xf numFmtId="0" fontId="18" fillId="2" borderId="59" xfId="0" applyNumberFormat="1" applyFont="1" applyFill="1" applyBorder="1" applyAlignment="1">
      <alignment horizontal="center"/>
    </xf>
    <xf numFmtId="0" fontId="107" fillId="2" borderId="0" xfId="0" applyNumberFormat="1" applyFont="1" applyFill="1" applyBorder="1" applyAlignment="1">
      <alignment horizontal="center"/>
    </xf>
    <xf numFmtId="0" fontId="54" fillId="2" borderId="0" xfId="0" applyNumberFormat="1" applyFont="1" applyFill="1" applyBorder="1" applyAlignment="1"/>
    <xf numFmtId="0" fontId="106" fillId="2" borderId="0" xfId="0" applyNumberFormat="1" applyFont="1" applyFill="1" applyAlignment="1">
      <alignment horizontal="center"/>
    </xf>
    <xf numFmtId="0" fontId="0" fillId="2" borderId="0" xfId="0" applyNumberFormat="1" applyFill="1" applyAlignment="1"/>
    <xf numFmtId="0" fontId="32" fillId="0" borderId="0" xfId="7" applyFont="1" applyAlignment="1">
      <alignment horizontal="center"/>
    </xf>
    <xf numFmtId="0" fontId="37" fillId="0" borderId="0" xfId="7" applyFont="1" applyAlignment="1"/>
    <xf numFmtId="166" fontId="43" fillId="0" borderId="0" xfId="9" applyNumberFormat="1" applyFont="1" applyFill="1" applyBorder="1" applyAlignment="1">
      <alignment horizontal="left"/>
    </xf>
    <xf numFmtId="0" fontId="35" fillId="0" borderId="0" xfId="7" applyFont="1" applyBorder="1" applyAlignment="1">
      <alignment horizontal="left"/>
    </xf>
    <xf numFmtId="0" fontId="35" fillId="0" borderId="0" xfId="7" applyFont="1" applyAlignment="1"/>
    <xf numFmtId="0" fontId="36" fillId="0" borderId="0" xfId="7" applyFont="1" applyAlignment="1"/>
    <xf numFmtId="0" fontId="33" fillId="0" borderId="0" xfId="7" applyFont="1" applyAlignment="1"/>
    <xf numFmtId="0" fontId="34" fillId="0" borderId="0" xfId="7" applyFont="1" applyAlignment="1"/>
    <xf numFmtId="0" fontId="37" fillId="0" borderId="0" xfId="7" applyFont="1" applyBorder="1" applyAlignment="1"/>
    <xf numFmtId="0" fontId="44" fillId="0" borderId="0" xfId="7" applyFont="1" applyAlignment="1"/>
    <xf numFmtId="0" fontId="35" fillId="0" borderId="0" xfId="7" applyFont="1" applyBorder="1" applyAlignment="1"/>
    <xf numFmtId="0" fontId="37" fillId="0" borderId="0" xfId="7" applyFont="1" applyBorder="1" applyAlignment="1">
      <alignment horizontal="left"/>
    </xf>
    <xf numFmtId="0" fontId="41" fillId="0" borderId="0" xfId="7" applyFont="1" applyBorder="1" applyAlignment="1"/>
    <xf numFmtId="0" fontId="42" fillId="0" borderId="0" xfId="7" applyFont="1" applyAlignment="1"/>
  </cellXfs>
  <cellStyles count="62">
    <cellStyle name="Comma" xfId="1" builtinId="3"/>
    <cellStyle name="Comma 2" xfId="20"/>
    <cellStyle name="Comma 2 2" xfId="26"/>
    <cellStyle name="Comma 2 2 2" xfId="27"/>
    <cellStyle name="Comma 2 2 2 2" xfId="28"/>
    <cellStyle name="Comma 2 2 3" xfId="29"/>
    <cellStyle name="Comma 2 2 3 2" xfId="30"/>
    <cellStyle name="Comma 2 2 4" xfId="31"/>
    <cellStyle name="Comma 2 3" xfId="32"/>
    <cellStyle name="Comma 3" xfId="33"/>
    <cellStyle name="Comma 4" xfId="34"/>
    <cellStyle name="Currency" xfId="2" builtinId="4"/>
    <cellStyle name="Currency 2" xfId="16"/>
    <cellStyle name="Currency 2 2" xfId="23"/>
    <cellStyle name="Currency 2 3" xfId="35"/>
    <cellStyle name="Currency 2 4" xfId="36"/>
    <cellStyle name="Currency 3" xfId="37"/>
    <cellStyle name="Currency 4" xfId="38"/>
    <cellStyle name="Hyperlink" xfId="3" builtinId="8"/>
    <cellStyle name="Normal" xfId="0" builtinId="0"/>
    <cellStyle name="Normal 10" xfId="39"/>
    <cellStyle name="Normal 11" xfId="40"/>
    <cellStyle name="Normal 12" xfId="41"/>
    <cellStyle name="Normal 2" xfId="17"/>
    <cellStyle name="Normal 2 2" xfId="24"/>
    <cellStyle name="Normal 2 3" xfId="42"/>
    <cellStyle name="Normal 2 4" xfId="43"/>
    <cellStyle name="Normal 3" xfId="14"/>
    <cellStyle name="Normal 3 2" xfId="22"/>
    <cellStyle name="Normal 3 2 2" xfId="44"/>
    <cellStyle name="Normal 3 3" xfId="45"/>
    <cellStyle name="Normal 3 4" xfId="46"/>
    <cellStyle name="Normal 4" xfId="13"/>
    <cellStyle name="Normal 4 2" xfId="21"/>
    <cellStyle name="Normal 4 2 2" xfId="47"/>
    <cellStyle name="Normal 4 3" xfId="48"/>
    <cellStyle name="Normal 4 4" xfId="49"/>
    <cellStyle name="Normal 5" xfId="18"/>
    <cellStyle name="Normal 6" xfId="15"/>
    <cellStyle name="Normal 7" xfId="19"/>
    <cellStyle name="Normal 7 2" xfId="25"/>
    <cellStyle name="Normal 7 2 2" xfId="50"/>
    <cellStyle name="Normal 7 2 2 2" xfId="51"/>
    <cellStyle name="Normal 7 2 3" xfId="52"/>
    <cellStyle name="Normal 7 2 3 2" xfId="53"/>
    <cellStyle name="Normal 7 2 4" xfId="54"/>
    <cellStyle name="Normal 7 3" xfId="55"/>
    <cellStyle name="Normal 8" xfId="56"/>
    <cellStyle name="Normal 8 2" xfId="57"/>
    <cellStyle name="Normal 9" xfId="58"/>
    <cellStyle name="Normal_191-744" xfId="4"/>
    <cellStyle name="Normal_759CM" xfId="5"/>
    <cellStyle name="Normal_EEC Pre NTP Cash Flow" xfId="6"/>
    <cellStyle name="Normal_EEC WBS R1" xfId="7"/>
    <cellStyle name="Normal_LG&amp;E TC2 Prod Factor Calc" xfId="8"/>
    <cellStyle name="Normal_Sheet1" xfId="9"/>
    <cellStyle name="Normal_Site Strucutres ListingR1" xfId="10"/>
    <cellStyle name="Normal_STAFF" xfId="11"/>
    <cellStyle name="Percent" xfId="12" builtinId="5"/>
    <cellStyle name="Percent 2" xfId="59"/>
    <cellStyle name="Percent 3" xfId="60"/>
    <cellStyle name="Percent 4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HRSG Cash Flow</a:t>
            </a:r>
          </a:p>
        </c:rich>
      </c:tx>
      <c:layout>
        <c:manualLayout>
          <c:xMode val="edge"/>
          <c:yMode val="edge"/>
          <c:x val="0.42390548992356825"/>
          <c:y val="2.790701899681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36900625434504E-2"/>
          <c:y val="0.13333353520702398"/>
          <c:w val="0.87491313412091731"/>
          <c:h val="0.72558249391729257"/>
        </c:manualLayout>
      </c:layout>
      <c:lineChart>
        <c:grouping val="standard"/>
        <c:varyColors val="0"/>
        <c:ser>
          <c:idx val="0"/>
          <c:order val="0"/>
          <c:tx>
            <c:v>HRSG Cummulative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'OFE &amp; EPC Cash Flow'!$C$10:$C$49</c:f>
              <c:numCache>
                <c:formatCode>#,##0_);\(#,##0\)</c:formatCode>
                <c:ptCount val="40"/>
                <c:pt idx="0">
                  <c:v>128.66589699856647</c:v>
                </c:pt>
                <c:pt idx="1">
                  <c:v>154.39907639827976</c:v>
                </c:pt>
                <c:pt idx="2">
                  <c:v>180.13225579799305</c:v>
                </c:pt>
                <c:pt idx="3">
                  <c:v>205.86543519770635</c:v>
                </c:pt>
                <c:pt idx="4">
                  <c:v>231.59861459741964</c:v>
                </c:pt>
                <c:pt idx="5">
                  <c:v>257.33179399713293</c:v>
                </c:pt>
                <c:pt idx="6">
                  <c:v>643.32948499283225</c:v>
                </c:pt>
                <c:pt idx="7">
                  <c:v>669.06266439254557</c:v>
                </c:pt>
                <c:pt idx="8">
                  <c:v>694.79584379225889</c:v>
                </c:pt>
                <c:pt idx="9">
                  <c:v>720.52902319197221</c:v>
                </c:pt>
                <c:pt idx="10">
                  <c:v>746.26220259168554</c:v>
                </c:pt>
                <c:pt idx="11">
                  <c:v>1260.9257905859513</c:v>
                </c:pt>
                <c:pt idx="12">
                  <c:v>1286.6589699856645</c:v>
                </c:pt>
                <c:pt idx="13">
                  <c:v>1312.3921493853777</c:v>
                </c:pt>
                <c:pt idx="14">
                  <c:v>1338.1253287850909</c:v>
                </c:pt>
                <c:pt idx="15">
                  <c:v>1363.8585081848041</c:v>
                </c:pt>
                <c:pt idx="16">
                  <c:v>1492.5244051833706</c:v>
                </c:pt>
                <c:pt idx="17">
                  <c:v>1569.7239433825105</c:v>
                </c:pt>
                <c:pt idx="18">
                  <c:v>1646.9234815816503</c:v>
                </c:pt>
                <c:pt idx="19">
                  <c:v>1724.1230197807902</c:v>
                </c:pt>
                <c:pt idx="20">
                  <c:v>1801.32255797993</c:v>
                </c:pt>
                <c:pt idx="21">
                  <c:v>2315.986145974196</c:v>
                </c:pt>
                <c:pt idx="22">
                  <c:v>2315.986145974196</c:v>
                </c:pt>
                <c:pt idx="23">
                  <c:v>2315.986145974196</c:v>
                </c:pt>
                <c:pt idx="24">
                  <c:v>2315.986145974196</c:v>
                </c:pt>
                <c:pt idx="25">
                  <c:v>2315.986145974196</c:v>
                </c:pt>
                <c:pt idx="26">
                  <c:v>2315.986145974196</c:v>
                </c:pt>
                <c:pt idx="27">
                  <c:v>2315.986145974196</c:v>
                </c:pt>
                <c:pt idx="28">
                  <c:v>2315.986145974196</c:v>
                </c:pt>
                <c:pt idx="29">
                  <c:v>2315.986145974196</c:v>
                </c:pt>
                <c:pt idx="30">
                  <c:v>2315.986145974196</c:v>
                </c:pt>
                <c:pt idx="31">
                  <c:v>2315.986145974196</c:v>
                </c:pt>
                <c:pt idx="32">
                  <c:v>2315.986145974196</c:v>
                </c:pt>
                <c:pt idx="33">
                  <c:v>2315.986145974196</c:v>
                </c:pt>
                <c:pt idx="34">
                  <c:v>2315.986145974196</c:v>
                </c:pt>
                <c:pt idx="35">
                  <c:v>2573.317939971329</c:v>
                </c:pt>
                <c:pt idx="36">
                  <c:v>2573.317939971329</c:v>
                </c:pt>
                <c:pt idx="37">
                  <c:v>2573.317939971329</c:v>
                </c:pt>
                <c:pt idx="38">
                  <c:v>2573.317939971329</c:v>
                </c:pt>
                <c:pt idx="39">
                  <c:v>2573.317939971329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92832"/>
        <c:axId val="131139456"/>
      </c:lineChart>
      <c:catAx>
        <c:axId val="1307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Months From Award</a:t>
                </a:r>
              </a:p>
            </c:rich>
          </c:tx>
          <c:layout>
            <c:manualLayout>
              <c:xMode val="edge"/>
              <c:yMode val="edge"/>
              <c:x val="0.45865184155663624"/>
              <c:y val="0.91473006711795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13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13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Dollars x 1,000</a:t>
                </a:r>
              </a:p>
            </c:rich>
          </c:tx>
          <c:layout>
            <c:manualLayout>
              <c:xMode val="edge"/>
              <c:yMode val="edge"/>
              <c:x val="5.5594162612925694E-3"/>
              <c:y val="0.33643461790610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792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30715774843642"/>
          <c:y val="0.181395623479327"/>
          <c:w val="0.21056289089646293"/>
          <c:h val="6.2015597770708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9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Turbine Cash Flow</a:t>
            </a:r>
          </a:p>
        </c:rich>
      </c:tx>
      <c:layout>
        <c:manualLayout>
          <c:xMode val="edge"/>
          <c:yMode val="edge"/>
          <c:x val="0.40887480190175896"/>
          <c:y val="2.78207109737259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18383518225039E-2"/>
          <c:y val="0.12519319938176199"/>
          <c:w val="0.87480190174326466"/>
          <c:h val="0.80061823802163834"/>
        </c:manualLayout>
      </c:layout>
      <c:lineChart>
        <c:grouping val="standard"/>
        <c:varyColors val="0"/>
        <c:ser>
          <c:idx val="0"/>
          <c:order val="0"/>
          <c:tx>
            <c:v>Turbine Generator Cummulative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'OFE &amp; EPC Cash Flow'!$A$10:$A$43</c:f>
              <c:numCache>
                <c:formatCode>General</c:formatCode>
                <c:ptCount val="34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</c:numCache>
            </c:numRef>
          </c:cat>
          <c:val>
            <c:numRef>
              <c:f>'OFE &amp; EPC Cash Flow'!$F$10:$F$43</c:f>
              <c:numCache>
                <c:formatCode>#,##0_);\(#,##0\)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233664"/>
        <c:axId val="349474176"/>
      </c:lineChart>
      <c:catAx>
        <c:axId val="34323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Months From Award</a:t>
                </a:r>
              </a:p>
            </c:rich>
          </c:tx>
          <c:layout>
            <c:manualLayout>
              <c:xMode val="edge"/>
              <c:yMode val="edge"/>
              <c:x val="0.41917591125198811"/>
              <c:y val="0.936630602782083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47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9474176"/>
        <c:scaling>
          <c:orientation val="minMax"/>
          <c:max val="12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Dollars x 1,000</a:t>
                </a:r>
              </a:p>
            </c:rich>
          </c:tx>
          <c:layout>
            <c:manualLayout>
              <c:xMode val="edge"/>
              <c:yMode val="edge"/>
              <c:x val="3.9619651347068147E-3"/>
              <c:y val="0.313755795981463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233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451664025356576"/>
          <c:y val="0.1483771251931994"/>
          <c:w val="0.43977812995247206"/>
          <c:h val="0.100463678516232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CTG Cash Flow</a:t>
            </a:r>
          </a:p>
        </c:rich>
      </c:tx>
      <c:layout>
        <c:manualLayout>
          <c:xMode val="edge"/>
          <c:yMode val="edge"/>
          <c:x val="0.43375203876288382"/>
          <c:y val="2.70655647168312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919157731295301E-2"/>
          <c:y val="0.1780629257686267"/>
          <c:w val="0.87378023242751257"/>
          <c:h val="0.733619254166757"/>
        </c:manualLayout>
      </c:layout>
      <c:lineChart>
        <c:grouping val="standard"/>
        <c:varyColors val="0"/>
        <c:ser>
          <c:idx val="0"/>
          <c:order val="0"/>
          <c:tx>
            <c:v>AQSC Cummulative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'OFE &amp; EPC Cash Flow'!$A$10:$A$49</c:f>
              <c:numCache>
                <c:formatCode>General</c:formatCode>
                <c:ptCount val="40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</c:numCache>
            </c:numRef>
          </c:cat>
          <c:val>
            <c:numRef>
              <c:f>'OFE &amp; EPC Cash Flow'!$I$10:$I$49</c:f>
              <c:numCache>
                <c:formatCode>#,##0_);\(#,##0\)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885248"/>
        <c:axId val="382891904"/>
      </c:lineChart>
      <c:catAx>
        <c:axId val="38288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Months From Award</a:t>
                </a:r>
              </a:p>
            </c:rich>
          </c:tx>
          <c:layout>
            <c:manualLayout>
              <c:xMode val="edge"/>
              <c:yMode val="edge"/>
              <c:x val="0.45467255510192961"/>
              <c:y val="0.95299277871369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289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2891904"/>
        <c:scaling>
          <c:orientation val="minMax"/>
          <c:max val="1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Dollars x 1,000</a:t>
                </a:r>
              </a:p>
            </c:rich>
          </c:tx>
          <c:layout>
            <c:manualLayout>
              <c:xMode val="edge"/>
              <c:yMode val="edge"/>
              <c:x val="3.4867527231743091E-3"/>
              <c:y val="0.397436450315582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2885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967934814068241"/>
          <c:y val="0.20940200070390499"/>
          <c:w val="0.21827072047071161"/>
          <c:h val="6.12536464644074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Cash Flow</a:t>
            </a:r>
          </a:p>
        </c:rich>
      </c:tx>
      <c:layout>
        <c:manualLayout>
          <c:xMode val="edge"/>
          <c:yMode val="edge"/>
          <c:x val="0.4287976339982949"/>
          <c:y val="2.70655647168312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784838243253033E-2"/>
          <c:y val="0.13390332017800741"/>
          <c:w val="0.88844971029536002"/>
          <c:h val="0.78775038360040461"/>
        </c:manualLayout>
      </c:layout>
      <c:lineChart>
        <c:grouping val="standard"/>
        <c:varyColors val="0"/>
        <c:ser>
          <c:idx val="0"/>
          <c:order val="0"/>
          <c:tx>
            <c:v>HRSG Cummulative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'OFE &amp; EPC Cash Flow'!$A$10:$A$49</c:f>
              <c:numCache>
                <c:formatCode>General</c:formatCode>
                <c:ptCount val="40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</c:numCache>
            </c:numRef>
          </c:cat>
          <c:val>
            <c:numRef>
              <c:f>'OFE &amp; EPC Cash Flow'!$C$10:$C$49</c:f>
              <c:numCache>
                <c:formatCode>#,##0_);\(#,##0\)</c:formatCode>
                <c:ptCount val="40"/>
                <c:pt idx="0">
                  <c:v>128.66589699856647</c:v>
                </c:pt>
                <c:pt idx="1">
                  <c:v>154.39907639827976</c:v>
                </c:pt>
                <c:pt idx="2">
                  <c:v>180.13225579799305</c:v>
                </c:pt>
                <c:pt idx="3">
                  <c:v>205.86543519770635</c:v>
                </c:pt>
                <c:pt idx="4">
                  <c:v>231.59861459741964</c:v>
                </c:pt>
                <c:pt idx="5">
                  <c:v>257.33179399713293</c:v>
                </c:pt>
                <c:pt idx="6">
                  <c:v>643.32948499283225</c:v>
                </c:pt>
                <c:pt idx="7">
                  <c:v>669.06266439254557</c:v>
                </c:pt>
                <c:pt idx="8">
                  <c:v>694.79584379225889</c:v>
                </c:pt>
                <c:pt idx="9">
                  <c:v>720.52902319197221</c:v>
                </c:pt>
                <c:pt idx="10">
                  <c:v>746.26220259168554</c:v>
                </c:pt>
                <c:pt idx="11">
                  <c:v>1260.9257905859513</c:v>
                </c:pt>
                <c:pt idx="12">
                  <c:v>1286.6589699856645</c:v>
                </c:pt>
                <c:pt idx="13">
                  <c:v>1312.3921493853777</c:v>
                </c:pt>
                <c:pt idx="14">
                  <c:v>1338.1253287850909</c:v>
                </c:pt>
                <c:pt idx="15">
                  <c:v>1363.8585081848041</c:v>
                </c:pt>
                <c:pt idx="16">
                  <c:v>1492.5244051833706</c:v>
                </c:pt>
                <c:pt idx="17">
                  <c:v>1569.7239433825105</c:v>
                </c:pt>
                <c:pt idx="18">
                  <c:v>1646.9234815816503</c:v>
                </c:pt>
                <c:pt idx="19">
                  <c:v>1724.1230197807902</c:v>
                </c:pt>
                <c:pt idx="20">
                  <c:v>1801.32255797993</c:v>
                </c:pt>
                <c:pt idx="21">
                  <c:v>2315.986145974196</c:v>
                </c:pt>
                <c:pt idx="22">
                  <c:v>2315.986145974196</c:v>
                </c:pt>
                <c:pt idx="23">
                  <c:v>2315.986145974196</c:v>
                </c:pt>
                <c:pt idx="24">
                  <c:v>2315.986145974196</c:v>
                </c:pt>
                <c:pt idx="25">
                  <c:v>2315.986145974196</c:v>
                </c:pt>
                <c:pt idx="26">
                  <c:v>2315.986145974196</c:v>
                </c:pt>
                <c:pt idx="27">
                  <c:v>2315.986145974196</c:v>
                </c:pt>
                <c:pt idx="28">
                  <c:v>2315.986145974196</c:v>
                </c:pt>
                <c:pt idx="29">
                  <c:v>2315.986145974196</c:v>
                </c:pt>
                <c:pt idx="30">
                  <c:v>2315.986145974196</c:v>
                </c:pt>
                <c:pt idx="31">
                  <c:v>2315.986145974196</c:v>
                </c:pt>
                <c:pt idx="32">
                  <c:v>2315.986145974196</c:v>
                </c:pt>
                <c:pt idx="33">
                  <c:v>2315.986145974196</c:v>
                </c:pt>
                <c:pt idx="34">
                  <c:v>2315.986145974196</c:v>
                </c:pt>
                <c:pt idx="35">
                  <c:v>2573.317939971329</c:v>
                </c:pt>
                <c:pt idx="36">
                  <c:v>2573.317939971329</c:v>
                </c:pt>
                <c:pt idx="37">
                  <c:v>2573.317939971329</c:v>
                </c:pt>
                <c:pt idx="38">
                  <c:v>2573.317939971329</c:v>
                </c:pt>
                <c:pt idx="39">
                  <c:v>2573.317939971329</c:v>
                </c:pt>
              </c:numCache>
            </c:numRef>
          </c:val>
          <c:smooth val="0"/>
        </c:ser>
        <c:ser>
          <c:idx val="1"/>
          <c:order val="1"/>
          <c:tx>
            <c:v>Steam Turbine Cummulative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'OFE &amp; EPC Cash Flow'!$A$10:$A$49</c:f>
              <c:numCache>
                <c:formatCode>General</c:formatCode>
                <c:ptCount val="40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</c:numCache>
            </c:numRef>
          </c:cat>
          <c:val>
            <c:numRef>
              <c:f>'OFE &amp; EPC Cash Flow'!$F$10:$F$43</c:f>
              <c:numCache>
                <c:formatCode>#,##0_);\(#,##0\)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Combustion Turbine Cummulative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'OFE &amp; EPC Cash Flow'!$A$10:$A$49</c:f>
              <c:numCache>
                <c:formatCode>General</c:formatCode>
                <c:ptCount val="40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</c:numCache>
            </c:numRef>
          </c:cat>
          <c:val>
            <c:numRef>
              <c:f>'OFE &amp; EPC Cash Flow'!$I$10:$I$49</c:f>
              <c:numCache>
                <c:formatCode>#,##0_);\(#,##0\)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EPC PackageCummulative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'OFE &amp; EPC Cash Flow'!$A$10:$A$49</c:f>
              <c:numCache>
                <c:formatCode>General</c:formatCode>
                <c:ptCount val="40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</c:numCache>
            </c:numRef>
          </c:cat>
          <c:val>
            <c:numRef>
              <c:f>'OFE &amp; EPC Cash Flow'!$O$10:$O$49</c:f>
              <c:numCache>
                <c:formatCode>#,##0_);\(#,##0\)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Total Cummulative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'OFE &amp; EPC Cash Flow'!$R$9:$R$49</c:f>
              <c:numCache>
                <c:formatCode>#,##0_);\(#,##0\)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986688"/>
        <c:axId val="383997824"/>
      </c:lineChart>
      <c:catAx>
        <c:axId val="38398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Months From Award</a:t>
                </a:r>
              </a:p>
            </c:rich>
          </c:tx>
          <c:layout>
            <c:manualLayout>
              <c:xMode val="edge"/>
              <c:yMode val="edge"/>
              <c:x val="0.45332295992809557"/>
              <c:y val="0.95299277871369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3997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39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Dollars x 1,000</a:t>
                </a:r>
              </a:p>
            </c:rich>
          </c:tx>
          <c:layout>
            <c:manualLayout>
              <c:xMode val="edge"/>
              <c:yMode val="edge"/>
              <c:x val="3.9556977306116096E-3"/>
              <c:y val="0.38034240944178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3986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585449058610451"/>
          <c:y val="0.22079802795309711"/>
          <c:w val="0.28401909705791878"/>
          <c:h val="0.182336435987079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EPC Cummulative</a:t>
            </a:r>
          </a:p>
        </c:rich>
      </c:tx>
      <c:layout>
        <c:manualLayout>
          <c:xMode val="edge"/>
          <c:yMode val="edge"/>
          <c:x val="0.39470040826333158"/>
          <c:y val="2.6388924681158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4361437332559"/>
          <c:y val="0.20972250667657688"/>
          <c:w val="0.84170210737427775"/>
          <c:h val="0.60277859534860179"/>
        </c:manualLayout>
      </c:layout>
      <c:lineChart>
        <c:grouping val="standard"/>
        <c:varyColors val="0"/>
        <c:ser>
          <c:idx val="0"/>
          <c:order val="0"/>
          <c:tx>
            <c:v>EPC Package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'OFE &amp; EPC Cash Flow'!$O$10:$O$49</c:f>
              <c:numCache>
                <c:formatCode>#,##0_);\(#,##0\)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90688"/>
        <c:axId val="393765248"/>
      </c:lineChart>
      <c:catAx>
        <c:axId val="39069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Months From Award</a:t>
                </a:r>
              </a:p>
            </c:rich>
          </c:tx>
          <c:layout>
            <c:manualLayout>
              <c:xMode val="edge"/>
              <c:yMode val="edge"/>
              <c:x val="0.46931691653927438"/>
              <c:y val="0.902779002250193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3765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93765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Cummulative Dollars X 1,000</a:t>
                </a:r>
              </a:p>
            </c:rich>
          </c:tx>
          <c:layout>
            <c:manualLayout>
              <c:xMode val="edge"/>
              <c:yMode val="edge"/>
              <c:x val="1.4644361437332241E-2"/>
              <c:y val="0.236111431357741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6906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502106012264926"/>
          <c:y val="0.21388917899465468"/>
          <c:w val="0.15829857363211391"/>
          <c:h val="5.83334124530879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9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Combustion Turbine Cummulative</a:t>
            </a:r>
          </a:p>
        </c:rich>
      </c:tx>
      <c:layout>
        <c:manualLayout>
          <c:xMode val="edge"/>
          <c:yMode val="edge"/>
          <c:x val="0.35891314988099382"/>
          <c:y val="2.664796633941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1311444056822"/>
          <c:y val="0.13323983169705494"/>
          <c:w val="0.83453302555847964"/>
          <c:h val="0.75315568022442181"/>
        </c:manualLayout>
      </c:layout>
      <c:lineChart>
        <c:grouping val="standard"/>
        <c:varyColors val="0"/>
        <c:ser>
          <c:idx val="0"/>
          <c:order val="0"/>
          <c:tx>
            <c:v>Combustion Turbine Cummulative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'OFE &amp; EPC Cash Flow'!$I$10:$I$49</c:f>
              <c:numCache>
                <c:formatCode>#,##0_);\(#,##0\)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061504"/>
        <c:axId val="381031936"/>
      </c:lineChart>
      <c:catAx>
        <c:axId val="37506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Months From Award</a:t>
                </a:r>
              </a:p>
            </c:rich>
          </c:tx>
          <c:layout>
            <c:manualLayout>
              <c:xMode val="edge"/>
              <c:yMode val="edge"/>
              <c:x val="0.46203073637241487"/>
              <c:y val="0.936886395511907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03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1031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Cummulative Dollars x 1,000</a:t>
                </a:r>
              </a:p>
            </c:rich>
          </c:tx>
          <c:layout>
            <c:manualLayout>
              <c:xMode val="edge"/>
              <c:yMode val="edge"/>
              <c:x val="2.238211179658758E-2"/>
              <c:y val="0.35483870967743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0615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Unescalated EPC Cash Flow</a:t>
            </a:r>
          </a:p>
        </c:rich>
      </c:tx>
      <c:layout>
        <c:manualLayout>
          <c:xMode val="edge"/>
          <c:yMode val="edge"/>
          <c:x val="0.37812068227496803"/>
          <c:y val="2.59901147159476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58744363430429"/>
          <c:y val="0.10272283435350762"/>
          <c:w val="0.88766583469984939"/>
          <c:h val="0.589109266894813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'EPC Craft Hour &amp; Escalation'!$I$23:$I$63</c:f>
              <c:numCache>
                <c:formatCode>#,##0_);\(#,##0\)</c:formatCode>
                <c:ptCount val="41"/>
                <c:pt idx="0">
                  <c:v>0</c:v>
                </c:pt>
                <c:pt idx="1">
                  <c:v>144.95142880812114</c:v>
                </c:pt>
                <c:pt idx="2">
                  <c:v>28.990285761624225</c:v>
                </c:pt>
                <c:pt idx="3">
                  <c:v>28.990285761624225</c:v>
                </c:pt>
                <c:pt idx="4">
                  <c:v>28.990285761624225</c:v>
                </c:pt>
                <c:pt idx="5">
                  <c:v>434.85428642436335</c:v>
                </c:pt>
                <c:pt idx="6">
                  <c:v>436.27799935811674</c:v>
                </c:pt>
                <c:pt idx="7">
                  <c:v>437.70637352801515</c:v>
                </c:pt>
                <c:pt idx="8">
                  <c:v>439.13942419494589</c:v>
                </c:pt>
                <c:pt idx="9">
                  <c:v>587.43622222634679</c:v>
                </c:pt>
                <c:pt idx="10">
                  <c:v>589.35948841791583</c:v>
                </c:pt>
                <c:pt idx="11">
                  <c:v>739.11131422874507</c:v>
                </c:pt>
                <c:pt idx="12">
                  <c:v>741.53116467153006</c:v>
                </c:pt>
                <c:pt idx="13">
                  <c:v>743.95893770466444</c:v>
                </c:pt>
                <c:pt idx="14">
                  <c:v>895.67359112005124</c:v>
                </c:pt>
                <c:pt idx="15">
                  <c:v>898.60602645737822</c:v>
                </c:pt>
                <c:pt idx="16">
                  <c:v>901.54806258799988</c:v>
                </c:pt>
                <c:pt idx="17">
                  <c:v>1205.9996412598839</c:v>
                </c:pt>
                <c:pt idx="18">
                  <c:v>1209.9480840853685</c:v>
                </c:pt>
                <c:pt idx="19">
                  <c:v>1213.9094541126642</c:v>
                </c:pt>
                <c:pt idx="20">
                  <c:v>1217.883793665429</c:v>
                </c:pt>
                <c:pt idx="21">
                  <c:v>1221.8711452058892</c:v>
                </c:pt>
                <c:pt idx="22">
                  <c:v>1225.8715513352934</c:v>
                </c:pt>
                <c:pt idx="23">
                  <c:v>1229.885054794365</c:v>
                </c:pt>
                <c:pt idx="24">
                  <c:v>1233.9116984637619</c:v>
                </c:pt>
                <c:pt idx="25">
                  <c:v>1237.9515253645318</c:v>
                </c:pt>
                <c:pt idx="26">
                  <c:v>1242.0045786585754</c:v>
                </c:pt>
                <c:pt idx="27">
                  <c:v>1090.3120389429655</c:v>
                </c:pt>
                <c:pt idx="28">
                  <c:v>1093.8817205584646</c:v>
                </c:pt>
                <c:pt idx="29">
                  <c:v>940.68264798134817</c:v>
                </c:pt>
                <c:pt idx="30">
                  <c:v>943.76244297083895</c:v>
                </c:pt>
                <c:pt idx="31">
                  <c:v>946.85232120912542</c:v>
                </c:pt>
                <c:pt idx="32">
                  <c:v>949.95231570876433</c:v>
                </c:pt>
                <c:pt idx="33">
                  <c:v>794.21871632532884</c:v>
                </c:pt>
                <c:pt idx="34">
                  <c:v>796.81898840257782</c:v>
                </c:pt>
                <c:pt idx="35">
                  <c:v>639.54221901648634</c:v>
                </c:pt>
                <c:pt idx="36">
                  <c:v>641.63608024154632</c:v>
                </c:pt>
                <c:pt idx="37">
                  <c:v>643.73679676825702</c:v>
                </c:pt>
                <c:pt idx="38">
                  <c:v>484.38329328065709</c:v>
                </c:pt>
                <c:pt idx="39">
                  <c:v>194.38766567314318</c:v>
                </c:pt>
                <c:pt idx="40">
                  <c:v>195.02409089055709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056896"/>
        <c:axId val="381068032"/>
      </c:lineChart>
      <c:catAx>
        <c:axId val="38105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
Months from LNTP
</a:t>
                </a:r>
              </a:p>
            </c:rich>
          </c:tx>
          <c:layout>
            <c:manualLayout>
              <c:xMode val="edge"/>
              <c:yMode val="edge"/>
              <c:x val="0.47650548115813801"/>
              <c:y val="0.74752520421106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06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1068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Estimated Monthly Expenditures x !,000</a:t>
                </a:r>
              </a:p>
            </c:rich>
          </c:tx>
          <c:layout>
            <c:manualLayout>
              <c:xMode val="edge"/>
              <c:yMode val="edge"/>
              <c:x val="1.1013223755581E-2"/>
              <c:y val="0.160891186336818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0568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EPC Monthly Craft</a:t>
            </a:r>
          </a:p>
        </c:rich>
      </c:tx>
      <c:layout>
        <c:manualLayout>
          <c:xMode val="edge"/>
          <c:yMode val="edge"/>
          <c:x val="0.42962432555454222"/>
          <c:y val="2.6455060628334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85874741601283E-2"/>
          <c:y val="7.8042428853584034E-2"/>
          <c:w val="0.92114992614610292"/>
          <c:h val="0.759260240033190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'EPC Craft Hour &amp; Escalation'!$C$28:$C$63</c:f>
              <c:numCache>
                <c:formatCode>#,##0</c:formatCode>
                <c:ptCount val="36"/>
                <c:pt idx="0">
                  <c:v>1.2930011756411817</c:v>
                </c:pt>
                <c:pt idx="1">
                  <c:v>1.2930011756411817</c:v>
                </c:pt>
                <c:pt idx="2">
                  <c:v>12.930011756411815</c:v>
                </c:pt>
                <c:pt idx="3">
                  <c:v>4.3100039188039387</c:v>
                </c:pt>
                <c:pt idx="4">
                  <c:v>4.3100039188039387</c:v>
                </c:pt>
                <c:pt idx="5">
                  <c:v>4.3100039188039387</c:v>
                </c:pt>
                <c:pt idx="6">
                  <c:v>8.6200078376078775</c:v>
                </c:pt>
                <c:pt idx="7">
                  <c:v>8.6200078376078775</c:v>
                </c:pt>
                <c:pt idx="8">
                  <c:v>8.6200078376078775</c:v>
                </c:pt>
                <c:pt idx="9">
                  <c:v>8.6200078376078775</c:v>
                </c:pt>
                <c:pt idx="10">
                  <c:v>10.775009797009847</c:v>
                </c:pt>
                <c:pt idx="11">
                  <c:v>10.775009797009847</c:v>
                </c:pt>
                <c:pt idx="12">
                  <c:v>10.775009797009847</c:v>
                </c:pt>
                <c:pt idx="13">
                  <c:v>10.775009797009847</c:v>
                </c:pt>
                <c:pt idx="14">
                  <c:v>10.775009797009847</c:v>
                </c:pt>
                <c:pt idx="15">
                  <c:v>10.775009797009847</c:v>
                </c:pt>
                <c:pt idx="16">
                  <c:v>15.085013715813785</c:v>
                </c:pt>
                <c:pt idx="17">
                  <c:v>12.930011756411815</c:v>
                </c:pt>
                <c:pt idx="18">
                  <c:v>15.085013715813785</c:v>
                </c:pt>
                <c:pt idx="19">
                  <c:v>15.085013715813785</c:v>
                </c:pt>
                <c:pt idx="20">
                  <c:v>17.240015675215755</c:v>
                </c:pt>
                <c:pt idx="21">
                  <c:v>19.395017634617723</c:v>
                </c:pt>
                <c:pt idx="22">
                  <c:v>19.395017634617723</c:v>
                </c:pt>
                <c:pt idx="23">
                  <c:v>19.395017634617723</c:v>
                </c:pt>
                <c:pt idx="24">
                  <c:v>19.395017634617723</c:v>
                </c:pt>
                <c:pt idx="25">
                  <c:v>17.240015675215755</c:v>
                </c:pt>
                <c:pt idx="26">
                  <c:v>17.240015675215755</c:v>
                </c:pt>
                <c:pt idx="27">
                  <c:v>17.240015675215755</c:v>
                </c:pt>
                <c:pt idx="28">
                  <c:v>15.085013715813785</c:v>
                </c:pt>
                <c:pt idx="29">
                  <c:v>15.085013715813785</c:v>
                </c:pt>
                <c:pt idx="30">
                  <c:v>15.085013715813785</c:v>
                </c:pt>
                <c:pt idx="31">
                  <c:v>15.085013715813785</c:v>
                </c:pt>
                <c:pt idx="32">
                  <c:v>12.930011756411815</c:v>
                </c:pt>
                <c:pt idx="33">
                  <c:v>12.930011756411815</c:v>
                </c:pt>
                <c:pt idx="34">
                  <c:v>12.930011756411815</c:v>
                </c:pt>
                <c:pt idx="35">
                  <c:v>12.930011756411815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087744"/>
        <c:axId val="381090048"/>
      </c:lineChart>
      <c:catAx>
        <c:axId val="38108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Months After Construction Start</a:t>
                </a:r>
              </a:p>
            </c:rich>
          </c:tx>
          <c:layout>
            <c:manualLayout>
              <c:xMode val="edge"/>
              <c:yMode val="edge"/>
              <c:x val="0.43551968508188216"/>
              <c:y val="0.88492177801775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09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109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 of Craft</a:t>
                </a:r>
              </a:p>
            </c:rich>
          </c:tx>
          <c:layout>
            <c:manualLayout>
              <c:xMode val="edge"/>
              <c:yMode val="edge"/>
              <c:x val="1.252763899558676E-2"/>
              <c:y val="0.374339107890927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0877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612322</xdr:colOff>
      <xdr:row>24</xdr:row>
      <xdr:rowOff>13608</xdr:rowOff>
    </xdr:from>
    <xdr:to>
      <xdr:col>3</xdr:col>
      <xdr:colOff>3360965</xdr:colOff>
      <xdr:row>29</xdr:row>
      <xdr:rowOff>127908</xdr:rowOff>
    </xdr:to>
    <xdr:pic>
      <xdr:nvPicPr>
        <xdr:cNvPr id="4" name="Picture 3" descr="HDR_C&amp;B _0.tmp"/>
        <xdr:cNvPicPr>
          <a:picLocks/>
        </xdr:cNvPicPr>
      </xdr:nvPicPr>
      <xdr:blipFill>
        <a:blip xmlns:r="http://schemas.openxmlformats.org/officeDocument/2006/relationships" r:embed="rId1" cstate="print"/>
        <a:srcRect r="47130"/>
        <a:stretch>
          <a:fillRect/>
        </a:stretch>
      </xdr:blipFill>
      <xdr:spPr>
        <a:xfrm>
          <a:off x="2612572" y="6545037"/>
          <a:ext cx="2748643" cy="1066800"/>
        </a:xfrm>
        <a:prstGeom prst="rect">
          <a:avLst/>
        </a:prstGeom>
      </xdr:spPr>
    </xdr:pic>
    <xdr:clientData/>
  </xdr:twoCellAnchor>
  <xdr:twoCellAnchor editAs="oneCell">
    <xdr:from>
      <xdr:col>3</xdr:col>
      <xdr:colOff>40821</xdr:colOff>
      <xdr:row>6</xdr:row>
      <xdr:rowOff>54429</xdr:rowOff>
    </xdr:from>
    <xdr:to>
      <xdr:col>3</xdr:col>
      <xdr:colOff>3791540</xdr:colOff>
      <xdr:row>8</xdr:row>
      <xdr:rowOff>295651</xdr:rowOff>
    </xdr:to>
    <xdr:pic>
      <xdr:nvPicPr>
        <xdr:cNvPr id="5" name="Picture 4" descr="lge_ku_ppl_tag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1071" y="1197429"/>
          <a:ext cx="3750719" cy="622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1457325</xdr:colOff>
      <xdr:row>83</xdr:row>
      <xdr:rowOff>0</xdr:rowOff>
    </xdr:from>
    <xdr:ext cx="104775" cy="257175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600450" y="20002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1457325</xdr:colOff>
      <xdr:row>57</xdr:row>
      <xdr:rowOff>0</xdr:rowOff>
    </xdr:from>
    <xdr:ext cx="104775" cy="257175"/>
    <xdr:sp macro="" textlink="">
      <xdr:nvSpPr>
        <xdr:cNvPr id="13317" name="Text Box 5"/>
        <xdr:cNvSpPr txBox="1">
          <a:spLocks noChangeArrowheads="1"/>
        </xdr:cNvSpPr>
      </xdr:nvSpPr>
      <xdr:spPr bwMode="auto">
        <a:xfrm>
          <a:off x="3600450" y="204978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2</xdr:row>
      <xdr:rowOff>28575</xdr:rowOff>
    </xdr:from>
    <xdr:to>
      <xdr:col>3</xdr:col>
      <xdr:colOff>1885950</xdr:colOff>
      <xdr:row>3</xdr:row>
      <xdr:rowOff>200025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3075" y="638175"/>
          <a:ext cx="1190625" cy="4095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2</xdr:row>
      <xdr:rowOff>47625</xdr:rowOff>
    </xdr:from>
    <xdr:to>
      <xdr:col>3</xdr:col>
      <xdr:colOff>2162175</xdr:colOff>
      <xdr:row>3</xdr:row>
      <xdr:rowOff>409575</xdr:rowOff>
    </xdr:to>
    <xdr:pic>
      <xdr:nvPicPr>
        <xdr:cNvPr id="19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0" y="495300"/>
          <a:ext cx="1514475" cy="5905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67</xdr:row>
      <xdr:rowOff>9525</xdr:rowOff>
    </xdr:from>
    <xdr:to>
      <xdr:col>6</xdr:col>
      <xdr:colOff>752475</xdr:colOff>
      <xdr:row>68</xdr:row>
      <xdr:rowOff>76200</xdr:rowOff>
    </xdr:to>
    <xdr:pic>
      <xdr:nvPicPr>
        <xdr:cNvPr id="28673" name="Picture 1" descr="HDR Quest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15925" y="12868275"/>
          <a:ext cx="1352550" cy="2571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73</xdr:row>
      <xdr:rowOff>0</xdr:rowOff>
    </xdr:from>
    <xdr:to>
      <xdr:col>16</xdr:col>
      <xdr:colOff>28575</xdr:colOff>
      <xdr:row>110</xdr:row>
      <xdr:rowOff>152400</xdr:rowOff>
    </xdr:to>
    <xdr:graphicFrame macro="">
      <xdr:nvGraphicFramePr>
        <xdr:cNvPr id="174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9525</xdr:colOff>
      <xdr:row>73</xdr:row>
      <xdr:rowOff>0</xdr:rowOff>
    </xdr:from>
    <xdr:to>
      <xdr:col>30</xdr:col>
      <xdr:colOff>800100</xdr:colOff>
      <xdr:row>111</xdr:row>
      <xdr:rowOff>9525</xdr:rowOff>
    </xdr:to>
    <xdr:graphicFrame macro="">
      <xdr:nvGraphicFramePr>
        <xdr:cNvPr id="17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115</xdr:row>
      <xdr:rowOff>28575</xdr:rowOff>
    </xdr:from>
    <xdr:to>
      <xdr:col>15</xdr:col>
      <xdr:colOff>1076325</xdr:colOff>
      <xdr:row>156</xdr:row>
      <xdr:rowOff>76200</xdr:rowOff>
    </xdr:to>
    <xdr:graphicFrame macro="">
      <xdr:nvGraphicFramePr>
        <xdr:cNvPr id="174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885825</xdr:colOff>
      <xdr:row>115</xdr:row>
      <xdr:rowOff>47625</xdr:rowOff>
    </xdr:from>
    <xdr:to>
      <xdr:col>30</xdr:col>
      <xdr:colOff>809625</xdr:colOff>
      <xdr:row>156</xdr:row>
      <xdr:rowOff>95250</xdr:rowOff>
    </xdr:to>
    <xdr:graphicFrame macro="">
      <xdr:nvGraphicFramePr>
        <xdr:cNvPr id="174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123825</xdr:colOff>
      <xdr:row>161</xdr:row>
      <xdr:rowOff>142875</xdr:rowOff>
    </xdr:from>
    <xdr:to>
      <xdr:col>16</xdr:col>
      <xdr:colOff>28575</xdr:colOff>
      <xdr:row>204</xdr:row>
      <xdr:rowOff>38100</xdr:rowOff>
    </xdr:to>
    <xdr:graphicFrame macro="">
      <xdr:nvGraphicFramePr>
        <xdr:cNvPr id="17493" name="Chart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790575</xdr:colOff>
      <xdr:row>162</xdr:row>
      <xdr:rowOff>0</xdr:rowOff>
    </xdr:from>
    <xdr:to>
      <xdr:col>30</xdr:col>
      <xdr:colOff>657225</xdr:colOff>
      <xdr:row>203</xdr:row>
      <xdr:rowOff>152400</xdr:rowOff>
    </xdr:to>
    <xdr:graphicFrame macro="">
      <xdr:nvGraphicFramePr>
        <xdr:cNvPr id="17494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70</xdr:row>
      <xdr:rowOff>161925</xdr:rowOff>
    </xdr:from>
    <xdr:to>
      <xdr:col>13</xdr:col>
      <xdr:colOff>962025</xdr:colOff>
      <xdr:row>111</xdr:row>
      <xdr:rowOff>38100</xdr:rowOff>
    </xdr:to>
    <xdr:graphicFrame macro="">
      <xdr:nvGraphicFramePr>
        <xdr:cNvPr id="12363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116</xdr:row>
      <xdr:rowOff>114300</xdr:rowOff>
    </xdr:from>
    <xdr:to>
      <xdr:col>13</xdr:col>
      <xdr:colOff>942975</xdr:colOff>
      <xdr:row>154</xdr:row>
      <xdr:rowOff>76200</xdr:rowOff>
    </xdr:to>
    <xdr:graphicFrame macro="">
      <xdr:nvGraphicFramePr>
        <xdr:cNvPr id="12364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GFennimo\Local%20Settings\Temporary%20Internet%20Files\OLK1B\CEC%20800MW%20PC%20Project%20Budget%20Est%20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56479\70_Project%20Controls\70.1_Estimates\CEC%20JH%20Campbell%20AQCS%20S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wworking\oma\d1248503\Alliant%20WPL%20IRP%202x1%20CC%20(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rbakewell\My%20Documents\y.8019.NorthernLights.Tondu%20R1.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jobactive\5699\70_Project%20Controls\70.1_Estimates\MCV250kblrsR1_Jan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4221.11\50_Estimates\Northern%20Lights%20-%20Tondu%20Summary%20R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4741.01\Estimates\LG&amp;E%20Energy%20Trimble%20Co%20Unit%202%20Rev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4221.11\50_Estimates\y.8019.NorthernLights.Tondu%20R1.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EPC Summary"/>
      <sheetName val="Project Summary"/>
      <sheetName val="Estimate Details - VOID"/>
      <sheetName val="Estimate Details"/>
      <sheetName val="EPC Field Staff"/>
      <sheetName val="Const Indirects &amp; Services"/>
      <sheetName val="Construction Equipment"/>
      <sheetName val="Project Cash Flow Table"/>
      <sheetName val="EPC Cash Flow Table"/>
      <sheetName val="Wage Rates"/>
      <sheetName val="Productivity Factor Calc."/>
      <sheetName val="Cash Flow Chart"/>
      <sheetName val="Est Breakdown by Area - VOID"/>
      <sheetName val="Current Pricing by Area - VOID"/>
      <sheetName val="Area Summary - VOID"/>
      <sheetName val="Curr Price Sort by Area VOID "/>
      <sheetName val="Curr Price by Discip - VOID"/>
    </sheetNames>
    <sheetDataSet>
      <sheetData sheetId="0" refreshError="1"/>
      <sheetData sheetId="1" refreshError="1"/>
      <sheetData sheetId="2" refreshError="1"/>
      <sheetData sheetId="3">
        <row r="5">
          <cell r="X5">
            <v>1</v>
          </cell>
        </row>
        <row r="6">
          <cell r="X6">
            <v>1.1200000000000001</v>
          </cell>
        </row>
        <row r="7">
          <cell r="X7">
            <v>1.1200000000000001</v>
          </cell>
        </row>
        <row r="8">
          <cell r="X8">
            <v>1.1200000000000001</v>
          </cell>
        </row>
        <row r="9">
          <cell r="X9">
            <v>1.1200000000000001</v>
          </cell>
        </row>
        <row r="10">
          <cell r="X10">
            <v>1.1200000000000001</v>
          </cell>
        </row>
        <row r="11">
          <cell r="X11">
            <v>1.1200000000000001</v>
          </cell>
        </row>
        <row r="12">
          <cell r="X12">
            <v>1.1200000000000001</v>
          </cell>
        </row>
        <row r="13">
          <cell r="X13">
            <v>1.1200000000000001</v>
          </cell>
        </row>
        <row r="15">
          <cell r="K15" t="e">
            <v>#REF!</v>
          </cell>
        </row>
      </sheetData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ummary "/>
      <sheetName val="Estimate Details"/>
      <sheetName val="Const Equipment "/>
      <sheetName val="Civil Const. Indirts"/>
      <sheetName val="Mech. Const. Indirts"/>
      <sheetName val="Elect. Const. Indirts"/>
      <sheetName val="Composite Crew Wages"/>
      <sheetName val="Wages Composite Crew"/>
      <sheetName val="Estimate Change Mod Updates"/>
      <sheetName val="Summary Comp May08 - Dec 08"/>
      <sheetName val="RUI PDI Current Rates"/>
      <sheetName val="Const Indirects &amp; Services"/>
      <sheetName val="Productivity Factor Calc."/>
      <sheetName val="EPC Field Staff"/>
      <sheetName val="Labor Cash Flow"/>
      <sheetName val="Major Equipment Cash Flow"/>
      <sheetName val="Subcontracts Cash Flow"/>
      <sheetName val="Material Cash Flow"/>
      <sheetName val="Craft Labor Loading Curve"/>
      <sheetName val="Reroute Utilities"/>
      <sheetName val="Reroute Utilities Itemized"/>
      <sheetName val="Material Cash Flow "/>
      <sheetName val="Labor Cash Flow "/>
      <sheetName val="Engineering_PM Cash Flow"/>
      <sheetName val="Subcontracts Cash Flow "/>
      <sheetName val="Major Equipment Cash Flow "/>
      <sheetName val="Total Cash Flow"/>
      <sheetName val="Composite Crew Rates1"/>
      <sheetName val="Est Comp Sept 07 - May 08"/>
      <sheetName val="Escalation Annualized"/>
      <sheetName val="Historical Escalation"/>
      <sheetName val="Cost Reduct Opp"/>
      <sheetName val="esc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2">
          <cell r="N112">
            <v>39.125659522617447</v>
          </cell>
        </row>
      </sheetData>
      <sheetData sheetId="8">
        <row r="118">
          <cell r="N118">
            <v>58.295035692248277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71">
          <cell r="C71">
            <v>42.365334880158734</v>
          </cell>
        </row>
        <row r="93">
          <cell r="C93">
            <v>42.226021931047619</v>
          </cell>
        </row>
        <row r="101">
          <cell r="C101">
            <v>62.144810916666664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otal Project Summary"/>
      <sheetName val="(1) 2x1  Summary "/>
      <sheetName val="(1) 2x1 Details"/>
      <sheetName val="(1) Indirects Cash Flow "/>
      <sheetName val="(1) 2x1Material Cash Flow "/>
      <sheetName val="(1) 2x1 Labor Cash Flow "/>
      <sheetName val="(1) 2x1 Subcontractor labor"/>
      <sheetName val="(1) EngProj Managment"/>
      <sheetName val="(1) 2x1Construction mgt"/>
      <sheetName val="(2x1 equip only) Summary"/>
      <sheetName val="(2x1 Equip only) Details "/>
      <sheetName val="(2x1 Equip only) Mat. Cash Flow"/>
      <sheetName val="(2x1 equip only) Labo Cash Flow"/>
      <sheetName val="(2x1Equip only) Sub labor"/>
      <sheetName val="(2x1 Eq only) Cash Flow "/>
      <sheetName val="Cash Flow"/>
      <sheetName val="Named Cell References"/>
      <sheetName val="EPC Field Staff cf"/>
      <sheetName val="Constr. Indirects &amp; Service (2)"/>
      <sheetName val="Construction Equipment1"/>
      <sheetName val="Composite Crew Rates"/>
      <sheetName val="escalation"/>
      <sheetName val="Composite Crew Rates3"/>
      <sheetName val="Construction Equipmen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3">
          <cell r="C93">
            <v>66</v>
          </cell>
        </row>
        <row r="128">
          <cell r="C128">
            <v>59</v>
          </cell>
        </row>
      </sheetData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ummary"/>
      <sheetName val="BOQ"/>
      <sheetName val="Field Staff"/>
      <sheetName val="Const Ind &amp; Serv"/>
      <sheetName val="Construction Eq"/>
      <sheetName val="Construct Management"/>
      <sheetName val="Wage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5">
          <cell r="I45">
            <v>34.920724</v>
          </cell>
        </row>
        <row r="51">
          <cell r="I51">
            <v>33.897180999999996</v>
          </cell>
        </row>
        <row r="53">
          <cell r="I53">
            <v>39.240663294117638</v>
          </cell>
        </row>
        <row r="61">
          <cell r="I61">
            <v>47.082059999999998</v>
          </cell>
        </row>
        <row r="63">
          <cell r="I63">
            <v>46.482060000000004</v>
          </cell>
        </row>
        <row r="65">
          <cell r="I65">
            <v>37.449621647058819</v>
          </cell>
        </row>
        <row r="67">
          <cell r="I67">
            <v>41.171142000000003</v>
          </cell>
        </row>
        <row r="69">
          <cell r="I69">
            <v>38.582237882352942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Basis of Estimate"/>
      <sheetName val="Summary"/>
      <sheetName val="Est Details"/>
      <sheetName val="Wage Rates"/>
      <sheetName val="Reconcil"/>
      <sheetName val="Relo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>
        <row r="4">
          <cell r="B4" t="str">
            <v>TONDU - Northern Lights Project</v>
          </cell>
          <cell r="M4" t="str">
            <v xml:space="preserve">C&amp;B and CaTS </v>
          </cell>
        </row>
        <row r="5">
          <cell r="B5" t="str">
            <v>LOCATION:</v>
          </cell>
          <cell r="C5" t="str">
            <v>Manistee, MI</v>
          </cell>
        </row>
        <row r="6">
          <cell r="B6" t="str">
            <v>CaTS PROJECT #:</v>
          </cell>
          <cell r="C6" t="str">
            <v>8019.EST</v>
          </cell>
        </row>
        <row r="7">
          <cell r="B7" t="str">
            <v>PLANT TYPE:</v>
          </cell>
          <cell r="C7" t="str">
            <v xml:space="preserve">425 MWe - PC Coal </v>
          </cell>
        </row>
        <row r="8">
          <cell r="B8" t="str">
            <v>CLIENT:</v>
          </cell>
          <cell r="C8" t="str">
            <v>Tondu</v>
          </cell>
          <cell r="N8" t="str">
            <v>STATUS DATE:</v>
          </cell>
          <cell r="O8">
            <v>37824</v>
          </cell>
        </row>
        <row r="9">
          <cell r="B9" t="str">
            <v>ESTIMATE TYPE:</v>
          </cell>
          <cell r="C9" t="str">
            <v>Preliminary Comparison</v>
          </cell>
          <cell r="N9" t="str">
            <v>PRINT DATE:</v>
          </cell>
          <cell r="O9">
            <v>37838.620023379626</v>
          </cell>
        </row>
        <row r="10">
          <cell r="B10" t="str">
            <v>LEAD ESTIMATOR:</v>
          </cell>
          <cell r="C10" t="str">
            <v>SPY/RGS</v>
          </cell>
          <cell r="N10" t="str">
            <v>PRINT TIME:</v>
          </cell>
          <cell r="O10">
            <v>37838.620023379626</v>
          </cell>
        </row>
        <row r="11">
          <cell r="B11" t="str">
            <v>FILENAME:</v>
          </cell>
          <cell r="C11" t="str">
            <v>J:\4221.11\Estimate\[Northern Lights - Tondu Estimate.xls]Summary</v>
          </cell>
        </row>
        <row r="13">
          <cell r="G13" t="str">
            <v xml:space="preserve">BID DATE:     </v>
          </cell>
          <cell r="H13">
            <v>37824</v>
          </cell>
          <cell r="K13" t="str">
            <v xml:space="preserve">TECHNOLOGY: </v>
          </cell>
          <cell r="L13" t="str">
            <v xml:space="preserve">PC Boiler </v>
          </cell>
        </row>
        <row r="14">
          <cell r="G14" t="str">
            <v xml:space="preserve">PROJECT AWARD DATE:     </v>
          </cell>
          <cell r="H14">
            <v>37987</v>
          </cell>
          <cell r="K14" t="str">
            <v xml:space="preserve">GROSS MW RATING: </v>
          </cell>
          <cell r="L14">
            <v>425</v>
          </cell>
          <cell r="N14" t="str">
            <v>BOILER</v>
          </cell>
          <cell r="O14" t="str">
            <v>PC/SCR/SRB</v>
          </cell>
        </row>
        <row r="15">
          <cell r="G15" t="str">
            <v xml:space="preserve">FIELD MOB. DATE:     </v>
          </cell>
          <cell r="H15">
            <v>38426</v>
          </cell>
          <cell r="K15" t="str">
            <v xml:space="preserve">NO. OF UNITS: </v>
          </cell>
          <cell r="L15">
            <v>2</v>
          </cell>
          <cell r="N15" t="str">
            <v>STEAM TURBINE</v>
          </cell>
          <cell r="O15" t="str">
            <v>TP/Condensing</v>
          </cell>
        </row>
        <row r="16">
          <cell r="B16" t="str">
            <v xml:space="preserve">ESCALATION BASIS (APR): </v>
          </cell>
          <cell r="D16">
            <v>0.03</v>
          </cell>
          <cell r="G16" t="str">
            <v xml:space="preserve">COMMERCIAL OP. DATE:     </v>
          </cell>
          <cell r="H16">
            <v>39203</v>
          </cell>
          <cell r="K16" t="str">
            <v xml:space="preserve">FUEL TYPE: </v>
          </cell>
          <cell r="L16" t="str">
            <v>PRB Coal</v>
          </cell>
          <cell r="N16" t="str">
            <v>COOLING TYPE:</v>
          </cell>
          <cell r="O16" t="str">
            <v xml:space="preserve">Cooling Towers </v>
          </cell>
        </row>
        <row r="18">
          <cell r="D18" t="str">
            <v>TOTAL COSTS</v>
          </cell>
        </row>
        <row r="19">
          <cell r="D19" t="str">
            <v>Procurement</v>
          </cell>
          <cell r="F19" t="str">
            <v>Contractor</v>
          </cell>
          <cell r="H19" t="str">
            <v>Contractor</v>
          </cell>
          <cell r="J19" t="str">
            <v>Contractor</v>
          </cell>
          <cell r="L19" t="str">
            <v>Subcontractor or</v>
          </cell>
          <cell r="N19" t="str">
            <v>Project</v>
          </cell>
        </row>
        <row r="20">
          <cell r="B20" t="str">
            <v>DIVISION OF WORK</v>
          </cell>
          <cell r="D20" t="str">
            <v>Major Equipment</v>
          </cell>
          <cell r="E20" t="str">
            <v>%</v>
          </cell>
          <cell r="F20" t="str">
            <v>Material $</v>
          </cell>
          <cell r="G20" t="str">
            <v>%</v>
          </cell>
          <cell r="H20" t="str">
            <v>Labor $</v>
          </cell>
          <cell r="I20" t="str">
            <v>%</v>
          </cell>
          <cell r="J20" t="str">
            <v>Manhours</v>
          </cell>
          <cell r="K20" t="str">
            <v>%</v>
          </cell>
          <cell r="L20" t="str">
            <v>Other F&amp;E  $</v>
          </cell>
          <cell r="M20" t="str">
            <v>%</v>
          </cell>
          <cell r="N20" t="str">
            <v>Total $</v>
          </cell>
          <cell r="O20" t="str">
            <v>%</v>
          </cell>
        </row>
        <row r="22">
          <cell r="B22" t="str">
            <v>Demolition &amp; Sitework</v>
          </cell>
          <cell r="D22">
            <v>0</v>
          </cell>
          <cell r="E22">
            <v>0</v>
          </cell>
          <cell r="F22">
            <v>650200</v>
          </cell>
          <cell r="G22">
            <v>1.3243601419023841E-2</v>
          </cell>
          <cell r="H22">
            <v>931409.51799800002</v>
          </cell>
          <cell r="I22">
            <v>5.4236365285767751E-3</v>
          </cell>
          <cell r="J22">
            <v>14889.5</v>
          </cell>
          <cell r="K22">
            <v>4.8432279567538752E-3</v>
          </cell>
          <cell r="L22">
            <v>740500</v>
          </cell>
          <cell r="M22">
            <v>5.7407482277687496E-3</v>
          </cell>
          <cell r="N22">
            <v>2322109.5179980001</v>
          </cell>
          <cell r="O22">
            <v>4.4620968523696918E-3</v>
          </cell>
        </row>
        <row r="24">
          <cell r="B24" t="str">
            <v>Deep Foundations &amp; Concrete</v>
          </cell>
          <cell r="D24">
            <v>0</v>
          </cell>
          <cell r="E24">
            <v>0</v>
          </cell>
          <cell r="F24">
            <v>5970039.9433333334</v>
          </cell>
          <cell r="G24">
            <v>0.12160078355145855</v>
          </cell>
          <cell r="H24">
            <v>7974114.1854264429</v>
          </cell>
          <cell r="I24">
            <v>4.6433599983046289E-2</v>
          </cell>
          <cell r="J24">
            <v>221452.46194444443</v>
          </cell>
          <cell r="K24">
            <v>7.2033631403425696E-2</v>
          </cell>
          <cell r="L24">
            <v>5996500.3327777786</v>
          </cell>
          <cell r="M24">
            <v>4.6488046803793044E-2</v>
          </cell>
          <cell r="N24">
            <v>19940654.461537555</v>
          </cell>
          <cell r="O24">
            <v>3.8317370829145797E-2</v>
          </cell>
        </row>
        <row r="26">
          <cell r="B26" t="str">
            <v>Architectural &amp; Metals</v>
          </cell>
          <cell r="D26">
            <v>0</v>
          </cell>
          <cell r="E26">
            <v>0</v>
          </cell>
          <cell r="F26">
            <v>18534663.2608</v>
          </cell>
          <cell r="G26">
            <v>0.37752336613635795</v>
          </cell>
          <cell r="H26">
            <v>7978205.7638887847</v>
          </cell>
          <cell r="I26">
            <v>4.6457425415339051E-2</v>
          </cell>
          <cell r="J26">
            <v>208406.036696</v>
          </cell>
          <cell r="K26">
            <v>6.778991526124728E-2</v>
          </cell>
          <cell r="L26">
            <v>1636345</v>
          </cell>
          <cell r="M26">
            <v>1.2685813178620196E-2</v>
          </cell>
          <cell r="N26">
            <v>28149214.024688784</v>
          </cell>
          <cell r="O26">
            <v>5.409069568972534E-2</v>
          </cell>
        </row>
        <row r="28">
          <cell r="B28" t="str">
            <v>Piping, Valves, Support, Accessories</v>
          </cell>
          <cell r="D28">
            <v>0</v>
          </cell>
          <cell r="E28">
            <v>0</v>
          </cell>
          <cell r="F28">
            <v>7292871.7251565773</v>
          </cell>
          <cell r="G28">
            <v>0.14854488823137879</v>
          </cell>
          <cell r="H28">
            <v>11992363.342211045</v>
          </cell>
          <cell r="I28">
            <v>6.9832032666559615E-2</v>
          </cell>
          <cell r="J28">
            <v>258020.38908293258</v>
          </cell>
          <cell r="K28">
            <v>8.3928376494776288E-2</v>
          </cell>
          <cell r="L28">
            <v>1314017.5</v>
          </cell>
          <cell r="M28">
            <v>1.0186959668308066E-2</v>
          </cell>
          <cell r="N28">
            <v>20599252.567367621</v>
          </cell>
          <cell r="O28">
            <v>3.9582913436944332E-2</v>
          </cell>
        </row>
        <row r="30">
          <cell r="B30" t="str">
            <v>Mechanical Insulation &amp; Lagging</v>
          </cell>
          <cell r="D30">
            <v>0</v>
          </cell>
          <cell r="E30">
            <v>0</v>
          </cell>
          <cell r="F30">
            <v>2090495</v>
          </cell>
          <cell r="G30">
            <v>4.2580256149588193E-2</v>
          </cell>
          <cell r="H30">
            <v>3247091.8029272994</v>
          </cell>
          <cell r="I30">
            <v>1.8907951200512141E-2</v>
          </cell>
          <cell r="J30">
            <v>78868.149999999994</v>
          </cell>
          <cell r="K30">
            <v>2.5654080323547341E-2</v>
          </cell>
          <cell r="L30">
            <v>0</v>
          </cell>
          <cell r="M30">
            <v>0</v>
          </cell>
          <cell r="N30">
            <v>5337586.8029272994</v>
          </cell>
          <cell r="O30">
            <v>1.0256548663185153E-2</v>
          </cell>
        </row>
        <row r="32">
          <cell r="B32" t="str">
            <v>Materials Handling Equipment</v>
          </cell>
          <cell r="D32">
            <v>13200000</v>
          </cell>
          <cell r="E32">
            <v>7.7378247953679036E-2</v>
          </cell>
          <cell r="F32">
            <v>0</v>
          </cell>
          <cell r="G32">
            <v>0</v>
          </cell>
          <cell r="H32">
            <v>411945.83811764704</v>
          </cell>
          <cell r="I32">
            <v>2.3987778224688946E-3</v>
          </cell>
          <cell r="J32">
            <v>11000</v>
          </cell>
          <cell r="K32">
            <v>3.5780588686183303E-3</v>
          </cell>
          <cell r="L32">
            <v>6200000</v>
          </cell>
          <cell r="M32">
            <v>4.8065684013728897E-2</v>
          </cell>
          <cell r="N32">
            <v>19811945.838117648</v>
          </cell>
          <cell r="O32">
            <v>3.8070048151647821E-2</v>
          </cell>
        </row>
        <row r="34">
          <cell r="B34" t="str">
            <v>Boiler Island Equipment</v>
          </cell>
          <cell r="D34">
            <v>55835700</v>
          </cell>
          <cell r="E34">
            <v>0.32730823024751793</v>
          </cell>
          <cell r="F34">
            <v>0</v>
          </cell>
          <cell r="G34">
            <v>0</v>
          </cell>
          <cell r="H34">
            <v>57450317.875440001</v>
          </cell>
          <cell r="I34">
            <v>0.33453560070689842</v>
          </cell>
          <cell r="J34">
            <v>1281360</v>
          </cell>
          <cell r="K34">
            <v>0.41679831926298033</v>
          </cell>
          <cell r="L34">
            <v>16500000</v>
          </cell>
          <cell r="M34">
            <v>0.12791673971395592</v>
          </cell>
          <cell r="N34">
            <v>129786017.87544</v>
          </cell>
          <cell r="O34">
            <v>0.24939296676363573</v>
          </cell>
        </row>
        <row r="36">
          <cell r="B36" t="str">
            <v>Chimney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8440000</v>
          </cell>
          <cell r="M36">
            <v>6.5431350496108376E-2</v>
          </cell>
          <cell r="N36">
            <v>8440000</v>
          </cell>
          <cell r="O36">
            <v>1.6218053947114754E-2</v>
          </cell>
        </row>
        <row r="38">
          <cell r="B38" t="str">
            <v>BOP Mechanical Equipment</v>
          </cell>
          <cell r="D38">
            <v>52681998</v>
          </cell>
          <cell r="E38">
            <v>0.30882126544994115</v>
          </cell>
          <cell r="F38">
            <v>0</v>
          </cell>
          <cell r="G38">
            <v>0</v>
          </cell>
          <cell r="H38">
            <v>17015815.352248587</v>
          </cell>
          <cell r="I38">
            <v>9.9083803552210512E-2</v>
          </cell>
          <cell r="J38">
            <v>304885.7</v>
          </cell>
          <cell r="K38">
            <v>9.917263479999161E-2</v>
          </cell>
          <cell r="L38">
            <v>175000</v>
          </cell>
          <cell r="M38">
            <v>1.3566926939358962E-3</v>
          </cell>
          <cell r="N38">
            <v>69872813.352248579</v>
          </cell>
          <cell r="O38">
            <v>0.13426552800751748</v>
          </cell>
        </row>
        <row r="40">
          <cell r="B40" t="str">
            <v>Electrical Equipment</v>
          </cell>
          <cell r="D40">
            <v>10704308.798</v>
          </cell>
          <cell r="E40">
            <v>6.2748534874575157E-2</v>
          </cell>
          <cell r="F40">
            <v>0</v>
          </cell>
          <cell r="G40">
            <v>0</v>
          </cell>
          <cell r="H40">
            <v>667257.41629161162</v>
          </cell>
          <cell r="I40">
            <v>3.8854678066224304E-3</v>
          </cell>
          <cell r="J40">
            <v>17294.419736</v>
          </cell>
          <cell r="K40">
            <v>5.6254956285456984E-3</v>
          </cell>
          <cell r="L40">
            <v>0</v>
          </cell>
          <cell r="M40">
            <v>0</v>
          </cell>
          <cell r="N40">
            <v>11371566.214291612</v>
          </cell>
          <cell r="O40">
            <v>2.185126473063612E-2</v>
          </cell>
        </row>
        <row r="42">
          <cell r="B42" t="str">
            <v>Electrical Commodities</v>
          </cell>
          <cell r="D42">
            <v>0</v>
          </cell>
          <cell r="E42">
            <v>0</v>
          </cell>
          <cell r="F42">
            <v>3374996.156126501</v>
          </cell>
          <cell r="G42">
            <v>6.8743623319712302E-2</v>
          </cell>
          <cell r="H42">
            <v>5462256.8574806377</v>
          </cell>
          <cell r="I42">
            <v>3.1806949841331318E-2</v>
          </cell>
          <cell r="J42">
            <v>141574.39167050002</v>
          </cell>
          <cell r="K42">
            <v>4.605104615326161E-2</v>
          </cell>
          <cell r="L42">
            <v>0</v>
          </cell>
          <cell r="M42">
            <v>0</v>
          </cell>
          <cell r="N42">
            <v>8837253.0136071388</v>
          </cell>
          <cell r="O42">
            <v>1.6981403568599882E-2</v>
          </cell>
        </row>
        <row r="44">
          <cell r="B44" t="str">
            <v>Controls &amp; Instrumentation</v>
          </cell>
          <cell r="D44">
            <v>3304312.7450000001</v>
          </cell>
          <cell r="E44">
            <v>1.9369843249932711E-2</v>
          </cell>
          <cell r="F44">
            <v>130751.2901</v>
          </cell>
          <cell r="G44">
            <v>2.6632081991811102E-3</v>
          </cell>
          <cell r="H44">
            <v>436450.11542236409</v>
          </cell>
          <cell r="I44">
            <v>2.5414672527657874E-3</v>
          </cell>
          <cell r="J44">
            <v>11312.203215199999</v>
          </cell>
          <cell r="K44">
            <v>3.6796117307053774E-3</v>
          </cell>
          <cell r="L44">
            <v>0</v>
          </cell>
          <cell r="M44">
            <v>0</v>
          </cell>
          <cell r="N44">
            <v>3871514.1505223643</v>
          </cell>
          <cell r="O44">
            <v>7.4393868898329201E-3</v>
          </cell>
        </row>
        <row r="46">
          <cell r="B46" t="str">
            <v>Subtotal Direct Costs:</v>
          </cell>
          <cell r="D46">
            <v>135726319.54300001</v>
          </cell>
          <cell r="E46">
            <v>0.79562612177564607</v>
          </cell>
          <cell r="F46">
            <v>38044017.375516407</v>
          </cell>
          <cell r="G46">
            <v>0.77489972700670062</v>
          </cell>
          <cell r="H46">
            <v>113567228.0674524</v>
          </cell>
          <cell r="I46">
            <v>0.66130671277633113</v>
          </cell>
          <cell r="J46">
            <v>2549063.2523450768</v>
          </cell>
          <cell r="K46">
            <v>0.82915439788385337</v>
          </cell>
          <cell r="L46">
            <v>41002362.832777783</v>
          </cell>
          <cell r="M46">
            <v>0.31787203479621917</v>
          </cell>
          <cell r="N46">
            <v>328339927.81874663</v>
          </cell>
          <cell r="O46">
            <v>0.63092827753035507</v>
          </cell>
        </row>
        <row r="48">
          <cell r="B48" t="str">
            <v>Construction Indirects &amp; Services</v>
          </cell>
        </row>
        <row r="49">
          <cell r="B49" t="str">
            <v xml:space="preserve">        - Construction Field Staff</v>
          </cell>
          <cell r="H49">
            <v>0</v>
          </cell>
          <cell r="I49">
            <v>0</v>
          </cell>
          <cell r="J49">
            <v>0</v>
          </cell>
          <cell r="L49">
            <v>8074789.5</v>
          </cell>
          <cell r="M49">
            <v>6.2600045255544509E-2</v>
          </cell>
          <cell r="N49">
            <v>8074789.5</v>
          </cell>
          <cell r="O49">
            <v>1.5516276270449735E-2</v>
          </cell>
        </row>
        <row r="50">
          <cell r="B50" t="str">
            <v xml:space="preserve">        - Construction Field Staff Expenses</v>
          </cell>
          <cell r="H50">
            <v>0</v>
          </cell>
          <cell r="I50">
            <v>0</v>
          </cell>
          <cell r="J50">
            <v>0</v>
          </cell>
          <cell r="L50">
            <v>358500</v>
          </cell>
          <cell r="M50">
            <v>2.7792818901486789E-3</v>
          </cell>
          <cell r="N50">
            <v>358500</v>
          </cell>
          <cell r="O50">
            <v>6.8888297867780084E-4</v>
          </cell>
        </row>
        <row r="51">
          <cell r="B51" t="str">
            <v xml:space="preserve">        - Construction Equipment</v>
          </cell>
          <cell r="H51">
            <v>0</v>
          </cell>
          <cell r="I51">
            <v>0</v>
          </cell>
          <cell r="J51">
            <v>0</v>
          </cell>
          <cell r="L51">
            <v>6263408.1415625</v>
          </cell>
          <cell r="M51">
            <v>4.8557257513122593E-2</v>
          </cell>
          <cell r="N51">
            <v>6263408.1415625</v>
          </cell>
          <cell r="O51">
            <v>1.2035579518087485E-2</v>
          </cell>
        </row>
        <row r="52">
          <cell r="B52" t="str">
            <v xml:space="preserve">        - Small Tools</v>
          </cell>
          <cell r="H52">
            <v>0</v>
          </cell>
          <cell r="I52">
            <v>0</v>
          </cell>
          <cell r="J52">
            <v>0</v>
          </cell>
          <cell r="L52">
            <v>2427641.4589768797</v>
          </cell>
          <cell r="M52">
            <v>1.88203624622275E-2</v>
          </cell>
          <cell r="N52">
            <v>2427641.4589768797</v>
          </cell>
          <cell r="O52">
            <v>4.6648839035473228E-3</v>
          </cell>
        </row>
        <row r="53">
          <cell r="B53" t="str">
            <v xml:space="preserve">        - Consumable Materials &amp; Safety Supplies</v>
          </cell>
          <cell r="H53">
            <v>0</v>
          </cell>
          <cell r="I53">
            <v>0</v>
          </cell>
          <cell r="J53">
            <v>0</v>
          </cell>
          <cell r="L53">
            <v>4161671.0725317933</v>
          </cell>
          <cell r="M53">
            <v>3.2263478506675713E-2</v>
          </cell>
          <cell r="N53">
            <v>4161671.0725317933</v>
          </cell>
          <cell r="O53">
            <v>7.9969438346525513E-3</v>
          </cell>
        </row>
        <row r="54">
          <cell r="B54" t="str">
            <v xml:space="preserve">        - Field Office Expense</v>
          </cell>
          <cell r="H54">
            <v>0</v>
          </cell>
          <cell r="I54">
            <v>0</v>
          </cell>
          <cell r="J54">
            <v>0</v>
          </cell>
          <cell r="L54">
            <v>394050</v>
          </cell>
          <cell r="M54">
            <v>3.0548843202596568E-3</v>
          </cell>
          <cell r="N54">
            <v>394050</v>
          </cell>
          <cell r="O54">
            <v>7.5719480543371667E-4</v>
          </cell>
        </row>
        <row r="55">
          <cell r="B55" t="str">
            <v xml:space="preserve">        - Temporary Facilities</v>
          </cell>
          <cell r="H55">
            <v>0</v>
          </cell>
          <cell r="I55">
            <v>0</v>
          </cell>
          <cell r="J55">
            <v>0</v>
          </cell>
          <cell r="L55">
            <v>106200</v>
          </cell>
          <cell r="M55">
            <v>8.2331865197709825E-4</v>
          </cell>
          <cell r="N55">
            <v>106200</v>
          </cell>
          <cell r="O55">
            <v>2.0407077359995104E-4</v>
          </cell>
        </row>
        <row r="56">
          <cell r="B56" t="str">
            <v xml:space="preserve">        - Temporary Utilities</v>
          </cell>
          <cell r="H56">
            <v>379895.18252885301</v>
          </cell>
          <cell r="I56">
            <v>2.2121455162091791E-3</v>
          </cell>
          <cell r="J56">
            <v>12596.375000000002</v>
          </cell>
          <cell r="K56">
            <v>4.0973246619265659E-3</v>
          </cell>
          <cell r="L56">
            <v>5000</v>
          </cell>
          <cell r="M56">
            <v>3.8762648398168469E-5</v>
          </cell>
          <cell r="N56">
            <v>384895.18252885301</v>
          </cell>
          <cell r="O56">
            <v>7.3960317941202812E-4</v>
          </cell>
        </row>
        <row r="57">
          <cell r="B57" t="str">
            <v xml:space="preserve">        - Support Craft &amp; Site Services</v>
          </cell>
          <cell r="H57">
            <v>16958794.873291615</v>
          </cell>
          <cell r="I57">
            <v>9.8751770921480367E-2</v>
          </cell>
          <cell r="J57">
            <v>480786.62500000006</v>
          </cell>
          <cell r="K57">
            <v>0.15638934977221142</v>
          </cell>
          <cell r="L57">
            <v>113550</v>
          </cell>
          <cell r="M57">
            <v>8.8029974512240591E-4</v>
          </cell>
          <cell r="N57">
            <v>17072344.873291615</v>
          </cell>
          <cell r="O57">
            <v>3.2805712104122205E-2</v>
          </cell>
        </row>
        <row r="58">
          <cell r="B58" t="str">
            <v xml:space="preserve">        - Site Safety</v>
          </cell>
          <cell r="H58">
            <v>677450.14439088467</v>
          </cell>
          <cell r="I58">
            <v>3.9448204880980203E-3</v>
          </cell>
          <cell r="J58">
            <v>20846.375</v>
          </cell>
          <cell r="K58">
            <v>6.7808688133903132E-3</v>
          </cell>
          <cell r="L58">
            <v>218000</v>
          </cell>
          <cell r="M58">
            <v>1.6900514701601451E-3</v>
          </cell>
          <cell r="N58">
            <v>895450.14439088467</v>
          </cell>
          <cell r="O58">
            <v>1.7206704678534434E-3</v>
          </cell>
        </row>
        <row r="59">
          <cell r="B59" t="str">
            <v xml:space="preserve">        - Construction Permits</v>
          </cell>
          <cell r="H59">
            <v>0</v>
          </cell>
          <cell r="I59">
            <v>0</v>
          </cell>
          <cell r="J59">
            <v>0</v>
          </cell>
          <cell r="L59">
            <v>4500</v>
          </cell>
          <cell r="M59">
            <v>3.4886383558351622E-5</v>
          </cell>
          <cell r="N59">
            <v>4500</v>
          </cell>
          <cell r="O59">
            <v>8.6470666779640267E-6</v>
          </cell>
        </row>
        <row r="60">
          <cell r="B60" t="str">
            <v xml:space="preserve">        - Construction Testing</v>
          </cell>
          <cell r="H60">
            <v>0</v>
          </cell>
          <cell r="I60">
            <v>0</v>
          </cell>
          <cell r="J60">
            <v>0</v>
          </cell>
          <cell r="L60">
            <v>60000</v>
          </cell>
          <cell r="M60">
            <v>4.6515178077802157E-4</v>
          </cell>
          <cell r="N60">
            <v>60000</v>
          </cell>
          <cell r="O60">
            <v>1.1529422237285369E-4</v>
          </cell>
        </row>
        <row r="61">
          <cell r="B61" t="str">
            <v xml:space="preserve">        - Performance testing</v>
          </cell>
          <cell r="H61">
            <v>0</v>
          </cell>
          <cell r="I61">
            <v>0</v>
          </cell>
          <cell r="J61">
            <v>0</v>
          </cell>
          <cell r="L61">
            <v>836050</v>
          </cell>
          <cell r="M61">
            <v>6.4815024386577491E-3</v>
          </cell>
          <cell r="N61">
            <v>836050</v>
          </cell>
          <cell r="O61">
            <v>1.6065289102470722E-3</v>
          </cell>
        </row>
        <row r="62">
          <cell r="B62" t="str">
            <v xml:space="preserve">        - Preop Testing, Start-up</v>
          </cell>
          <cell r="H62">
            <v>424404.61670588236</v>
          </cell>
          <cell r="I62">
            <v>0</v>
          </cell>
          <cell r="J62">
            <v>11000</v>
          </cell>
          <cell r="L62">
            <v>1000000</v>
          </cell>
          <cell r="M62">
            <v>7.7525296796336933E-3</v>
          </cell>
          <cell r="N62">
            <v>1424404.6167058824</v>
          </cell>
          <cell r="O62">
            <v>2.7370937104567905E-3</v>
          </cell>
        </row>
        <row r="64">
          <cell r="B64" t="str">
            <v>Subtotal Construction Indirects and Services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18440544.816917237</v>
          </cell>
          <cell r="I64">
            <v>0.10490873692578757</v>
          </cell>
          <cell r="J64">
            <v>525229.375</v>
          </cell>
          <cell r="K64">
            <v>0.16726754324752829</v>
          </cell>
          <cell r="L64">
            <v>24023360.173071172</v>
          </cell>
          <cell r="M64">
            <v>0.18624181274626428</v>
          </cell>
          <cell r="N64">
            <v>42463904.989988402</v>
          </cell>
          <cell r="O64">
            <v>8.1597381745590919E-2</v>
          </cell>
        </row>
        <row r="66">
          <cell r="B66" t="str">
            <v>Total Construction Cost</v>
          </cell>
          <cell r="D66">
            <v>135726319.54300001</v>
          </cell>
          <cell r="F66">
            <v>38044017.375516407</v>
          </cell>
          <cell r="H66">
            <v>132007772.88436964</v>
          </cell>
          <cell r="J66">
            <v>3074292.6273450768</v>
          </cell>
          <cell r="L66">
            <v>65025723.005848959</v>
          </cell>
          <cell r="N66">
            <v>370803832.80873501</v>
          </cell>
        </row>
        <row r="68">
          <cell r="B68" t="str">
            <v xml:space="preserve">Project Indirects </v>
          </cell>
        </row>
        <row r="69">
          <cell r="B69" t="str">
            <v xml:space="preserve">       - Power Plant Design Engineering</v>
          </cell>
          <cell r="L69">
            <v>21500000</v>
          </cell>
          <cell r="M69">
            <v>0.1666793881121244</v>
          </cell>
          <cell r="N69">
            <v>21500000</v>
          </cell>
          <cell r="O69">
            <v>4.1313763016939238E-2</v>
          </cell>
        </row>
        <row r="70">
          <cell r="B70" t="str">
            <v xml:space="preserve">       - Sales Tax</v>
          </cell>
          <cell r="D70">
            <v>1832305.3138305002</v>
          </cell>
          <cell r="E70">
            <v>0</v>
          </cell>
          <cell r="F70">
            <v>513594.2345694715</v>
          </cell>
          <cell r="G70">
            <v>1.0461146314590459E-2</v>
          </cell>
          <cell r="M70">
            <v>0</v>
          </cell>
          <cell r="N70">
            <v>2345899.5483999718</v>
          </cell>
          <cell r="O70">
            <v>4.5078110699600564E-3</v>
          </cell>
        </row>
        <row r="71">
          <cell r="B71" t="str">
            <v>Sub-Total Project Indirects</v>
          </cell>
          <cell r="D71">
            <v>1832305.3138305002</v>
          </cell>
          <cell r="F71">
            <v>513594.2345694715</v>
          </cell>
          <cell r="H71">
            <v>0</v>
          </cell>
          <cell r="J71">
            <v>0</v>
          </cell>
          <cell r="L71">
            <v>21500000</v>
          </cell>
          <cell r="N71">
            <v>23845899.54839997</v>
          </cell>
        </row>
        <row r="72">
          <cell r="B72" t="str">
            <v>Owners Cost</v>
          </cell>
        </row>
        <row r="73">
          <cell r="B73" t="str">
            <v xml:space="preserve">       - Spare Parts &amp; Start-up Fuel</v>
          </cell>
          <cell r="L73">
            <v>4700000</v>
          </cell>
          <cell r="M73">
            <v>3.6436889494278354E-2</v>
          </cell>
          <cell r="N73">
            <v>4700000</v>
          </cell>
          <cell r="O73">
            <v>9.0313807525402058E-3</v>
          </cell>
        </row>
        <row r="74">
          <cell r="B74" t="str">
            <v xml:space="preserve">       - Construction Management &amp; Project Administration</v>
          </cell>
          <cell r="L74">
            <v>5744110</v>
          </cell>
          <cell r="M74">
            <v>4.4531383258080696E-2</v>
          </cell>
          <cell r="N74">
            <v>5744110</v>
          </cell>
          <cell r="O74">
            <v>1.1037711594568877E-2</v>
          </cell>
        </row>
        <row r="75">
          <cell r="B75" t="str">
            <v xml:space="preserve">       - LD Insurance</v>
          </cell>
          <cell r="L75">
            <v>2750000</v>
          </cell>
          <cell r="M75">
            <v>2.1319456618992656E-2</v>
          </cell>
          <cell r="N75">
            <v>2750000</v>
          </cell>
          <cell r="O75">
            <v>5.2843185254224613E-3</v>
          </cell>
        </row>
        <row r="76">
          <cell r="B76" t="str">
            <v xml:space="preserve">       - Liability &amp; Builders All Risk Insurance</v>
          </cell>
          <cell r="L76">
            <v>2557888.9890336366</v>
          </cell>
          <cell r="M76">
            <v>1.9830110304691489E-2</v>
          </cell>
          <cell r="N76">
            <v>2557888.9890336366</v>
          </cell>
          <cell r="O76">
            <v>4.9151636984453E-3</v>
          </cell>
        </row>
        <row r="77">
          <cell r="B77" t="str">
            <v xml:space="preserve">       - Warranty Reserve</v>
          </cell>
          <cell r="L77">
            <v>1200000</v>
          </cell>
          <cell r="M77">
            <v>9.3030356155604319E-3</v>
          </cell>
          <cell r="N77">
            <v>1200000</v>
          </cell>
          <cell r="O77">
            <v>2.3058844474570738E-3</v>
          </cell>
        </row>
        <row r="78">
          <cell r="B78" t="str">
            <v>Sub-Total Owners Cost</v>
          </cell>
          <cell r="D78">
            <v>0</v>
          </cell>
          <cell r="F78">
            <v>0</v>
          </cell>
          <cell r="H78">
            <v>0</v>
          </cell>
          <cell r="J78">
            <v>0</v>
          </cell>
          <cell r="L78">
            <v>16951998.989033636</v>
          </cell>
          <cell r="N78">
            <v>16951998.989033636</v>
          </cell>
        </row>
        <row r="79">
          <cell r="B79" t="str">
            <v>Total Indirect and Owners Cost</v>
          </cell>
          <cell r="D79">
            <v>1832305.3138305002</v>
          </cell>
          <cell r="F79">
            <v>513594.2345694715</v>
          </cell>
          <cell r="H79">
            <v>0</v>
          </cell>
          <cell r="J79">
            <v>0</v>
          </cell>
          <cell r="L79">
            <v>38451998.989033639</v>
          </cell>
          <cell r="N79">
            <v>40797898.537433609</v>
          </cell>
        </row>
        <row r="80">
          <cell r="B80" t="str">
            <v xml:space="preserve">       - Escalation</v>
          </cell>
          <cell r="D80">
            <v>9629103.7399781365</v>
          </cell>
          <cell r="E80">
            <v>5.644569520937321E-2</v>
          </cell>
          <cell r="F80">
            <v>2699032.8127060118</v>
          </cell>
          <cell r="G80">
            <v>5.4975261132490384E-2</v>
          </cell>
          <cell r="H80">
            <v>14520855.017280661</v>
          </cell>
          <cell r="I80">
            <v>8.4555545306398541E-2</v>
          </cell>
          <cell r="L80">
            <v>7243440.5396417826</v>
          </cell>
          <cell r="M80">
            <v>5.6154987766234815E-2</v>
          </cell>
          <cell r="N80">
            <v>34092432.109606594</v>
          </cell>
          <cell r="O80">
            <v>6.5511007481273337E-2</v>
          </cell>
        </row>
        <row r="81">
          <cell r="B81" t="str">
            <v>Sub-Total</v>
          </cell>
          <cell r="D81">
            <v>147187728.59680864</v>
          </cell>
          <cell r="F81">
            <v>41256644.422791891</v>
          </cell>
          <cell r="H81">
            <v>146528627.90165031</v>
          </cell>
          <cell r="J81">
            <v>3074292.6273450768</v>
          </cell>
          <cell r="L81">
            <v>110721162.53452438</v>
          </cell>
          <cell r="N81">
            <v>445694163.45577526</v>
          </cell>
        </row>
        <row r="82">
          <cell r="B82" t="str">
            <v xml:space="preserve">       - Project Contingency</v>
          </cell>
          <cell r="D82">
            <v>11627830.559147883</v>
          </cell>
          <cell r="E82">
            <v>6.8162208800690238E-2</v>
          </cell>
          <cell r="F82">
            <v>4538230.8865071079</v>
          </cell>
          <cell r="G82">
            <v>9.2436974789915957E-2</v>
          </cell>
          <cell r="H82">
            <v>13480633.766951827</v>
          </cell>
          <cell r="I82">
            <v>7.8498293515358364E-2</v>
          </cell>
          <cell r="L82">
            <v>9411298.8154345732</v>
          </cell>
          <cell r="M82">
            <v>7.2961373390557943E-2</v>
          </cell>
          <cell r="N82">
            <v>39057994.028041393</v>
          </cell>
          <cell r="O82">
            <v>7.5052684148443266E-2</v>
          </cell>
        </row>
        <row r="83">
          <cell r="B83" t="str">
            <v xml:space="preserve">       - Contractors Profit Margin</v>
          </cell>
          <cell r="D83">
            <v>11775018.287744692</v>
          </cell>
          <cell r="E83">
            <v>6.9025021570319228E-2</v>
          </cell>
          <cell r="F83">
            <v>3300531.5538233514</v>
          </cell>
          <cell r="G83">
            <v>6.7226890756302518E-2</v>
          </cell>
          <cell r="H83">
            <v>11722290.232132025</v>
          </cell>
          <cell r="I83">
            <v>6.8259385665529013E-2</v>
          </cell>
          <cell r="L83">
            <v>8857693.0027619507</v>
          </cell>
          <cell r="M83">
            <v>6.8669527896995708E-2</v>
          </cell>
          <cell r="N83">
            <v>35655533.076462023</v>
          </cell>
          <cell r="O83">
            <v>6.8514615989004213E-2</v>
          </cell>
        </row>
        <row r="84">
          <cell r="O84">
            <v>0.14356730013744748</v>
          </cell>
        </row>
        <row r="87">
          <cell r="B87" t="str">
            <v>TOTAL without Bond</v>
          </cell>
          <cell r="D87">
            <v>170590577.44370124</v>
          </cell>
          <cell r="F87">
            <v>49095406.863122351</v>
          </cell>
          <cell r="H87">
            <v>171731551.90073416</v>
          </cell>
          <cell r="J87">
            <v>3074292.6273450768</v>
          </cell>
          <cell r="L87">
            <v>128990154.3527209</v>
          </cell>
          <cell r="N87">
            <v>520407690.56027865</v>
          </cell>
        </row>
        <row r="89">
          <cell r="B89" t="str">
            <v>EPC Price per kW</v>
          </cell>
          <cell r="N89">
            <v>1224.488683671244</v>
          </cell>
        </row>
        <row r="92">
          <cell r="B92" t="str">
            <v>Total Craft Manhours</v>
          </cell>
          <cell r="D92">
            <v>3074292.6273450768</v>
          </cell>
          <cell r="G92" t="str">
            <v xml:space="preserve">Performance Guarantees: </v>
          </cell>
          <cell r="H92" t="str">
            <v>No</v>
          </cell>
          <cell r="L92" t="str">
            <v xml:space="preserve">Person-in-Charge:     </v>
          </cell>
          <cell r="M92" t="str">
            <v>LCT</v>
          </cell>
        </row>
        <row r="93">
          <cell r="B93" t="str">
            <v>Average Craft  $/Manhour w/o Escalation</v>
          </cell>
          <cell r="D93">
            <v>42.939234772315743</v>
          </cell>
          <cell r="G93" t="str">
            <v xml:space="preserve">Liquidated Damages: </v>
          </cell>
          <cell r="H93" t="str">
            <v>Limited (Sch.Only)</v>
          </cell>
          <cell r="L93" t="str">
            <v xml:space="preserve">Project Manager:     </v>
          </cell>
          <cell r="M93" t="str">
            <v>LCT</v>
          </cell>
        </row>
        <row r="94">
          <cell r="B94" t="str">
            <v>Field Labor Type</v>
          </cell>
          <cell r="D94" t="str">
            <v>UNION</v>
          </cell>
          <cell r="G94" t="str">
            <v xml:space="preserve">Special Insurance: </v>
          </cell>
          <cell r="H94" t="str">
            <v>Yes</v>
          </cell>
          <cell r="L94" t="str">
            <v xml:space="preserve">Construction Manager:     </v>
          </cell>
          <cell r="M94" t="str">
            <v>RGS</v>
          </cell>
        </row>
        <row r="95">
          <cell r="B95" t="str">
            <v>Labor Productivity Factor</v>
          </cell>
          <cell r="D95">
            <v>1.4116234283936033</v>
          </cell>
          <cell r="G95" t="str">
            <v xml:space="preserve">Performance Bond: </v>
          </cell>
          <cell r="H95" t="str">
            <v>No</v>
          </cell>
          <cell r="L95" t="str">
            <v xml:space="preserve">Lead Estimator:     </v>
          </cell>
          <cell r="M95" t="str">
            <v>RDB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C Summary"/>
      <sheetName val="Project Summary"/>
      <sheetName val="Estimate Details"/>
      <sheetName val="EPC Field Staff"/>
      <sheetName val="Const Indirects &amp; Services"/>
      <sheetName val="Construction Equipment"/>
      <sheetName val="LG&amp;E Construction Management"/>
      <sheetName val="Wage Rates"/>
      <sheetName val="Productivity Factor Calc."/>
      <sheetName val="Cash 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ummary"/>
      <sheetName val="BOQ"/>
      <sheetName val="Field Staff"/>
      <sheetName val="Const Ind &amp; Serv"/>
      <sheetName val="Construction Eq"/>
      <sheetName val="Construct Management"/>
      <sheetName val="Wage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vmlDrawing" Target="../drawings/vmlDrawing10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9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0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4:X537"/>
  <sheetViews>
    <sheetView tabSelected="1" topLeftCell="A18" zoomScale="70" zoomScaleNormal="70" workbookViewId="0">
      <selection activeCell="E30" sqref="E30"/>
    </sheetView>
  </sheetViews>
  <sheetFormatPr defaultColWidth="8.90625" defaultRowHeight="16.2"/>
  <cols>
    <col min="1" max="1" width="5.90625" style="710" customWidth="1"/>
    <col min="2" max="2" width="8.81640625" style="710" customWidth="1"/>
    <col min="3" max="3" width="12.36328125" style="710" customWidth="1"/>
    <col min="4" max="4" width="54.54296875" style="710" customWidth="1"/>
    <col min="5" max="9" width="8.81640625" style="710" customWidth="1"/>
    <col min="10" max="10" width="10.08984375" style="710" customWidth="1"/>
    <col min="11" max="16384" width="8.90625" style="710"/>
  </cols>
  <sheetData>
    <row r="4" spans="2:10">
      <c r="B4" s="709"/>
    </row>
    <row r="9" spans="2:10" ht="28.2">
      <c r="B9" s="3099"/>
      <c r="C9" s="3099"/>
      <c r="D9" s="3099"/>
      <c r="E9" s="3099"/>
      <c r="F9" s="3099"/>
      <c r="G9" s="3099"/>
      <c r="H9" s="3099"/>
      <c r="I9" s="3099"/>
      <c r="J9" s="3099"/>
    </row>
    <row r="10" spans="2:10" ht="28.2">
      <c r="B10" s="711"/>
      <c r="C10" s="712"/>
      <c r="D10" s="712"/>
      <c r="E10" s="712"/>
      <c r="F10" s="712"/>
      <c r="G10" s="712"/>
      <c r="H10" s="712"/>
      <c r="I10" s="712"/>
    </row>
    <row r="11" spans="2:10" ht="68.25" customHeight="1">
      <c r="B11" s="3100" t="s">
        <v>2498</v>
      </c>
      <c r="C11" s="3100"/>
      <c r="D11" s="3100"/>
      <c r="E11" s="3100"/>
      <c r="F11" s="3100"/>
      <c r="G11" s="3100"/>
      <c r="H11" s="3100"/>
      <c r="I11" s="3100"/>
      <c r="J11" s="3100"/>
    </row>
    <row r="12" spans="2:10" ht="31.8">
      <c r="B12" s="3098" t="s">
        <v>2497</v>
      </c>
      <c r="C12" s="3098"/>
      <c r="D12" s="3098"/>
      <c r="E12" s="3098"/>
      <c r="F12" s="3098"/>
      <c r="G12" s="3098"/>
      <c r="H12" s="3098"/>
      <c r="I12" s="3098"/>
      <c r="J12" s="3098"/>
    </row>
    <row r="13" spans="2:10" ht="28.2">
      <c r="B13" s="711"/>
      <c r="C13" s="712"/>
      <c r="D13" s="712"/>
      <c r="E13" s="712"/>
      <c r="F13" s="712"/>
      <c r="G13" s="712"/>
      <c r="H13" s="712"/>
      <c r="I13" s="712"/>
    </row>
    <row r="14" spans="2:10" ht="28.2">
      <c r="B14" s="3101" t="s">
        <v>2478</v>
      </c>
      <c r="C14" s="3101"/>
      <c r="D14" s="3101"/>
      <c r="E14" s="3101"/>
      <c r="F14" s="3101"/>
      <c r="G14" s="3101"/>
      <c r="H14" s="3101"/>
      <c r="I14" s="3101"/>
      <c r="J14" s="3101"/>
    </row>
    <row r="15" spans="2:10" ht="17.399999999999999">
      <c r="B15" s="3102" t="s">
        <v>305</v>
      </c>
      <c r="C15" s="3102"/>
      <c r="D15" s="3102"/>
      <c r="E15" s="3102"/>
      <c r="F15" s="3102"/>
      <c r="G15" s="3102"/>
      <c r="H15" s="3102"/>
      <c r="I15" s="3102"/>
      <c r="J15" s="3102"/>
    </row>
    <row r="16" spans="2:10" ht="28.2">
      <c r="B16" s="3103" t="s">
        <v>2487</v>
      </c>
      <c r="C16" s="3103"/>
      <c r="D16" s="3103"/>
      <c r="E16" s="3103"/>
      <c r="F16" s="3103"/>
      <c r="G16" s="3103"/>
      <c r="H16" s="3103"/>
      <c r="I16" s="3103"/>
      <c r="J16" s="3103"/>
    </row>
    <row r="17" spans="2:10" ht="31.8">
      <c r="B17" s="3105" t="s">
        <v>305</v>
      </c>
      <c r="C17" s="3105"/>
      <c r="D17" s="3105"/>
      <c r="E17" s="3105"/>
      <c r="F17" s="3105"/>
      <c r="G17" s="3105"/>
      <c r="H17" s="3105"/>
      <c r="I17" s="3105"/>
      <c r="J17" s="3105"/>
    </row>
    <row r="18" spans="2:10">
      <c r="B18" s="3055"/>
      <c r="C18" s="3055"/>
      <c r="D18" s="3055"/>
      <c r="E18" s="3055"/>
      <c r="F18" s="3055"/>
      <c r="G18" s="3055"/>
      <c r="H18" s="3055"/>
      <c r="I18" s="3055"/>
      <c r="J18" s="3055"/>
    </row>
    <row r="19" spans="2:10" ht="30" customHeight="1">
      <c r="B19" s="3104"/>
      <c r="C19" s="3104"/>
      <c r="D19" s="3104"/>
      <c r="E19" s="3104"/>
      <c r="F19" s="3104"/>
      <c r="G19" s="3104"/>
      <c r="H19" s="3104"/>
      <c r="I19" s="3104"/>
      <c r="J19" s="3104"/>
    </row>
    <row r="20" spans="2:10" ht="28.2">
      <c r="B20" s="3103">
        <v>41681</v>
      </c>
      <c r="C20" s="3103"/>
      <c r="D20" s="3103"/>
      <c r="E20" s="3103"/>
      <c r="F20" s="3103"/>
      <c r="G20" s="3103"/>
      <c r="H20" s="3103"/>
      <c r="I20" s="3103"/>
      <c r="J20" s="3103"/>
    </row>
    <row r="21" spans="2:10">
      <c r="B21" s="3055"/>
      <c r="C21" s="3055"/>
      <c r="D21" s="3055"/>
      <c r="E21" s="3055"/>
      <c r="F21" s="3055"/>
      <c r="G21" s="3055"/>
      <c r="H21" s="3055"/>
      <c r="I21" s="3055"/>
      <c r="J21" s="3055"/>
    </row>
    <row r="22" spans="2:10" ht="28.2">
      <c r="B22" s="3106" t="s">
        <v>2499</v>
      </c>
      <c r="C22" s="3106"/>
      <c r="D22" s="3106"/>
      <c r="E22" s="3106"/>
      <c r="F22" s="3106"/>
      <c r="G22" s="3106"/>
      <c r="H22" s="3106"/>
      <c r="I22" s="3106"/>
      <c r="J22" s="3106"/>
    </row>
    <row r="24" spans="2:10">
      <c r="B24" s="3097"/>
      <c r="C24" s="3097"/>
      <c r="D24" s="3097"/>
      <c r="E24" s="3097"/>
      <c r="F24" s="3097"/>
      <c r="G24" s="3097"/>
      <c r="H24" s="3097"/>
      <c r="I24" s="3097"/>
    </row>
    <row r="29" spans="2:10">
      <c r="B29" s="3096"/>
      <c r="C29" s="3096"/>
      <c r="D29" s="3096"/>
      <c r="E29" s="3096"/>
      <c r="F29" s="3096"/>
      <c r="G29" s="3096"/>
      <c r="H29" s="3096"/>
      <c r="I29" s="3096"/>
      <c r="J29" s="3096"/>
    </row>
    <row r="48" spans="24:24">
      <c r="X48" s="710" t="s">
        <v>305</v>
      </c>
    </row>
    <row r="273" spans="24:24">
      <c r="X273" s="710" t="s">
        <v>2489</v>
      </c>
    </row>
    <row r="295" spans="24:24">
      <c r="X295" s="710" t="s">
        <v>2489</v>
      </c>
    </row>
    <row r="537" spans="21:21">
      <c r="U537" s="710">
        <v>14250000</v>
      </c>
    </row>
  </sheetData>
  <customSheetViews>
    <customSheetView guid="{B0DE55D3-31F4-4C5A-BCDA-3DAF0319F50E}" fitToPage="1" showRuler="0" topLeftCell="A19">
      <selection activeCell="A24" sqref="A24:H24"/>
      <pageMargins left="0.78" right="0.77" top="0.99" bottom="1" header="0.5" footer="0.5"/>
      <pageSetup scale="82" orientation="portrait" verticalDpi="0" r:id="rId1"/>
      <headerFooter alignWithMargins="0">
        <oddHeader>&amp;C&amp;"Arial MT,Bold"&amp;20DRAFT</oddHeader>
        <oddFooter xml:space="preserve">&amp;L&amp;8&amp;F
&amp;D
&amp;"Arial MT,Bold"&amp;10Cummins and Barnard, Inc.&amp;"Arial MT,Regular"&amp;12
</oddFooter>
      </headerFooter>
    </customSheetView>
    <customSheetView guid="{BC3A604D-E901-4D72-B567-A41E3CE4BC9B}" showPageBreaks="1" fitToPage="1" showRuler="0" topLeftCell="A11">
      <selection activeCell="O493" sqref="O493"/>
      <pageMargins left="0.78" right="0.77" top="0.99" bottom="1" header="0.5" footer="0.5"/>
      <pageSetup scale="82" orientation="portrait" verticalDpi="0" r:id="rId2"/>
      <headerFooter alignWithMargins="0">
        <oddFooter xml:space="preserve">&amp;L&amp;8&amp;F
&amp;D
&amp;"Arial MT,Bold"&amp;10Cummins and Barnard, Inc.&amp;"Arial MT,Regular"&amp;12
</oddFooter>
      </headerFooter>
    </customSheetView>
  </customSheetViews>
  <mergeCells count="12">
    <mergeCell ref="B29:J29"/>
    <mergeCell ref="B24:I24"/>
    <mergeCell ref="B12:J12"/>
    <mergeCell ref="B9:J9"/>
    <mergeCell ref="B11:J11"/>
    <mergeCell ref="B14:J14"/>
    <mergeCell ref="B15:J15"/>
    <mergeCell ref="B20:J20"/>
    <mergeCell ref="B19:J19"/>
    <mergeCell ref="B17:J17"/>
    <mergeCell ref="B22:J22"/>
    <mergeCell ref="B16:J16"/>
  </mergeCells>
  <phoneticPr fontId="0" type="noConversion"/>
  <printOptions horizontalCentered="1"/>
  <pageMargins left="1" right="1" top="0.75" bottom="0.86" header="0.5" footer="0.45"/>
  <pageSetup paperSize="17" orientation="landscape" r:id="rId3"/>
  <headerFooter alignWithMargins="0">
    <oddFooter>&amp;C&amp;"Verdana,Bold"&amp;16CONFIDENTIAL&amp;20
&amp;R&amp;"Times New Roman,Bold"Attachment to Response to Sierra Club-2 Question No. 11
Voyles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04"/>
  <sheetViews>
    <sheetView showGridLines="0" topLeftCell="A58" zoomScale="80" zoomScaleNormal="80" workbookViewId="0">
      <selection activeCell="A70" sqref="A70"/>
    </sheetView>
  </sheetViews>
  <sheetFormatPr defaultColWidth="8.90625" defaultRowHeight="15"/>
  <cols>
    <col min="1" max="1" width="6" style="130" customWidth="1"/>
    <col min="2" max="3" width="3.81640625" style="123" customWidth="1"/>
    <col min="4" max="4" width="41.81640625" style="123" customWidth="1"/>
    <col min="5" max="7" width="20.81640625" style="360" customWidth="1"/>
    <col min="8" max="16384" width="8.90625" style="123"/>
  </cols>
  <sheetData>
    <row r="1" spans="1:10" ht="28.2">
      <c r="B1" s="3207" t="s">
        <v>694</v>
      </c>
      <c r="C1" s="3207"/>
      <c r="D1" s="3207"/>
      <c r="E1" s="3207"/>
      <c r="F1" s="3207"/>
      <c r="G1" s="3207"/>
      <c r="H1" s="351"/>
      <c r="I1" s="351"/>
      <c r="J1" s="351"/>
    </row>
    <row r="2" spans="1:10" ht="8.1" customHeight="1" thickBot="1">
      <c r="B2" s="362"/>
      <c r="C2" s="362"/>
      <c r="D2" s="362"/>
      <c r="E2" s="362"/>
      <c r="F2" s="362"/>
      <c r="G2" s="362"/>
      <c r="H2" s="351"/>
      <c r="I2" s="351"/>
      <c r="J2" s="351"/>
    </row>
    <row r="3" spans="1:10" ht="17.399999999999999">
      <c r="B3" s="3208"/>
      <c r="C3" s="3209"/>
      <c r="D3" s="3210"/>
      <c r="E3" s="3214" t="s">
        <v>1650</v>
      </c>
      <c r="F3" s="3214"/>
      <c r="G3" s="3214"/>
    </row>
    <row r="4" spans="1:10" s="130" customFormat="1" ht="35.4" thickBot="1">
      <c r="B4" s="3211"/>
      <c r="C4" s="3212"/>
      <c r="D4" s="3213"/>
      <c r="E4" s="363" t="s">
        <v>1340</v>
      </c>
      <c r="F4" s="363" t="s">
        <v>1341</v>
      </c>
      <c r="G4" s="364" t="s">
        <v>1372</v>
      </c>
    </row>
    <row r="5" spans="1:10" ht="15.6">
      <c r="B5" s="355" t="s">
        <v>1957</v>
      </c>
      <c r="C5" s="121"/>
      <c r="D5" s="121"/>
      <c r="E5" s="356"/>
      <c r="F5" s="356"/>
      <c r="G5" s="357"/>
    </row>
    <row r="6" spans="1:10" ht="8.1" customHeight="1">
      <c r="B6" s="354"/>
      <c r="C6" s="122"/>
      <c r="D6" s="122"/>
      <c r="E6" s="358"/>
      <c r="F6" s="358"/>
      <c r="G6" s="359"/>
    </row>
    <row r="7" spans="1:10" s="303" customFormat="1">
      <c r="A7" s="361" t="s">
        <v>1297</v>
      </c>
      <c r="B7" s="616"/>
      <c r="C7" s="3197" t="s">
        <v>997</v>
      </c>
      <c r="D7" s="3198"/>
      <c r="E7" s="594">
        <v>130000000</v>
      </c>
      <c r="F7" s="594" t="e">
        <f>+'Unit Cost Summary'!G7</f>
        <v>#REF!</v>
      </c>
      <c r="G7" s="617" t="e">
        <f t="shared" ref="G7:G12" si="0">+F7-E7</f>
        <v>#REF!</v>
      </c>
    </row>
    <row r="8" spans="1:10">
      <c r="A8" s="130" t="s">
        <v>1298</v>
      </c>
      <c r="B8" s="618"/>
      <c r="C8" s="619" t="s">
        <v>1974</v>
      </c>
      <c r="D8" s="619"/>
      <c r="E8" s="595">
        <v>170000000</v>
      </c>
      <c r="F8" s="594" t="e">
        <f>+'Unit Cost Summary'!G8</f>
        <v>#REF!</v>
      </c>
      <c r="G8" s="617" t="e">
        <f t="shared" si="0"/>
        <v>#REF!</v>
      </c>
    </row>
    <row r="9" spans="1:10">
      <c r="A9" s="130" t="s">
        <v>1299</v>
      </c>
      <c r="B9" s="618"/>
      <c r="C9" s="619" t="s">
        <v>466</v>
      </c>
      <c r="D9" s="619"/>
      <c r="E9" s="595">
        <v>53000000</v>
      </c>
      <c r="F9" s="594" t="e">
        <f>+'Unit Cost Summary'!G9</f>
        <v>#REF!</v>
      </c>
      <c r="G9" s="617" t="e">
        <f t="shared" si="0"/>
        <v>#REF!</v>
      </c>
    </row>
    <row r="10" spans="1:10">
      <c r="A10" s="130" t="s">
        <v>1300</v>
      </c>
      <c r="B10" s="618"/>
      <c r="C10" s="619" t="s">
        <v>1468</v>
      </c>
      <c r="D10" s="619"/>
      <c r="E10" s="595">
        <v>9100000</v>
      </c>
      <c r="F10" s="594" t="e">
        <f>+'Unit Cost Summary'!G10</f>
        <v>#REF!</v>
      </c>
      <c r="G10" s="617" t="e">
        <f t="shared" si="0"/>
        <v>#REF!</v>
      </c>
    </row>
    <row r="11" spans="1:10">
      <c r="A11" s="130" t="s">
        <v>1301</v>
      </c>
      <c r="B11" s="618"/>
      <c r="C11" s="619" t="s">
        <v>2035</v>
      </c>
      <c r="D11" s="619"/>
      <c r="E11" s="595">
        <v>13000000</v>
      </c>
      <c r="F11" s="594" t="e">
        <f>+'Unit Cost Summary'!G11</f>
        <v>#REF!</v>
      </c>
      <c r="G11" s="617" t="e">
        <f t="shared" si="0"/>
        <v>#REF!</v>
      </c>
    </row>
    <row r="12" spans="1:10">
      <c r="A12" s="130" t="s">
        <v>1302</v>
      </c>
      <c r="B12" s="618"/>
      <c r="C12" s="619" t="s">
        <v>2040</v>
      </c>
      <c r="D12" s="619"/>
      <c r="E12" s="595">
        <v>8500000</v>
      </c>
      <c r="F12" s="594" t="e">
        <f>+'Unit Cost Summary'!G12</f>
        <v>#REF!</v>
      </c>
      <c r="G12" s="617" t="e">
        <f t="shared" si="0"/>
        <v>#REF!</v>
      </c>
    </row>
    <row r="13" spans="1:10" ht="15.6" thickBot="1">
      <c r="B13" s="620"/>
      <c r="C13" s="621"/>
      <c r="D13" s="621"/>
      <c r="E13" s="596"/>
      <c r="F13" s="596"/>
      <c r="G13" s="622"/>
    </row>
    <row r="14" spans="1:10" ht="15.9" customHeight="1">
      <c r="B14" s="623" t="s">
        <v>10</v>
      </c>
      <c r="C14" s="624"/>
      <c r="D14" s="624"/>
      <c r="E14" s="597"/>
      <c r="F14" s="597"/>
      <c r="G14" s="625"/>
    </row>
    <row r="15" spans="1:10" ht="8.1" customHeight="1">
      <c r="B15" s="626"/>
      <c r="C15" s="627"/>
      <c r="D15" s="627"/>
      <c r="E15" s="598"/>
      <c r="F15" s="598"/>
      <c r="G15" s="628"/>
    </row>
    <row r="16" spans="1:10">
      <c r="A16" s="130" t="s">
        <v>1303</v>
      </c>
      <c r="B16" s="618"/>
      <c r="C16" s="619" t="s">
        <v>1105</v>
      </c>
      <c r="D16" s="619"/>
      <c r="E16" s="595">
        <v>600000000</v>
      </c>
      <c r="F16" s="595" t="e">
        <f>+'Unit Cost Summary'!G16</f>
        <v>#REF!</v>
      </c>
      <c r="G16" s="617" t="e">
        <f>+F16-E16</f>
        <v>#REF!</v>
      </c>
    </row>
    <row r="17" spans="1:7">
      <c r="A17" s="130" t="s">
        <v>1304</v>
      </c>
      <c r="B17" s="618"/>
      <c r="C17" s="619" t="s">
        <v>1106</v>
      </c>
      <c r="D17" s="619"/>
      <c r="E17" s="595">
        <v>310000000</v>
      </c>
      <c r="F17" s="595" t="e">
        <f>+'Unit Cost Summary'!G17</f>
        <v>#REF!</v>
      </c>
      <c r="G17" s="617" t="e">
        <f t="shared" ref="G17:G24" si="1">+F17-E17</f>
        <v>#REF!</v>
      </c>
    </row>
    <row r="18" spans="1:7">
      <c r="A18" s="130" t="s">
        <v>1305</v>
      </c>
      <c r="B18" s="618"/>
      <c r="C18" s="619" t="s">
        <v>1107</v>
      </c>
      <c r="D18" s="619"/>
      <c r="E18" s="595">
        <v>83000000</v>
      </c>
      <c r="F18" s="595" t="e">
        <f>+'Unit Cost Summary'!G18</f>
        <v>#REF!</v>
      </c>
      <c r="G18" s="617" t="e">
        <f t="shared" si="1"/>
        <v>#REF!</v>
      </c>
    </row>
    <row r="19" spans="1:7">
      <c r="A19" s="130" t="s">
        <v>1306</v>
      </c>
      <c r="B19" s="618"/>
      <c r="C19" s="619" t="s">
        <v>1673</v>
      </c>
      <c r="D19" s="619"/>
      <c r="E19" s="595">
        <v>24000000</v>
      </c>
      <c r="F19" s="595" t="e">
        <f>+'Unit Cost Summary'!G19</f>
        <v>#REF!</v>
      </c>
      <c r="G19" s="617" t="e">
        <f t="shared" si="1"/>
        <v>#REF!</v>
      </c>
    </row>
    <row r="20" spans="1:7">
      <c r="A20" s="130" t="s">
        <v>1307</v>
      </c>
      <c r="B20" s="618"/>
      <c r="C20" s="619" t="s">
        <v>1108</v>
      </c>
      <c r="D20" s="619"/>
      <c r="E20" s="595">
        <v>5400000</v>
      </c>
      <c r="F20" s="595" t="e">
        <f>+'Unit Cost Summary'!G20</f>
        <v>#REF!</v>
      </c>
      <c r="G20" s="617" t="e">
        <f t="shared" si="1"/>
        <v>#REF!</v>
      </c>
    </row>
    <row r="21" spans="1:7">
      <c r="A21" s="130" t="s">
        <v>1308</v>
      </c>
      <c r="B21" s="618"/>
      <c r="C21" s="619" t="s">
        <v>1109</v>
      </c>
      <c r="D21" s="619"/>
      <c r="E21" s="595">
        <v>11000000</v>
      </c>
      <c r="F21" s="595" t="e">
        <f>+'Unit Cost Summary'!G21</f>
        <v>#REF!</v>
      </c>
      <c r="G21" s="617" t="e">
        <f t="shared" si="1"/>
        <v>#REF!</v>
      </c>
    </row>
    <row r="22" spans="1:7">
      <c r="A22" s="130" t="s">
        <v>1309</v>
      </c>
      <c r="B22" s="618"/>
      <c r="C22" s="619" t="s">
        <v>1110</v>
      </c>
      <c r="D22" s="619"/>
      <c r="E22" s="595">
        <v>300000000</v>
      </c>
      <c r="F22" s="595" t="e">
        <f>+'Unit Cost Summary'!G22</f>
        <v>#REF!</v>
      </c>
      <c r="G22" s="617" t="e">
        <f t="shared" si="1"/>
        <v>#REF!</v>
      </c>
    </row>
    <row r="23" spans="1:7">
      <c r="A23" s="130" t="s">
        <v>1310</v>
      </c>
      <c r="B23" s="618"/>
      <c r="C23" s="619" t="s">
        <v>1111</v>
      </c>
      <c r="D23" s="619"/>
      <c r="E23" s="595">
        <v>280000000</v>
      </c>
      <c r="F23" s="595" t="e">
        <f>+'Unit Cost Summary'!G23</f>
        <v>#REF!</v>
      </c>
      <c r="G23" s="617" t="e">
        <f t="shared" si="1"/>
        <v>#REF!</v>
      </c>
    </row>
    <row r="24" spans="1:7">
      <c r="A24" s="130" t="s">
        <v>1311</v>
      </c>
      <c r="B24" s="618"/>
      <c r="C24" s="619" t="s">
        <v>1112</v>
      </c>
      <c r="D24" s="619"/>
      <c r="E24" s="595">
        <v>160000000</v>
      </c>
      <c r="F24" s="595" t="e">
        <f>+'Unit Cost Summary'!G24</f>
        <v>#REF!</v>
      </c>
      <c r="G24" s="617" t="e">
        <f t="shared" si="1"/>
        <v>#REF!</v>
      </c>
    </row>
    <row r="25" spans="1:7" ht="15.6" thickBot="1">
      <c r="B25" s="620"/>
      <c r="C25" s="621"/>
      <c r="D25" s="621"/>
      <c r="E25" s="596"/>
      <c r="F25" s="596"/>
      <c r="G25" s="622"/>
    </row>
    <row r="26" spans="1:7" ht="15.9" customHeight="1">
      <c r="B26" s="623" t="s">
        <v>1113</v>
      </c>
      <c r="C26" s="624"/>
      <c r="D26" s="624"/>
      <c r="E26" s="597"/>
      <c r="F26" s="597"/>
      <c r="G26" s="625"/>
    </row>
    <row r="27" spans="1:7" ht="8.1" customHeight="1">
      <c r="B27" s="626"/>
      <c r="C27" s="627"/>
      <c r="D27" s="627"/>
      <c r="E27" s="598"/>
      <c r="F27" s="598"/>
      <c r="G27" s="628"/>
    </row>
    <row r="28" spans="1:7">
      <c r="A28" s="130" t="s">
        <v>1313</v>
      </c>
      <c r="B28" s="618"/>
      <c r="C28" s="619" t="s">
        <v>1555</v>
      </c>
      <c r="D28" s="619"/>
      <c r="E28" s="595">
        <v>108000000</v>
      </c>
      <c r="F28" s="595" t="e">
        <f>+'Unit Cost Summary'!G28</f>
        <v>#REF!</v>
      </c>
      <c r="G28" s="617" t="e">
        <f t="shared" ref="G28:G34" si="2">+F28-E28</f>
        <v>#REF!</v>
      </c>
    </row>
    <row r="29" spans="1:7">
      <c r="A29" s="130" t="s">
        <v>1570</v>
      </c>
      <c r="B29" s="618"/>
      <c r="C29" s="619"/>
      <c r="D29" s="619" t="s">
        <v>812</v>
      </c>
      <c r="E29" s="595">
        <v>0</v>
      </c>
      <c r="F29" s="595">
        <f>+'Unit Cost Summary'!G29</f>
        <v>3129378.8871330679</v>
      </c>
      <c r="G29" s="617">
        <f t="shared" si="2"/>
        <v>3129378.8871330679</v>
      </c>
    </row>
    <row r="30" spans="1:7">
      <c r="A30" s="130" t="s">
        <v>1571</v>
      </c>
      <c r="B30" s="618"/>
      <c r="C30" s="619"/>
      <c r="D30" s="619" t="s">
        <v>1574</v>
      </c>
      <c r="E30" s="595">
        <v>0</v>
      </c>
      <c r="F30" s="595" t="e">
        <f>+'Unit Cost Summary'!G30</f>
        <v>#REF!</v>
      </c>
      <c r="G30" s="617" t="e">
        <f t="shared" si="2"/>
        <v>#REF!</v>
      </c>
    </row>
    <row r="31" spans="1:7">
      <c r="A31" s="130" t="s">
        <v>1572</v>
      </c>
      <c r="B31" s="618"/>
      <c r="C31" s="619"/>
      <c r="D31" s="619" t="s">
        <v>1573</v>
      </c>
      <c r="E31" s="595">
        <v>0</v>
      </c>
      <c r="F31" s="595" t="e">
        <f>+'Unit Cost Summary'!G31</f>
        <v>#REF!</v>
      </c>
      <c r="G31" s="617" t="e">
        <f t="shared" si="2"/>
        <v>#REF!</v>
      </c>
    </row>
    <row r="32" spans="1:7">
      <c r="A32" s="130" t="s">
        <v>15</v>
      </c>
      <c r="B32" s="618"/>
      <c r="C32" s="619" t="s">
        <v>1457</v>
      </c>
      <c r="D32" s="619"/>
      <c r="E32" s="595">
        <v>76000000</v>
      </c>
      <c r="F32" s="595" t="e">
        <f>+'Unit Cost Summary'!G32</f>
        <v>#REF!</v>
      </c>
      <c r="G32" s="617" t="e">
        <f>+F32-E32</f>
        <v>#REF!</v>
      </c>
    </row>
    <row r="33" spans="1:7">
      <c r="A33" s="130" t="s">
        <v>1315</v>
      </c>
      <c r="B33" s="618"/>
      <c r="C33" s="619" t="s">
        <v>248</v>
      </c>
      <c r="D33" s="619"/>
      <c r="E33" s="595">
        <v>106000000</v>
      </c>
      <c r="F33" s="595" t="e">
        <f>+'Unit Cost Summary'!G34</f>
        <v>#REF!</v>
      </c>
      <c r="G33" s="617" t="e">
        <f t="shared" si="2"/>
        <v>#REF!</v>
      </c>
    </row>
    <row r="34" spans="1:7">
      <c r="A34" s="130" t="s">
        <v>1316</v>
      </c>
      <c r="B34" s="618"/>
      <c r="C34" s="619" t="s">
        <v>1114</v>
      </c>
      <c r="D34" s="619"/>
      <c r="E34" s="595">
        <v>107000000</v>
      </c>
      <c r="F34" s="595" t="e">
        <f>+'Unit Cost Summary'!G35</f>
        <v>#REF!</v>
      </c>
      <c r="G34" s="617" t="e">
        <f t="shared" si="2"/>
        <v>#REF!</v>
      </c>
    </row>
    <row r="35" spans="1:7" ht="15.6" thickBot="1">
      <c r="B35" s="620"/>
      <c r="C35" s="621"/>
      <c r="D35" s="621"/>
      <c r="E35" s="596"/>
      <c r="F35" s="596"/>
      <c r="G35" s="622"/>
    </row>
    <row r="36" spans="1:7" ht="26.1" customHeight="1" thickBot="1">
      <c r="B36" s="629"/>
      <c r="C36" s="630" t="s">
        <v>1115</v>
      </c>
      <c r="D36" s="631"/>
      <c r="E36" s="599">
        <f>SUM(E7:E35)</f>
        <v>2554000000</v>
      </c>
      <c r="F36" s="599" t="e">
        <f>SUM(F7:F35)</f>
        <v>#REF!</v>
      </c>
      <c r="G36" s="599" t="e">
        <f>SUM(G7:G35)</f>
        <v>#REF!</v>
      </c>
    </row>
    <row r="37" spans="1:7" ht="15.9" customHeight="1">
      <c r="B37" s="632" t="s">
        <v>868</v>
      </c>
      <c r="C37" s="633"/>
      <c r="D37" s="633"/>
      <c r="E37" s="600"/>
      <c r="F37" s="600"/>
      <c r="G37" s="634"/>
    </row>
    <row r="38" spans="1:7" ht="8.1" customHeight="1">
      <c r="B38" s="626"/>
      <c r="C38" s="627"/>
      <c r="D38" s="627"/>
      <c r="E38" s="598"/>
      <c r="F38" s="598"/>
      <c r="G38" s="628"/>
    </row>
    <row r="39" spans="1:7">
      <c r="A39" s="130" t="s">
        <v>1312</v>
      </c>
      <c r="B39" s="618"/>
      <c r="C39" s="619" t="s">
        <v>251</v>
      </c>
      <c r="D39" s="619"/>
      <c r="E39" s="595">
        <v>9400000</v>
      </c>
      <c r="F39" s="595" t="e">
        <f>+'Unit Cost Summary'!G40</f>
        <v>#REF!</v>
      </c>
      <c r="G39" s="617" t="e">
        <f>+F39-E39</f>
        <v>#REF!</v>
      </c>
    </row>
    <row r="40" spans="1:7">
      <c r="A40" s="130" t="s">
        <v>1317</v>
      </c>
      <c r="B40" s="618"/>
      <c r="C40" s="619" t="s">
        <v>252</v>
      </c>
      <c r="D40" s="619"/>
      <c r="E40" s="595">
        <v>6300000</v>
      </c>
      <c r="F40" s="595" t="e">
        <f>+'Unit Cost Summary'!G41</f>
        <v>#REF!</v>
      </c>
      <c r="G40" s="617" t="e">
        <f t="shared" ref="G40:G73" si="3">+F40-E40</f>
        <v>#REF!</v>
      </c>
    </row>
    <row r="41" spans="1:7">
      <c r="A41" s="130" t="s">
        <v>1318</v>
      </c>
      <c r="B41" s="618"/>
      <c r="C41" s="619" t="s">
        <v>1600</v>
      </c>
      <c r="D41" s="619"/>
      <c r="E41" s="595">
        <v>38000000</v>
      </c>
      <c r="F41" s="595" t="e">
        <f>+'Unit Cost Summary'!G42</f>
        <v>#REF!</v>
      </c>
      <c r="G41" s="617" t="e">
        <f t="shared" si="3"/>
        <v>#REF!</v>
      </c>
    </row>
    <row r="42" spans="1:7">
      <c r="A42" s="130" t="s">
        <v>1319</v>
      </c>
      <c r="B42" s="618"/>
      <c r="C42" s="619" t="s">
        <v>254</v>
      </c>
      <c r="D42" s="619"/>
      <c r="E42" s="595">
        <v>39414809</v>
      </c>
      <c r="F42" s="595" t="e">
        <f>+'Unit Cost Summary'!G43</f>
        <v>#REF!</v>
      </c>
      <c r="G42" s="617" t="e">
        <f t="shared" si="3"/>
        <v>#REF!</v>
      </c>
    </row>
    <row r="43" spans="1:7">
      <c r="A43" s="130" t="s">
        <v>0</v>
      </c>
      <c r="B43" s="618"/>
      <c r="C43" s="619" t="s">
        <v>255</v>
      </c>
      <c r="D43" s="619"/>
      <c r="E43" s="595">
        <v>9000000</v>
      </c>
      <c r="F43" s="595" t="e">
        <f>+'Unit Cost Summary'!G44</f>
        <v>#REF!</v>
      </c>
      <c r="G43" s="617" t="e">
        <f t="shared" si="3"/>
        <v>#REF!</v>
      </c>
    </row>
    <row r="44" spans="1:7">
      <c r="A44" s="130" t="s">
        <v>1</v>
      </c>
      <c r="B44" s="618"/>
      <c r="C44" s="619" t="s">
        <v>538</v>
      </c>
      <c r="D44" s="619"/>
      <c r="E44" s="595">
        <v>500000</v>
      </c>
      <c r="F44" s="595" t="e">
        <f>+'Unit Cost Summary'!G45</f>
        <v>#REF!</v>
      </c>
      <c r="G44" s="617" t="e">
        <f t="shared" si="3"/>
        <v>#REF!</v>
      </c>
    </row>
    <row r="45" spans="1:7">
      <c r="A45" s="130" t="s">
        <v>2</v>
      </c>
      <c r="B45" s="618"/>
      <c r="C45" s="619" t="s">
        <v>1116</v>
      </c>
      <c r="D45" s="619"/>
      <c r="E45" s="595">
        <v>510000</v>
      </c>
      <c r="F45" s="595" t="e">
        <f>+'Unit Cost Summary'!G46</f>
        <v>#REF!</v>
      </c>
      <c r="G45" s="617" t="e">
        <f t="shared" si="3"/>
        <v>#REF!</v>
      </c>
    </row>
    <row r="46" spans="1:7">
      <c r="A46" s="130" t="s">
        <v>3</v>
      </c>
      <c r="B46" s="618"/>
      <c r="C46" s="619" t="s">
        <v>569</v>
      </c>
      <c r="D46" s="619"/>
      <c r="E46" s="595">
        <v>12380000</v>
      </c>
      <c r="F46" s="595" t="e">
        <f>+'Unit Cost Summary'!G47</f>
        <v>#REF!</v>
      </c>
      <c r="G46" s="617" t="e">
        <f t="shared" si="3"/>
        <v>#REF!</v>
      </c>
    </row>
    <row r="47" spans="1:7">
      <c r="A47" s="130" t="s">
        <v>4</v>
      </c>
      <c r="B47" s="618"/>
      <c r="C47" s="619" t="s">
        <v>570</v>
      </c>
      <c r="D47" s="619"/>
      <c r="E47" s="595">
        <v>2500000</v>
      </c>
      <c r="F47" s="595" t="e">
        <f>+'Unit Cost Summary'!G48</f>
        <v>#REF!</v>
      </c>
      <c r="G47" s="617" t="e">
        <f t="shared" si="3"/>
        <v>#REF!</v>
      </c>
    </row>
    <row r="48" spans="1:7">
      <c r="A48" s="130" t="s">
        <v>1576</v>
      </c>
      <c r="B48" s="618"/>
      <c r="C48" s="619" t="s">
        <v>542</v>
      </c>
      <c r="D48" s="619"/>
      <c r="E48" s="595">
        <v>6000000</v>
      </c>
      <c r="F48" s="595" t="e">
        <f>+'Unit Cost Summary'!G49</f>
        <v>#REF!</v>
      </c>
      <c r="G48" s="617" t="e">
        <f t="shared" si="3"/>
        <v>#REF!</v>
      </c>
    </row>
    <row r="49" spans="1:7">
      <c r="A49" s="130" t="s">
        <v>1577</v>
      </c>
      <c r="B49" s="618"/>
      <c r="C49" s="619" t="s">
        <v>543</v>
      </c>
      <c r="D49" s="619"/>
      <c r="E49" s="595">
        <v>20000000</v>
      </c>
      <c r="F49" s="595" t="e">
        <f>+'Unit Cost Summary'!G50</f>
        <v>#REF!</v>
      </c>
      <c r="G49" s="617" t="e">
        <f t="shared" si="3"/>
        <v>#REF!</v>
      </c>
    </row>
    <row r="50" spans="1:7">
      <c r="A50" s="130" t="s">
        <v>1578</v>
      </c>
      <c r="B50" s="618"/>
      <c r="C50" s="619" t="s">
        <v>44</v>
      </c>
      <c r="D50" s="619"/>
      <c r="E50" s="595">
        <v>15000000</v>
      </c>
      <c r="F50" s="595" t="e">
        <f>+'Unit Cost Summary'!G51</f>
        <v>#REF!</v>
      </c>
      <c r="G50" s="617" t="e">
        <f t="shared" si="3"/>
        <v>#REF!</v>
      </c>
    </row>
    <row r="51" spans="1:7">
      <c r="B51" s="618"/>
      <c r="C51" s="619" t="s">
        <v>996</v>
      </c>
      <c r="D51" s="619"/>
      <c r="E51" s="595"/>
      <c r="F51" s="595"/>
      <c r="G51" s="617"/>
    </row>
    <row r="52" spans="1:7">
      <c r="A52" s="130" t="s">
        <v>1579</v>
      </c>
      <c r="B52" s="618"/>
      <c r="C52" s="619"/>
      <c r="D52" s="619" t="s">
        <v>45</v>
      </c>
      <c r="E52" s="595">
        <v>25000000</v>
      </c>
      <c r="F52" s="595" t="e">
        <f>+'Unit Cost Summary'!G53</f>
        <v>#REF!</v>
      </c>
      <c r="G52" s="617" t="e">
        <f t="shared" si="3"/>
        <v>#REF!</v>
      </c>
    </row>
    <row r="53" spans="1:7">
      <c r="A53" s="130" t="s">
        <v>1580</v>
      </c>
      <c r="B53" s="618"/>
      <c r="C53" s="619"/>
      <c r="D53" s="619" t="s">
        <v>46</v>
      </c>
      <c r="E53" s="595">
        <v>45000000</v>
      </c>
      <c r="F53" s="595" t="e">
        <f>+'Unit Cost Summary'!G54</f>
        <v>#REF!</v>
      </c>
      <c r="G53" s="617" t="e">
        <f t="shared" si="3"/>
        <v>#REF!</v>
      </c>
    </row>
    <row r="54" spans="1:7">
      <c r="A54" s="130" t="s">
        <v>1581</v>
      </c>
      <c r="B54" s="618"/>
      <c r="C54" s="619"/>
      <c r="D54" s="619" t="s">
        <v>47</v>
      </c>
      <c r="E54" s="595">
        <v>4800000</v>
      </c>
      <c r="F54" s="595" t="e">
        <f>+'Unit Cost Summary'!G55</f>
        <v>#REF!</v>
      </c>
      <c r="G54" s="617" t="e">
        <f t="shared" si="3"/>
        <v>#REF!</v>
      </c>
    </row>
    <row r="55" spans="1:7">
      <c r="A55" s="130" t="s">
        <v>1582</v>
      </c>
      <c r="B55" s="618"/>
      <c r="C55" s="619"/>
      <c r="D55" s="619" t="s">
        <v>1548</v>
      </c>
      <c r="E55" s="595">
        <v>830000</v>
      </c>
      <c r="F55" s="595" t="e">
        <f>+'Unit Cost Summary'!G56</f>
        <v>#REF!</v>
      </c>
      <c r="G55" s="617" t="e">
        <f t="shared" si="3"/>
        <v>#REF!</v>
      </c>
    </row>
    <row r="56" spans="1:7">
      <c r="A56" s="130" t="s">
        <v>1583</v>
      </c>
      <c r="B56" s="618"/>
      <c r="C56" s="619"/>
      <c r="D56" s="619" t="s">
        <v>1549</v>
      </c>
      <c r="E56" s="595">
        <v>-39000000</v>
      </c>
      <c r="F56" s="595" t="e">
        <f>+'Unit Cost Summary'!G57</f>
        <v>#REF!</v>
      </c>
      <c r="G56" s="617" t="e">
        <f t="shared" si="3"/>
        <v>#REF!</v>
      </c>
    </row>
    <row r="57" spans="1:7">
      <c r="A57" s="130" t="s">
        <v>1584</v>
      </c>
      <c r="B57" s="618"/>
      <c r="C57" s="619" t="s">
        <v>1550</v>
      </c>
      <c r="D57" s="619"/>
      <c r="E57" s="595">
        <v>1400000</v>
      </c>
      <c r="F57" s="595" t="e">
        <f>+'Unit Cost Summary'!G58</f>
        <v>#REF!</v>
      </c>
      <c r="G57" s="617" t="e">
        <f t="shared" si="3"/>
        <v>#REF!</v>
      </c>
    </row>
    <row r="58" spans="1:7">
      <c r="A58" s="130" t="s">
        <v>1585</v>
      </c>
      <c r="B58" s="618"/>
      <c r="C58" s="619" t="s">
        <v>571</v>
      </c>
      <c r="D58" s="619"/>
      <c r="E58" s="595">
        <v>60000000</v>
      </c>
      <c r="F58" s="595" t="e">
        <f>+'Unit Cost Summary'!G59</f>
        <v>#REF!</v>
      </c>
      <c r="G58" s="617" t="e">
        <f t="shared" si="3"/>
        <v>#REF!</v>
      </c>
    </row>
    <row r="59" spans="1:7">
      <c r="A59" s="130" t="s">
        <v>1586</v>
      </c>
      <c r="B59" s="618"/>
      <c r="C59" s="619" t="s">
        <v>545</v>
      </c>
      <c r="D59" s="619"/>
      <c r="E59" s="595">
        <v>8000000</v>
      </c>
      <c r="F59" s="595" t="e">
        <f>+'Unit Cost Summary'!G60</f>
        <v>#REF!</v>
      </c>
      <c r="G59" s="617" t="e">
        <f t="shared" si="3"/>
        <v>#REF!</v>
      </c>
    </row>
    <row r="60" spans="1:7">
      <c r="B60" s="618"/>
      <c r="C60" s="619" t="s">
        <v>546</v>
      </c>
      <c r="D60" s="619"/>
      <c r="E60" s="595"/>
      <c r="F60" s="595"/>
      <c r="G60" s="617"/>
    </row>
    <row r="61" spans="1:7">
      <c r="A61" s="130" t="s">
        <v>1587</v>
      </c>
      <c r="B61" s="618"/>
      <c r="C61" s="619"/>
      <c r="D61" s="619" t="s">
        <v>991</v>
      </c>
      <c r="E61" s="595">
        <v>2000000</v>
      </c>
      <c r="F61" s="595" t="e">
        <f>+'Unit Cost Summary'!G62</f>
        <v>#REF!</v>
      </c>
      <c r="G61" s="617" t="e">
        <f t="shared" si="3"/>
        <v>#REF!</v>
      </c>
    </row>
    <row r="62" spans="1:7">
      <c r="A62" s="130" t="s">
        <v>1588</v>
      </c>
      <c r="B62" s="618"/>
      <c r="C62" s="619"/>
      <c r="D62" s="619" t="s">
        <v>992</v>
      </c>
      <c r="E62" s="595">
        <v>660000</v>
      </c>
      <c r="F62" s="595" t="e">
        <f>+'Unit Cost Summary'!G63</f>
        <v>#REF!</v>
      </c>
      <c r="G62" s="617" t="e">
        <f t="shared" si="3"/>
        <v>#REF!</v>
      </c>
    </row>
    <row r="63" spans="1:7">
      <c r="A63" s="130" t="s">
        <v>1589</v>
      </c>
      <c r="B63" s="618"/>
      <c r="C63" s="619"/>
      <c r="D63" s="619" t="s">
        <v>1898</v>
      </c>
      <c r="E63" s="595">
        <v>390000</v>
      </c>
      <c r="F63" s="595" t="e">
        <f>+'Unit Cost Summary'!G64</f>
        <v>#REF!</v>
      </c>
      <c r="G63" s="617" t="e">
        <f t="shared" si="3"/>
        <v>#REF!</v>
      </c>
    </row>
    <row r="64" spans="1:7">
      <c r="A64" s="130" t="s">
        <v>1590</v>
      </c>
      <c r="B64" s="618"/>
      <c r="C64" s="619"/>
      <c r="D64" s="619" t="s">
        <v>1899</v>
      </c>
      <c r="E64" s="595">
        <v>140000</v>
      </c>
      <c r="F64" s="595" t="e">
        <f>+'Unit Cost Summary'!G65</f>
        <v>#REF!</v>
      </c>
      <c r="G64" s="617" t="e">
        <f t="shared" si="3"/>
        <v>#REF!</v>
      </c>
    </row>
    <row r="65" spans="1:7">
      <c r="A65" s="130" t="s">
        <v>1591</v>
      </c>
      <c r="B65" s="618"/>
      <c r="C65" s="619"/>
      <c r="D65" s="619" t="s">
        <v>884</v>
      </c>
      <c r="E65" s="595">
        <v>140000</v>
      </c>
      <c r="F65" s="595" t="e">
        <f>+'Unit Cost Summary'!G66</f>
        <v>#REF!</v>
      </c>
      <c r="G65" s="617" t="e">
        <f t="shared" si="3"/>
        <v>#REF!</v>
      </c>
    </row>
    <row r="66" spans="1:7">
      <c r="A66" s="130" t="s">
        <v>1592</v>
      </c>
      <c r="B66" s="618"/>
      <c r="C66" s="619"/>
      <c r="D66" s="619" t="s">
        <v>885</v>
      </c>
      <c r="E66" s="595">
        <v>140000</v>
      </c>
      <c r="F66" s="595" t="e">
        <f>+'Unit Cost Summary'!G67</f>
        <v>#REF!</v>
      </c>
      <c r="G66" s="617" t="e">
        <f t="shared" si="3"/>
        <v>#REF!</v>
      </c>
    </row>
    <row r="67" spans="1:7">
      <c r="A67" s="130" t="s">
        <v>1593</v>
      </c>
      <c r="B67" s="618"/>
      <c r="C67" s="619" t="s">
        <v>886</v>
      </c>
      <c r="D67" s="619"/>
      <c r="E67" s="595">
        <v>13000000</v>
      </c>
      <c r="F67" s="595">
        <f>+'Unit Cost Summary'!G68</f>
        <v>119959.52400676761</v>
      </c>
      <c r="G67" s="617">
        <f t="shared" si="3"/>
        <v>-12880040.475993233</v>
      </c>
    </row>
    <row r="68" spans="1:7">
      <c r="A68" s="130" t="s">
        <v>1594</v>
      </c>
      <c r="B68" s="618"/>
      <c r="C68" s="619" t="s">
        <v>135</v>
      </c>
      <c r="D68" s="619"/>
      <c r="E68" s="595">
        <v>114000000</v>
      </c>
      <c r="F68" s="595" t="e">
        <f>+'Unit Cost Summary'!G69</f>
        <v>#REF!</v>
      </c>
      <c r="G68" s="617" t="e">
        <f t="shared" si="3"/>
        <v>#REF!</v>
      </c>
    </row>
    <row r="69" spans="1:7">
      <c r="A69" s="130" t="s">
        <v>1595</v>
      </c>
      <c r="B69" s="618"/>
      <c r="C69" s="619" t="s">
        <v>995</v>
      </c>
      <c r="D69" s="619"/>
      <c r="E69" s="595">
        <v>54000000</v>
      </c>
      <c r="F69" s="595" t="e">
        <f>+'Unit Cost Summary'!G70</f>
        <v>#REF!</v>
      </c>
      <c r="G69" s="617" t="e">
        <f t="shared" si="3"/>
        <v>#REF!</v>
      </c>
    </row>
    <row r="70" spans="1:7">
      <c r="A70" s="130" t="s">
        <v>118</v>
      </c>
      <c r="B70" s="618"/>
      <c r="C70" s="619" t="e">
        <f>+'Unit Cost Summary'!C71</f>
        <v>#REF!</v>
      </c>
      <c r="D70" s="619"/>
      <c r="E70" s="595">
        <v>0</v>
      </c>
      <c r="F70" s="595" t="e">
        <f>+'Unit Cost Summary'!G71</f>
        <v>#REF!</v>
      </c>
      <c r="G70" s="617" t="e">
        <f t="shared" si="3"/>
        <v>#REF!</v>
      </c>
    </row>
    <row r="71" spans="1:7">
      <c r="A71" s="130" t="s">
        <v>1596</v>
      </c>
      <c r="B71" s="618"/>
      <c r="C71" s="619" t="s">
        <v>137</v>
      </c>
      <c r="D71" s="619"/>
      <c r="E71" s="595">
        <v>0</v>
      </c>
      <c r="F71" s="595" t="e">
        <f>+'Unit Cost Summary'!G72</f>
        <v>#REF!</v>
      </c>
      <c r="G71" s="617" t="e">
        <f t="shared" si="3"/>
        <v>#REF!</v>
      </c>
    </row>
    <row r="72" spans="1:7">
      <c r="A72" s="130" t="s">
        <v>1597</v>
      </c>
      <c r="B72" s="618"/>
      <c r="C72" s="619" t="s">
        <v>138</v>
      </c>
      <c r="D72" s="619"/>
      <c r="E72" s="595">
        <v>0</v>
      </c>
      <c r="F72" s="595" t="e">
        <f>+'Unit Cost Summary'!G73</f>
        <v>#REF!</v>
      </c>
      <c r="G72" s="617" t="e">
        <f t="shared" si="3"/>
        <v>#REF!</v>
      </c>
    </row>
    <row r="73" spans="1:7">
      <c r="A73" s="130" t="s">
        <v>1598</v>
      </c>
      <c r="B73" s="618"/>
      <c r="C73" s="619" t="s">
        <v>139</v>
      </c>
      <c r="D73" s="619"/>
      <c r="E73" s="595">
        <v>150000000</v>
      </c>
      <c r="F73" s="595">
        <f>+'Unit Cost Summary'!G74</f>
        <v>4348542.8642436331</v>
      </c>
      <c r="G73" s="617">
        <f t="shared" si="3"/>
        <v>-145651457.13575637</v>
      </c>
    </row>
    <row r="74" spans="1:7" ht="15.6" thickBot="1">
      <c r="B74" s="618"/>
      <c r="C74" s="619"/>
      <c r="D74" s="619"/>
      <c r="E74" s="595" t="s">
        <v>1651</v>
      </c>
      <c r="F74" s="595"/>
      <c r="G74" s="617"/>
    </row>
    <row r="75" spans="1:7" ht="26.1" customHeight="1" thickBot="1">
      <c r="B75" s="635"/>
      <c r="C75" s="630" t="s">
        <v>998</v>
      </c>
      <c r="D75" s="631"/>
      <c r="E75" s="599">
        <f>SUM(E39:E74)</f>
        <v>599504809</v>
      </c>
      <c r="F75" s="599" t="e">
        <f>SUM(F39:F74)</f>
        <v>#REF!</v>
      </c>
      <c r="G75" s="599" t="e">
        <f>SUM(G39:G74)</f>
        <v>#REF!</v>
      </c>
    </row>
    <row r="76" spans="1:7" ht="15" customHeight="1" thickBot="1">
      <c r="B76" s="636"/>
      <c r="C76" s="637"/>
      <c r="D76" s="656"/>
      <c r="E76" s="602"/>
      <c r="F76" s="602"/>
      <c r="G76" s="602"/>
    </row>
    <row r="77" spans="1:7" ht="26.1" customHeight="1" thickBot="1">
      <c r="B77" s="635"/>
      <c r="C77" s="630" t="s">
        <v>127</v>
      </c>
      <c r="D77" s="639"/>
      <c r="E77" s="599">
        <f>+E75+E36</f>
        <v>3153504809</v>
      </c>
      <c r="F77" s="599" t="e">
        <f>+F75+F36</f>
        <v>#REF!</v>
      </c>
      <c r="G77" s="599" t="e">
        <f>+G75+G36</f>
        <v>#REF!</v>
      </c>
    </row>
    <row r="78" spans="1:7" ht="3" customHeight="1">
      <c r="B78" s="657"/>
      <c r="C78" s="657"/>
      <c r="D78" s="658"/>
      <c r="E78" s="659"/>
      <c r="F78" s="659"/>
      <c r="G78" s="659"/>
    </row>
    <row r="79" spans="1:7" ht="26.25" customHeight="1" thickBot="1">
      <c r="B79" s="3205"/>
      <c r="C79" s="3206"/>
      <c r="D79" s="3206"/>
      <c r="E79" s="3206"/>
      <c r="F79" s="3206"/>
      <c r="G79" s="3206"/>
    </row>
    <row r="80" spans="1:7" ht="26.25" customHeight="1">
      <c r="B80" s="646" t="s">
        <v>1342</v>
      </c>
      <c r="C80" s="647"/>
      <c r="D80" s="647"/>
      <c r="E80" s="604"/>
      <c r="F80" s="604"/>
      <c r="G80" s="648"/>
    </row>
    <row r="81" spans="1:7">
      <c r="B81" s="613"/>
      <c r="C81" s="614"/>
      <c r="D81" s="614"/>
      <c r="E81" s="605"/>
      <c r="F81" s="605"/>
      <c r="G81" s="649"/>
    </row>
    <row r="82" spans="1:7">
      <c r="A82" s="130" t="s">
        <v>1343</v>
      </c>
      <c r="B82" s="618"/>
      <c r="C82" s="619" t="s">
        <v>48</v>
      </c>
      <c r="D82" s="619"/>
      <c r="E82" s="595">
        <v>250000000</v>
      </c>
      <c r="F82" s="595">
        <f>+'Unit Cost Summary'!G83</f>
        <v>0</v>
      </c>
      <c r="G82" s="617">
        <f>+F82-E82</f>
        <v>-250000000</v>
      </c>
    </row>
    <row r="83" spans="1:7">
      <c r="A83" s="130" t="s">
        <v>1344</v>
      </c>
      <c r="B83" s="618"/>
      <c r="C83" s="619" t="s">
        <v>49</v>
      </c>
      <c r="D83" s="619"/>
      <c r="E83" s="595">
        <v>79000000</v>
      </c>
      <c r="F83" s="595">
        <f>+'Unit Cost Summary'!G84</f>
        <v>0</v>
      </c>
      <c r="G83" s="617">
        <f>+F83-E83</f>
        <v>-79000000</v>
      </c>
    </row>
    <row r="84" spans="1:7">
      <c r="A84" s="130" t="s">
        <v>1345</v>
      </c>
      <c r="B84" s="618"/>
      <c r="C84" s="619"/>
      <c r="D84" s="619"/>
      <c r="E84" s="595">
        <v>0</v>
      </c>
      <c r="F84" s="595">
        <f>+'Unit Cost Summary'!G85</f>
        <v>0</v>
      </c>
      <c r="G84" s="617">
        <f>+F84-E84</f>
        <v>0</v>
      </c>
    </row>
    <row r="85" spans="1:7" ht="15.6" thickBot="1">
      <c r="B85" s="626"/>
      <c r="C85" s="627"/>
      <c r="D85" s="627"/>
      <c r="E85" s="598"/>
      <c r="F85" s="598"/>
      <c r="G85" s="650"/>
    </row>
    <row r="86" spans="1:7" ht="20.100000000000001" customHeight="1" thickBot="1">
      <c r="B86" s="651"/>
      <c r="C86" s="652" t="s">
        <v>753</v>
      </c>
      <c r="D86" s="653"/>
      <c r="E86" s="602">
        <f>SUM(E82:E85)</f>
        <v>329000000</v>
      </c>
      <c r="F86" s="602">
        <f>SUM(F82:F85)</f>
        <v>0</v>
      </c>
      <c r="G86" s="602">
        <f>SUM(G82:G85)</f>
        <v>-329000000</v>
      </c>
    </row>
    <row r="87" spans="1:7">
      <c r="B87" s="624"/>
      <c r="C87" s="624"/>
      <c r="D87" s="624"/>
      <c r="E87" s="660"/>
      <c r="F87" s="660"/>
      <c r="G87" s="660"/>
    </row>
    <row r="88" spans="1:7" ht="15.6" thickBot="1">
      <c r="B88" s="621"/>
      <c r="C88" s="621"/>
      <c r="D88" s="621"/>
      <c r="E88" s="661"/>
      <c r="F88" s="661"/>
      <c r="G88" s="661"/>
    </row>
    <row r="89" spans="1:7" ht="15.6">
      <c r="B89" s="646" t="s">
        <v>999</v>
      </c>
      <c r="C89" s="647"/>
      <c r="D89" s="647"/>
      <c r="E89" s="604"/>
      <c r="F89" s="604"/>
      <c r="G89" s="648"/>
    </row>
    <row r="90" spans="1:7">
      <c r="B90" s="613"/>
      <c r="C90" s="614"/>
      <c r="D90" s="614"/>
      <c r="E90" s="605"/>
      <c r="F90" s="605"/>
      <c r="G90" s="649"/>
    </row>
    <row r="91" spans="1:7">
      <c r="A91" s="130" t="s">
        <v>1601</v>
      </c>
      <c r="B91" s="618"/>
      <c r="C91" s="619" t="s">
        <v>50</v>
      </c>
      <c r="D91" s="619"/>
      <c r="E91" s="595">
        <v>43000000</v>
      </c>
      <c r="F91" s="595">
        <f>+'Unit Cost Summary'!G91</f>
        <v>0</v>
      </c>
      <c r="G91" s="617">
        <f>+F91-E91</f>
        <v>-43000000</v>
      </c>
    </row>
    <row r="92" spans="1:7">
      <c r="A92" s="130" t="s">
        <v>1602</v>
      </c>
      <c r="B92" s="618"/>
      <c r="C92" s="619" t="s">
        <v>1403</v>
      </c>
      <c r="D92" s="619"/>
      <c r="E92" s="595">
        <v>1000000</v>
      </c>
      <c r="F92" s="595">
        <f>+'Unit Cost Summary'!G92</f>
        <v>0</v>
      </c>
      <c r="G92" s="617">
        <f>+F92-E92</f>
        <v>-1000000</v>
      </c>
    </row>
    <row r="93" spans="1:7">
      <c r="A93" s="130" t="s">
        <v>1603</v>
      </c>
      <c r="B93" s="618"/>
      <c r="C93" s="619" t="s">
        <v>1404</v>
      </c>
      <c r="D93" s="619"/>
      <c r="E93" s="595">
        <v>110000000</v>
      </c>
      <c r="F93" s="595" t="e">
        <f>+'Unit Cost Summary'!G93</f>
        <v>#REF!</v>
      </c>
      <c r="G93" s="617" t="e">
        <f>+F93-E93</f>
        <v>#REF!</v>
      </c>
    </row>
    <row r="94" spans="1:7">
      <c r="A94" s="130" t="s">
        <v>1604</v>
      </c>
      <c r="B94" s="618"/>
      <c r="C94" s="619" t="s">
        <v>1001</v>
      </c>
      <c r="D94" s="619"/>
      <c r="E94" s="595">
        <v>5900000</v>
      </c>
      <c r="F94" s="595">
        <f>+'Unit Cost Summary'!G94</f>
        <v>0</v>
      </c>
      <c r="G94" s="617">
        <f>+F94-E94</f>
        <v>-5900000</v>
      </c>
    </row>
    <row r="95" spans="1:7" ht="15.6" thickBot="1">
      <c r="B95" s="626"/>
      <c r="C95" s="627"/>
      <c r="D95" s="627"/>
      <c r="E95" s="598"/>
      <c r="F95" s="598"/>
      <c r="G95" s="650"/>
    </row>
    <row r="96" spans="1:7" ht="20.100000000000001" customHeight="1" thickBot="1">
      <c r="B96" s="651"/>
      <c r="C96" s="652" t="s">
        <v>754</v>
      </c>
      <c r="D96" s="653"/>
      <c r="E96" s="602">
        <f>SUM(E91:E95)</f>
        <v>159900000</v>
      </c>
      <c r="F96" s="602" t="e">
        <f>SUM(F91:F95)</f>
        <v>#REF!</v>
      </c>
      <c r="G96" s="602" t="e">
        <f>SUM(G91:G95)</f>
        <v>#REF!</v>
      </c>
    </row>
    <row r="97" spans="1:7">
      <c r="B97" s="624"/>
      <c r="C97" s="624"/>
      <c r="D97" s="624"/>
      <c r="E97" s="660"/>
      <c r="F97" s="660"/>
      <c r="G97" s="660"/>
    </row>
    <row r="98" spans="1:7" ht="15.6" thickBot="1">
      <c r="B98" s="621"/>
      <c r="C98" s="621"/>
      <c r="D98" s="621"/>
      <c r="E98" s="661"/>
      <c r="F98" s="661"/>
      <c r="G98" s="661"/>
    </row>
    <row r="99" spans="1:7" ht="15.6">
      <c r="B99" s="646" t="s">
        <v>1000</v>
      </c>
      <c r="C99" s="647"/>
      <c r="D99" s="647"/>
      <c r="E99" s="604"/>
      <c r="F99" s="604"/>
      <c r="G99" s="648"/>
    </row>
    <row r="100" spans="1:7">
      <c r="B100" s="613"/>
      <c r="C100" s="614"/>
      <c r="D100" s="614"/>
      <c r="E100" s="605"/>
      <c r="F100" s="605"/>
      <c r="G100" s="649"/>
    </row>
    <row r="101" spans="1:7">
      <c r="A101" s="130" t="s">
        <v>1605</v>
      </c>
      <c r="B101" s="618"/>
      <c r="C101" s="619" t="s">
        <v>1599</v>
      </c>
      <c r="D101" s="619"/>
      <c r="E101" s="595">
        <v>450000000</v>
      </c>
      <c r="F101" s="595" t="e">
        <f>+'Unit Cost Summary'!G100</f>
        <v>#REF!</v>
      </c>
      <c r="G101" s="617" t="e">
        <f>+F101-E101</f>
        <v>#REF!</v>
      </c>
    </row>
    <row r="102" spans="1:7">
      <c r="A102" s="130" t="s">
        <v>1606</v>
      </c>
      <c r="B102" s="618"/>
      <c r="C102" s="619"/>
      <c r="D102" s="619"/>
      <c r="E102" s="595">
        <v>0</v>
      </c>
      <c r="F102" s="595">
        <f>+'Unit Cost Summary'!G101</f>
        <v>0</v>
      </c>
      <c r="G102" s="617">
        <f>+F102-E102</f>
        <v>0</v>
      </c>
    </row>
    <row r="103" spans="1:7" ht="15.6" thickBot="1">
      <c r="B103" s="626"/>
      <c r="C103" s="627"/>
      <c r="D103" s="627"/>
      <c r="E103" s="598"/>
      <c r="F103" s="598"/>
      <c r="G103" s="650"/>
    </row>
    <row r="104" spans="1:7" ht="20.100000000000001" customHeight="1" thickBot="1">
      <c r="B104" s="651"/>
      <c r="C104" s="652" t="s">
        <v>755</v>
      </c>
      <c r="D104" s="653"/>
      <c r="E104" s="602">
        <f>SUM(E101:E103)</f>
        <v>450000000</v>
      </c>
      <c r="F104" s="602" t="e">
        <f>SUM(F101:F103)</f>
        <v>#REF!</v>
      </c>
      <c r="G104" s="602" t="e">
        <f>SUM(G101:G103)</f>
        <v>#REF!</v>
      </c>
    </row>
  </sheetData>
  <sheetProtection password="D94C" sheet="1" objects="1" scenarios="1"/>
  <mergeCells count="5">
    <mergeCell ref="B79:G79"/>
    <mergeCell ref="C7:D7"/>
    <mergeCell ref="B1:G1"/>
    <mergeCell ref="B3:D4"/>
    <mergeCell ref="E3:G3"/>
  </mergeCells>
  <phoneticPr fontId="53" type="noConversion"/>
  <printOptions horizontalCentered="1"/>
  <pageMargins left="0.5" right="0.5" top="0.94" bottom="1" header="0.69" footer="0.5"/>
  <pageSetup paperSize="3" scale="92" fitToHeight="2" orientation="portrait" r:id="rId1"/>
  <headerFooter alignWithMargins="0">
    <oddHeader>&amp;R&amp;10Print Date: &amp;D</oddHeader>
    <oddFooter>&amp;L&amp;6&amp;F&amp;A
5486-CZR-P0201&amp;C&amp;G&amp;R&amp;"Arial MT,Bold"&amp;10Confidential&amp;"Arial MT,Regular"
Page &amp;P of &amp;N</oddFooter>
  </headerFooter>
  <rowBreaks count="1" manualBreakCount="1">
    <brk id="77" min="1" max="6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topLeftCell="A16" zoomScale="75" zoomScaleNormal="80" workbookViewId="0">
      <selection activeCell="A29" sqref="A29"/>
    </sheetView>
  </sheetViews>
  <sheetFormatPr defaultRowHeight="15"/>
  <cols>
    <col min="1" max="1" width="11.08984375" customWidth="1"/>
    <col min="2" max="2" width="12.1796875" bestFit="1" customWidth="1"/>
    <col min="3" max="4" width="11.1796875" bestFit="1" customWidth="1"/>
    <col min="5" max="5" width="12.1796875" bestFit="1" customWidth="1"/>
    <col min="6" max="6" width="11.1796875" bestFit="1" customWidth="1"/>
    <col min="7" max="9" width="12.1796875" bestFit="1" customWidth="1"/>
    <col min="10" max="12" width="11.1796875" customWidth="1"/>
    <col min="13" max="13" width="12.1796875" customWidth="1"/>
    <col min="14" max="14" width="12.453125" customWidth="1"/>
    <col min="15" max="15" width="10.1796875" bestFit="1" customWidth="1"/>
    <col min="16" max="16" width="12.6328125" bestFit="1" customWidth="1"/>
    <col min="17" max="17" width="10.1796875" bestFit="1" customWidth="1"/>
    <col min="18" max="18" width="11.1796875" bestFit="1" customWidth="1"/>
    <col min="19" max="19" width="10.1796875" bestFit="1" customWidth="1"/>
    <col min="20" max="20" width="10.1796875" customWidth="1"/>
    <col min="21" max="24" width="10.1796875" bestFit="1" customWidth="1"/>
    <col min="25" max="25" width="10.1796875" customWidth="1"/>
    <col min="26" max="26" width="11.1796875" bestFit="1" customWidth="1"/>
    <col min="27" max="32" width="10.1796875" bestFit="1" customWidth="1"/>
    <col min="33" max="33" width="11.1796875" bestFit="1" customWidth="1"/>
  </cols>
  <sheetData>
    <row r="1" spans="1:13">
      <c r="A1" t="s">
        <v>268</v>
      </c>
    </row>
    <row r="3" spans="1:13">
      <c r="A3" s="540" t="s">
        <v>267</v>
      </c>
      <c r="B3" s="540" t="s">
        <v>266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8"/>
    </row>
    <row r="4" spans="1:13">
      <c r="A4" s="539"/>
      <c r="B4" s="542" t="s">
        <v>1305</v>
      </c>
      <c r="C4" s="580" t="s">
        <v>1306</v>
      </c>
      <c r="D4" s="580" t="s">
        <v>1307</v>
      </c>
      <c r="E4" s="580" t="s">
        <v>1308</v>
      </c>
      <c r="F4" s="580" t="s">
        <v>1309</v>
      </c>
      <c r="G4" s="580" t="s">
        <v>1310</v>
      </c>
      <c r="H4" s="580" t="s">
        <v>1298</v>
      </c>
      <c r="I4" s="580" t="s">
        <v>1299</v>
      </c>
      <c r="J4" s="580" t="s">
        <v>1300</v>
      </c>
      <c r="K4" s="580" t="s">
        <v>1301</v>
      </c>
      <c r="L4" s="580" t="s">
        <v>1302</v>
      </c>
      <c r="M4" s="545" t="s">
        <v>264</v>
      </c>
    </row>
    <row r="5" spans="1:13">
      <c r="A5" s="541" t="s">
        <v>1372</v>
      </c>
      <c r="B5" s="703">
        <v>42114250</v>
      </c>
      <c r="C5" s="704">
        <v>431250</v>
      </c>
      <c r="D5" s="704">
        <v>13545280.5</v>
      </c>
      <c r="E5" s="704">
        <v>8596314</v>
      </c>
      <c r="F5" s="704">
        <v>74559628.900000006</v>
      </c>
      <c r="G5" s="704">
        <v>9705836</v>
      </c>
      <c r="H5" s="704">
        <v>6150930.5300000003</v>
      </c>
      <c r="I5" s="704">
        <v>5594906.75</v>
      </c>
      <c r="J5" s="704">
        <v>100000</v>
      </c>
      <c r="K5" s="704">
        <v>6189200</v>
      </c>
      <c r="L5" s="704">
        <v>3710000</v>
      </c>
      <c r="M5" s="705">
        <v>170697596.68000001</v>
      </c>
    </row>
    <row r="7" spans="1:13">
      <c r="A7" t="s">
        <v>269</v>
      </c>
    </row>
    <row r="9" spans="1:13">
      <c r="A9" s="540" t="s">
        <v>267</v>
      </c>
      <c r="B9" s="540" t="s">
        <v>266</v>
      </c>
      <c r="C9" s="538"/>
    </row>
    <row r="10" spans="1:13">
      <c r="A10" s="539"/>
      <c r="B10" s="542" t="s">
        <v>1302</v>
      </c>
      <c r="C10" s="545" t="s">
        <v>264</v>
      </c>
    </row>
    <row r="11" spans="1:13">
      <c r="A11" s="541" t="s">
        <v>1372</v>
      </c>
      <c r="B11" s="703">
        <v>9573710</v>
      </c>
      <c r="C11" s="705">
        <v>9573710</v>
      </c>
    </row>
    <row r="12" spans="1:13">
      <c r="A12" s="19"/>
      <c r="B12" s="529"/>
      <c r="C12" s="529"/>
      <c r="D12" s="529"/>
      <c r="E12" s="529"/>
      <c r="F12" s="529"/>
      <c r="G12" s="529"/>
      <c r="H12" s="529"/>
      <c r="I12" s="529"/>
      <c r="J12" s="529"/>
      <c r="K12" s="529"/>
      <c r="L12" s="529"/>
    </row>
    <row r="13" spans="1:13">
      <c r="A13" t="s">
        <v>270</v>
      </c>
    </row>
    <row r="15" spans="1:13">
      <c r="A15" s="540" t="s">
        <v>267</v>
      </c>
      <c r="B15" s="540" t="s">
        <v>266</v>
      </c>
      <c r="C15" s="537"/>
      <c r="D15" s="537"/>
      <c r="E15" s="537"/>
      <c r="F15" s="537"/>
      <c r="G15" s="537"/>
      <c r="H15" s="537"/>
      <c r="I15" s="538"/>
    </row>
    <row r="16" spans="1:13">
      <c r="A16" s="539"/>
      <c r="B16" s="542" t="s">
        <v>1305</v>
      </c>
      <c r="C16" s="580" t="s">
        <v>1306</v>
      </c>
      <c r="D16" s="580" t="s">
        <v>1307</v>
      </c>
      <c r="E16" s="580" t="s">
        <v>1308</v>
      </c>
      <c r="F16" s="580" t="s">
        <v>1309</v>
      </c>
      <c r="G16" s="580" t="s">
        <v>1310</v>
      </c>
      <c r="H16" s="580" t="s">
        <v>1311</v>
      </c>
      <c r="I16" s="545" t="s">
        <v>264</v>
      </c>
    </row>
    <row r="17" spans="1:13">
      <c r="A17" s="541" t="s">
        <v>1372</v>
      </c>
      <c r="B17" s="703">
        <v>22757887.150462829</v>
      </c>
      <c r="C17" s="704">
        <v>171773.47332634145</v>
      </c>
      <c r="D17" s="704">
        <v>9680468.8282942157</v>
      </c>
      <c r="E17" s="704">
        <v>1940826.2454292541</v>
      </c>
      <c r="F17" s="704">
        <v>90551613.251633212</v>
      </c>
      <c r="G17" s="704">
        <v>16400923.352091145</v>
      </c>
      <c r="H17" s="704">
        <v>2089013.2129402224</v>
      </c>
      <c r="I17" s="705">
        <v>143592505.5141772</v>
      </c>
    </row>
    <row r="18" spans="1:13">
      <c r="A18" s="19"/>
      <c r="B18" s="529"/>
      <c r="C18" s="529"/>
    </row>
    <row r="19" spans="1:13">
      <c r="A19" t="s">
        <v>1277</v>
      </c>
    </row>
    <row r="21" spans="1:13">
      <c r="A21" s="540" t="s">
        <v>267</v>
      </c>
      <c r="B21" s="540" t="s">
        <v>266</v>
      </c>
      <c r="C21" s="537"/>
      <c r="D21" s="537"/>
      <c r="E21" s="537"/>
      <c r="F21" s="537"/>
      <c r="G21" s="537"/>
      <c r="H21" s="538"/>
    </row>
    <row r="22" spans="1:13">
      <c r="A22" s="539"/>
      <c r="B22" s="542" t="s">
        <v>1306</v>
      </c>
      <c r="C22" s="580" t="s">
        <v>1307</v>
      </c>
      <c r="D22" s="580" t="s">
        <v>1308</v>
      </c>
      <c r="E22" s="580" t="s">
        <v>1309</v>
      </c>
      <c r="F22" s="580" t="s">
        <v>1310</v>
      </c>
      <c r="G22" s="580" t="s">
        <v>1302</v>
      </c>
      <c r="H22" s="545" t="s">
        <v>264</v>
      </c>
    </row>
    <row r="23" spans="1:13">
      <c r="A23" s="541" t="s">
        <v>1372</v>
      </c>
      <c r="B23" s="703">
        <v>32000000</v>
      </c>
      <c r="C23" s="704">
        <v>200000</v>
      </c>
      <c r="D23" s="704">
        <v>16582709</v>
      </c>
      <c r="E23" s="704">
        <v>2663400</v>
      </c>
      <c r="F23" s="704">
        <v>1270000</v>
      </c>
      <c r="G23" s="704">
        <v>2475000</v>
      </c>
      <c r="H23" s="705">
        <v>55191109</v>
      </c>
    </row>
    <row r="24" spans="1:13">
      <c r="H24" s="31"/>
    </row>
    <row r="26" spans="1:13">
      <c r="A26" t="s">
        <v>1278</v>
      </c>
    </row>
    <row r="27" spans="1:13" s="38" customFormat="1">
      <c r="A27" s="546" t="s">
        <v>272</v>
      </c>
      <c r="B27" s="546" t="s">
        <v>273</v>
      </c>
      <c r="C27" s="546" t="s">
        <v>274</v>
      </c>
      <c r="D27" s="546" t="s">
        <v>1267</v>
      </c>
      <c r="E27" s="546" t="s">
        <v>1268</v>
      </c>
      <c r="F27" s="546" t="s">
        <v>1269</v>
      </c>
      <c r="G27" s="546" t="s">
        <v>1270</v>
      </c>
      <c r="H27" s="546" t="s">
        <v>1271</v>
      </c>
      <c r="I27" s="546" t="s">
        <v>1272</v>
      </c>
      <c r="J27" s="546" t="s">
        <v>1273</v>
      </c>
      <c r="K27" s="546" t="s">
        <v>1274</v>
      </c>
      <c r="L27" s="546" t="s">
        <v>1275</v>
      </c>
      <c r="M27" s="546" t="s">
        <v>264</v>
      </c>
    </row>
    <row r="28" spans="1:13" s="40" customFormat="1">
      <c r="A28" s="547" t="e">
        <f>+GETPIVOTDATA("$$",$A$15,"CODE","C3")+GETPIVOTDATA("$$",$A$3,"CODE","C3")</f>
        <v>#REF!</v>
      </c>
      <c r="B28" s="547" t="e">
        <f>+GETPIVOTDATA("$$",$A$21,"CODE","C4")+GETPIVOTDATA("$$",$A$15,"CODE","C4")+GETPIVOTDATA("$$",$A$3,"CODE","C4")</f>
        <v>#REF!</v>
      </c>
      <c r="C28" s="547" t="e">
        <f>+GETPIVOTDATA("$$",$A$21,"CODE","C5")+GETPIVOTDATA("$$",$A$15,"CODE","C5")+GETPIVOTDATA("$$",$A$3,"CODE","C5")</f>
        <v>#REF!</v>
      </c>
      <c r="D28" s="547" t="e">
        <f>+GETPIVOTDATA("$$",$A$21,"CODE","C6")+GETPIVOTDATA("$$",$A$15,"CODE","C6")+GETPIVOTDATA("$$",$A$3,"CODE","C6")</f>
        <v>#REF!</v>
      </c>
      <c r="E28" s="547" t="e">
        <f>+GETPIVOTDATA("$$",$A$21,"CODE","C7")+GETPIVOTDATA("$$",$A$15,"CODE","C7")+GETPIVOTDATA("$$",$A$3,"CODE","C7")</f>
        <v>#REF!</v>
      </c>
      <c r="F28" s="547" t="e">
        <f>+GETPIVOTDATA("$$",$A$21,"CODE","C8")+GETPIVOTDATA("$$",$A$15,"CODE","C8")+GETPIVOTDATA("$$",$A$3,"CODE","C8")</f>
        <v>#REF!</v>
      </c>
      <c r="G28" s="547" t="e">
        <f>+GETPIVOTDATA("$$",$A$15,"CODE","C9")</f>
        <v>#REF!</v>
      </c>
      <c r="H28" s="547" t="e">
        <f>+GETPIVOTDATA("$$",$A$3,"CODE","P2")</f>
        <v>#REF!</v>
      </c>
      <c r="I28" s="547" t="e">
        <f>+GETPIVOTDATA("$$",$A$3,"CODE","P3")</f>
        <v>#REF!</v>
      </c>
      <c r="J28" s="547" t="e">
        <f>+GETPIVOTDATA("$$",$A$3,"CODE","P4")</f>
        <v>#REF!</v>
      </c>
      <c r="K28" s="547" t="e">
        <f>+GETPIVOTDATA("$$",$A$3,"CODE","P5")</f>
        <v>#REF!</v>
      </c>
      <c r="L28" s="547" t="e">
        <f>+GETPIVOTDATA("$$",$A$21,"CODE","P6")+GETPIVOTDATA("$$",$A$9,"CODE","P6")+GETPIVOTDATA("$$",$A$3,"CODE","P6")</f>
        <v>#REF!</v>
      </c>
      <c r="M28" s="547" t="e">
        <f>SUM(A28:L28)</f>
        <v>#REF!</v>
      </c>
    </row>
    <row r="29" spans="1:13">
      <c r="A29" s="548"/>
      <c r="B29" s="548"/>
      <c r="C29" s="548"/>
      <c r="D29" s="548"/>
      <c r="E29" s="548"/>
      <c r="F29" s="548"/>
      <c r="G29" s="548"/>
      <c r="H29" s="548"/>
      <c r="I29" s="548"/>
      <c r="J29" s="548"/>
      <c r="K29" s="548"/>
      <c r="L29" s="546" t="s">
        <v>1276</v>
      </c>
      <c r="M29" s="554"/>
    </row>
    <row r="31" spans="1:13">
      <c r="L31" s="40"/>
    </row>
    <row r="32" spans="1:13">
      <c r="L32" s="31"/>
    </row>
    <row r="33" spans="1:11">
      <c r="A33" t="s">
        <v>1279</v>
      </c>
    </row>
    <row r="35" spans="1:11">
      <c r="A35" s="540" t="s">
        <v>267</v>
      </c>
      <c r="B35" s="540" t="s">
        <v>266</v>
      </c>
      <c r="C35" s="537"/>
      <c r="D35" s="537"/>
      <c r="E35" s="538"/>
    </row>
    <row r="36" spans="1:11">
      <c r="A36" s="539"/>
      <c r="B36" s="581" t="s">
        <v>1303</v>
      </c>
      <c r="C36" s="582" t="s">
        <v>1304</v>
      </c>
      <c r="D36" s="582" t="s">
        <v>1297</v>
      </c>
      <c r="E36" s="583" t="s">
        <v>264</v>
      </c>
    </row>
    <row r="37" spans="1:11">
      <c r="A37" s="541" t="s">
        <v>1372</v>
      </c>
      <c r="B37" s="578">
        <v>225517500</v>
      </c>
      <c r="C37" s="579">
        <v>90155744.75</v>
      </c>
      <c r="D37" s="579">
        <v>63975000</v>
      </c>
      <c r="E37" s="543">
        <v>379648244.75</v>
      </c>
    </row>
    <row r="40" spans="1:11">
      <c r="A40" t="s">
        <v>1280</v>
      </c>
    </row>
    <row r="42" spans="1:11">
      <c r="A42" s="540" t="s">
        <v>267</v>
      </c>
      <c r="B42" s="540" t="s">
        <v>266</v>
      </c>
      <c r="C42" s="537"/>
      <c r="D42" s="537"/>
      <c r="E42" s="537"/>
      <c r="F42" s="537"/>
      <c r="G42" s="537"/>
      <c r="H42" s="537"/>
      <c r="I42" s="537"/>
      <c r="J42" s="537"/>
      <c r="K42" s="538"/>
    </row>
    <row r="43" spans="1:11">
      <c r="A43" s="539"/>
      <c r="B43" s="542" t="s">
        <v>1304</v>
      </c>
      <c r="C43" s="580" t="s">
        <v>1309</v>
      </c>
      <c r="D43" s="580" t="s">
        <v>1310</v>
      </c>
      <c r="E43" s="580" t="s">
        <v>1311</v>
      </c>
      <c r="F43" s="580" t="s">
        <v>1297</v>
      </c>
      <c r="G43" s="580" t="s">
        <v>1298</v>
      </c>
      <c r="H43" s="580" t="s">
        <v>1299</v>
      </c>
      <c r="I43" s="580" t="s">
        <v>1300</v>
      </c>
      <c r="J43" s="580" t="s">
        <v>1302</v>
      </c>
      <c r="K43" s="545" t="s">
        <v>264</v>
      </c>
    </row>
    <row r="44" spans="1:11">
      <c r="A44" s="541" t="s">
        <v>1372</v>
      </c>
      <c r="B44" s="703">
        <v>130720</v>
      </c>
      <c r="C44" s="704">
        <v>33525239.399999999</v>
      </c>
      <c r="D44" s="704">
        <v>76794455.377166659</v>
      </c>
      <c r="E44" s="704">
        <v>21438610.5436</v>
      </c>
      <c r="F44" s="704">
        <v>12846360</v>
      </c>
      <c r="G44" s="704">
        <v>28850000</v>
      </c>
      <c r="H44" s="704">
        <v>24455298.100000001</v>
      </c>
      <c r="I44" s="704">
        <v>8698332</v>
      </c>
      <c r="J44" s="704">
        <v>415600</v>
      </c>
      <c r="K44" s="705">
        <v>207154615.42076665</v>
      </c>
    </row>
    <row r="47" spans="1:11">
      <c r="A47" t="s">
        <v>1654</v>
      </c>
    </row>
    <row r="49" spans="1:13">
      <c r="A49" s="540" t="s">
        <v>267</v>
      </c>
      <c r="B49" s="540" t="s">
        <v>266</v>
      </c>
      <c r="C49" s="537"/>
      <c r="D49" s="537"/>
      <c r="E49" s="537"/>
      <c r="F49" s="537"/>
      <c r="G49" s="537"/>
      <c r="H49" s="538"/>
    </row>
    <row r="50" spans="1:13">
      <c r="A50" s="539"/>
      <c r="B50" s="542" t="s">
        <v>1303</v>
      </c>
      <c r="C50" s="580" t="s">
        <v>1304</v>
      </c>
      <c r="D50" s="580" t="s">
        <v>1309</v>
      </c>
      <c r="E50" s="580" t="s">
        <v>1310</v>
      </c>
      <c r="F50" s="580" t="s">
        <v>1311</v>
      </c>
      <c r="G50" s="580" t="s">
        <v>1302</v>
      </c>
      <c r="H50" s="545" t="s">
        <v>264</v>
      </c>
    </row>
    <row r="51" spans="1:13">
      <c r="A51" s="541" t="s">
        <v>1372</v>
      </c>
      <c r="B51" s="703">
        <v>98556674.228728771</v>
      </c>
      <c r="C51" s="704">
        <v>31553356.077199124</v>
      </c>
      <c r="D51" s="704">
        <v>33200073.835770752</v>
      </c>
      <c r="E51" s="704">
        <v>86833041.931471929</v>
      </c>
      <c r="F51" s="704">
        <v>43718023.93266283</v>
      </c>
      <c r="G51" s="704">
        <v>104670.36697552941</v>
      </c>
      <c r="H51" s="705">
        <v>293965840.37280899</v>
      </c>
    </row>
    <row r="52" spans="1:13">
      <c r="A52" s="19"/>
      <c r="B52" s="706"/>
      <c r="C52" s="706"/>
      <c r="D52" s="706"/>
      <c r="E52" s="706"/>
      <c r="F52" s="706"/>
      <c r="G52" s="706"/>
      <c r="H52" s="706"/>
      <c r="I52" s="706"/>
    </row>
    <row r="54" spans="1:13">
      <c r="A54" t="s">
        <v>308</v>
      </c>
    </row>
    <row r="56" spans="1:13">
      <c r="A56" s="540" t="s">
        <v>267</v>
      </c>
      <c r="B56" s="540" t="s">
        <v>266</v>
      </c>
      <c r="C56" s="537"/>
      <c r="D56" s="538"/>
    </row>
    <row r="57" spans="1:13">
      <c r="A57" s="539"/>
      <c r="B57" s="542" t="s">
        <v>1308</v>
      </c>
      <c r="C57" s="580" t="s">
        <v>1310</v>
      </c>
      <c r="D57" s="545" t="s">
        <v>264</v>
      </c>
    </row>
    <row r="58" spans="1:13">
      <c r="A58" s="541" t="s">
        <v>1372</v>
      </c>
      <c r="B58" s="703">
        <v>5725000</v>
      </c>
      <c r="C58" s="704">
        <v>14965500</v>
      </c>
      <c r="D58" s="705">
        <v>20690500</v>
      </c>
    </row>
    <row r="61" spans="1:13">
      <c r="A61" t="s">
        <v>309</v>
      </c>
    </row>
    <row r="62" spans="1:13">
      <c r="A62" s="546" t="s">
        <v>311</v>
      </c>
      <c r="B62" s="546" t="s">
        <v>310</v>
      </c>
      <c r="C62" s="546" t="s">
        <v>1267</v>
      </c>
      <c r="D62" s="546" t="s">
        <v>1268</v>
      </c>
      <c r="E62" s="546" t="s">
        <v>1269</v>
      </c>
      <c r="F62" s="546" t="s">
        <v>1270</v>
      </c>
      <c r="G62" s="546" t="s">
        <v>312</v>
      </c>
      <c r="H62" s="546" t="s">
        <v>1271</v>
      </c>
      <c r="I62" s="546" t="s">
        <v>1272</v>
      </c>
      <c r="J62" s="546" t="s">
        <v>1273</v>
      </c>
      <c r="K62" s="546" t="s">
        <v>1275</v>
      </c>
      <c r="L62" s="546" t="s">
        <v>264</v>
      </c>
      <c r="M62" s="550"/>
    </row>
    <row r="63" spans="1:13">
      <c r="A63" s="547" t="e">
        <f>+GETPIVOTDATA("$$",$A$49,"CODE","C1")+GETPIVOTDATA("$$",$A$35,"CODE","C1")</f>
        <v>#REF!</v>
      </c>
      <c r="B63" s="547" t="e">
        <f>+GETPIVOTDATA("$$",$A$49,"CODE","C2")+GETPIVOTDATA("$$",$A$42,"CODE","C2")+GETPIVOTDATA("$$",$A$35,"CODE","C2")</f>
        <v>#REF!</v>
      </c>
      <c r="C63" s="547" t="e">
        <f>+GETPIVOTDATA("$$",$A$56,"CODE","C6")</f>
        <v>#REF!</v>
      </c>
      <c r="D63" s="547" t="e">
        <f>+GETPIVOTDATA("$$",$A$49,"CODE","C7")+GETPIVOTDATA("$$",$A$42,"CODE","C7")</f>
        <v>#REF!</v>
      </c>
      <c r="E63" s="547" t="e">
        <f>+GETPIVOTDATA("$$",$A$56,"CODE","C8")+GETPIVOTDATA("$$",$A$49,"CODE","C8")+GETPIVOTDATA("$$",$A$42,"CODE","C8")</f>
        <v>#REF!</v>
      </c>
      <c r="F63" s="547" t="e">
        <f>+GETPIVOTDATA("$$",$A$49,"CODE","C9")+GETPIVOTDATA("$$",$A$42,"CODE","C9")</f>
        <v>#REF!</v>
      </c>
      <c r="G63" s="547" t="e">
        <f>+GETPIVOTDATA("$$",$A$42,"CODE","P1")+GETPIVOTDATA("$$",$A$35,"CODE","P1")</f>
        <v>#REF!</v>
      </c>
      <c r="H63" s="547" t="e">
        <f>+GETPIVOTDATA("$$",$A$42,"CODE","P2")</f>
        <v>#REF!</v>
      </c>
      <c r="I63" s="547" t="e">
        <f>+GETPIVOTDATA("$$",$A$42,"CODE","P3")</f>
        <v>#REF!</v>
      </c>
      <c r="J63" s="547" t="e">
        <f>+GETPIVOTDATA("$$",$A$42,"CODE","P4")</f>
        <v>#REF!</v>
      </c>
      <c r="K63" s="556" t="e">
        <f>+GETPIVOTDATA("$$",$A$49,"CODE","P6")+GETPIVOTDATA("$$",$A$42,"CODE","P6")</f>
        <v>#REF!</v>
      </c>
      <c r="L63" s="547" t="e">
        <f>SUM(A63:K63)</f>
        <v>#REF!</v>
      </c>
      <c r="M63" s="529"/>
    </row>
    <row r="64" spans="1:13">
      <c r="A64" s="548"/>
      <c r="B64" s="548"/>
      <c r="C64" s="548"/>
      <c r="D64" s="548"/>
      <c r="E64" s="548"/>
      <c r="F64" s="548"/>
      <c r="G64" s="548"/>
      <c r="H64" s="548"/>
      <c r="I64" s="548"/>
      <c r="J64" s="548" t="s">
        <v>1276</v>
      </c>
      <c r="K64" s="554" t="e">
        <f>+L63-'Unit Sort Codes'!AD957</f>
        <v>#REF!</v>
      </c>
      <c r="L64" s="19"/>
      <c r="M64" s="19"/>
    </row>
    <row r="65" spans="1:17">
      <c r="N65" s="550"/>
      <c r="O65" s="550"/>
      <c r="P65" s="550"/>
      <c r="Q65" s="550"/>
    </row>
    <row r="66" spans="1:17">
      <c r="N66" s="529"/>
      <c r="O66" s="529"/>
      <c r="P66" s="529"/>
      <c r="Q66" s="40"/>
    </row>
    <row r="67" spans="1:17" ht="15.6">
      <c r="A67" s="555" t="s">
        <v>1537</v>
      </c>
      <c r="N67" s="19"/>
      <c r="O67" s="551"/>
    </row>
    <row r="68" spans="1:17">
      <c r="A68" s="546" t="s">
        <v>311</v>
      </c>
      <c r="B68" s="546" t="s">
        <v>310</v>
      </c>
      <c r="C68" s="546" t="s">
        <v>272</v>
      </c>
      <c r="D68" s="546" t="s">
        <v>273</v>
      </c>
      <c r="E68" s="546" t="s">
        <v>274</v>
      </c>
      <c r="F68" s="546" t="s">
        <v>1267</v>
      </c>
      <c r="G68" s="546" t="s">
        <v>1268</v>
      </c>
      <c r="H68" s="546" t="s">
        <v>1269</v>
      </c>
      <c r="I68" s="546" t="s">
        <v>1270</v>
      </c>
      <c r="J68" s="546" t="s">
        <v>312</v>
      </c>
      <c r="K68" s="546" t="s">
        <v>1271</v>
      </c>
      <c r="L68" s="546" t="s">
        <v>1272</v>
      </c>
      <c r="M68" s="546" t="s">
        <v>1273</v>
      </c>
      <c r="N68" s="546" t="s">
        <v>1274</v>
      </c>
      <c r="O68" s="546" t="s">
        <v>1275</v>
      </c>
      <c r="P68" s="546" t="s">
        <v>264</v>
      </c>
    </row>
    <row r="69" spans="1:17">
      <c r="A69" s="556" t="e">
        <f>+A63</f>
        <v>#REF!</v>
      </c>
      <c r="B69" s="556" t="e">
        <f>+B63</f>
        <v>#REF!</v>
      </c>
      <c r="C69" s="556" t="e">
        <f>+A28</f>
        <v>#REF!</v>
      </c>
      <c r="D69" s="556" t="e">
        <f>+B28</f>
        <v>#REF!</v>
      </c>
      <c r="E69" s="556" t="e">
        <f>+C28</f>
        <v>#REF!</v>
      </c>
      <c r="F69" s="556" t="e">
        <f>+C63+D28</f>
        <v>#REF!</v>
      </c>
      <c r="G69" s="556" t="e">
        <f>+D63+E28</f>
        <v>#REF!</v>
      </c>
      <c r="H69" s="556" t="e">
        <f>+E63+F28</f>
        <v>#REF!</v>
      </c>
      <c r="I69" s="556" t="e">
        <f>+F63+G28</f>
        <v>#REF!</v>
      </c>
      <c r="J69" s="556" t="e">
        <f>+G63</f>
        <v>#REF!</v>
      </c>
      <c r="K69" s="556" t="e">
        <f>+H63+H28</f>
        <v>#REF!</v>
      </c>
      <c r="L69" s="556" t="e">
        <f>+I63+I28</f>
        <v>#REF!</v>
      </c>
      <c r="M69" s="556" t="e">
        <f>+J63+J28</f>
        <v>#REF!</v>
      </c>
      <c r="N69" s="547" t="e">
        <f>+K28</f>
        <v>#REF!</v>
      </c>
      <c r="O69" s="547" t="e">
        <f>+K63+L28</f>
        <v>#REF!</v>
      </c>
      <c r="P69" s="547" t="e">
        <f>SUM(A69:O69)</f>
        <v>#REF!</v>
      </c>
    </row>
    <row r="71" spans="1:17">
      <c r="N71" s="550"/>
      <c r="O71" s="550"/>
    </row>
    <row r="72" spans="1:17">
      <c r="A72" t="s">
        <v>1538</v>
      </c>
    </row>
    <row r="74" spans="1:17">
      <c r="A74" s="540" t="s">
        <v>267</v>
      </c>
      <c r="B74" s="540" t="s">
        <v>266</v>
      </c>
      <c r="C74" s="537"/>
      <c r="D74" s="537"/>
      <c r="E74" s="538"/>
    </row>
    <row r="75" spans="1:17">
      <c r="A75" s="539"/>
      <c r="B75" s="542" t="s">
        <v>1303</v>
      </c>
      <c r="C75" s="580" t="s">
        <v>1304</v>
      </c>
      <c r="D75" s="580" t="s">
        <v>1297</v>
      </c>
      <c r="E75" s="545" t="s">
        <v>264</v>
      </c>
    </row>
    <row r="76" spans="1:17">
      <c r="A76" s="541" t="s">
        <v>1372</v>
      </c>
      <c r="B76" s="703">
        <v>225517500</v>
      </c>
      <c r="C76" s="704">
        <v>90155744.75</v>
      </c>
      <c r="D76" s="704">
        <v>63975000</v>
      </c>
      <c r="E76" s="705">
        <v>379648244.75</v>
      </c>
    </row>
    <row r="77" spans="1:17">
      <c r="N77" s="707"/>
      <c r="O77" s="707"/>
      <c r="P77" s="707"/>
    </row>
    <row r="78" spans="1:17">
      <c r="N78" s="707"/>
      <c r="O78" s="707"/>
      <c r="P78" s="707"/>
    </row>
    <row r="79" spans="1:17">
      <c r="A79" t="s">
        <v>1539</v>
      </c>
    </row>
    <row r="81" spans="1:12">
      <c r="A81" s="540" t="s">
        <v>267</v>
      </c>
      <c r="B81" s="540" t="s">
        <v>266</v>
      </c>
      <c r="C81" s="537"/>
      <c r="D81" s="537"/>
      <c r="E81" s="537"/>
      <c r="F81" s="537"/>
      <c r="G81" s="537"/>
      <c r="H81" s="537"/>
      <c r="I81" s="537"/>
      <c r="J81" s="537"/>
      <c r="K81" s="537"/>
      <c r="L81" s="538"/>
    </row>
    <row r="82" spans="1:12">
      <c r="A82" s="539"/>
      <c r="B82" s="542" t="s">
        <v>1304</v>
      </c>
      <c r="C82" s="580" t="s">
        <v>1309</v>
      </c>
      <c r="D82" s="580" t="s">
        <v>1310</v>
      </c>
      <c r="E82" s="580" t="s">
        <v>1311</v>
      </c>
      <c r="F82" s="580" t="s">
        <v>1297</v>
      </c>
      <c r="G82" s="580" t="s">
        <v>1298</v>
      </c>
      <c r="H82" s="580" t="s">
        <v>1299</v>
      </c>
      <c r="I82" s="580" t="s">
        <v>1300</v>
      </c>
      <c r="J82" s="580" t="s">
        <v>1301</v>
      </c>
      <c r="K82" s="580" t="s">
        <v>1302</v>
      </c>
      <c r="L82" s="545" t="s">
        <v>264</v>
      </c>
    </row>
    <row r="83" spans="1:12">
      <c r="A83" s="541" t="s">
        <v>1372</v>
      </c>
      <c r="B83" s="703">
        <v>73400</v>
      </c>
      <c r="C83" s="704">
        <v>33516230.399999999</v>
      </c>
      <c r="D83" s="704">
        <v>75852998.03216666</v>
      </c>
      <c r="E83" s="704">
        <v>15042966.950699998</v>
      </c>
      <c r="F83" s="704">
        <v>12846360</v>
      </c>
      <c r="G83" s="704">
        <v>30585040</v>
      </c>
      <c r="H83" s="704">
        <v>23216135.399999999</v>
      </c>
      <c r="I83" s="704">
        <v>5098332</v>
      </c>
      <c r="J83" s="704">
        <v>152450</v>
      </c>
      <c r="K83" s="704">
        <v>285600</v>
      </c>
      <c r="L83" s="705">
        <v>196669512.78286669</v>
      </c>
    </row>
    <row r="86" spans="1:12">
      <c r="A86" t="s">
        <v>1540</v>
      </c>
    </row>
    <row r="88" spans="1:12">
      <c r="A88" s="540" t="s">
        <v>267</v>
      </c>
      <c r="B88" s="540" t="s">
        <v>266</v>
      </c>
      <c r="C88" s="537"/>
      <c r="D88" s="537"/>
      <c r="E88" s="537"/>
      <c r="F88" s="537"/>
      <c r="G88" s="538"/>
    </row>
    <row r="89" spans="1:12">
      <c r="A89" s="539"/>
      <c r="B89" s="542" t="s">
        <v>1303</v>
      </c>
      <c r="C89" s="580" t="s">
        <v>1304</v>
      </c>
      <c r="D89" s="580" t="s">
        <v>1309</v>
      </c>
      <c r="E89" s="580" t="s">
        <v>1310</v>
      </c>
      <c r="F89" s="580" t="s">
        <v>1311</v>
      </c>
      <c r="G89" s="545" t="s">
        <v>264</v>
      </c>
    </row>
    <row r="90" spans="1:12">
      <c r="A90" s="541" t="s">
        <v>1372</v>
      </c>
      <c r="B90" s="703">
        <v>98556674.228728771</v>
      </c>
      <c r="C90" s="704">
        <v>31653266.54251799</v>
      </c>
      <c r="D90" s="704">
        <v>33086827.789368283</v>
      </c>
      <c r="E90" s="704">
        <v>82627780.812434152</v>
      </c>
      <c r="F90" s="704">
        <v>32067616.867237438</v>
      </c>
      <c r="G90" s="705">
        <v>277992166.24028665</v>
      </c>
    </row>
    <row r="93" spans="1:12">
      <c r="A93" t="s">
        <v>1544</v>
      </c>
    </row>
    <row r="95" spans="1:12">
      <c r="A95" s="540" t="s">
        <v>267</v>
      </c>
      <c r="B95" s="540" t="s">
        <v>266</v>
      </c>
      <c r="C95" s="537"/>
      <c r="D95" s="538"/>
    </row>
    <row r="96" spans="1:12">
      <c r="A96" s="539"/>
      <c r="B96" s="542" t="s">
        <v>1310</v>
      </c>
      <c r="C96" s="580" t="s">
        <v>1302</v>
      </c>
      <c r="D96" s="545" t="s">
        <v>264</v>
      </c>
    </row>
    <row r="97" spans="1:12">
      <c r="A97" s="541" t="s">
        <v>1372</v>
      </c>
      <c r="B97" s="703">
        <v>13715500</v>
      </c>
      <c r="C97" s="704">
        <v>5725000</v>
      </c>
      <c r="D97" s="705">
        <v>19440500</v>
      </c>
    </row>
    <row r="100" spans="1:12" ht="15.6">
      <c r="A100" s="555" t="s">
        <v>1858</v>
      </c>
    </row>
    <row r="101" spans="1:12">
      <c r="A101" s="546" t="s">
        <v>311</v>
      </c>
      <c r="B101" s="546" t="s">
        <v>310</v>
      </c>
      <c r="C101" s="546" t="s">
        <v>1268</v>
      </c>
      <c r="D101" s="546" t="s">
        <v>1269</v>
      </c>
      <c r="E101" s="546" t="s">
        <v>1270</v>
      </c>
      <c r="F101" s="546" t="s">
        <v>312</v>
      </c>
      <c r="G101" s="546" t="s">
        <v>1271</v>
      </c>
      <c r="H101" s="546" t="s">
        <v>1272</v>
      </c>
      <c r="I101" s="546" t="s">
        <v>1273</v>
      </c>
      <c r="J101" s="546" t="s">
        <v>1274</v>
      </c>
      <c r="K101" s="546" t="s">
        <v>1275</v>
      </c>
      <c r="L101" s="546" t="s">
        <v>264</v>
      </c>
    </row>
    <row r="102" spans="1:12">
      <c r="A102" s="556" t="e">
        <f>+GETPIVOTDATA("$$",$A$88,"CODE","C1")+GETPIVOTDATA("$$",$A$74,"CODE","C1")</f>
        <v>#REF!</v>
      </c>
      <c r="B102" s="556" t="e">
        <f>+GETPIVOTDATA("$$",$A$88,"CODE","C2")+GETPIVOTDATA("$$",$A$81,"CODE","C2")+GETPIVOTDATA("$$",$A$74,"CODE","C2")</f>
        <v>#REF!</v>
      </c>
      <c r="C102" s="556" t="e">
        <f>+GETPIVOTDATA("$$",$A$88,"CODE","C7")+GETPIVOTDATA("$$",$A$81,"CODE","C7")</f>
        <v>#REF!</v>
      </c>
      <c r="D102" s="556" t="e">
        <f>+GETPIVOTDATA("$$",$A$95,"CODE","C8")+GETPIVOTDATA("$$",$A$88,"CODE","C8")+GETPIVOTDATA("$$",$A$81,"CODE","C8")</f>
        <v>#REF!</v>
      </c>
      <c r="E102" s="556" t="e">
        <f>+GETPIVOTDATA("$$",$A$88,"CODE","C9")+GETPIVOTDATA("$$",$A$81,"CODE","C9")</f>
        <v>#REF!</v>
      </c>
      <c r="F102" s="556" t="e">
        <f>+GETPIVOTDATA("$$",$A$81,"CODE","P1")+GETPIVOTDATA("$$",$A$74,"CODE","P1")</f>
        <v>#REF!</v>
      </c>
      <c r="G102" s="556" t="e">
        <f>+GETPIVOTDATA("$$",$A$81,"CODE","P2")</f>
        <v>#REF!</v>
      </c>
      <c r="H102" s="556" t="e">
        <f>+GETPIVOTDATA("$$",$A$81,"CODE","P3")</f>
        <v>#REF!</v>
      </c>
      <c r="I102" s="556" t="e">
        <f>+GETPIVOTDATA("$$",$A$81,"CODE","P4")</f>
        <v>#REF!</v>
      </c>
      <c r="J102" s="556" t="e">
        <f>+GETPIVOTDATA("$$",$A$81,"CODE","P5")</f>
        <v>#REF!</v>
      </c>
      <c r="K102" s="556" t="e">
        <f>+GETPIVOTDATA("$$",$A$95,"CODE","P6")+GETPIVOTDATA("$$",$A$81,"CODE","P6")</f>
        <v>#REF!</v>
      </c>
      <c r="L102" s="556" t="e">
        <f>SUM(A102:K102)</f>
        <v>#REF!</v>
      </c>
    </row>
    <row r="103" spans="1:12">
      <c r="A103" s="557"/>
      <c r="B103" s="557"/>
      <c r="C103" s="557"/>
      <c r="D103" s="557"/>
      <c r="E103" s="557"/>
      <c r="F103" s="557"/>
      <c r="G103" s="557"/>
      <c r="H103" s="557"/>
      <c r="I103" s="557"/>
      <c r="J103" s="558"/>
      <c r="K103" s="557"/>
      <c r="L103" s="559"/>
    </row>
    <row r="104" spans="1:12">
      <c r="A104" s="550"/>
      <c r="B104" s="550"/>
      <c r="C104" s="550"/>
      <c r="D104" s="550"/>
      <c r="E104" s="550"/>
      <c r="F104" s="550"/>
      <c r="G104" s="550"/>
      <c r="H104" s="550"/>
      <c r="I104" s="550"/>
      <c r="J104" s="560"/>
      <c r="K104" s="550"/>
      <c r="L104" s="552"/>
    </row>
    <row r="105" spans="1:12">
      <c r="K105" s="550" t="s">
        <v>1276</v>
      </c>
      <c r="L105" s="553" t="e">
        <f>+L102-'Unit Sort Codes'!AD619</f>
        <v>#REF!</v>
      </c>
    </row>
  </sheetData>
  <sheetProtection password="D94C" sheet="1" objects="1" scenarios="1"/>
  <phoneticPr fontId="53" type="noConversion"/>
  <pageMargins left="0.75" right="0.75" top="1" bottom="1" header="0.5" footer="0.5"/>
  <pageSetup scale="43" fitToHeight="2" orientation="landscape" r:id="rId1"/>
  <headerFooter alignWithMargins="0">
    <oddHeader>&amp;L&amp;"Arial MT,Bold"&amp;10NPC - ELY Energy Center Units 1 &amp; 2&amp;C&amp;"Arial MT,Bold"&amp;14&amp;A&amp;R&amp;10Print Date: &amp;D</oddHeader>
    <oddFooter>&amp;L&amp;8&amp;F&amp;A&amp;C&amp;G&amp;R&amp;"Arial MT,Bold"&amp;10Confidential&amp;"Arial MT,Regular"&amp;12
&amp;10Page &amp;P of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85"/>
  <sheetViews>
    <sheetView workbookViewId="0">
      <selection sqref="A1:F86"/>
    </sheetView>
  </sheetViews>
  <sheetFormatPr defaultColWidth="8.90625" defaultRowHeight="16.2"/>
  <cols>
    <col min="1" max="1" width="61.6328125" style="710" customWidth="1"/>
    <col min="2" max="2" width="9.81640625" style="710" bestFit="1" customWidth="1"/>
    <col min="3" max="3" width="10.453125" style="710" customWidth="1"/>
    <col min="4" max="16384" width="8.90625" style="710"/>
  </cols>
  <sheetData>
    <row r="4" spans="1:3">
      <c r="A4" s="965" t="s">
        <v>2297</v>
      </c>
      <c r="B4" s="710" t="s">
        <v>2451</v>
      </c>
      <c r="C4" s="710" t="s">
        <v>2059</v>
      </c>
    </row>
    <row r="5" spans="1:3">
      <c r="A5" s="2694" t="s">
        <v>2335</v>
      </c>
      <c r="B5" s="2695">
        <v>800</v>
      </c>
      <c r="C5" s="2696">
        <v>6160</v>
      </c>
    </row>
    <row r="6" spans="1:3">
      <c r="A6" s="2694" t="s">
        <v>2420</v>
      </c>
      <c r="B6" s="2699">
        <v>650</v>
      </c>
      <c r="C6" s="2696">
        <v>3900</v>
      </c>
    </row>
    <row r="7" spans="1:3">
      <c r="A7" s="2694" t="s">
        <v>2336</v>
      </c>
      <c r="B7" s="2695">
        <v>540</v>
      </c>
      <c r="C7" s="2696">
        <v>8262</v>
      </c>
    </row>
    <row r="8" spans="1:3">
      <c r="A8" s="2694" t="s">
        <v>2337</v>
      </c>
      <c r="B8" s="2695">
        <v>800</v>
      </c>
      <c r="C8" s="2696">
        <v>12240</v>
      </c>
    </row>
    <row r="9" spans="1:3">
      <c r="A9" s="2694" t="s">
        <v>2338</v>
      </c>
      <c r="B9" s="2695">
        <v>800</v>
      </c>
      <c r="C9" s="2696">
        <v>6400</v>
      </c>
    </row>
    <row r="10" spans="1:3">
      <c r="B10" s="2054">
        <f>SUM(B5:B9)</f>
        <v>3590</v>
      </c>
      <c r="C10" s="789">
        <f>SUM(C5:C9)</f>
        <v>36962</v>
      </c>
    </row>
    <row r="11" spans="1:3">
      <c r="B11" s="2054"/>
      <c r="C11" s="789"/>
    </row>
    <row r="12" spans="1:3">
      <c r="A12" s="965" t="s">
        <v>1844</v>
      </c>
    </row>
    <row r="13" spans="1:3">
      <c r="A13" s="2694" t="s">
        <v>2339</v>
      </c>
      <c r="B13" s="2695">
        <v>700</v>
      </c>
      <c r="C13" s="2696">
        <v>3080.0000000000005</v>
      </c>
    </row>
    <row r="14" spans="1:3">
      <c r="A14" s="2694" t="s">
        <v>2340</v>
      </c>
      <c r="B14" s="2699">
        <v>2500</v>
      </c>
      <c r="C14" s="2696">
        <v>3250</v>
      </c>
    </row>
    <row r="15" spans="1:3">
      <c r="A15" s="2694" t="s">
        <v>2341</v>
      </c>
      <c r="B15" s="2699">
        <v>1350</v>
      </c>
      <c r="C15" s="2696">
        <v>1755</v>
      </c>
    </row>
    <row r="16" spans="1:3">
      <c r="A16" s="2698" t="s">
        <v>2342</v>
      </c>
      <c r="B16" s="2699">
        <v>5800</v>
      </c>
      <c r="C16" s="2696">
        <v>9280</v>
      </c>
    </row>
    <row r="17" spans="1:3">
      <c r="A17" s="2694" t="s">
        <v>2343</v>
      </c>
      <c r="B17" s="2699">
        <v>800</v>
      </c>
      <c r="C17" s="2696">
        <v>1320</v>
      </c>
    </row>
    <row r="18" spans="1:3">
      <c r="A18" s="2698" t="s">
        <v>2328</v>
      </c>
      <c r="B18" s="2699">
        <v>1000</v>
      </c>
      <c r="C18" s="2696">
        <v>5000</v>
      </c>
    </row>
    <row r="19" spans="1:3">
      <c r="A19" s="2698" t="s">
        <v>520</v>
      </c>
      <c r="B19" s="2699">
        <v>1350</v>
      </c>
      <c r="C19" s="2696">
        <v>3375</v>
      </c>
    </row>
    <row r="20" spans="1:3">
      <c r="A20" s="2698" t="s">
        <v>2327</v>
      </c>
      <c r="B20" s="2699">
        <v>300</v>
      </c>
      <c r="C20" s="2696">
        <v>750</v>
      </c>
    </row>
    <row r="21" spans="1:3">
      <c r="A21" s="2698" t="s">
        <v>521</v>
      </c>
      <c r="B21" s="2699">
        <v>600</v>
      </c>
      <c r="C21" s="2696">
        <v>1680</v>
      </c>
    </row>
    <row r="22" spans="1:3">
      <c r="A22" s="2698" t="s">
        <v>2452</v>
      </c>
      <c r="B22" s="2699">
        <v>400</v>
      </c>
      <c r="C22" s="2696">
        <v>164</v>
      </c>
    </row>
    <row r="23" spans="1:3">
      <c r="A23" s="2698" t="s">
        <v>2345</v>
      </c>
      <c r="B23" s="2695">
        <v>300</v>
      </c>
      <c r="C23" s="2696">
        <v>750</v>
      </c>
    </row>
    <row r="24" spans="1:3">
      <c r="A24" s="2698" t="s">
        <v>2346</v>
      </c>
      <c r="B24" s="2699">
        <v>260</v>
      </c>
      <c r="C24" s="2696">
        <v>234</v>
      </c>
    </row>
    <row r="25" spans="1:3">
      <c r="A25" s="2698" t="s">
        <v>2347</v>
      </c>
      <c r="B25" s="2699">
        <v>1000</v>
      </c>
      <c r="C25" s="2696">
        <v>1600</v>
      </c>
    </row>
    <row r="26" spans="1:3">
      <c r="A26" s="2698" t="s">
        <v>2348</v>
      </c>
      <c r="B26" s="2699">
        <v>3000</v>
      </c>
      <c r="C26" s="2696">
        <v>4950</v>
      </c>
    </row>
    <row r="27" spans="1:3">
      <c r="A27" s="2698" t="s">
        <v>1366</v>
      </c>
      <c r="B27" s="2699">
        <v>1000</v>
      </c>
      <c r="C27" s="2696">
        <v>2100</v>
      </c>
    </row>
    <row r="28" spans="1:3">
      <c r="A28" s="2698" t="s">
        <v>928</v>
      </c>
      <c r="B28" s="2699">
        <v>200</v>
      </c>
      <c r="C28" s="2696">
        <v>330</v>
      </c>
    </row>
    <row r="29" spans="1:3">
      <c r="A29" s="2698" t="s">
        <v>2349</v>
      </c>
      <c r="B29" s="2699">
        <v>300</v>
      </c>
      <c r="C29" s="2696">
        <v>495</v>
      </c>
    </row>
    <row r="30" spans="1:3">
      <c r="A30" s="2698" t="s">
        <v>929</v>
      </c>
      <c r="B30" s="2699">
        <v>300</v>
      </c>
      <c r="C30" s="2696">
        <v>495</v>
      </c>
    </row>
    <row r="31" spans="1:3">
      <c r="A31" s="2698" t="s">
        <v>2350</v>
      </c>
      <c r="B31" s="2699">
        <v>300</v>
      </c>
      <c r="C31" s="2696">
        <v>495</v>
      </c>
    </row>
    <row r="32" spans="1:3">
      <c r="A32" s="2698" t="s">
        <v>588</v>
      </c>
      <c r="B32" s="2699">
        <v>300</v>
      </c>
      <c r="C32" s="2696">
        <v>495</v>
      </c>
    </row>
    <row r="33" spans="1:5">
      <c r="A33" s="2698" t="s">
        <v>1198</v>
      </c>
      <c r="B33" s="2699">
        <v>690</v>
      </c>
      <c r="C33" s="2696">
        <v>1138.5</v>
      </c>
    </row>
    <row r="34" spans="1:5">
      <c r="A34" s="2698" t="s">
        <v>2351</v>
      </c>
      <c r="B34" s="2699">
        <v>200</v>
      </c>
      <c r="C34" s="2696">
        <v>320</v>
      </c>
    </row>
    <row r="35" spans="1:5">
      <c r="A35" s="2698" t="s">
        <v>2352</v>
      </c>
      <c r="B35" s="2699">
        <v>360</v>
      </c>
      <c r="C35" s="2696">
        <v>594</v>
      </c>
    </row>
    <row r="36" spans="1:5">
      <c r="A36" s="2698" t="s">
        <v>2380</v>
      </c>
      <c r="B36" s="2699">
        <v>6600</v>
      </c>
      <c r="C36" s="2696">
        <v>10890</v>
      </c>
    </row>
    <row r="37" spans="1:5">
      <c r="B37" s="2054">
        <f>SUM(B13:B36)</f>
        <v>29610</v>
      </c>
      <c r="C37" s="2054">
        <f>SUM(C13:C36)</f>
        <v>54540.5</v>
      </c>
    </row>
    <row r="39" spans="1:5">
      <c r="A39" s="965" t="s">
        <v>649</v>
      </c>
      <c r="B39" s="2695"/>
    </row>
    <row r="40" spans="1:5">
      <c r="A40" s="2694" t="s">
        <v>2381</v>
      </c>
      <c r="B40" s="2695">
        <v>470</v>
      </c>
      <c r="C40" s="710">
        <v>352.5</v>
      </c>
    </row>
    <row r="41" spans="1:5">
      <c r="A41" s="2694" t="s">
        <v>2382</v>
      </c>
      <c r="B41" s="2695">
        <v>800</v>
      </c>
      <c r="C41" s="710">
        <v>1680</v>
      </c>
    </row>
    <row r="42" spans="1:5">
      <c r="A42" s="2694" t="s">
        <v>2450</v>
      </c>
      <c r="B42" s="710">
        <v>0</v>
      </c>
      <c r="C42" s="710">
        <v>0</v>
      </c>
      <c r="D42" s="2695">
        <v>400</v>
      </c>
      <c r="E42" s="710">
        <v>480</v>
      </c>
    </row>
    <row r="43" spans="1:5">
      <c r="A43" s="2694" t="s">
        <v>2424</v>
      </c>
      <c r="B43" s="710">
        <v>0</v>
      </c>
      <c r="C43" s="710">
        <v>0</v>
      </c>
      <c r="D43" s="2699">
        <v>7840</v>
      </c>
      <c r="E43" s="710">
        <v>9408</v>
      </c>
    </row>
    <row r="44" spans="1:5">
      <c r="A44" s="2694" t="s">
        <v>2423</v>
      </c>
      <c r="B44" s="710">
        <v>0</v>
      </c>
      <c r="C44" s="710">
        <v>0</v>
      </c>
      <c r="D44" s="2699">
        <v>2565</v>
      </c>
      <c r="E44" s="710">
        <v>1795.4999999999998</v>
      </c>
    </row>
    <row r="45" spans="1:5">
      <c r="A45" s="2694" t="s">
        <v>2384</v>
      </c>
      <c r="B45" s="2699">
        <v>3000</v>
      </c>
      <c r="C45" s="710">
        <v>3600</v>
      </c>
    </row>
    <row r="46" spans="1:5">
      <c r="A46" s="2698" t="s">
        <v>2300</v>
      </c>
      <c r="B46" s="2699">
        <v>850</v>
      </c>
      <c r="C46" s="710">
        <v>1105</v>
      </c>
    </row>
    <row r="47" spans="1:5">
      <c r="A47" s="2698" t="s">
        <v>2299</v>
      </c>
      <c r="B47" s="2699">
        <v>500</v>
      </c>
      <c r="C47" s="710">
        <v>650</v>
      </c>
    </row>
    <row r="48" spans="1:5">
      <c r="A48" s="2694" t="s">
        <v>2298</v>
      </c>
      <c r="B48" s="2699">
        <v>500</v>
      </c>
      <c r="C48" s="710">
        <v>825</v>
      </c>
    </row>
    <row r="49" spans="1:3">
      <c r="A49" s="2698" t="s">
        <v>926</v>
      </c>
      <c r="B49" s="2699">
        <v>1160</v>
      </c>
      <c r="C49" s="710">
        <v>2088</v>
      </c>
    </row>
    <row r="50" spans="1:3">
      <c r="A50" s="2698" t="s">
        <v>845</v>
      </c>
      <c r="B50" s="2699">
        <v>1000</v>
      </c>
      <c r="C50" s="710">
        <v>1800</v>
      </c>
    </row>
    <row r="51" spans="1:3">
      <c r="B51" s="2054">
        <f>SUM(B40:B50)</f>
        <v>8280</v>
      </c>
      <c r="C51" s="710">
        <f>SUM(C40:C50)</f>
        <v>12100.5</v>
      </c>
    </row>
    <row r="54" spans="1:3">
      <c r="A54" s="965" t="s">
        <v>927</v>
      </c>
    </row>
    <row r="55" spans="1:3">
      <c r="A55" s="2694" t="s">
        <v>2353</v>
      </c>
      <c r="B55" s="2695">
        <v>150</v>
      </c>
      <c r="C55" s="710">
        <v>135</v>
      </c>
    </row>
    <row r="56" spans="1:3">
      <c r="A56" s="2694" t="s">
        <v>928</v>
      </c>
      <c r="B56" s="2695">
        <v>0</v>
      </c>
      <c r="C56" s="710">
        <v>0</v>
      </c>
    </row>
    <row r="57" spans="1:3">
      <c r="A57" s="2694" t="s">
        <v>2354</v>
      </c>
      <c r="B57" s="2699">
        <v>1800</v>
      </c>
      <c r="C57" s="710">
        <v>2160</v>
      </c>
    </row>
    <row r="58" spans="1:3">
      <c r="A58" s="2694" t="s">
        <v>2355</v>
      </c>
      <c r="B58" s="2700">
        <v>3100</v>
      </c>
      <c r="C58" s="710">
        <v>465</v>
      </c>
    </row>
    <row r="59" spans="1:3">
      <c r="A59" s="2694" t="s">
        <v>2356</v>
      </c>
      <c r="B59" s="2699">
        <v>3000</v>
      </c>
      <c r="C59" s="710">
        <v>900</v>
      </c>
    </row>
    <row r="60" spans="1:3">
      <c r="A60" s="2694" t="s">
        <v>2357</v>
      </c>
      <c r="B60" s="2699">
        <v>1300</v>
      </c>
      <c r="C60" s="710">
        <v>299</v>
      </c>
    </row>
    <row r="61" spans="1:3">
      <c r="A61" s="2694" t="s">
        <v>2358</v>
      </c>
      <c r="B61" s="2695">
        <v>2035</v>
      </c>
      <c r="C61" s="710">
        <v>1119.25</v>
      </c>
    </row>
    <row r="62" spans="1:3">
      <c r="A62" s="2694" t="s">
        <v>2359</v>
      </c>
      <c r="B62" s="2699">
        <v>900</v>
      </c>
      <c r="C62" s="710">
        <v>1260</v>
      </c>
    </row>
    <row r="63" spans="1:3">
      <c r="A63" s="2698" t="s">
        <v>2360</v>
      </c>
      <c r="B63" s="2697">
        <v>200</v>
      </c>
      <c r="C63" s="710">
        <v>0</v>
      </c>
    </row>
    <row r="64" spans="1:3">
      <c r="A64" s="2698" t="s">
        <v>2361</v>
      </c>
      <c r="B64" s="2699">
        <v>700</v>
      </c>
      <c r="C64" s="710">
        <v>979.99999999999989</v>
      </c>
    </row>
    <row r="65" spans="1:3">
      <c r="A65" s="2698" t="s">
        <v>2362</v>
      </c>
      <c r="B65" s="2700">
        <v>600</v>
      </c>
      <c r="C65" s="710">
        <v>840</v>
      </c>
    </row>
    <row r="66" spans="1:3">
      <c r="A66" s="2698" t="s">
        <v>2363</v>
      </c>
      <c r="B66" s="2699">
        <v>1400</v>
      </c>
      <c r="C66" s="710">
        <v>1680</v>
      </c>
    </row>
    <row r="67" spans="1:3">
      <c r="A67" s="2698" t="s">
        <v>2364</v>
      </c>
      <c r="B67" s="2699">
        <v>650</v>
      </c>
      <c r="C67" s="710">
        <v>909.99999999999989</v>
      </c>
    </row>
    <row r="68" spans="1:3">
      <c r="A68" s="2698" t="s">
        <v>2365</v>
      </c>
      <c r="B68" s="2699">
        <v>400</v>
      </c>
      <c r="C68" s="710">
        <v>560</v>
      </c>
    </row>
    <row r="69" spans="1:3">
      <c r="A69" s="2694" t="s">
        <v>2352</v>
      </c>
      <c r="B69" s="2697">
        <v>200</v>
      </c>
      <c r="C69" s="710">
        <v>0</v>
      </c>
    </row>
    <row r="70" spans="1:3">
      <c r="A70" s="2694" t="s">
        <v>2366</v>
      </c>
      <c r="B70" s="2695">
        <v>200</v>
      </c>
      <c r="C70" s="710">
        <v>220.00000000000003</v>
      </c>
    </row>
    <row r="71" spans="1:3">
      <c r="A71" s="2698" t="s">
        <v>2367</v>
      </c>
      <c r="B71" s="2700">
        <v>1400</v>
      </c>
      <c r="C71" s="710">
        <v>1959.9999999999998</v>
      </c>
    </row>
    <row r="72" spans="1:3">
      <c r="A72" s="2698" t="s">
        <v>2368</v>
      </c>
      <c r="B72" s="2699">
        <v>250</v>
      </c>
      <c r="C72" s="710">
        <v>300</v>
      </c>
    </row>
    <row r="73" spans="1:3">
      <c r="A73" s="2694" t="s">
        <v>2369</v>
      </c>
      <c r="B73" s="2695">
        <v>700</v>
      </c>
      <c r="C73" s="710">
        <v>770.00000000000011</v>
      </c>
    </row>
    <row r="74" spans="1:3">
      <c r="A74" s="2694" t="s">
        <v>2370</v>
      </c>
      <c r="B74" s="2695">
        <v>300</v>
      </c>
      <c r="C74" s="710">
        <v>330</v>
      </c>
    </row>
    <row r="75" spans="1:3">
      <c r="A75" s="2694" t="s">
        <v>2371</v>
      </c>
      <c r="B75" s="2695">
        <v>300</v>
      </c>
      <c r="C75" s="710">
        <v>330</v>
      </c>
    </row>
    <row r="76" spans="1:3">
      <c r="A76" s="2694" t="s">
        <v>2372</v>
      </c>
      <c r="B76" s="2695">
        <v>400</v>
      </c>
      <c r="C76" s="710">
        <v>480</v>
      </c>
    </row>
    <row r="77" spans="1:3">
      <c r="A77" s="2698" t="s">
        <v>2373</v>
      </c>
      <c r="B77" s="2699">
        <v>900</v>
      </c>
      <c r="C77" s="710">
        <v>990.00000000000011</v>
      </c>
    </row>
    <row r="78" spans="1:3">
      <c r="A78" s="2694" t="s">
        <v>2374</v>
      </c>
      <c r="B78" s="2695">
        <v>900</v>
      </c>
      <c r="C78" s="710">
        <v>1080</v>
      </c>
    </row>
    <row r="79" spans="1:3">
      <c r="A79" s="2694" t="s">
        <v>2375</v>
      </c>
      <c r="B79" s="2695">
        <v>150</v>
      </c>
      <c r="C79" s="710">
        <v>165</v>
      </c>
    </row>
    <row r="80" spans="1:3">
      <c r="A80" s="2694" t="s">
        <v>2376</v>
      </c>
      <c r="B80" s="2705">
        <v>20</v>
      </c>
      <c r="C80" s="710">
        <v>24</v>
      </c>
    </row>
    <row r="81" spans="1:3">
      <c r="A81" s="2694" t="s">
        <v>2377</v>
      </c>
      <c r="B81" s="2697">
        <v>200</v>
      </c>
      <c r="C81" s="710">
        <v>40</v>
      </c>
    </row>
    <row r="82" spans="1:3">
      <c r="A82" s="2698" t="s">
        <v>2378</v>
      </c>
      <c r="B82" s="2697">
        <v>150</v>
      </c>
      <c r="C82" s="710">
        <v>165</v>
      </c>
    </row>
    <row r="83" spans="1:3">
      <c r="A83" s="2694" t="s">
        <v>2379</v>
      </c>
      <c r="B83" s="2697">
        <v>200</v>
      </c>
      <c r="C83" s="710">
        <v>220.00000000000003</v>
      </c>
    </row>
    <row r="84" spans="1:3">
      <c r="A84" s="2698" t="s">
        <v>2380</v>
      </c>
      <c r="B84" s="2695">
        <v>4400</v>
      </c>
      <c r="C84" s="710">
        <v>4840</v>
      </c>
    </row>
    <row r="85" spans="1:3">
      <c r="B85" s="2054">
        <f>SUM(B55:B84)</f>
        <v>26905</v>
      </c>
      <c r="C85" s="710">
        <f>SUM(C55:C84)</f>
        <v>23222.25</v>
      </c>
    </row>
  </sheetData>
  <pageMargins left="0.7" right="0.7" top="0.75" bottom="0.75" header="0.3" footer="0.3"/>
  <pageSetup paperSize="3" scale="5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95"/>
  <sheetViews>
    <sheetView topLeftCell="A55" workbookViewId="0">
      <pane xSplit="1" topLeftCell="E1" activePane="topRight" state="frozen"/>
      <selection pane="topRight" activeCell="L86" sqref="L86"/>
    </sheetView>
  </sheetViews>
  <sheetFormatPr defaultColWidth="8.90625" defaultRowHeight="15"/>
  <cols>
    <col min="1" max="1" width="62.1796875" style="2706" bestFit="1" customWidth="1"/>
    <col min="2" max="9" width="8.90625" style="2707"/>
    <col min="10" max="10" width="8.90625" style="2708"/>
    <col min="11" max="11" width="8.90625" style="2706"/>
    <col min="12" max="16" width="8.90625" style="2707"/>
    <col min="17" max="16384" width="8.90625" style="2706"/>
  </cols>
  <sheetData>
    <row r="3" spans="1:21">
      <c r="B3" s="2707" t="s">
        <v>2399</v>
      </c>
      <c r="C3" s="2707" t="s">
        <v>2400</v>
      </c>
      <c r="D3" s="2707" t="s">
        <v>2401</v>
      </c>
      <c r="E3" s="2707" t="s">
        <v>2402</v>
      </c>
      <c r="F3" s="2707" t="s">
        <v>2403</v>
      </c>
      <c r="G3" s="2707" t="s">
        <v>2404</v>
      </c>
      <c r="H3" s="2707" t="s">
        <v>2405</v>
      </c>
      <c r="I3" s="2707" t="s">
        <v>2406</v>
      </c>
      <c r="J3" s="2707" t="s">
        <v>2407</v>
      </c>
      <c r="K3" s="2707" t="s">
        <v>2408</v>
      </c>
      <c r="L3" s="2707" t="s">
        <v>2409</v>
      </c>
      <c r="M3" s="2707" t="s">
        <v>2410</v>
      </c>
      <c r="N3" s="2707" t="s">
        <v>2419</v>
      </c>
      <c r="O3" s="2707" t="s">
        <v>2411</v>
      </c>
      <c r="P3" s="2707" t="s">
        <v>2412</v>
      </c>
      <c r="Q3" s="2707" t="s">
        <v>2413</v>
      </c>
      <c r="R3" s="2707" t="s">
        <v>2414</v>
      </c>
      <c r="S3" s="2707" t="s">
        <v>2415</v>
      </c>
      <c r="T3" s="2706" t="s">
        <v>1372</v>
      </c>
    </row>
    <row r="4" spans="1:21" ht="16.2">
      <c r="A4" s="2694" t="s">
        <v>2335</v>
      </c>
      <c r="L4" s="2707">
        <v>100</v>
      </c>
      <c r="N4" s="2707">
        <v>55</v>
      </c>
      <c r="O4" s="2707">
        <v>400</v>
      </c>
      <c r="P4" s="2707">
        <v>225</v>
      </c>
      <c r="T4" s="2706">
        <f>SUM(D4:S4)</f>
        <v>780</v>
      </c>
      <c r="U4" s="2706">
        <v>800</v>
      </c>
    </row>
    <row r="5" spans="1:21" ht="16.2">
      <c r="A5" s="2694" t="s">
        <v>2420</v>
      </c>
      <c r="H5" s="2707">
        <v>582</v>
      </c>
      <c r="I5" s="2707">
        <v>62</v>
      </c>
      <c r="T5" s="2706">
        <f>SUM(D5:S5)</f>
        <v>644</v>
      </c>
      <c r="U5" s="2706">
        <v>650</v>
      </c>
    </row>
    <row r="6" spans="1:21" ht="16.2">
      <c r="A6" s="2694" t="s">
        <v>2336</v>
      </c>
      <c r="N6" s="2707">
        <v>40</v>
      </c>
      <c r="O6" s="2707">
        <v>250</v>
      </c>
      <c r="P6" s="2707">
        <v>250</v>
      </c>
      <c r="T6" s="2706">
        <f>SUM(D6:S6)</f>
        <v>540</v>
      </c>
    </row>
    <row r="7" spans="1:21" ht="16.2">
      <c r="A7" s="2694" t="s">
        <v>2337</v>
      </c>
      <c r="J7" s="2708">
        <v>485</v>
      </c>
      <c r="L7" s="2707">
        <v>295</v>
      </c>
      <c r="T7" s="2706">
        <f t="shared" ref="T7:T8" si="0">SUM(D7:S7)</f>
        <v>780</v>
      </c>
      <c r="U7" s="2706">
        <v>800</v>
      </c>
    </row>
    <row r="8" spans="1:21" ht="16.2">
      <c r="A8" s="2694" t="s">
        <v>2338</v>
      </c>
      <c r="T8" s="2706">
        <f t="shared" si="0"/>
        <v>0</v>
      </c>
    </row>
    <row r="15" spans="1:21">
      <c r="B15" s="2707" t="s">
        <v>2388</v>
      </c>
      <c r="C15" s="2707" t="s">
        <v>2389</v>
      </c>
      <c r="D15" s="2707" t="s">
        <v>2390</v>
      </c>
      <c r="F15" s="2707" t="s">
        <v>2391</v>
      </c>
      <c r="G15" s="2707" t="s">
        <v>2392</v>
      </c>
      <c r="H15" s="2707" t="s">
        <v>2393</v>
      </c>
      <c r="I15" s="2707" t="s">
        <v>1372</v>
      </c>
    </row>
    <row r="16" spans="1:21">
      <c r="A16" s="2706" t="s">
        <v>2394</v>
      </c>
    </row>
    <row r="17" spans="1:10" ht="16.2">
      <c r="A17" s="2694" t="s">
        <v>2355</v>
      </c>
      <c r="B17" s="2707">
        <v>270</v>
      </c>
      <c r="D17" s="2707">
        <v>2700</v>
      </c>
      <c r="G17" s="2707">
        <v>140</v>
      </c>
      <c r="I17" s="2707">
        <f t="shared" ref="I17:I20" si="1">SUM(B17:H17)</f>
        <v>3110</v>
      </c>
      <c r="J17" s="2708">
        <v>3100</v>
      </c>
    </row>
    <row r="18" spans="1:10" ht="16.2">
      <c r="A18" s="2694" t="s">
        <v>2357</v>
      </c>
      <c r="H18" s="2707">
        <v>1300</v>
      </c>
      <c r="I18" s="2707">
        <f t="shared" si="1"/>
        <v>1300</v>
      </c>
      <c r="J18" s="2708">
        <v>1300</v>
      </c>
    </row>
    <row r="19" spans="1:10">
      <c r="I19" s="2707">
        <f t="shared" si="1"/>
        <v>0</v>
      </c>
    </row>
    <row r="20" spans="1:10">
      <c r="I20" s="2707">
        <f t="shared" si="1"/>
        <v>0</v>
      </c>
    </row>
    <row r="23" spans="1:10">
      <c r="A23" s="2706" t="s">
        <v>2395</v>
      </c>
    </row>
    <row r="24" spans="1:10" ht="16.2">
      <c r="A24" s="2694" t="s">
        <v>2354</v>
      </c>
      <c r="B24" s="2707">
        <v>834</v>
      </c>
      <c r="C24" s="2707">
        <v>330</v>
      </c>
      <c r="D24" s="2707">
        <v>14</v>
      </c>
      <c r="F24" s="2707">
        <v>310</v>
      </c>
      <c r="G24" s="2707">
        <v>318</v>
      </c>
      <c r="I24" s="2707">
        <f t="shared" ref="I24:I38" si="2">SUM(B24:H24)</f>
        <v>1806</v>
      </c>
      <c r="J24" s="2708">
        <v>1800</v>
      </c>
    </row>
    <row r="25" spans="1:10" ht="16.2">
      <c r="A25" s="2694" t="s">
        <v>2358</v>
      </c>
      <c r="I25" s="2707">
        <f t="shared" si="2"/>
        <v>0</v>
      </c>
    </row>
    <row r="26" spans="1:10" ht="16.2">
      <c r="A26" s="2694" t="s">
        <v>2359</v>
      </c>
      <c r="D26" s="2707">
        <v>1</v>
      </c>
      <c r="G26" s="2707">
        <v>1.5</v>
      </c>
      <c r="H26" s="2707">
        <v>931</v>
      </c>
      <c r="I26" s="2707">
        <f t="shared" si="2"/>
        <v>933.5</v>
      </c>
      <c r="J26" s="2708">
        <v>900</v>
      </c>
    </row>
    <row r="27" spans="1:10" ht="16.2">
      <c r="A27" s="2694" t="s">
        <v>2363</v>
      </c>
      <c r="C27" s="2707">
        <v>34</v>
      </c>
      <c r="D27" s="2707">
        <v>987</v>
      </c>
      <c r="G27" s="2707">
        <v>26</v>
      </c>
      <c r="H27" s="2707">
        <v>355</v>
      </c>
      <c r="I27" s="2707">
        <f t="shared" si="2"/>
        <v>1402</v>
      </c>
      <c r="J27" s="2708">
        <v>1400</v>
      </c>
    </row>
    <row r="28" spans="1:10" ht="16.2">
      <c r="A28" s="2694" t="s">
        <v>2396</v>
      </c>
      <c r="I28" s="2707">
        <f t="shared" si="2"/>
        <v>0</v>
      </c>
    </row>
    <row r="29" spans="1:10" ht="16.2">
      <c r="A29" s="2694" t="s">
        <v>2352</v>
      </c>
      <c r="I29" s="2707">
        <f t="shared" si="2"/>
        <v>0</v>
      </c>
    </row>
    <row r="30" spans="1:10" ht="16.2">
      <c r="A30" s="2694" t="s">
        <v>2366</v>
      </c>
      <c r="B30" s="2707">
        <v>32</v>
      </c>
      <c r="C30" s="2707">
        <v>160</v>
      </c>
      <c r="I30" s="2707">
        <f t="shared" si="2"/>
        <v>192</v>
      </c>
      <c r="J30" s="2708">
        <v>200</v>
      </c>
    </row>
    <row r="31" spans="1:10" ht="16.2">
      <c r="A31" s="2694" t="s">
        <v>2368</v>
      </c>
      <c r="C31" s="2707">
        <v>34</v>
      </c>
      <c r="D31" s="2707">
        <v>74</v>
      </c>
      <c r="G31" s="2707">
        <v>125</v>
      </c>
      <c r="H31" s="2707">
        <v>19</v>
      </c>
      <c r="I31" s="2707">
        <f t="shared" si="2"/>
        <v>252</v>
      </c>
      <c r="J31" s="2708">
        <v>250</v>
      </c>
    </row>
    <row r="32" spans="1:10" ht="16.2">
      <c r="A32" s="2694" t="s">
        <v>2369</v>
      </c>
      <c r="G32" s="2707">
        <v>660</v>
      </c>
      <c r="I32" s="2707">
        <f t="shared" si="2"/>
        <v>660</v>
      </c>
      <c r="J32" s="2708">
        <v>700</v>
      </c>
    </row>
    <row r="33" spans="1:10" ht="16.2">
      <c r="A33" s="2694" t="s">
        <v>2370</v>
      </c>
      <c r="B33" s="2707">
        <v>8</v>
      </c>
      <c r="D33" s="2707">
        <v>1</v>
      </c>
      <c r="G33" s="2707">
        <v>302</v>
      </c>
      <c r="I33" s="2707">
        <f t="shared" si="2"/>
        <v>311</v>
      </c>
      <c r="J33" s="2708">
        <v>300</v>
      </c>
    </row>
    <row r="34" spans="1:10" ht="16.2">
      <c r="A34" s="2694" t="s">
        <v>2371</v>
      </c>
      <c r="B34" s="2707">
        <v>185</v>
      </c>
      <c r="D34" s="2707">
        <v>41</v>
      </c>
      <c r="H34" s="2707">
        <v>106</v>
      </c>
      <c r="I34" s="2707">
        <f t="shared" si="2"/>
        <v>332</v>
      </c>
      <c r="J34" s="2708">
        <v>300</v>
      </c>
    </row>
    <row r="35" spans="1:10" ht="16.2">
      <c r="A35" s="2694" t="s">
        <v>2372</v>
      </c>
      <c r="C35" s="2707">
        <v>12</v>
      </c>
      <c r="D35" s="2707">
        <v>56</v>
      </c>
      <c r="G35" s="2707">
        <v>107</v>
      </c>
      <c r="H35" s="2707">
        <v>195</v>
      </c>
      <c r="I35" s="2707">
        <f t="shared" si="2"/>
        <v>370</v>
      </c>
      <c r="J35" s="2708">
        <v>400</v>
      </c>
    </row>
    <row r="36" spans="1:10" ht="16.2">
      <c r="A36" s="2694" t="s">
        <v>2373</v>
      </c>
      <c r="B36" s="2707">
        <v>152</v>
      </c>
      <c r="C36" s="2707">
        <v>217</v>
      </c>
      <c r="D36" s="2707">
        <v>80</v>
      </c>
      <c r="G36" s="2707">
        <v>133</v>
      </c>
      <c r="H36" s="2707">
        <v>337</v>
      </c>
      <c r="I36" s="2707">
        <f t="shared" si="2"/>
        <v>919</v>
      </c>
      <c r="J36" s="2708">
        <v>900</v>
      </c>
    </row>
    <row r="37" spans="1:10" ht="16.2">
      <c r="A37" s="2694" t="s">
        <v>2374</v>
      </c>
      <c r="B37" s="2707">
        <v>25</v>
      </c>
      <c r="C37" s="2707">
        <v>30</v>
      </c>
      <c r="D37" s="2707">
        <v>190</v>
      </c>
      <c r="G37" s="2707">
        <v>543</v>
      </c>
      <c r="H37" s="2707">
        <v>75</v>
      </c>
      <c r="I37" s="2707">
        <f t="shared" si="2"/>
        <v>863</v>
      </c>
      <c r="J37" s="2708">
        <v>900</v>
      </c>
    </row>
    <row r="38" spans="1:10" ht="16.2">
      <c r="A38" s="2694" t="s">
        <v>2375</v>
      </c>
      <c r="C38" s="2707">
        <v>2</v>
      </c>
      <c r="D38" s="2707">
        <v>45</v>
      </c>
      <c r="G38" s="2707">
        <v>104</v>
      </c>
      <c r="I38" s="2707">
        <f t="shared" si="2"/>
        <v>151</v>
      </c>
      <c r="J38" s="2708">
        <v>150</v>
      </c>
    </row>
    <row r="39" spans="1:10" ht="16.2">
      <c r="A39" s="2694" t="s">
        <v>2376</v>
      </c>
      <c r="D39" s="2707">
        <v>4</v>
      </c>
      <c r="H39" s="2707">
        <v>14</v>
      </c>
      <c r="I39" s="2707">
        <f t="shared" ref="I39:I53" si="3">SUM(B39:H39)</f>
        <v>18</v>
      </c>
      <c r="J39" s="2708">
        <v>20</v>
      </c>
    </row>
    <row r="40" spans="1:10" ht="16.2">
      <c r="A40" s="2694" t="s">
        <v>2377</v>
      </c>
      <c r="I40" s="2707">
        <f t="shared" si="3"/>
        <v>0</v>
      </c>
    </row>
    <row r="41" spans="1:10" ht="16.2">
      <c r="A41" s="2698" t="s">
        <v>2378</v>
      </c>
    </row>
    <row r="42" spans="1:10" ht="16.2">
      <c r="A42" s="2694" t="s">
        <v>2379</v>
      </c>
      <c r="I42" s="2707">
        <f t="shared" si="3"/>
        <v>0</v>
      </c>
    </row>
    <row r="43" spans="1:10" ht="16.2">
      <c r="A43" s="2694" t="s">
        <v>2379</v>
      </c>
      <c r="I43" s="2707">
        <f t="shared" si="3"/>
        <v>0</v>
      </c>
    </row>
    <row r="44" spans="1:10" ht="16.2">
      <c r="A44" s="2694" t="s">
        <v>2380</v>
      </c>
      <c r="B44" s="2707">
        <f>152+118</f>
        <v>270</v>
      </c>
      <c r="C44" s="2707">
        <f>2+9+63</f>
        <v>74</v>
      </c>
      <c r="D44" s="2707">
        <f>38+3+100+141+3+318+345+3</f>
        <v>951</v>
      </c>
      <c r="G44" s="2707">
        <f>128+6+318+50+12</f>
        <v>514</v>
      </c>
      <c r="H44" s="2707">
        <f>1805+12+314+337+152+3</f>
        <v>2623</v>
      </c>
      <c r="I44" s="2707">
        <f t="shared" si="3"/>
        <v>4432</v>
      </c>
      <c r="J44" s="2708">
        <v>4400</v>
      </c>
    </row>
    <row r="45" spans="1:10">
      <c r="I45" s="2706"/>
    </row>
    <row r="46" spans="1:10">
      <c r="A46" s="2706" t="s">
        <v>2397</v>
      </c>
      <c r="I46" s="2707">
        <f t="shared" si="3"/>
        <v>0</v>
      </c>
    </row>
    <row r="47" spans="1:10" ht="16.2">
      <c r="A47" s="2694" t="s">
        <v>2353</v>
      </c>
      <c r="D47" s="2707">
        <v>150</v>
      </c>
      <c r="I47" s="2707">
        <f t="shared" si="3"/>
        <v>150</v>
      </c>
      <c r="J47" s="2708">
        <v>150</v>
      </c>
    </row>
    <row r="48" spans="1:10" ht="16.2">
      <c r="A48" s="2694" t="s">
        <v>2398</v>
      </c>
      <c r="I48" s="2707">
        <f>SUM(B48:H48)</f>
        <v>0</v>
      </c>
    </row>
    <row r="49" spans="1:21" ht="16.2">
      <c r="A49" s="2694" t="s">
        <v>2361</v>
      </c>
      <c r="D49" s="2707">
        <v>250</v>
      </c>
      <c r="G49" s="2707">
        <v>155</v>
      </c>
      <c r="H49" s="2707">
        <v>325</v>
      </c>
      <c r="I49" s="2707">
        <f t="shared" si="3"/>
        <v>730</v>
      </c>
      <c r="J49" s="2708">
        <v>700</v>
      </c>
    </row>
    <row r="50" spans="1:21" ht="16.2">
      <c r="A50" s="2694" t="s">
        <v>2362</v>
      </c>
      <c r="D50" s="2707">
        <v>105</v>
      </c>
      <c r="G50" s="2707">
        <v>300</v>
      </c>
      <c r="H50" s="2707">
        <v>200</v>
      </c>
      <c r="I50" s="2707">
        <f t="shared" si="3"/>
        <v>605</v>
      </c>
      <c r="J50" s="2708">
        <v>600</v>
      </c>
    </row>
    <row r="51" spans="1:21" ht="16.2">
      <c r="A51" s="2694" t="s">
        <v>2364</v>
      </c>
      <c r="D51" s="2707">
        <v>100</v>
      </c>
      <c r="G51" s="2707">
        <v>350</v>
      </c>
      <c r="H51" s="2707">
        <v>200</v>
      </c>
      <c r="I51" s="2707">
        <f t="shared" si="3"/>
        <v>650</v>
      </c>
      <c r="J51" s="2708">
        <v>650</v>
      </c>
    </row>
    <row r="52" spans="1:21" ht="16.2">
      <c r="A52" s="2694" t="s">
        <v>2365</v>
      </c>
      <c r="D52" s="2707">
        <v>15</v>
      </c>
      <c r="G52" s="2707">
        <v>350</v>
      </c>
      <c r="I52" s="2707">
        <f t="shared" si="3"/>
        <v>365</v>
      </c>
      <c r="J52" s="2708">
        <v>400</v>
      </c>
    </row>
    <row r="53" spans="1:21" ht="16.2">
      <c r="A53" s="2694" t="s">
        <v>2367</v>
      </c>
      <c r="D53" s="2707">
        <v>125</v>
      </c>
      <c r="G53" s="2707">
        <v>900</v>
      </c>
      <c r="H53" s="2707">
        <v>400</v>
      </c>
      <c r="I53" s="2707">
        <f t="shared" si="3"/>
        <v>1425</v>
      </c>
      <c r="J53" s="2708">
        <v>1400</v>
      </c>
    </row>
    <row r="56" spans="1:21">
      <c r="B56" s="2707" t="s">
        <v>2399</v>
      </c>
      <c r="C56" s="2707" t="s">
        <v>2400</v>
      </c>
      <c r="D56" s="2707" t="s">
        <v>2401</v>
      </c>
      <c r="E56" s="2707" t="s">
        <v>2402</v>
      </c>
      <c r="F56" s="2707" t="s">
        <v>2403</v>
      </c>
      <c r="G56" s="2707" t="s">
        <v>2404</v>
      </c>
      <c r="H56" s="2707" t="s">
        <v>2405</v>
      </c>
      <c r="I56" s="2707" t="s">
        <v>2406</v>
      </c>
      <c r="J56" s="2707" t="s">
        <v>2407</v>
      </c>
      <c r="K56" s="2707" t="s">
        <v>2408</v>
      </c>
      <c r="L56" s="2707" t="s">
        <v>2409</v>
      </c>
      <c r="M56" s="2707" t="s">
        <v>2410</v>
      </c>
      <c r="O56" s="2707" t="s">
        <v>2411</v>
      </c>
      <c r="P56" s="2707" t="s">
        <v>2412</v>
      </c>
      <c r="Q56" s="2707" t="s">
        <v>2413</v>
      </c>
      <c r="R56" s="2707" t="s">
        <v>2414</v>
      </c>
      <c r="S56" s="2707" t="s">
        <v>2415</v>
      </c>
      <c r="T56" s="2706" t="s">
        <v>1372</v>
      </c>
    </row>
    <row r="57" spans="1:21">
      <c r="A57" s="2706" t="s">
        <v>2416</v>
      </c>
    </row>
    <row r="58" spans="1:21" ht="16.2">
      <c r="A58" s="2694" t="s">
        <v>2339</v>
      </c>
      <c r="C58" s="2707">
        <v>65</v>
      </c>
      <c r="D58" s="2707">
        <v>10</v>
      </c>
      <c r="F58" s="2707">
        <v>32</v>
      </c>
      <c r="G58" s="2707">
        <v>142.5</v>
      </c>
      <c r="H58" s="2707">
        <v>7.5</v>
      </c>
      <c r="L58" s="2707">
        <v>182</v>
      </c>
      <c r="O58" s="2707">
        <v>292</v>
      </c>
      <c r="T58" s="2706">
        <f>SUM(B58:Q58)</f>
        <v>731</v>
      </c>
      <c r="U58" s="2706">
        <v>700</v>
      </c>
    </row>
    <row r="59" spans="1:21" ht="16.2">
      <c r="A59" s="2694" t="s">
        <v>2340</v>
      </c>
      <c r="T59" s="2706">
        <f t="shared" ref="T59:T80" si="4">SUM(B59:Q59)</f>
        <v>0</v>
      </c>
    </row>
    <row r="60" spans="1:21" ht="16.2">
      <c r="A60" s="2694" t="s">
        <v>2341</v>
      </c>
      <c r="T60" s="2706">
        <f t="shared" si="4"/>
        <v>0</v>
      </c>
    </row>
    <row r="61" spans="1:21" ht="16.2">
      <c r="A61" s="2698" t="s">
        <v>2342</v>
      </c>
      <c r="T61" s="2706">
        <f t="shared" si="4"/>
        <v>0</v>
      </c>
    </row>
    <row r="62" spans="1:21" ht="16.2">
      <c r="A62" s="2694" t="s">
        <v>2343</v>
      </c>
      <c r="T62" s="2706">
        <f t="shared" si="4"/>
        <v>0</v>
      </c>
    </row>
    <row r="63" spans="1:21" ht="16.2">
      <c r="A63" s="2698" t="s">
        <v>2417</v>
      </c>
      <c r="L63" s="2707">
        <v>20</v>
      </c>
      <c r="M63" s="2707">
        <v>215</v>
      </c>
      <c r="O63" s="2707">
        <v>35</v>
      </c>
      <c r="P63" s="2707">
        <v>475</v>
      </c>
      <c r="R63" s="2706">
        <v>60</v>
      </c>
      <c r="S63" s="2706">
        <v>185</v>
      </c>
      <c r="T63" s="2706">
        <f>SUM(B63:S63)</f>
        <v>990</v>
      </c>
      <c r="U63" s="2706">
        <v>1000</v>
      </c>
    </row>
    <row r="64" spans="1:21" ht="16.2">
      <c r="A64" s="2698" t="s">
        <v>520</v>
      </c>
      <c r="H64" s="2707">
        <v>710</v>
      </c>
      <c r="I64" s="2707">
        <v>50</v>
      </c>
      <c r="J64" s="2708">
        <v>432</v>
      </c>
      <c r="K64" s="2706">
        <v>155</v>
      </c>
      <c r="T64" s="2706">
        <f t="shared" si="4"/>
        <v>1347</v>
      </c>
      <c r="U64" s="2706">
        <v>1350</v>
      </c>
    </row>
    <row r="65" spans="1:21" ht="16.2">
      <c r="A65" s="2698" t="s">
        <v>2327</v>
      </c>
      <c r="H65" s="2707">
        <v>170</v>
      </c>
      <c r="I65" s="2707">
        <v>120</v>
      </c>
      <c r="T65" s="2706">
        <f t="shared" si="4"/>
        <v>290</v>
      </c>
      <c r="U65" s="2706">
        <v>300</v>
      </c>
    </row>
    <row r="66" spans="1:21" ht="16.2">
      <c r="A66" s="2698" t="s">
        <v>521</v>
      </c>
      <c r="K66" s="2706">
        <v>315</v>
      </c>
      <c r="M66" s="2707">
        <v>210</v>
      </c>
      <c r="O66" s="2707">
        <v>90</v>
      </c>
      <c r="T66" s="2706">
        <f t="shared" si="4"/>
        <v>615</v>
      </c>
      <c r="U66" s="2706">
        <v>600</v>
      </c>
    </row>
    <row r="67" spans="1:21" ht="16.2">
      <c r="A67" s="2698" t="s">
        <v>2344</v>
      </c>
      <c r="T67" s="2706">
        <f t="shared" si="4"/>
        <v>0</v>
      </c>
    </row>
    <row r="68" spans="1:21" ht="16.2">
      <c r="A68" s="2698" t="s">
        <v>2345</v>
      </c>
      <c r="B68" s="2707">
        <v>60</v>
      </c>
      <c r="C68" s="2707">
        <v>26</v>
      </c>
      <c r="D68" s="2707">
        <v>1</v>
      </c>
      <c r="E68" s="2707">
        <v>3</v>
      </c>
      <c r="F68" s="2707">
        <v>10</v>
      </c>
      <c r="G68" s="2707">
        <v>45</v>
      </c>
      <c r="H68" s="2707">
        <v>3</v>
      </c>
      <c r="I68" s="2707">
        <v>100</v>
      </c>
      <c r="J68" s="2708">
        <v>17</v>
      </c>
      <c r="T68" s="2706">
        <f t="shared" si="4"/>
        <v>265</v>
      </c>
      <c r="U68" s="2706">
        <v>300</v>
      </c>
    </row>
    <row r="69" spans="1:21" ht="16.2">
      <c r="A69" s="2704" t="s">
        <v>2346</v>
      </c>
      <c r="T69" s="2706">
        <f t="shared" si="4"/>
        <v>0</v>
      </c>
    </row>
    <row r="70" spans="1:21" ht="16.2">
      <c r="A70" s="2698" t="s">
        <v>2347</v>
      </c>
      <c r="T70" s="2706">
        <f t="shared" si="4"/>
        <v>0</v>
      </c>
    </row>
    <row r="71" spans="1:21" ht="16.2">
      <c r="A71" s="2698" t="s">
        <v>2348</v>
      </c>
      <c r="T71" s="2706">
        <f t="shared" si="4"/>
        <v>0</v>
      </c>
    </row>
    <row r="72" spans="1:21" ht="16.2">
      <c r="A72" s="2698" t="s">
        <v>1366</v>
      </c>
      <c r="C72" s="2707">
        <v>360</v>
      </c>
      <c r="D72" s="2707">
        <v>12</v>
      </c>
      <c r="F72" s="2707">
        <v>442</v>
      </c>
      <c r="G72" s="2707">
        <v>170</v>
      </c>
      <c r="T72" s="2706">
        <f t="shared" si="4"/>
        <v>984</v>
      </c>
      <c r="U72" s="2706">
        <v>100</v>
      </c>
    </row>
    <row r="73" spans="1:21" ht="16.2">
      <c r="A73" s="2698" t="s">
        <v>928</v>
      </c>
      <c r="D73" s="2707">
        <v>15</v>
      </c>
      <c r="F73" s="2707">
        <v>150</v>
      </c>
      <c r="H73" s="2707">
        <v>25</v>
      </c>
      <c r="T73" s="2706">
        <f t="shared" si="4"/>
        <v>190</v>
      </c>
      <c r="U73" s="2706">
        <v>200</v>
      </c>
    </row>
    <row r="74" spans="1:21" ht="16.2">
      <c r="A74" s="2698" t="s">
        <v>2349</v>
      </c>
      <c r="T74" s="2706">
        <f t="shared" si="4"/>
        <v>0</v>
      </c>
    </row>
    <row r="75" spans="1:21" ht="16.2">
      <c r="A75" s="2698" t="s">
        <v>929</v>
      </c>
      <c r="T75" s="2706">
        <f t="shared" si="4"/>
        <v>0</v>
      </c>
    </row>
    <row r="76" spans="1:21" ht="16.2">
      <c r="A76" s="2698" t="s">
        <v>2350</v>
      </c>
      <c r="T76" s="2706">
        <f t="shared" si="4"/>
        <v>0</v>
      </c>
    </row>
    <row r="77" spans="1:21" ht="16.2">
      <c r="A77" s="2698" t="s">
        <v>588</v>
      </c>
      <c r="T77" s="2706">
        <f t="shared" si="4"/>
        <v>0</v>
      </c>
    </row>
    <row r="78" spans="1:21" ht="16.2">
      <c r="A78" s="2698" t="s">
        <v>1198</v>
      </c>
      <c r="T78" s="2706">
        <f t="shared" si="4"/>
        <v>0</v>
      </c>
    </row>
    <row r="79" spans="1:21" ht="16.2">
      <c r="A79" s="2698" t="s">
        <v>2351</v>
      </c>
      <c r="T79" s="2706">
        <f t="shared" si="4"/>
        <v>0</v>
      </c>
    </row>
    <row r="80" spans="1:21" ht="16.2">
      <c r="A80" s="2698" t="s">
        <v>2352</v>
      </c>
      <c r="T80" s="2706">
        <f t="shared" si="4"/>
        <v>0</v>
      </c>
    </row>
    <row r="82" spans="1:21">
      <c r="B82" s="2707" t="s">
        <v>2399</v>
      </c>
      <c r="C82" s="2707" t="s">
        <v>2400</v>
      </c>
      <c r="D82" s="2707" t="s">
        <v>2401</v>
      </c>
      <c r="E82" s="2707" t="s">
        <v>2402</v>
      </c>
      <c r="F82" s="2707" t="s">
        <v>2403</v>
      </c>
      <c r="G82" s="2707" t="s">
        <v>2404</v>
      </c>
      <c r="H82" s="2707" t="s">
        <v>2405</v>
      </c>
      <c r="I82" s="2707" t="s">
        <v>2406</v>
      </c>
      <c r="J82" s="2707" t="s">
        <v>2407</v>
      </c>
      <c r="K82" s="2707" t="s">
        <v>2408</v>
      </c>
      <c r="L82" s="2707" t="s">
        <v>2409</v>
      </c>
      <c r="M82" s="2707" t="s">
        <v>2410</v>
      </c>
      <c r="O82" s="2707" t="s">
        <v>2411</v>
      </c>
      <c r="P82" s="2707" t="s">
        <v>2412</v>
      </c>
      <c r="Q82" s="2707" t="s">
        <v>2413</v>
      </c>
      <c r="R82" s="2707" t="s">
        <v>2414</v>
      </c>
      <c r="S82" s="2707" t="s">
        <v>2415</v>
      </c>
      <c r="T82" s="2706" t="s">
        <v>1372</v>
      </c>
    </row>
    <row r="83" spans="1:21">
      <c r="A83" s="2706" t="s">
        <v>2422</v>
      </c>
    </row>
    <row r="84" spans="1:21" ht="16.2">
      <c r="A84" s="2709" t="s">
        <v>2381</v>
      </c>
      <c r="B84" s="2707">
        <v>465</v>
      </c>
      <c r="T84" s="2706">
        <f>SUM(B84:S84)</f>
        <v>465</v>
      </c>
      <c r="U84" s="2706">
        <v>470</v>
      </c>
    </row>
    <row r="85" spans="1:21" ht="16.2">
      <c r="A85" s="2709" t="s">
        <v>2382</v>
      </c>
      <c r="I85" s="2707">
        <v>422</v>
      </c>
      <c r="K85" s="2706">
        <v>365</v>
      </c>
      <c r="M85" s="2707">
        <v>20</v>
      </c>
      <c r="T85" s="2706">
        <f>SUM(B85:S85)</f>
        <v>807</v>
      </c>
      <c r="U85" s="2706">
        <v>800</v>
      </c>
    </row>
    <row r="86" spans="1:21" ht="16.2">
      <c r="A86" s="2709" t="s">
        <v>2383</v>
      </c>
      <c r="G86" s="2707">
        <v>300</v>
      </c>
      <c r="M86" s="2707">
        <v>335</v>
      </c>
      <c r="O86" s="2707">
        <v>170</v>
      </c>
      <c r="T86" s="2706">
        <f t="shared" ref="T86:T95" si="5">SUM(B86:S86)</f>
        <v>805</v>
      </c>
      <c r="U86" s="2706">
        <v>400</v>
      </c>
    </row>
    <row r="87" spans="1:21" ht="16.2">
      <c r="A87" s="2694" t="s">
        <v>2421</v>
      </c>
      <c r="C87" s="2707">
        <f>125+315+115</f>
        <v>555</v>
      </c>
      <c r="D87" s="2707">
        <f>145+25+8+25+245</f>
        <v>448</v>
      </c>
      <c r="F87" s="2707">
        <f>100+710+265+185</f>
        <v>1260</v>
      </c>
      <c r="G87" s="2707">
        <f>485+75+150+250</f>
        <v>960</v>
      </c>
      <c r="H87" s="2707">
        <f>65+130+45</f>
        <v>240</v>
      </c>
      <c r="I87" s="2707">
        <f>370+2280+1515</f>
        <v>4165</v>
      </c>
      <c r="J87" s="2708">
        <f>105</f>
        <v>105</v>
      </c>
      <c r="L87" s="2707">
        <f>105</f>
        <v>105</v>
      </c>
      <c r="T87" s="2706">
        <f t="shared" si="5"/>
        <v>7838</v>
      </c>
      <c r="U87" s="2706">
        <v>7840</v>
      </c>
    </row>
    <row r="88" spans="1:21" ht="16.2">
      <c r="A88" s="2694" t="s">
        <v>2423</v>
      </c>
      <c r="F88" s="2707">
        <f>2050+50</f>
        <v>2100</v>
      </c>
      <c r="G88" s="2707">
        <v>230</v>
      </c>
      <c r="T88" s="2706">
        <f t="shared" si="5"/>
        <v>2330</v>
      </c>
      <c r="U88" s="2706">
        <v>2565</v>
      </c>
    </row>
    <row r="89" spans="1:21" ht="16.2">
      <c r="A89" s="2694" t="s">
        <v>2384</v>
      </c>
      <c r="T89" s="2706">
        <f t="shared" si="5"/>
        <v>0</v>
      </c>
    </row>
    <row r="90" spans="1:21" ht="16.2">
      <c r="A90" s="2698" t="s">
        <v>2300</v>
      </c>
      <c r="T90" s="2706">
        <f t="shared" si="5"/>
        <v>0</v>
      </c>
    </row>
    <row r="91" spans="1:21" ht="16.2">
      <c r="A91" s="2698" t="s">
        <v>2299</v>
      </c>
      <c r="T91" s="2706">
        <f t="shared" si="5"/>
        <v>0</v>
      </c>
    </row>
    <row r="92" spans="1:21" ht="16.2">
      <c r="A92" s="2694" t="s">
        <v>2385</v>
      </c>
      <c r="T92" s="2706">
        <f t="shared" si="5"/>
        <v>0</v>
      </c>
    </row>
    <row r="93" spans="1:21" ht="16.2">
      <c r="A93" s="2694" t="s">
        <v>2298</v>
      </c>
      <c r="T93" s="2706">
        <f t="shared" si="5"/>
        <v>0</v>
      </c>
    </row>
    <row r="94" spans="1:21" ht="16.2">
      <c r="A94" s="2698" t="s">
        <v>926</v>
      </c>
      <c r="T94" s="2706">
        <f t="shared" si="5"/>
        <v>0</v>
      </c>
    </row>
    <row r="95" spans="1:21" ht="16.2">
      <c r="A95" s="2698" t="s">
        <v>845</v>
      </c>
      <c r="T95" s="2706">
        <f t="shared" si="5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4"/>
  <sheetViews>
    <sheetView topLeftCell="A91" zoomScale="85" zoomScaleNormal="85" workbookViewId="0">
      <selection activeCell="H115" sqref="H115"/>
    </sheetView>
  </sheetViews>
  <sheetFormatPr defaultRowHeight="15"/>
  <cols>
    <col min="1" max="1" width="31.1796875" customWidth="1"/>
    <col min="2" max="2" width="10.54296875" customWidth="1"/>
    <col min="3" max="3" width="11" customWidth="1"/>
    <col min="4" max="11" width="11.453125" customWidth="1"/>
    <col min="12" max="12" width="25.90625" customWidth="1"/>
    <col min="13" max="13" width="12.81640625" customWidth="1"/>
    <col min="14" max="15" width="10.36328125" customWidth="1"/>
    <col min="16" max="21" width="8.1796875" customWidth="1"/>
    <col min="22" max="22" width="9" customWidth="1"/>
    <col min="23" max="57" width="6.81640625" customWidth="1"/>
    <col min="59" max="59" width="17" customWidth="1"/>
    <col min="60" max="60" width="9.36328125" bestFit="1" customWidth="1"/>
    <col min="61" max="61" width="8" bestFit="1" customWidth="1"/>
  </cols>
  <sheetData>
    <row r="1" spans="1:66" ht="16.2">
      <c r="A1" s="716"/>
      <c r="B1" s="716"/>
      <c r="C1" s="716"/>
      <c r="D1" s="716"/>
      <c r="E1" s="716"/>
      <c r="F1" s="716"/>
      <c r="G1" s="716"/>
      <c r="H1" s="716"/>
      <c r="I1" s="716"/>
      <c r="J1" s="716"/>
      <c r="K1" s="1099"/>
      <c r="L1" s="716"/>
      <c r="M1" s="716"/>
      <c r="N1" s="716"/>
      <c r="O1" s="716"/>
      <c r="P1" s="716"/>
      <c r="Q1" s="2064"/>
      <c r="R1" s="2064"/>
      <c r="S1" s="2064"/>
      <c r="T1" s="2064"/>
      <c r="U1" s="2064"/>
      <c r="V1" s="2064"/>
      <c r="W1" s="2064"/>
      <c r="X1" s="2064"/>
      <c r="Y1" s="2064"/>
      <c r="Z1" s="2064"/>
      <c r="AA1" s="2064"/>
      <c r="AB1" s="2064"/>
      <c r="AC1" s="2064"/>
      <c r="AD1" s="2064"/>
      <c r="AE1" s="2064"/>
      <c r="AF1" s="2064"/>
      <c r="AG1" s="2064"/>
      <c r="AH1" s="2064"/>
      <c r="AI1" s="2064"/>
      <c r="AJ1" s="2064"/>
      <c r="AK1" s="2064"/>
      <c r="AL1" s="2064"/>
      <c r="AM1" s="2064"/>
      <c r="AN1" s="2064"/>
      <c r="AO1" s="2064"/>
      <c r="AP1" s="2064"/>
      <c r="AQ1" s="2064"/>
      <c r="AR1" s="2064"/>
      <c r="AS1" s="2064"/>
      <c r="AT1" s="2064"/>
      <c r="AU1" s="2064"/>
      <c r="AV1" s="2064"/>
      <c r="AW1" s="2064"/>
      <c r="AX1" s="2064"/>
      <c r="AY1" s="2064"/>
      <c r="AZ1" s="2064"/>
      <c r="BA1" s="2064"/>
      <c r="BB1" s="2064"/>
      <c r="BC1" s="2064"/>
      <c r="BD1" s="2064"/>
      <c r="BE1" s="2064"/>
      <c r="BF1" s="1679"/>
      <c r="BG1" s="1679"/>
      <c r="BH1" s="1679"/>
      <c r="BI1" s="1679"/>
      <c r="BJ1" s="1679"/>
      <c r="BK1" s="2041"/>
      <c r="BL1" s="2041"/>
      <c r="BM1" s="2042"/>
      <c r="BN1" s="2043"/>
    </row>
    <row r="2" spans="1:66" ht="16.2">
      <c r="A2" s="716"/>
      <c r="B2" s="716"/>
      <c r="C2" s="2065" t="s">
        <v>2185</v>
      </c>
      <c r="D2" s="2066"/>
      <c r="E2" s="2067">
        <v>0</v>
      </c>
      <c r="F2" s="716"/>
      <c r="G2" s="710"/>
      <c r="H2" s="2068" t="s">
        <v>2186</v>
      </c>
      <c r="I2" s="2069"/>
      <c r="J2" s="2069"/>
      <c r="K2" s="2070"/>
      <c r="L2" s="2071"/>
      <c r="M2" s="3216" t="s">
        <v>2312</v>
      </c>
      <c r="N2" s="3217"/>
      <c r="O2" s="2072"/>
      <c r="P2" s="716"/>
      <c r="Q2" s="2064"/>
      <c r="R2" s="2064"/>
      <c r="S2" s="2064"/>
      <c r="T2" s="2064"/>
      <c r="U2" s="2064"/>
      <c r="V2" s="2064"/>
      <c r="W2" s="2064"/>
      <c r="X2" s="2064"/>
      <c r="Y2" s="2064"/>
      <c r="Z2" s="2064"/>
      <c r="AA2" s="2064"/>
      <c r="AB2" s="2064"/>
      <c r="AC2" s="2064"/>
      <c r="AD2" s="2064"/>
      <c r="AE2" s="2064"/>
      <c r="AF2" s="2064"/>
      <c r="AG2" s="2064"/>
      <c r="AH2" s="2064"/>
      <c r="AI2" s="2064"/>
      <c r="AJ2" s="2064"/>
      <c r="AK2" s="2064"/>
      <c r="AL2" s="2064"/>
      <c r="AM2" s="2064"/>
      <c r="AN2" s="2064"/>
      <c r="AO2" s="2064"/>
      <c r="AP2" s="2064"/>
      <c r="AQ2" s="2064"/>
      <c r="AR2" s="2064"/>
      <c r="AS2" s="2064"/>
      <c r="AT2" s="2064"/>
      <c r="AU2" s="2064"/>
      <c r="AV2" s="2064"/>
      <c r="AW2" s="2064"/>
      <c r="AX2" s="2064"/>
      <c r="AY2" s="2064"/>
      <c r="AZ2" s="2064"/>
      <c r="BA2" s="2064"/>
      <c r="BB2" s="2064"/>
      <c r="BC2" s="2064"/>
      <c r="BD2" s="2064"/>
      <c r="BE2" s="2064"/>
      <c r="BF2" s="1679"/>
      <c r="BG2" s="1679"/>
      <c r="BH2" s="1679"/>
      <c r="BI2" s="1679"/>
      <c r="BJ2" s="1679"/>
      <c r="BK2" s="2041"/>
      <c r="BL2" s="2041"/>
      <c r="BM2" s="2042"/>
      <c r="BN2" s="2043"/>
    </row>
    <row r="3" spans="1:66" ht="15" customHeight="1">
      <c r="A3" s="716"/>
      <c r="B3" s="716"/>
      <c r="C3" s="2073" t="s">
        <v>2187</v>
      </c>
      <c r="D3" s="2074"/>
      <c r="E3" s="2075">
        <v>40590</v>
      </c>
      <c r="F3" s="716"/>
      <c r="G3" s="710"/>
      <c r="H3" s="2076" t="s">
        <v>2188</v>
      </c>
      <c r="I3" s="2077"/>
      <c r="J3" s="2078"/>
      <c r="K3" s="2079" t="s">
        <v>2189</v>
      </c>
      <c r="L3" s="2080"/>
      <c r="M3" s="3218"/>
      <c r="N3" s="3219"/>
      <c r="O3" s="2072"/>
      <c r="P3" s="716"/>
      <c r="Q3" s="2064"/>
      <c r="R3" s="2064"/>
      <c r="S3" s="2064"/>
      <c r="T3" s="2064"/>
      <c r="U3" s="2064"/>
      <c r="V3" s="2064"/>
      <c r="W3" s="2064"/>
      <c r="X3" s="2064"/>
      <c r="Y3" s="2064"/>
      <c r="Z3" s="2064"/>
      <c r="AA3" s="2064"/>
      <c r="AB3" s="2064"/>
      <c r="AC3" s="2064"/>
      <c r="AD3" s="2064"/>
      <c r="AE3" s="2064"/>
      <c r="AF3" s="2064"/>
      <c r="AG3" s="2064"/>
      <c r="AH3" s="2064"/>
      <c r="AI3" s="2064"/>
      <c r="AJ3" s="2064"/>
      <c r="AK3" s="2064"/>
      <c r="AL3" s="2064"/>
      <c r="AM3" s="2064"/>
      <c r="AN3" s="2064"/>
      <c r="AO3" s="2064"/>
      <c r="AP3" s="2064"/>
      <c r="AQ3" s="2064"/>
      <c r="AR3" s="2064"/>
      <c r="AS3" s="2064"/>
      <c r="AT3" s="2064"/>
      <c r="AU3" s="2064"/>
      <c r="AV3" s="2064"/>
      <c r="AW3" s="2064"/>
      <c r="AX3" s="2064"/>
      <c r="AY3" s="2064"/>
      <c r="AZ3" s="2064"/>
      <c r="BA3" s="2064"/>
      <c r="BB3" s="2064"/>
      <c r="BC3" s="2064"/>
      <c r="BD3" s="2064"/>
      <c r="BE3" s="2064"/>
      <c r="BF3" s="1679"/>
      <c r="BG3" s="1679"/>
      <c r="BH3" s="1679"/>
      <c r="BI3" s="1679"/>
      <c r="BJ3" s="1679"/>
      <c r="BK3" s="2041"/>
      <c r="BL3" s="2041"/>
      <c r="BM3" s="2042"/>
      <c r="BN3" s="2043"/>
    </row>
    <row r="4" spans="1:66" ht="16.2">
      <c r="A4" s="716"/>
      <c r="B4" s="716"/>
      <c r="C4" s="716"/>
      <c r="D4" s="716"/>
      <c r="E4" s="716"/>
      <c r="F4" s="716"/>
      <c r="G4" s="710"/>
      <c r="H4" s="2081" t="s">
        <v>2190</v>
      </c>
      <c r="I4" s="2082"/>
      <c r="J4" s="2083"/>
      <c r="K4" s="2084" t="s">
        <v>1129</v>
      </c>
      <c r="L4" s="2085"/>
      <c r="M4" s="3220">
        <v>30000</v>
      </c>
      <c r="N4" s="3221"/>
      <c r="O4" s="2086"/>
      <c r="P4" s="716"/>
      <c r="Q4" s="2064"/>
      <c r="R4" s="2064"/>
      <c r="S4" s="2064"/>
      <c r="T4" s="2064"/>
      <c r="U4" s="2064"/>
      <c r="V4" s="2064"/>
      <c r="W4" s="2064"/>
      <c r="X4" s="2064"/>
      <c r="Y4" s="2064"/>
      <c r="Z4" s="2064"/>
      <c r="AA4" s="2064"/>
      <c r="AB4" s="2064"/>
      <c r="AC4" s="2064"/>
      <c r="AD4" s="2064"/>
      <c r="AE4" s="2064"/>
      <c r="AF4" s="2064"/>
      <c r="AG4" s="2064"/>
      <c r="AH4" s="2064"/>
      <c r="AI4" s="2064"/>
      <c r="AJ4" s="2064"/>
      <c r="AK4" s="2064"/>
      <c r="AL4" s="2064"/>
      <c r="AM4" s="2064"/>
      <c r="AN4" s="2064"/>
      <c r="AO4" s="2064"/>
      <c r="AP4" s="2064"/>
      <c r="AQ4" s="2064"/>
      <c r="AR4" s="2064"/>
      <c r="AS4" s="2064"/>
      <c r="AT4" s="2064"/>
      <c r="AU4" s="2064"/>
      <c r="AV4" s="2064"/>
      <c r="AW4" s="2064"/>
      <c r="AX4" s="2064"/>
      <c r="AY4" s="2064"/>
      <c r="AZ4" s="2064"/>
      <c r="BA4" s="2064"/>
      <c r="BB4" s="2064"/>
      <c r="BC4" s="2064"/>
      <c r="BD4" s="2064"/>
      <c r="BE4" s="2064"/>
      <c r="BF4" s="1679"/>
      <c r="BG4" s="1679"/>
      <c r="BH4" s="1679"/>
      <c r="BI4" s="1679"/>
      <c r="BJ4" s="1679"/>
      <c r="BK4" s="2041"/>
      <c r="BL4" s="2041"/>
      <c r="BM4" s="2042"/>
      <c r="BN4" s="2043"/>
    </row>
    <row r="5" spans="1:66" ht="16.2">
      <c r="A5" s="716"/>
      <c r="B5" s="716"/>
      <c r="C5" s="716"/>
      <c r="D5" s="716"/>
      <c r="E5" s="716"/>
      <c r="F5" s="716"/>
      <c r="G5" s="710"/>
      <c r="H5" s="2081" t="s">
        <v>2191</v>
      </c>
      <c r="I5" s="2082"/>
      <c r="J5" s="2083"/>
      <c r="K5" s="2084"/>
      <c r="L5" s="2085"/>
      <c r="M5" s="2087" t="s">
        <v>2192</v>
      </c>
      <c r="N5" s="2088" t="s">
        <v>2193</v>
      </c>
      <c r="O5" s="2072"/>
      <c r="P5" s="716"/>
      <c r="Q5" s="2064"/>
      <c r="R5" s="2064"/>
      <c r="S5" s="2064"/>
      <c r="T5" s="2064"/>
      <c r="U5" s="2064"/>
      <c r="V5" s="2064"/>
      <c r="W5" s="2064"/>
      <c r="X5" s="2064"/>
      <c r="Y5" s="2064"/>
      <c r="Z5" s="2064"/>
      <c r="AA5" s="2064"/>
      <c r="AB5" s="2064"/>
      <c r="AC5" s="2064"/>
      <c r="AD5" s="2064"/>
      <c r="AE5" s="2064"/>
      <c r="AF5" s="2064"/>
      <c r="AG5" s="2064"/>
      <c r="AH5" s="2064"/>
      <c r="AI5" s="2064"/>
      <c r="AJ5" s="2064"/>
      <c r="AK5" s="2064"/>
      <c r="AL5" s="2064"/>
      <c r="AM5" s="2064"/>
      <c r="AN5" s="2064"/>
      <c r="AO5" s="2064"/>
      <c r="AP5" s="2064"/>
      <c r="AQ5" s="2064"/>
      <c r="AR5" s="2064"/>
      <c r="AS5" s="2064"/>
      <c r="AT5" s="2064"/>
      <c r="AU5" s="2064"/>
      <c r="AV5" s="2064"/>
      <c r="AW5" s="2064"/>
      <c r="AX5" s="2064"/>
      <c r="AY5" s="2064"/>
      <c r="AZ5" s="2064"/>
      <c r="BA5" s="2064"/>
      <c r="BB5" s="2064"/>
      <c r="BC5" s="2064"/>
      <c r="BD5" s="2064"/>
      <c r="BE5" s="2064"/>
      <c r="BF5" s="1679"/>
      <c r="BG5" s="1679"/>
      <c r="BH5" s="1679"/>
      <c r="BI5" s="1679"/>
      <c r="BJ5" s="1679"/>
      <c r="BK5" s="2041"/>
      <c r="BL5" s="2041"/>
      <c r="BM5" s="2042"/>
      <c r="BN5" s="2043"/>
    </row>
    <row r="6" spans="1:66" ht="16.2">
      <c r="A6" s="716"/>
      <c r="B6" s="716"/>
      <c r="C6" s="716"/>
      <c r="D6" s="716"/>
      <c r="E6" s="716"/>
      <c r="F6" s="716"/>
      <c r="G6" s="710"/>
      <c r="H6" s="2081"/>
      <c r="I6" s="2082" t="s">
        <v>667</v>
      </c>
      <c r="J6" s="2083"/>
      <c r="K6" s="2089">
        <v>8.0000000000000002E-3</v>
      </c>
      <c r="L6" s="2085" t="s">
        <v>2194</v>
      </c>
      <c r="M6" s="2090">
        <v>7000</v>
      </c>
      <c r="N6" s="2091">
        <f>IF(M4&gt;M6,K6*M6,K6*M4)</f>
        <v>56</v>
      </c>
      <c r="O6" s="2092"/>
      <c r="P6" s="716"/>
      <c r="Q6" s="2064"/>
      <c r="R6" s="2064"/>
      <c r="S6" s="2064"/>
      <c r="T6" s="2064"/>
      <c r="U6" s="2064"/>
      <c r="V6" s="2064"/>
      <c r="W6" s="2064"/>
      <c r="X6" s="2064"/>
      <c r="Y6" s="2064"/>
      <c r="Z6" s="2064"/>
      <c r="AA6" s="2064"/>
      <c r="AB6" s="2064"/>
      <c r="AC6" s="2064"/>
      <c r="AD6" s="2064"/>
      <c r="AE6" s="2064"/>
      <c r="AF6" s="2064"/>
      <c r="AG6" s="2064"/>
      <c r="AH6" s="2064"/>
      <c r="AI6" s="2064"/>
      <c r="AJ6" s="2064"/>
      <c r="AK6" s="2064"/>
      <c r="AL6" s="2064"/>
      <c r="AM6" s="2064"/>
      <c r="AN6" s="2064"/>
      <c r="AO6" s="2064"/>
      <c r="AP6" s="2064"/>
      <c r="AQ6" s="2064"/>
      <c r="AR6" s="2064"/>
      <c r="AS6" s="2064"/>
      <c r="AT6" s="2064"/>
      <c r="AU6" s="2064"/>
      <c r="AV6" s="2064"/>
      <c r="AW6" s="2064"/>
      <c r="AX6" s="2064"/>
      <c r="AY6" s="2064"/>
      <c r="AZ6" s="2064"/>
      <c r="BA6" s="2064"/>
      <c r="BB6" s="2064"/>
      <c r="BC6" s="2064"/>
      <c r="BD6" s="2064"/>
      <c r="BE6" s="2064"/>
      <c r="BF6" s="1679"/>
      <c r="BG6" s="1679"/>
      <c r="BH6" s="1679"/>
      <c r="BI6" s="1679"/>
      <c r="BJ6" s="1679"/>
      <c r="BK6" s="2041"/>
      <c r="BL6" s="2041"/>
      <c r="BM6" s="2042"/>
      <c r="BN6" s="2043"/>
    </row>
    <row r="7" spans="1:66" ht="16.2">
      <c r="A7" s="716"/>
      <c r="B7" s="716"/>
      <c r="C7" s="716"/>
      <c r="D7" s="716"/>
      <c r="E7" s="716"/>
      <c r="F7" s="716"/>
      <c r="G7" s="710"/>
      <c r="H7" s="2081"/>
      <c r="I7" s="2082" t="s">
        <v>2313</v>
      </c>
      <c r="J7" s="2083"/>
      <c r="K7" s="2093">
        <v>6.2E-2</v>
      </c>
      <c r="L7" s="2085" t="s">
        <v>2314</v>
      </c>
      <c r="M7" s="2090">
        <v>106800</v>
      </c>
      <c r="N7" s="2091">
        <f>K7*M4</f>
        <v>1860</v>
      </c>
      <c r="O7" s="2092"/>
      <c r="P7" s="716"/>
      <c r="Q7" s="2064"/>
      <c r="R7" s="2064"/>
      <c r="S7" s="2064"/>
      <c r="T7" s="2064"/>
      <c r="U7" s="2064"/>
      <c r="V7" s="2064"/>
      <c r="W7" s="2064"/>
      <c r="X7" s="2064"/>
      <c r="Y7" s="2064"/>
      <c r="Z7" s="2064"/>
      <c r="AA7" s="2064"/>
      <c r="AB7" s="2064"/>
      <c r="AC7" s="2064"/>
      <c r="AD7" s="2064"/>
      <c r="AE7" s="2064"/>
      <c r="AF7" s="2064"/>
      <c r="AG7" s="2064"/>
      <c r="AH7" s="2064"/>
      <c r="AI7" s="2064"/>
      <c r="AJ7" s="2064"/>
      <c r="AK7" s="2064"/>
      <c r="AL7" s="2064"/>
      <c r="AM7" s="2064"/>
      <c r="AN7" s="2064"/>
      <c r="AO7" s="2064"/>
      <c r="AP7" s="2064"/>
      <c r="AQ7" s="2064"/>
      <c r="AR7" s="2064"/>
      <c r="AS7" s="2064"/>
      <c r="AT7" s="2064"/>
      <c r="AU7" s="2064"/>
      <c r="AV7" s="2064"/>
      <c r="AW7" s="2064"/>
      <c r="AX7" s="2064"/>
      <c r="AY7" s="2064"/>
      <c r="AZ7" s="2064"/>
      <c r="BA7" s="2064"/>
      <c r="BB7" s="2064"/>
      <c r="BC7" s="2064"/>
      <c r="BD7" s="2064"/>
      <c r="BE7" s="2064"/>
      <c r="BF7" s="1679"/>
      <c r="BG7" s="1679"/>
      <c r="BH7" s="1679"/>
      <c r="BI7" s="1679"/>
      <c r="BJ7" s="1679"/>
      <c r="BK7" s="2041"/>
      <c r="BL7" s="2041"/>
      <c r="BM7" s="2042"/>
      <c r="BN7" s="2043"/>
    </row>
    <row r="8" spans="1:66" ht="16.2">
      <c r="A8" s="716"/>
      <c r="B8" s="716"/>
      <c r="C8" s="716"/>
      <c r="D8" s="716"/>
      <c r="E8" s="716"/>
      <c r="F8" s="716"/>
      <c r="G8" s="710"/>
      <c r="H8" s="2081"/>
      <c r="I8" s="2082" t="s">
        <v>2195</v>
      </c>
      <c r="J8" s="2083"/>
      <c r="K8" s="2093">
        <v>1.4500000000000001E-2</v>
      </c>
      <c r="L8" s="2085"/>
      <c r="M8" s="2090"/>
      <c r="N8" s="2091">
        <f>K8*M4</f>
        <v>435</v>
      </c>
      <c r="O8" s="2092"/>
      <c r="P8" s="716"/>
      <c r="Q8" s="2064"/>
      <c r="R8" s="2064"/>
      <c r="S8" s="2064"/>
      <c r="T8" s="2064"/>
      <c r="U8" s="2064"/>
      <c r="V8" s="2064"/>
      <c r="W8" s="2064"/>
      <c r="X8" s="2064"/>
      <c r="Y8" s="2064"/>
      <c r="Z8" s="2064"/>
      <c r="AA8" s="2064"/>
      <c r="AB8" s="2064"/>
      <c r="AC8" s="2064"/>
      <c r="AD8" s="2064"/>
      <c r="AE8" s="2064"/>
      <c r="AF8" s="2064"/>
      <c r="AG8" s="2064"/>
      <c r="AH8" s="2064"/>
      <c r="AI8" s="2064"/>
      <c r="AJ8" s="2064"/>
      <c r="AK8" s="2064"/>
      <c r="AL8" s="2064"/>
      <c r="AM8" s="2064"/>
      <c r="AN8" s="2064"/>
      <c r="AO8" s="2064"/>
      <c r="AP8" s="2064"/>
      <c r="AQ8" s="2064"/>
      <c r="AR8" s="2064"/>
      <c r="AS8" s="2064"/>
      <c r="AT8" s="2064"/>
      <c r="AU8" s="2064"/>
      <c r="AV8" s="2064"/>
      <c r="AW8" s="2064"/>
      <c r="AX8" s="2064"/>
      <c r="AY8" s="2064"/>
      <c r="AZ8" s="2064"/>
      <c r="BA8" s="2064"/>
      <c r="BB8" s="2064"/>
      <c r="BC8" s="2064"/>
      <c r="BD8" s="2064"/>
      <c r="BE8" s="2064"/>
      <c r="BF8" s="1679"/>
      <c r="BG8" s="1679"/>
      <c r="BH8" s="1679"/>
      <c r="BI8" s="1679"/>
      <c r="BJ8" s="1679"/>
      <c r="BK8" s="2041"/>
      <c r="BL8" s="2041"/>
      <c r="BM8" s="2042"/>
      <c r="BN8" s="2043"/>
    </row>
    <row r="9" spans="1:66" ht="16.2">
      <c r="A9" s="716"/>
      <c r="B9" s="716"/>
      <c r="C9" s="716"/>
      <c r="D9" s="716"/>
      <c r="E9" s="716"/>
      <c r="F9" s="716"/>
      <c r="G9" s="710"/>
      <c r="H9" s="2081"/>
      <c r="I9" s="2082" t="s">
        <v>2196</v>
      </c>
      <c r="J9" s="2083"/>
      <c r="K9" s="2089">
        <v>0.1</v>
      </c>
      <c r="L9" s="2085" t="s">
        <v>2315</v>
      </c>
      <c r="M9" s="2090">
        <v>8000</v>
      </c>
      <c r="N9" s="2094">
        <f>IF(M4&gt;M9,K9*M9,J9*M4)</f>
        <v>800</v>
      </c>
      <c r="O9" s="2092"/>
      <c r="P9" s="716"/>
      <c r="Q9" s="2064"/>
      <c r="R9" s="2064"/>
      <c r="S9" s="2064"/>
      <c r="T9" s="2064"/>
      <c r="U9" s="2064"/>
      <c r="V9" s="2064"/>
      <c r="W9" s="2064"/>
      <c r="X9" s="2064"/>
      <c r="Y9" s="2064"/>
      <c r="Z9" s="2064"/>
      <c r="AA9" s="2064"/>
      <c r="AB9" s="2064"/>
      <c r="AC9" s="2064"/>
      <c r="AD9" s="2064"/>
      <c r="AE9" s="2064"/>
      <c r="AF9" s="2064"/>
      <c r="AG9" s="2064"/>
      <c r="AH9" s="2064"/>
      <c r="AI9" s="2064"/>
      <c r="AJ9" s="2064"/>
      <c r="AK9" s="2064"/>
      <c r="AL9" s="2064"/>
      <c r="AM9" s="2064"/>
      <c r="AN9" s="2064"/>
      <c r="AO9" s="2064"/>
      <c r="AP9" s="2064"/>
      <c r="AQ9" s="2064"/>
      <c r="AR9" s="2064"/>
      <c r="AS9" s="2064"/>
      <c r="AT9" s="2064"/>
      <c r="AU9" s="2064"/>
      <c r="AV9" s="2064"/>
      <c r="AW9" s="2064"/>
      <c r="AX9" s="2064"/>
      <c r="AY9" s="2064"/>
      <c r="AZ9" s="2064"/>
      <c r="BA9" s="2064"/>
      <c r="BB9" s="2064"/>
      <c r="BC9" s="2064"/>
      <c r="BD9" s="2064"/>
      <c r="BE9" s="2064"/>
      <c r="BF9" s="1679"/>
      <c r="BG9" s="1679"/>
      <c r="BH9" s="1679"/>
      <c r="BI9" s="1679"/>
      <c r="BJ9" s="1679"/>
      <c r="BK9" s="2041"/>
      <c r="BL9" s="2041"/>
      <c r="BM9" s="2042"/>
      <c r="BN9" s="2043"/>
    </row>
    <row r="10" spans="1:66" ht="16.2">
      <c r="A10" s="716"/>
      <c r="B10" s="716"/>
      <c r="C10" s="716"/>
      <c r="D10" s="716"/>
      <c r="E10" s="716"/>
      <c r="F10" s="716"/>
      <c r="G10" s="710"/>
      <c r="H10" s="2095"/>
      <c r="I10" s="2082" t="s">
        <v>2197</v>
      </c>
      <c r="J10" s="2077"/>
      <c r="K10" s="2096"/>
      <c r="L10" s="2097"/>
      <c r="M10" s="2098"/>
      <c r="N10" s="2099">
        <f>SUM(N6:N9)</f>
        <v>3151</v>
      </c>
      <c r="O10" s="2092"/>
      <c r="P10" s="716"/>
      <c r="Q10" s="2064"/>
      <c r="R10" s="2064"/>
      <c r="S10" s="2064"/>
      <c r="T10" s="2064"/>
      <c r="U10" s="2064"/>
      <c r="V10" s="2064"/>
      <c r="W10" s="2064"/>
      <c r="X10" s="2064"/>
      <c r="Y10" s="2064"/>
      <c r="Z10" s="2064"/>
      <c r="AA10" s="2064"/>
      <c r="AB10" s="2064"/>
      <c r="AC10" s="2064"/>
      <c r="AD10" s="2064"/>
      <c r="AE10" s="2064"/>
      <c r="AF10" s="2064"/>
      <c r="AG10" s="2064"/>
      <c r="AH10" s="2064"/>
      <c r="AI10" s="2064"/>
      <c r="AJ10" s="2064"/>
      <c r="AK10" s="2064"/>
      <c r="AL10" s="2064"/>
      <c r="AM10" s="2064"/>
      <c r="AN10" s="2064"/>
      <c r="AO10" s="2064"/>
      <c r="AP10" s="2064"/>
      <c r="AQ10" s="2064"/>
      <c r="AR10" s="2064"/>
      <c r="AS10" s="2064"/>
      <c r="AT10" s="2064"/>
      <c r="AU10" s="2064"/>
      <c r="AV10" s="2064"/>
      <c r="AW10" s="2064"/>
      <c r="AX10" s="2064"/>
      <c r="AY10" s="2064"/>
      <c r="AZ10" s="2064"/>
      <c r="BA10" s="2064"/>
      <c r="BB10" s="2064"/>
      <c r="BC10" s="2064"/>
      <c r="BD10" s="2064"/>
      <c r="BE10" s="2064"/>
      <c r="BF10" s="1679"/>
      <c r="BG10" s="1679"/>
      <c r="BH10" s="1679"/>
      <c r="BI10" s="1679"/>
      <c r="BJ10" s="1679"/>
      <c r="BK10" s="2041"/>
      <c r="BL10" s="2041"/>
      <c r="BM10" s="2042"/>
      <c r="BN10" s="2043"/>
    </row>
    <row r="11" spans="1:66" ht="16.2">
      <c r="A11" s="716"/>
      <c r="B11" s="716"/>
      <c r="C11" s="716"/>
      <c r="D11" s="716"/>
      <c r="E11" s="716"/>
      <c r="F11" s="716"/>
      <c r="G11" s="710"/>
      <c r="H11" s="2095"/>
      <c r="I11" s="2100" t="s">
        <v>2198</v>
      </c>
      <c r="J11" s="2077"/>
      <c r="K11" s="2101">
        <f>N10/M4</f>
        <v>0.10503333333333334</v>
      </c>
      <c r="L11" s="2097"/>
      <c r="M11" s="2102"/>
      <c r="N11" s="2099"/>
      <c r="O11" s="2092"/>
      <c r="P11" s="716"/>
      <c r="Q11" s="2064"/>
      <c r="R11" s="2064"/>
      <c r="S11" s="2064"/>
      <c r="T11" s="2064"/>
      <c r="U11" s="2064"/>
      <c r="V11" s="2064"/>
      <c r="W11" s="2064"/>
      <c r="X11" s="2064"/>
      <c r="Y11" s="2064"/>
      <c r="Z11" s="2064"/>
      <c r="AA11" s="2064"/>
      <c r="AB11" s="2064"/>
      <c r="AC11" s="2064"/>
      <c r="AD11" s="2064"/>
      <c r="AE11" s="2064"/>
      <c r="AF11" s="2064"/>
      <c r="AG11" s="2064"/>
      <c r="AH11" s="2064"/>
      <c r="AI11" s="2064"/>
      <c r="AJ11" s="2064"/>
      <c r="AK11" s="2064"/>
      <c r="AL11" s="2064"/>
      <c r="AM11" s="2064"/>
      <c r="AN11" s="2064"/>
      <c r="AO11" s="2064"/>
      <c r="AP11" s="2064"/>
      <c r="AQ11" s="2064"/>
      <c r="AR11" s="2064"/>
      <c r="AS11" s="2064"/>
      <c r="AT11" s="2064"/>
      <c r="AU11" s="2064"/>
      <c r="AV11" s="2064"/>
      <c r="AW11" s="2064"/>
      <c r="AX11" s="2064"/>
      <c r="AY11" s="2064"/>
      <c r="AZ11" s="2064"/>
      <c r="BA11" s="2064"/>
      <c r="BB11" s="2064"/>
      <c r="BC11" s="2064"/>
      <c r="BD11" s="2064"/>
      <c r="BE11" s="2064"/>
      <c r="BF11" s="1679"/>
      <c r="BG11" s="1679"/>
      <c r="BH11" s="1679"/>
      <c r="BI11" s="1679"/>
      <c r="BJ11" s="1679"/>
      <c r="BK11" s="2041"/>
      <c r="BL11" s="2041"/>
      <c r="BM11" s="2042"/>
      <c r="BN11" s="2043"/>
    </row>
    <row r="12" spans="1:66" ht="16.2">
      <c r="A12" s="716"/>
      <c r="B12" s="716"/>
      <c r="C12" s="2103"/>
      <c r="D12" s="2103"/>
      <c r="E12" s="1465"/>
      <c r="F12" s="1465"/>
      <c r="G12" s="710"/>
      <c r="H12" s="2095"/>
      <c r="I12" s="2104" t="s">
        <v>2199</v>
      </c>
      <c r="J12" s="2105"/>
      <c r="K12" s="2106">
        <v>0.9</v>
      </c>
      <c r="L12" s="2097"/>
      <c r="M12" s="716"/>
      <c r="N12" s="1679"/>
      <c r="O12" s="1679"/>
      <c r="P12" s="716"/>
      <c r="Q12" s="2064"/>
      <c r="R12" s="2064"/>
      <c r="S12" s="2064"/>
      <c r="T12" s="2064"/>
      <c r="U12" s="2064"/>
      <c r="V12" s="2064"/>
      <c r="W12" s="2064"/>
      <c r="X12" s="2064"/>
      <c r="Y12" s="2064"/>
      <c r="Z12" s="2064"/>
      <c r="AA12" s="2064"/>
      <c r="AB12" s="2064"/>
      <c r="AC12" s="2064"/>
      <c r="AD12" s="2064"/>
      <c r="AE12" s="2064"/>
      <c r="AF12" s="2064"/>
      <c r="AG12" s="2064"/>
      <c r="AH12" s="2064"/>
      <c r="AI12" s="2064"/>
      <c r="AJ12" s="2064"/>
      <c r="AK12" s="2064"/>
      <c r="AL12" s="2064"/>
      <c r="AM12" s="2064"/>
      <c r="AN12" s="2064"/>
      <c r="AO12" s="2064"/>
      <c r="AP12" s="2064"/>
      <c r="AQ12" s="2064"/>
      <c r="AR12" s="2064"/>
      <c r="AS12" s="2064"/>
      <c r="AT12" s="2064"/>
      <c r="AU12" s="2064"/>
      <c r="AV12" s="2064"/>
      <c r="AW12" s="2064"/>
      <c r="AX12" s="2064"/>
      <c r="AY12" s="2064"/>
      <c r="AZ12" s="2064"/>
      <c r="BA12" s="2064"/>
      <c r="BB12" s="2064"/>
      <c r="BC12" s="2064"/>
      <c r="BD12" s="2064"/>
      <c r="BE12" s="2064"/>
      <c r="BF12" s="1679"/>
      <c r="BG12" s="1679"/>
      <c r="BH12" s="1679"/>
      <c r="BI12" s="1679"/>
      <c r="BJ12" s="1679"/>
      <c r="BK12" s="2041"/>
      <c r="BL12" s="2041"/>
      <c r="BM12" s="2042"/>
      <c r="BN12" s="2043"/>
    </row>
    <row r="13" spans="1:66" ht="16.2">
      <c r="A13" s="716"/>
      <c r="B13" s="716"/>
      <c r="C13" s="2103"/>
      <c r="D13" s="2103"/>
      <c r="E13" s="2103"/>
      <c r="F13" s="2103"/>
      <c r="G13" s="710"/>
      <c r="H13" s="2081" t="s">
        <v>2200</v>
      </c>
      <c r="I13" s="2107"/>
      <c r="J13" s="2107"/>
      <c r="K13" s="2108">
        <v>40</v>
      </c>
      <c r="L13" s="2097" t="s">
        <v>2201</v>
      </c>
      <c r="M13" s="716"/>
      <c r="N13" s="716"/>
      <c r="O13" s="716"/>
      <c r="P13" s="716"/>
      <c r="Q13" s="2064"/>
      <c r="R13" s="2064"/>
      <c r="S13" s="2064"/>
      <c r="T13" s="2064"/>
      <c r="U13" s="2064"/>
      <c r="V13" s="2064"/>
      <c r="W13" s="2064"/>
      <c r="X13" s="2064"/>
      <c r="Y13" s="2064"/>
      <c r="Z13" s="2064"/>
      <c r="AA13" s="2064"/>
      <c r="AB13" s="2064"/>
      <c r="AC13" s="2064"/>
      <c r="AD13" s="2064"/>
      <c r="AE13" s="2064"/>
      <c r="AF13" s="2064"/>
      <c r="AG13" s="2064"/>
      <c r="AH13" s="2064"/>
      <c r="AI13" s="2064"/>
      <c r="AJ13" s="2064"/>
      <c r="AK13" s="2064"/>
      <c r="AL13" s="2064"/>
      <c r="AM13" s="2064"/>
      <c r="AN13" s="2064"/>
      <c r="AO13" s="2064"/>
      <c r="AP13" s="2064"/>
      <c r="AQ13" s="2064"/>
      <c r="AR13" s="2064"/>
      <c r="AS13" s="2064"/>
      <c r="AT13" s="2064"/>
      <c r="AU13" s="2064"/>
      <c r="AV13" s="2064"/>
      <c r="AW13" s="2064"/>
      <c r="AX13" s="2064"/>
      <c r="AY13" s="2064"/>
      <c r="AZ13" s="2064"/>
      <c r="BA13" s="2064"/>
      <c r="BB13" s="2064"/>
      <c r="BC13" s="2064"/>
      <c r="BD13" s="2064"/>
      <c r="BE13" s="2064"/>
      <c r="BF13" s="1679"/>
      <c r="BG13" s="1679"/>
      <c r="BH13" s="1679"/>
      <c r="BI13" s="1679"/>
      <c r="BJ13" s="1679"/>
      <c r="BK13" s="2041"/>
      <c r="BL13" s="2041"/>
      <c r="BM13" s="2042"/>
      <c r="BN13" s="2043"/>
    </row>
    <row r="14" spans="1:66" ht="16.2">
      <c r="A14" s="716"/>
      <c r="B14" s="716"/>
      <c r="C14" s="2103"/>
      <c r="D14" s="2103"/>
      <c r="E14" s="2109"/>
      <c r="F14" s="1465"/>
      <c r="G14" s="710"/>
      <c r="H14" s="2095"/>
      <c r="I14" s="2107" t="s">
        <v>2202</v>
      </c>
      <c r="J14" s="2107"/>
      <c r="K14" s="2110">
        <f>(K13-40)*0.5/K13</f>
        <v>0</v>
      </c>
      <c r="L14" s="2097"/>
      <c r="M14" s="716"/>
      <c r="N14" s="716"/>
      <c r="O14" s="716"/>
      <c r="P14" s="716"/>
      <c r="Q14" s="2064"/>
      <c r="R14" s="2064"/>
      <c r="S14" s="2064"/>
      <c r="T14" s="2064"/>
      <c r="U14" s="2064"/>
      <c r="V14" s="2064"/>
      <c r="W14" s="2064"/>
      <c r="X14" s="2064"/>
      <c r="Y14" s="2064"/>
      <c r="Z14" s="2064"/>
      <c r="AA14" s="2064"/>
      <c r="AB14" s="2064"/>
      <c r="AC14" s="2064"/>
      <c r="AD14" s="2064"/>
      <c r="AE14" s="2064"/>
      <c r="AF14" s="2064"/>
      <c r="AG14" s="2064"/>
      <c r="AH14" s="2064"/>
      <c r="AI14" s="2064"/>
      <c r="AJ14" s="2064"/>
      <c r="AK14" s="2064"/>
      <c r="AL14" s="2064"/>
      <c r="AM14" s="2064"/>
      <c r="AN14" s="2064"/>
      <c r="AO14" s="2064"/>
      <c r="AP14" s="2064"/>
      <c r="AQ14" s="2064"/>
      <c r="AR14" s="2064"/>
      <c r="AS14" s="2064"/>
      <c r="AT14" s="2064"/>
      <c r="AU14" s="2064"/>
      <c r="AV14" s="2064"/>
      <c r="AW14" s="2064"/>
      <c r="AX14" s="2064"/>
      <c r="AY14" s="2064"/>
      <c r="AZ14" s="2064"/>
      <c r="BA14" s="2064"/>
      <c r="BB14" s="2064"/>
      <c r="BC14" s="2064"/>
      <c r="BD14" s="2064"/>
      <c r="BE14" s="2064"/>
      <c r="BF14" s="1679"/>
      <c r="BG14" s="1679"/>
      <c r="BH14" s="1679"/>
      <c r="BI14" s="1679"/>
      <c r="BJ14" s="1679"/>
      <c r="BK14" s="2041"/>
      <c r="BL14" s="2041"/>
      <c r="BM14" s="2042"/>
      <c r="BN14" s="2043"/>
    </row>
    <row r="15" spans="1:66" ht="16.2">
      <c r="A15" s="716"/>
      <c r="B15" s="716"/>
      <c r="C15" s="716"/>
      <c r="D15" s="716"/>
      <c r="E15" s="716"/>
      <c r="F15" s="716"/>
      <c r="G15" s="710"/>
      <c r="H15" s="2073" t="s">
        <v>2203</v>
      </c>
      <c r="I15" s="2074"/>
      <c r="J15" s="2074"/>
      <c r="K15" s="2111">
        <v>36</v>
      </c>
      <c r="L15" s="2112" t="s">
        <v>2204</v>
      </c>
      <c r="M15" s="716"/>
      <c r="N15" s="716"/>
      <c r="O15" s="716"/>
      <c r="P15" s="716"/>
      <c r="Q15" s="2064"/>
      <c r="R15" s="2064"/>
      <c r="S15" s="2064"/>
      <c r="T15" s="2064"/>
      <c r="U15" s="2064"/>
      <c r="V15" s="2064"/>
      <c r="W15" s="2064"/>
      <c r="X15" s="2064"/>
      <c r="Y15" s="2064"/>
      <c r="Z15" s="2064"/>
      <c r="AA15" s="2064"/>
      <c r="AB15" s="2064"/>
      <c r="AC15" s="2064"/>
      <c r="AD15" s="2064"/>
      <c r="AE15" s="2064"/>
      <c r="AF15" s="2064"/>
      <c r="AG15" s="2064"/>
      <c r="AH15" s="2064"/>
      <c r="AI15" s="2064"/>
      <c r="AJ15" s="2064"/>
      <c r="AK15" s="2064"/>
      <c r="AL15" s="2064"/>
      <c r="AM15" s="2064"/>
      <c r="AN15" s="2064"/>
      <c r="AO15" s="2064"/>
      <c r="AP15" s="2064"/>
      <c r="AQ15" s="2064"/>
      <c r="AR15" s="2064"/>
      <c r="AS15" s="2064"/>
      <c r="AT15" s="2064"/>
      <c r="AU15" s="2064"/>
      <c r="AV15" s="2064"/>
      <c r="AW15" s="2064"/>
      <c r="AX15" s="2064"/>
      <c r="AY15" s="2064"/>
      <c r="AZ15" s="2064"/>
      <c r="BA15" s="2064"/>
      <c r="BB15" s="2064"/>
      <c r="BC15" s="2064"/>
      <c r="BD15" s="2064"/>
      <c r="BE15" s="2064"/>
      <c r="BF15" s="1679"/>
      <c r="BG15" s="1679"/>
      <c r="BH15" s="1679"/>
      <c r="BI15" s="1679"/>
      <c r="BJ15" s="1679"/>
      <c r="BK15" s="2041"/>
      <c r="BL15" s="2041"/>
      <c r="BM15" s="2042"/>
      <c r="BN15" s="2043"/>
    </row>
    <row r="16" spans="1:66" ht="16.2">
      <c r="A16" s="716"/>
      <c r="B16" s="716"/>
      <c r="C16" s="716"/>
      <c r="D16" s="716"/>
      <c r="E16" s="716"/>
      <c r="F16" s="716"/>
      <c r="G16" s="716"/>
      <c r="H16" s="716"/>
      <c r="I16" s="716"/>
      <c r="J16" s="716"/>
      <c r="K16" s="1099"/>
      <c r="L16" s="716"/>
      <c r="M16" s="716"/>
      <c r="N16" s="716"/>
      <c r="O16" s="716"/>
      <c r="P16" s="716"/>
      <c r="Q16" s="2064"/>
      <c r="R16" s="2064"/>
      <c r="S16" s="2064"/>
      <c r="T16" s="2064"/>
      <c r="U16" s="2064"/>
      <c r="V16" s="2064"/>
      <c r="W16" s="2064"/>
      <c r="X16" s="2064"/>
      <c r="Y16" s="2064"/>
      <c r="Z16" s="2064"/>
      <c r="AA16" s="2064"/>
      <c r="AB16" s="2064"/>
      <c r="AC16" s="2064"/>
      <c r="AD16" s="2064"/>
      <c r="AE16" s="2064"/>
      <c r="AF16" s="2064"/>
      <c r="AG16" s="2064"/>
      <c r="AH16" s="2064"/>
      <c r="AI16" s="2064"/>
      <c r="AJ16" s="2064"/>
      <c r="AK16" s="2064"/>
      <c r="AL16" s="2064"/>
      <c r="AM16" s="2064"/>
      <c r="AN16" s="2064"/>
      <c r="AO16" s="2064"/>
      <c r="AP16" s="2064"/>
      <c r="AQ16" s="2064"/>
      <c r="AR16" s="2064"/>
      <c r="AS16" s="2064"/>
      <c r="AT16" s="2064"/>
      <c r="AU16" s="2064"/>
      <c r="AV16" s="2064"/>
      <c r="AW16" s="2064"/>
      <c r="AX16" s="2064"/>
      <c r="AY16" s="2064"/>
      <c r="AZ16" s="2064"/>
      <c r="BA16" s="2064"/>
      <c r="BB16" s="2064"/>
      <c r="BC16" s="2064"/>
      <c r="BD16" s="2064"/>
      <c r="BE16" s="2064"/>
      <c r="BF16" s="1679"/>
      <c r="BG16" s="1679"/>
      <c r="BH16" s="1679"/>
      <c r="BI16" s="1679"/>
      <c r="BJ16" s="1679"/>
      <c r="BK16" s="2041"/>
      <c r="BL16" s="2041"/>
      <c r="BM16" s="2042"/>
      <c r="BN16" s="2043"/>
    </row>
    <row r="17" spans="1:66" ht="16.2">
      <c r="A17" s="716"/>
      <c r="B17" s="716"/>
      <c r="C17" s="716"/>
      <c r="D17" s="716"/>
      <c r="E17" s="716"/>
      <c r="F17" s="716"/>
      <c r="G17" s="716"/>
      <c r="H17" s="716"/>
      <c r="I17" s="1679"/>
      <c r="J17" s="716"/>
      <c r="K17" s="1099"/>
      <c r="L17" s="716"/>
      <c r="M17" s="716"/>
      <c r="N17" s="716"/>
      <c r="O17" s="716"/>
      <c r="P17" s="716"/>
      <c r="Q17" s="2064"/>
      <c r="R17" s="2064"/>
      <c r="S17" s="2064"/>
      <c r="T17" s="2064"/>
      <c r="U17" s="2064"/>
      <c r="V17" s="2064"/>
      <c r="W17" s="2064"/>
      <c r="X17" s="2064"/>
      <c r="Y17" s="2064"/>
      <c r="Z17" s="2064"/>
      <c r="AA17" s="2064"/>
      <c r="AB17" s="2064"/>
      <c r="AC17" s="2064"/>
      <c r="AD17" s="2064"/>
      <c r="AE17" s="2064"/>
      <c r="AF17" s="2064"/>
      <c r="AG17" s="2064"/>
      <c r="AH17" s="2064"/>
      <c r="AI17" s="2064"/>
      <c r="AJ17" s="2064"/>
      <c r="AK17" s="2064"/>
      <c r="AL17" s="2064"/>
      <c r="AM17" s="2064"/>
      <c r="AN17" s="2064"/>
      <c r="AO17" s="2064"/>
      <c r="AP17" s="2064"/>
      <c r="AQ17" s="2064"/>
      <c r="AR17" s="2064"/>
      <c r="AS17" s="2064"/>
      <c r="AT17" s="2064"/>
      <c r="AU17" s="2064"/>
      <c r="AV17" s="2064"/>
      <c r="AW17" s="2064"/>
      <c r="AX17" s="2064"/>
      <c r="AY17" s="2064"/>
      <c r="AZ17" s="2064"/>
      <c r="BA17" s="2064"/>
      <c r="BB17" s="2064"/>
      <c r="BC17" s="2064"/>
      <c r="BD17" s="2064"/>
      <c r="BE17" s="2064"/>
      <c r="BF17" s="1679"/>
      <c r="BG17" s="1679"/>
      <c r="BH17" s="1679"/>
      <c r="BI17" s="1679"/>
      <c r="BJ17" s="1679"/>
      <c r="BK17" s="2041"/>
      <c r="BL17" s="2041"/>
      <c r="BM17" s="2042"/>
      <c r="BN17" s="2043"/>
    </row>
    <row r="18" spans="1:66" ht="22.2">
      <c r="A18" s="2113"/>
      <c r="B18" s="2113"/>
      <c r="C18" s="729"/>
      <c r="D18" s="729"/>
      <c r="E18" s="729"/>
      <c r="F18" s="729"/>
      <c r="G18" s="729"/>
      <c r="H18" s="729"/>
      <c r="I18" s="1679"/>
      <c r="J18" s="729"/>
      <c r="K18" s="916"/>
      <c r="L18" s="729"/>
      <c r="M18" s="729"/>
      <c r="N18" s="729"/>
      <c r="O18" s="729"/>
      <c r="P18" s="729"/>
      <c r="Q18" s="1910"/>
      <c r="R18" s="2114"/>
      <c r="S18" s="2114"/>
      <c r="T18" s="2114"/>
      <c r="U18" s="2114"/>
      <c r="V18" s="2064"/>
      <c r="W18" s="2064"/>
      <c r="X18" s="2064"/>
      <c r="Y18" s="2064"/>
      <c r="Z18" s="2064"/>
      <c r="AA18" s="2064"/>
      <c r="AB18" s="2064"/>
      <c r="AC18" s="2064"/>
      <c r="AD18" s="2064"/>
      <c r="AE18" s="2064"/>
      <c r="AF18" s="2064"/>
      <c r="AG18" s="2064"/>
      <c r="AH18" s="2064"/>
      <c r="AI18" s="2064"/>
      <c r="AJ18" s="2064"/>
      <c r="AK18" s="2064"/>
      <c r="AL18" s="2064"/>
      <c r="AM18" s="2064"/>
      <c r="AN18" s="2064"/>
      <c r="AO18" s="2064"/>
      <c r="AP18" s="2064"/>
      <c r="AQ18" s="2064"/>
      <c r="AR18" s="2064"/>
      <c r="AS18" s="2064"/>
      <c r="AT18" s="2064"/>
      <c r="AU18" s="2064"/>
      <c r="AV18" s="2064"/>
      <c r="AW18" s="2064"/>
      <c r="AX18" s="2064"/>
      <c r="AY18" s="2064"/>
      <c r="AZ18" s="2064"/>
      <c r="BA18" s="2064"/>
      <c r="BB18" s="2064"/>
      <c r="BC18" s="2064"/>
      <c r="BD18" s="2064"/>
      <c r="BE18" s="2064"/>
      <c r="BF18" s="1679"/>
      <c r="BG18" s="1679"/>
      <c r="BH18" s="1679"/>
      <c r="BI18" s="1679"/>
      <c r="BJ18" s="1679"/>
      <c r="BK18" s="2041"/>
      <c r="BL18" s="2041"/>
      <c r="BM18" s="2042"/>
      <c r="BN18" s="2043"/>
    </row>
    <row r="19" spans="1:66" ht="22.2">
      <c r="A19" s="2113"/>
      <c r="B19" s="2113"/>
      <c r="C19" s="729"/>
      <c r="D19" s="2115"/>
      <c r="E19" s="2115"/>
      <c r="F19" s="2115"/>
      <c r="G19" s="729"/>
      <c r="H19" s="2115"/>
      <c r="I19" s="729"/>
      <c r="J19" s="729"/>
      <c r="K19" s="916"/>
      <c r="L19" s="729"/>
      <c r="M19" s="729"/>
      <c r="N19" s="729"/>
      <c r="O19" s="729"/>
      <c r="P19" s="729"/>
      <c r="Q19" s="1910"/>
      <c r="R19" s="2114"/>
      <c r="S19" s="2114"/>
      <c r="T19" s="2114"/>
      <c r="U19" s="2114"/>
      <c r="V19" s="2064"/>
      <c r="W19" s="2064"/>
      <c r="X19" s="2064"/>
      <c r="Y19" s="2064"/>
      <c r="Z19" s="2064"/>
      <c r="AA19" s="2064"/>
      <c r="AB19" s="2064"/>
      <c r="AC19" s="2064"/>
      <c r="AD19" s="2064"/>
      <c r="AE19" s="2064"/>
      <c r="AF19" s="2064"/>
      <c r="AG19" s="2064"/>
      <c r="AH19" s="2064"/>
      <c r="AI19" s="2064"/>
      <c r="AJ19" s="2064"/>
      <c r="AK19" s="2064"/>
      <c r="AL19" s="2064"/>
      <c r="AM19" s="2064"/>
      <c r="AN19" s="2064"/>
      <c r="AO19" s="2064"/>
      <c r="AP19" s="2064"/>
      <c r="AQ19" s="2064"/>
      <c r="AR19" s="2064"/>
      <c r="AS19" s="2064"/>
      <c r="AT19" s="2064"/>
      <c r="AU19" s="2064"/>
      <c r="AV19" s="2064"/>
      <c r="AW19" s="2064"/>
      <c r="AX19" s="2064"/>
      <c r="AY19" s="2064"/>
      <c r="AZ19" s="2064"/>
      <c r="BA19" s="2064"/>
      <c r="BB19" s="2064"/>
      <c r="BC19" s="2064"/>
      <c r="BD19" s="2064"/>
      <c r="BE19" s="2064"/>
      <c r="BF19" s="1679"/>
      <c r="BG19" s="1679"/>
      <c r="BH19" s="1679"/>
      <c r="BI19" s="1679"/>
      <c r="BJ19" s="1679"/>
      <c r="BK19" s="2041"/>
      <c r="BL19" s="2041"/>
      <c r="BM19" s="2042"/>
      <c r="BN19" s="2043"/>
    </row>
    <row r="20" spans="1:66" ht="16.2">
      <c r="A20" s="729"/>
      <c r="B20" s="729"/>
      <c r="C20" s="2116"/>
      <c r="D20" s="716"/>
      <c r="E20" s="716"/>
      <c r="F20" s="716"/>
      <c r="G20" s="729"/>
      <c r="H20" s="716"/>
      <c r="I20" s="2117"/>
      <c r="J20" s="729"/>
      <c r="K20" s="916"/>
      <c r="L20" s="729"/>
      <c r="M20" s="729"/>
      <c r="N20" s="729"/>
      <c r="O20" s="729"/>
      <c r="P20" s="3222"/>
      <c r="Q20" s="3222"/>
      <c r="R20" s="3222"/>
      <c r="S20" s="3222"/>
      <c r="T20" s="3222"/>
      <c r="U20" s="3222"/>
      <c r="V20" s="2064"/>
      <c r="W20" s="2064"/>
      <c r="X20" s="2064"/>
      <c r="Y20" s="2064"/>
      <c r="Z20" s="2064"/>
      <c r="AA20" s="2064"/>
      <c r="AB20" s="2064"/>
      <c r="AC20" s="2064"/>
      <c r="AD20" s="2064"/>
      <c r="AE20" s="2064"/>
      <c r="AF20" s="2064"/>
      <c r="AG20" s="2064"/>
      <c r="AH20" s="2064"/>
      <c r="AI20" s="2064"/>
      <c r="AJ20" s="2064"/>
      <c r="AK20" s="2064"/>
      <c r="AL20" s="2064"/>
      <c r="AM20" s="2064"/>
      <c r="AN20" s="2064"/>
      <c r="AO20" s="2064"/>
      <c r="AP20" s="2064"/>
      <c r="AQ20" s="2064"/>
      <c r="AR20" s="2064"/>
      <c r="AS20" s="2064"/>
      <c r="AT20" s="2064"/>
      <c r="AU20" s="2064"/>
      <c r="AV20" s="2064"/>
      <c r="AW20" s="2064"/>
      <c r="AX20" s="2064"/>
      <c r="AY20" s="2064"/>
      <c r="AZ20" s="2064"/>
      <c r="BA20" s="2064"/>
      <c r="BB20" s="2064"/>
      <c r="BC20" s="2064"/>
      <c r="BD20" s="2064"/>
      <c r="BE20" s="2064"/>
      <c r="BF20" s="1679"/>
      <c r="BG20" s="1679"/>
      <c r="BH20" s="1679"/>
      <c r="BI20" s="1679"/>
      <c r="BJ20" s="1679"/>
      <c r="BK20" s="2041"/>
      <c r="BL20" s="2041"/>
      <c r="BM20" s="2042"/>
      <c r="BN20" s="2043"/>
    </row>
    <row r="21" spans="1:66" ht="20.399999999999999">
      <c r="A21" s="2118"/>
      <c r="B21" s="2118"/>
      <c r="C21" s="2116"/>
      <c r="D21" s="2118"/>
      <c r="E21" s="716"/>
      <c r="F21" s="2118"/>
      <c r="G21" s="729"/>
      <c r="H21" s="2117"/>
      <c r="I21" s="2117"/>
      <c r="J21" s="729"/>
      <c r="K21" s="916"/>
      <c r="L21" s="729"/>
      <c r="M21" s="729"/>
      <c r="N21" s="729"/>
      <c r="O21" s="729"/>
      <c r="P21" s="729"/>
      <c r="Q21" s="1910"/>
      <c r="R21" s="2114"/>
      <c r="S21" s="2114"/>
      <c r="T21" s="2114"/>
      <c r="U21" s="2114"/>
      <c r="V21" s="2064"/>
      <c r="W21" s="2064"/>
      <c r="X21" s="2064"/>
      <c r="Y21" s="2064"/>
      <c r="Z21" s="2064"/>
      <c r="AA21" s="2064"/>
      <c r="AB21" s="2064"/>
      <c r="AC21" s="2064"/>
      <c r="AD21" s="2064"/>
      <c r="AE21" s="2064"/>
      <c r="AF21" s="2064"/>
      <c r="AG21" s="2064"/>
      <c r="AH21" s="2064"/>
      <c r="AI21" s="2064"/>
      <c r="AJ21" s="2064"/>
      <c r="AK21" s="2064"/>
      <c r="AL21" s="2064"/>
      <c r="AM21" s="2064"/>
      <c r="AN21" s="2064"/>
      <c r="AO21" s="2064"/>
      <c r="AP21" s="2064"/>
      <c r="AQ21" s="2064"/>
      <c r="AR21" s="2064"/>
      <c r="AS21" s="2064"/>
      <c r="AT21" s="2064"/>
      <c r="AU21" s="2064"/>
      <c r="AV21" s="2064"/>
      <c r="AW21" s="2064"/>
      <c r="AX21" s="2064"/>
      <c r="AY21" s="2064"/>
      <c r="AZ21" s="2064"/>
      <c r="BA21" s="2064"/>
      <c r="BB21" s="2064"/>
      <c r="BC21" s="2064"/>
      <c r="BD21" s="2064"/>
      <c r="BE21" s="2064"/>
      <c r="BF21" s="1679"/>
      <c r="BG21" s="3226" t="s">
        <v>2316</v>
      </c>
      <c r="BH21" s="3226"/>
      <c r="BI21" s="3226"/>
      <c r="BJ21" s="1679"/>
      <c r="BK21" s="2041"/>
      <c r="BL21" s="2041"/>
      <c r="BM21" s="2042"/>
      <c r="BN21" s="2043"/>
    </row>
    <row r="22" spans="1:66" ht="16.2">
      <c r="A22" s="716"/>
      <c r="B22" s="716"/>
      <c r="C22" s="716"/>
      <c r="D22" s="2117"/>
      <c r="E22" s="2119"/>
      <c r="F22" s="1527"/>
      <c r="G22" s="1100"/>
      <c r="H22" s="716"/>
      <c r="I22" s="716"/>
      <c r="J22" s="716"/>
      <c r="K22" s="1099"/>
      <c r="L22" s="716"/>
      <c r="M22" s="716"/>
      <c r="N22" s="716"/>
      <c r="O22" s="716"/>
      <c r="P22" s="3227" t="s">
        <v>2205</v>
      </c>
      <c r="Q22" s="3228"/>
      <c r="R22" s="3229" t="s">
        <v>2206</v>
      </c>
      <c r="S22" s="3230"/>
      <c r="T22" s="3229" t="s">
        <v>2207</v>
      </c>
      <c r="U22" s="3230"/>
      <c r="V22" s="3231" t="s">
        <v>1536</v>
      </c>
      <c r="W22" s="3231"/>
      <c r="X22" s="3231" t="s">
        <v>2056</v>
      </c>
      <c r="Y22" s="3231"/>
      <c r="Z22" s="3231" t="s">
        <v>2208</v>
      </c>
      <c r="AA22" s="3231"/>
      <c r="AB22" s="3232" t="s">
        <v>2209</v>
      </c>
      <c r="AC22" s="3233"/>
      <c r="AD22" s="3231" t="s">
        <v>552</v>
      </c>
      <c r="AE22" s="3231"/>
      <c r="AF22" s="3231" t="s">
        <v>553</v>
      </c>
      <c r="AG22" s="3231"/>
      <c r="AH22" s="3232" t="s">
        <v>2210</v>
      </c>
      <c r="AI22" s="3233"/>
      <c r="AJ22" s="3232" t="s">
        <v>2211</v>
      </c>
      <c r="AK22" s="3233"/>
      <c r="AL22" s="3231" t="s">
        <v>2212</v>
      </c>
      <c r="AM22" s="3231"/>
      <c r="AN22" s="3231" t="s">
        <v>828</v>
      </c>
      <c r="AO22" s="3231"/>
      <c r="AP22" s="3232" t="s">
        <v>2213</v>
      </c>
      <c r="AQ22" s="3233"/>
      <c r="AR22" s="3231" t="s">
        <v>560</v>
      </c>
      <c r="AS22" s="3231"/>
      <c r="AT22" s="3232" t="s">
        <v>2214</v>
      </c>
      <c r="AU22" s="3233"/>
      <c r="AV22" s="3232" t="s">
        <v>2215</v>
      </c>
      <c r="AW22" s="3233"/>
      <c r="AX22" s="3231" t="s">
        <v>1749</v>
      </c>
      <c r="AY22" s="3231"/>
      <c r="AZ22" s="3232" t="s">
        <v>2216</v>
      </c>
      <c r="BA22" s="3233"/>
      <c r="BB22" s="3232" t="s">
        <v>2217</v>
      </c>
      <c r="BC22" s="3233"/>
      <c r="BD22" s="3232" t="s">
        <v>2218</v>
      </c>
      <c r="BE22" s="3233"/>
      <c r="BF22" s="1679"/>
      <c r="BG22" s="1679"/>
      <c r="BH22" s="1679"/>
      <c r="BI22" s="1679"/>
      <c r="BJ22" s="1679"/>
      <c r="BK22" s="2041"/>
      <c r="BL22" s="2041"/>
      <c r="BM22" s="2042"/>
      <c r="BN22" s="2043"/>
    </row>
    <row r="23" spans="1:66" ht="16.2">
      <c r="A23" s="2120" t="s">
        <v>208</v>
      </c>
      <c r="B23" s="2121"/>
      <c r="C23" s="2122" t="s">
        <v>2220</v>
      </c>
      <c r="D23" s="2121" t="s">
        <v>2221</v>
      </c>
      <c r="E23" s="2121" t="s">
        <v>1240</v>
      </c>
      <c r="F23" s="2123" t="s">
        <v>1241</v>
      </c>
      <c r="G23" s="2121" t="s">
        <v>1242</v>
      </c>
      <c r="H23" s="2121" t="s">
        <v>837</v>
      </c>
      <c r="I23" s="2124" t="s">
        <v>838</v>
      </c>
      <c r="J23" s="2123" t="s">
        <v>839</v>
      </c>
      <c r="K23" s="2125" t="s">
        <v>840</v>
      </c>
      <c r="L23" s="1531"/>
      <c r="M23" s="2126"/>
      <c r="N23" s="2126"/>
      <c r="O23" s="729"/>
      <c r="P23" s="3234" t="s">
        <v>2222</v>
      </c>
      <c r="Q23" s="3235"/>
      <c r="R23" s="3235" t="s">
        <v>2223</v>
      </c>
      <c r="S23" s="3235"/>
      <c r="T23" s="3235" t="s">
        <v>2224</v>
      </c>
      <c r="U23" s="3235"/>
      <c r="V23" s="3225" t="s">
        <v>2225</v>
      </c>
      <c r="W23" s="3225"/>
      <c r="X23" s="3225" t="s">
        <v>2226</v>
      </c>
      <c r="Y23" s="3225"/>
      <c r="Z23" s="3225" t="s">
        <v>2227</v>
      </c>
      <c r="AA23" s="3225"/>
      <c r="AB23" s="3225" t="s">
        <v>2228</v>
      </c>
      <c r="AC23" s="3225"/>
      <c r="AD23" s="3225" t="s">
        <v>2229</v>
      </c>
      <c r="AE23" s="3225"/>
      <c r="AF23" s="3225" t="s">
        <v>2230</v>
      </c>
      <c r="AG23" s="3225"/>
      <c r="AH23" s="3225" t="s">
        <v>2231</v>
      </c>
      <c r="AI23" s="3225"/>
      <c r="AJ23" s="3225" t="s">
        <v>2232</v>
      </c>
      <c r="AK23" s="3225"/>
      <c r="AL23" s="3223" t="s">
        <v>2233</v>
      </c>
      <c r="AM23" s="3224"/>
      <c r="AN23" s="3225" t="s">
        <v>2234</v>
      </c>
      <c r="AO23" s="3225"/>
      <c r="AP23" s="3223" t="s">
        <v>2235</v>
      </c>
      <c r="AQ23" s="3224"/>
      <c r="AR23" s="3225" t="s">
        <v>2236</v>
      </c>
      <c r="AS23" s="3225"/>
      <c r="AT23" s="3223" t="s">
        <v>2237</v>
      </c>
      <c r="AU23" s="3224"/>
      <c r="AV23" s="3225" t="s">
        <v>2238</v>
      </c>
      <c r="AW23" s="3225"/>
      <c r="AX23" s="3225" t="s">
        <v>2239</v>
      </c>
      <c r="AY23" s="3225"/>
      <c r="AZ23" s="3225" t="s">
        <v>2240</v>
      </c>
      <c r="BA23" s="3225"/>
      <c r="BB23" s="3225" t="s">
        <v>2241</v>
      </c>
      <c r="BC23" s="3225"/>
      <c r="BD23" s="3225" t="s">
        <v>2242</v>
      </c>
      <c r="BE23" s="3225"/>
      <c r="BF23" s="1679"/>
      <c r="BG23" s="2127" t="s">
        <v>2245</v>
      </c>
      <c r="BH23" s="3236" t="s">
        <v>1372</v>
      </c>
      <c r="BI23" s="3236"/>
      <c r="BJ23" s="1679"/>
      <c r="BK23" s="2041"/>
      <c r="BL23" s="2041"/>
      <c r="BM23" s="2042"/>
      <c r="BN23" s="2043"/>
    </row>
    <row r="24" spans="1:66" ht="16.2">
      <c r="A24" s="2128"/>
      <c r="B24" s="2129"/>
      <c r="C24" s="729"/>
      <c r="D24" s="2129"/>
      <c r="E24" s="2129"/>
      <c r="F24" s="2116"/>
      <c r="G24" s="2129"/>
      <c r="H24" s="2129"/>
      <c r="I24" s="2130"/>
      <c r="J24" s="2116"/>
      <c r="K24" s="2131"/>
      <c r="L24" s="2129"/>
      <c r="M24" s="729"/>
      <c r="N24" s="729"/>
      <c r="O24" s="729"/>
      <c r="P24" s="2132"/>
      <c r="Q24" s="2133"/>
      <c r="R24" s="2133"/>
      <c r="S24" s="2133"/>
      <c r="T24" s="2133"/>
      <c r="U24" s="2133"/>
      <c r="V24" s="2134"/>
      <c r="W24" s="2134"/>
      <c r="X24" s="2134"/>
      <c r="Y24" s="2134"/>
      <c r="Z24" s="2135"/>
      <c r="AA24" s="2134"/>
      <c r="AB24" s="2135"/>
      <c r="AC24" s="2135"/>
      <c r="AD24" s="2135"/>
      <c r="AE24" s="2135"/>
      <c r="AF24" s="2135"/>
      <c r="AG24" s="2135"/>
      <c r="AH24" s="2134"/>
      <c r="AI24" s="2134"/>
      <c r="AJ24" s="2134"/>
      <c r="AK24" s="2134"/>
      <c r="AL24" s="2134"/>
      <c r="AM24" s="2134"/>
      <c r="AN24" s="2134"/>
      <c r="AO24" s="2134"/>
      <c r="AP24" s="2134"/>
      <c r="AQ24" s="2134"/>
      <c r="AR24" s="2134"/>
      <c r="AS24" s="2134"/>
      <c r="AT24" s="2134"/>
      <c r="AU24" s="2134"/>
      <c r="AV24" s="2134"/>
      <c r="AW24" s="2134"/>
      <c r="AX24" s="2134"/>
      <c r="AY24" s="2134"/>
      <c r="AZ24" s="2134"/>
      <c r="BA24" s="2134"/>
      <c r="BB24" s="2134"/>
      <c r="BC24" s="2134"/>
      <c r="BD24" s="2134"/>
      <c r="BE24" s="2134"/>
      <c r="BF24" s="2134"/>
      <c r="BG24" s="1679"/>
      <c r="BH24" s="1679"/>
      <c r="BI24" s="1679"/>
      <c r="BJ24" s="1679"/>
      <c r="BK24" s="3215" t="s">
        <v>1372</v>
      </c>
      <c r="BL24" s="3215"/>
      <c r="BM24" s="2042"/>
      <c r="BN24" s="2043"/>
    </row>
    <row r="25" spans="1:66" ht="16.2">
      <c r="A25" s="2136" t="s">
        <v>2246</v>
      </c>
      <c r="B25" s="2137"/>
      <c r="C25" s="1523">
        <f>C27+3</f>
        <v>27.41</v>
      </c>
      <c r="D25" s="1523">
        <f>D27</f>
        <v>10.31</v>
      </c>
      <c r="E25" s="1523">
        <f>C25*$K$14</f>
        <v>0</v>
      </c>
      <c r="F25" s="1523">
        <f>SUM(C25:E25)</f>
        <v>37.72</v>
      </c>
      <c r="G25" s="1523"/>
      <c r="H25" s="1523">
        <f>(C25+0.5*D25+E25)*$K$11</f>
        <v>3.4204105</v>
      </c>
      <c r="I25" s="1523">
        <f>((C25)*$F$130/100)</f>
        <v>3.2168375999999994</v>
      </c>
      <c r="J25" s="1523">
        <f>SUM(F25:I25)</f>
        <v>44.3572481</v>
      </c>
      <c r="K25" s="2138"/>
      <c r="L25" s="2139"/>
      <c r="M25" s="716"/>
      <c r="N25" s="2140"/>
      <c r="O25" s="2140"/>
      <c r="P25" s="2141"/>
      <c r="Q25" s="2142">
        <f>$J25*P25</f>
        <v>0</v>
      </c>
      <c r="R25" s="2143"/>
      <c r="S25" s="2142">
        <f>$J25*R25</f>
        <v>0</v>
      </c>
      <c r="T25" s="2143"/>
      <c r="U25" s="2142">
        <f t="shared" ref="U25:U63" si="0">$J25*T25</f>
        <v>0</v>
      </c>
      <c r="V25" s="2144"/>
      <c r="W25" s="2145">
        <f t="shared" ref="W25:W63" si="1">$J25*V25</f>
        <v>0</v>
      </c>
      <c r="X25" s="2144"/>
      <c r="Y25" s="2145">
        <f t="shared" ref="Y25:Y63" si="2">$J25*X25</f>
        <v>0</v>
      </c>
      <c r="Z25" s="2144"/>
      <c r="AA25" s="2145">
        <f t="shared" ref="AA25:AA63" si="3">$J25*Z25</f>
        <v>0</v>
      </c>
      <c r="AB25" s="2144"/>
      <c r="AC25" s="2145">
        <f t="shared" ref="AC25:AC63" si="4">$J25*AB25</f>
        <v>0</v>
      </c>
      <c r="AD25" s="2144"/>
      <c r="AE25" s="2145">
        <f t="shared" ref="AE25:AE63" si="5">$J25*AD25</f>
        <v>0</v>
      </c>
      <c r="AF25" s="2146"/>
      <c r="AG25" s="2145">
        <f t="shared" ref="AG25:AG63" si="6">$J25*AF25</f>
        <v>0</v>
      </c>
      <c r="AH25" s="2144"/>
      <c r="AI25" s="2145">
        <f t="shared" ref="AI25:AI63" si="7">$J25*AH25</f>
        <v>0</v>
      </c>
      <c r="AJ25" s="2144"/>
      <c r="AK25" s="2145">
        <f t="shared" ref="AK25:AM40" si="8">$J25*AJ25</f>
        <v>0</v>
      </c>
      <c r="AL25" s="2144"/>
      <c r="AM25" s="2145">
        <f t="shared" si="8"/>
        <v>0</v>
      </c>
      <c r="AN25" s="2144"/>
      <c r="AO25" s="2145">
        <f t="shared" ref="AO25:AO63" si="9">$J25*AN25</f>
        <v>0</v>
      </c>
      <c r="AP25" s="2144"/>
      <c r="AQ25" s="2145">
        <f t="shared" ref="AQ25:AQ63" si="10">$J25*AP25</f>
        <v>0</v>
      </c>
      <c r="AR25" s="2144"/>
      <c r="AS25" s="2145">
        <f t="shared" ref="AS25:AS63" si="11">$J25*AR25</f>
        <v>0</v>
      </c>
      <c r="AT25" s="2144"/>
      <c r="AU25" s="2145">
        <f t="shared" ref="AU25:AU63" si="12">$J25*AT25</f>
        <v>0</v>
      </c>
      <c r="AV25" s="2144"/>
      <c r="AW25" s="2145">
        <f t="shared" ref="AW25:AW63" si="13">$J25*AV25</f>
        <v>0</v>
      </c>
      <c r="AX25" s="2144">
        <v>1</v>
      </c>
      <c r="AY25" s="2145">
        <f t="shared" ref="AY25:AY63" si="14">$J25*AX25</f>
        <v>44.3572481</v>
      </c>
      <c r="AZ25" s="2144"/>
      <c r="BA25" s="2145">
        <f t="shared" ref="BA25:BA63" si="15">$J25*AZ25</f>
        <v>0</v>
      </c>
      <c r="BB25" s="2144"/>
      <c r="BC25" s="2145">
        <f t="shared" ref="BC25:BC63" si="16">$J25*BB25</f>
        <v>0</v>
      </c>
      <c r="BD25" s="2144"/>
      <c r="BE25" s="2145">
        <f t="shared" ref="BE25:BE63" si="17">$J25*BD25</f>
        <v>0</v>
      </c>
      <c r="BF25" s="2144"/>
      <c r="BG25" s="2147" t="s">
        <v>2246</v>
      </c>
      <c r="BH25" s="2148">
        <f>P25+R25+T25+V25+X25+Z25+AB25+AD25+AF25+AH25+AJ25+AL25+AN25+AP25+AR25+AT25+AV25+AX25+AZ25+BB25+BD25</f>
        <v>1</v>
      </c>
      <c r="BI25" s="2149"/>
      <c r="BJ25" s="1679"/>
      <c r="BK25" s="2041"/>
      <c r="BL25" s="2041"/>
      <c r="BM25" s="2042"/>
      <c r="BN25" s="2043"/>
    </row>
    <row r="26" spans="1:66" ht="16.2">
      <c r="A26" s="2150" t="s">
        <v>2247</v>
      </c>
      <c r="B26" s="1679"/>
      <c r="C26" s="2151">
        <f>C27+2.44</f>
        <v>26.85</v>
      </c>
      <c r="D26" s="2151">
        <f>D27</f>
        <v>10.31</v>
      </c>
      <c r="E26" s="2151">
        <f t="shared" ref="E26:E63" si="18">C26*$K$14</f>
        <v>0</v>
      </c>
      <c r="F26" s="2151">
        <f t="shared" ref="F26:F63" si="19">SUM(C26:E26)</f>
        <v>37.160000000000004</v>
      </c>
      <c r="G26" s="2151"/>
      <c r="H26" s="2151">
        <f>(C26+0.5*D26+E26)*$K$11</f>
        <v>3.3615918333333337</v>
      </c>
      <c r="I26" s="2151">
        <f t="shared" ref="I26:I27" si="20">((C26)*$F$130/100)</f>
        <v>3.151116</v>
      </c>
      <c r="J26" s="2151">
        <f t="shared" ref="J26:J63" si="21">SUM(F26:I26)</f>
        <v>43.672707833333341</v>
      </c>
      <c r="K26" s="2152">
        <v>40633</v>
      </c>
      <c r="L26" s="2139"/>
      <c r="M26" s="716"/>
      <c r="N26" s="2140"/>
      <c r="O26" s="2140"/>
      <c r="P26" s="2153"/>
      <c r="Q26" s="2154">
        <f t="shared" ref="Q26:S41" si="22">$J26*P26</f>
        <v>0</v>
      </c>
      <c r="R26" s="2155"/>
      <c r="S26" s="2154">
        <f t="shared" si="22"/>
        <v>0</v>
      </c>
      <c r="T26" s="2155"/>
      <c r="U26" s="2154">
        <f t="shared" si="0"/>
        <v>0</v>
      </c>
      <c r="V26" s="2156"/>
      <c r="W26" s="2157">
        <f t="shared" si="1"/>
        <v>0</v>
      </c>
      <c r="X26" s="2156"/>
      <c r="Y26" s="2157">
        <f t="shared" si="2"/>
        <v>0</v>
      </c>
      <c r="Z26" s="2156"/>
      <c r="AA26" s="2157">
        <f t="shared" si="3"/>
        <v>0</v>
      </c>
      <c r="AB26" s="2156"/>
      <c r="AC26" s="2157">
        <f t="shared" si="4"/>
        <v>0</v>
      </c>
      <c r="AD26" s="2156"/>
      <c r="AE26" s="2157">
        <f t="shared" si="5"/>
        <v>0</v>
      </c>
      <c r="AF26" s="2158"/>
      <c r="AG26" s="2157">
        <f t="shared" si="6"/>
        <v>0</v>
      </c>
      <c r="AH26" s="2156"/>
      <c r="AI26" s="2157">
        <f t="shared" si="7"/>
        <v>0</v>
      </c>
      <c r="AJ26" s="2156"/>
      <c r="AK26" s="2157">
        <f t="shared" si="8"/>
        <v>0</v>
      </c>
      <c r="AL26" s="2156"/>
      <c r="AM26" s="2157">
        <f t="shared" si="8"/>
        <v>0</v>
      </c>
      <c r="AN26" s="2156">
        <v>1</v>
      </c>
      <c r="AO26" s="2157">
        <f t="shared" si="9"/>
        <v>43.672707833333341</v>
      </c>
      <c r="AP26" s="2156"/>
      <c r="AQ26" s="2157">
        <f t="shared" si="10"/>
        <v>0</v>
      </c>
      <c r="AR26" s="2156"/>
      <c r="AS26" s="2157">
        <f t="shared" si="11"/>
        <v>0</v>
      </c>
      <c r="AT26" s="2156"/>
      <c r="AU26" s="2157">
        <f t="shared" si="12"/>
        <v>0</v>
      </c>
      <c r="AV26" s="2156"/>
      <c r="AW26" s="2157">
        <f t="shared" si="13"/>
        <v>0</v>
      </c>
      <c r="AX26" s="2156">
        <v>3</v>
      </c>
      <c r="AY26" s="2157">
        <f t="shared" si="14"/>
        <v>131.01812350000003</v>
      </c>
      <c r="AZ26" s="2156"/>
      <c r="BA26" s="2157">
        <f t="shared" si="15"/>
        <v>0</v>
      </c>
      <c r="BB26" s="2156"/>
      <c r="BC26" s="2157">
        <f t="shared" si="16"/>
        <v>0</v>
      </c>
      <c r="BD26" s="2156"/>
      <c r="BE26" s="2157">
        <f t="shared" si="17"/>
        <v>0</v>
      </c>
      <c r="BF26" s="2156"/>
      <c r="BG26" s="2159" t="s">
        <v>2247</v>
      </c>
      <c r="BH26" s="2148">
        <f t="shared" ref="BH26:BH63" si="23">P26+R26+T26+V26+X26+Z26+AB26+AD26+AF26+AH26+AJ26+AL26+AN26+AP26+AR26+AT26+AV26+AX26+AZ26+BB26+BD26</f>
        <v>4</v>
      </c>
      <c r="BI26" s="2160">
        <f>SUM(BH25:BH27)/BH$65</f>
        <v>5.5555555555555552E-2</v>
      </c>
      <c r="BJ26" s="1679"/>
      <c r="BK26" s="2045" t="e">
        <f>O26+Q26+S26+U26+W26+Y26+AA26+AC26+AE26+AG26+AI26+AK26+AM26+AO26+AQ26+AS26+AU26+AW26+AY26+BA26+BC26+BE26+BG26</f>
        <v>#VALUE!</v>
      </c>
      <c r="BL26" s="2046"/>
      <c r="BM26" s="2042"/>
      <c r="BN26" s="2043"/>
    </row>
    <row r="27" spans="1:66" ht="16.2">
      <c r="A27" s="2161" t="s">
        <v>2248</v>
      </c>
      <c r="B27" s="2162">
        <v>51</v>
      </c>
      <c r="C27" s="2163">
        <v>24.41</v>
      </c>
      <c r="D27" s="2163">
        <v>10.31</v>
      </c>
      <c r="E27" s="2163">
        <f t="shared" si="18"/>
        <v>0</v>
      </c>
      <c r="F27" s="2163">
        <f t="shared" si="19"/>
        <v>34.72</v>
      </c>
      <c r="G27" s="2163"/>
      <c r="H27" s="2163">
        <f>(C27+0.5*D27+E27)*$K$11</f>
        <v>3.1053105000000003</v>
      </c>
      <c r="I27" s="2163">
        <f t="shared" si="20"/>
        <v>2.8647575999999999</v>
      </c>
      <c r="J27" s="2163">
        <f t="shared" si="21"/>
        <v>40.690068099999998</v>
      </c>
      <c r="K27" s="2164"/>
      <c r="L27" s="2139"/>
      <c r="M27" s="716"/>
      <c r="N27" s="716"/>
      <c r="O27" s="716"/>
      <c r="P27" s="2165"/>
      <c r="Q27" s="2166">
        <f t="shared" si="22"/>
        <v>0</v>
      </c>
      <c r="R27" s="2167"/>
      <c r="S27" s="2166">
        <f t="shared" si="22"/>
        <v>0</v>
      </c>
      <c r="T27" s="2167"/>
      <c r="U27" s="2166">
        <f t="shared" si="0"/>
        <v>0</v>
      </c>
      <c r="V27" s="2168"/>
      <c r="W27" s="2169">
        <f t="shared" si="1"/>
        <v>0</v>
      </c>
      <c r="X27" s="2168"/>
      <c r="Y27" s="2169">
        <f t="shared" si="2"/>
        <v>0</v>
      </c>
      <c r="Z27" s="2168"/>
      <c r="AA27" s="2169">
        <f t="shared" si="3"/>
        <v>0</v>
      </c>
      <c r="AB27" s="2168"/>
      <c r="AC27" s="2169">
        <f t="shared" si="4"/>
        <v>0</v>
      </c>
      <c r="AD27" s="2168"/>
      <c r="AE27" s="2169">
        <f t="shared" si="5"/>
        <v>0</v>
      </c>
      <c r="AF27" s="2170"/>
      <c r="AG27" s="2169">
        <f t="shared" si="6"/>
        <v>0</v>
      </c>
      <c r="AH27" s="2168"/>
      <c r="AI27" s="2169">
        <f t="shared" si="7"/>
        <v>0</v>
      </c>
      <c r="AJ27" s="2168"/>
      <c r="AK27" s="2169">
        <f t="shared" si="8"/>
        <v>0</v>
      </c>
      <c r="AL27" s="2168"/>
      <c r="AM27" s="2169">
        <f t="shared" si="8"/>
        <v>0</v>
      </c>
      <c r="AN27" s="2168">
        <v>4</v>
      </c>
      <c r="AO27" s="2169">
        <f t="shared" si="9"/>
        <v>162.76027239999999</v>
      </c>
      <c r="AP27" s="2168"/>
      <c r="AQ27" s="2169">
        <f t="shared" si="10"/>
        <v>0</v>
      </c>
      <c r="AR27" s="2168"/>
      <c r="AS27" s="2169">
        <f t="shared" si="11"/>
        <v>0</v>
      </c>
      <c r="AT27" s="2168"/>
      <c r="AU27" s="2169">
        <f t="shared" si="12"/>
        <v>0</v>
      </c>
      <c r="AV27" s="2168"/>
      <c r="AW27" s="2169">
        <f t="shared" si="13"/>
        <v>0</v>
      </c>
      <c r="AX27" s="2168">
        <v>12</v>
      </c>
      <c r="AY27" s="2169">
        <f t="shared" si="14"/>
        <v>488.2808172</v>
      </c>
      <c r="AZ27" s="2168"/>
      <c r="BA27" s="2169">
        <f t="shared" si="15"/>
        <v>0</v>
      </c>
      <c r="BB27" s="2168"/>
      <c r="BC27" s="2169">
        <f t="shared" si="16"/>
        <v>0</v>
      </c>
      <c r="BD27" s="2168"/>
      <c r="BE27" s="2169">
        <f t="shared" si="17"/>
        <v>0</v>
      </c>
      <c r="BF27" s="2168"/>
      <c r="BG27" s="2171" t="s">
        <v>2248</v>
      </c>
      <c r="BH27" s="2148">
        <f t="shared" si="23"/>
        <v>16</v>
      </c>
      <c r="BI27" s="2172"/>
      <c r="BJ27" s="1679"/>
      <c r="BK27" s="2045" t="e">
        <f t="shared" ref="BK27:BK64" si="24">O27+Q27+S27+U27+W27+Y27+AA27+AC27+AE27+AG27+AI27+AK27+AM27+AO27+AQ27+AS27+AU27+AW27+AY27+BA27+BC27+BE27+BG27</f>
        <v>#VALUE!</v>
      </c>
      <c r="BL27" s="2047" t="e">
        <f>SUM(BK26:BK28)/BK$66</f>
        <v>#VALUE!</v>
      </c>
      <c r="BM27" s="2042"/>
      <c r="BN27" s="2043"/>
    </row>
    <row r="28" spans="1:66" ht="16.2">
      <c r="A28" s="2173" t="s">
        <v>557</v>
      </c>
      <c r="B28" s="2174"/>
      <c r="C28" s="2175">
        <f>C30+5</f>
        <v>39.49</v>
      </c>
      <c r="D28" s="2175">
        <f>D30</f>
        <v>18.11</v>
      </c>
      <c r="E28" s="2175">
        <f t="shared" si="18"/>
        <v>0</v>
      </c>
      <c r="F28" s="2175">
        <f t="shared" si="19"/>
        <v>57.6</v>
      </c>
      <c r="G28" s="2175"/>
      <c r="H28" s="2175">
        <f t="shared" ref="H28:H63" si="25">(C28+0.5*D28+E28)*$K$11</f>
        <v>5.0988431666666676</v>
      </c>
      <c r="I28" s="2175">
        <f>((C28)*$F$141/100)</f>
        <v>15.993450000000001</v>
      </c>
      <c r="J28" s="2175">
        <f t="shared" si="21"/>
        <v>78.692293166666673</v>
      </c>
      <c r="K28" s="2176"/>
      <c r="L28" s="2139"/>
      <c r="M28" s="716"/>
      <c r="N28" s="716"/>
      <c r="O28" s="716"/>
      <c r="P28" s="2177"/>
      <c r="Q28" s="2178">
        <f t="shared" si="22"/>
        <v>0</v>
      </c>
      <c r="R28" s="2179"/>
      <c r="S28" s="2178">
        <f t="shared" si="22"/>
        <v>0</v>
      </c>
      <c r="T28" s="2179"/>
      <c r="U28" s="2178">
        <f t="shared" si="0"/>
        <v>0</v>
      </c>
      <c r="V28" s="2180"/>
      <c r="W28" s="2181">
        <f t="shared" si="1"/>
        <v>0</v>
      </c>
      <c r="X28" s="2180"/>
      <c r="Y28" s="2181">
        <f t="shared" si="2"/>
        <v>0</v>
      </c>
      <c r="Z28" s="2180"/>
      <c r="AA28" s="2181">
        <f t="shared" si="3"/>
        <v>0</v>
      </c>
      <c r="AB28" s="2180"/>
      <c r="AC28" s="2181">
        <f t="shared" si="4"/>
        <v>0</v>
      </c>
      <c r="AD28" s="2180"/>
      <c r="AE28" s="2181">
        <f t="shared" si="5"/>
        <v>0</v>
      </c>
      <c r="AF28" s="2182"/>
      <c r="AG28" s="2181">
        <f t="shared" si="6"/>
        <v>0</v>
      </c>
      <c r="AH28" s="2180"/>
      <c r="AI28" s="2181">
        <f t="shared" si="7"/>
        <v>0</v>
      </c>
      <c r="AJ28" s="2180"/>
      <c r="AK28" s="2181">
        <f t="shared" si="8"/>
        <v>0</v>
      </c>
      <c r="AL28" s="2180"/>
      <c r="AM28" s="2181">
        <f t="shared" si="8"/>
        <v>0</v>
      </c>
      <c r="AN28" s="2180">
        <v>1</v>
      </c>
      <c r="AO28" s="2181">
        <f t="shared" si="9"/>
        <v>78.692293166666673</v>
      </c>
      <c r="AP28" s="2180">
        <v>1</v>
      </c>
      <c r="AQ28" s="2181">
        <f t="shared" si="10"/>
        <v>78.692293166666673</v>
      </c>
      <c r="AR28" s="2180"/>
      <c r="AS28" s="2181">
        <f t="shared" si="11"/>
        <v>0</v>
      </c>
      <c r="AT28" s="2180"/>
      <c r="AU28" s="2181">
        <f t="shared" si="12"/>
        <v>0</v>
      </c>
      <c r="AV28" s="2180"/>
      <c r="AW28" s="2181">
        <f t="shared" si="13"/>
        <v>0</v>
      </c>
      <c r="AX28" s="2180"/>
      <c r="AY28" s="2181">
        <f t="shared" si="14"/>
        <v>0</v>
      </c>
      <c r="AZ28" s="2180"/>
      <c r="BA28" s="2181">
        <f t="shared" si="15"/>
        <v>0</v>
      </c>
      <c r="BB28" s="2180"/>
      <c r="BC28" s="2181">
        <f t="shared" si="16"/>
        <v>0</v>
      </c>
      <c r="BD28" s="2180"/>
      <c r="BE28" s="2181">
        <f t="shared" si="17"/>
        <v>0</v>
      </c>
      <c r="BF28" s="2180"/>
      <c r="BG28" s="2183" t="s">
        <v>557</v>
      </c>
      <c r="BH28" s="2148">
        <f t="shared" si="23"/>
        <v>2</v>
      </c>
      <c r="BI28" s="2149"/>
      <c r="BJ28" s="1679"/>
      <c r="BK28" s="2045" t="e">
        <f t="shared" si="24"/>
        <v>#VALUE!</v>
      </c>
      <c r="BL28" s="2048"/>
      <c r="BM28" s="2042"/>
      <c r="BN28" s="2043"/>
    </row>
    <row r="29" spans="1:66" ht="16.2">
      <c r="A29" s="2184" t="s">
        <v>558</v>
      </c>
      <c r="B29" s="2185"/>
      <c r="C29" s="2186">
        <f>C30+3</f>
        <v>37.49</v>
      </c>
      <c r="D29" s="2186">
        <f>D30</f>
        <v>18.11</v>
      </c>
      <c r="E29" s="2186">
        <f t="shared" si="18"/>
        <v>0</v>
      </c>
      <c r="F29" s="2186">
        <f t="shared" si="19"/>
        <v>55.6</v>
      </c>
      <c r="G29" s="2186"/>
      <c r="H29" s="2186">
        <f t="shared" si="25"/>
        <v>4.8887765000000005</v>
      </c>
      <c r="I29" s="2186">
        <f t="shared" ref="I29:I30" si="26">((C29)*$F$141/100)</f>
        <v>15.183450000000001</v>
      </c>
      <c r="J29" s="2186">
        <f t="shared" si="21"/>
        <v>75.672226499999994</v>
      </c>
      <c r="K29" s="2187"/>
      <c r="L29" s="2139"/>
      <c r="M29" s="716"/>
      <c r="N29" s="716"/>
      <c r="O29" s="716"/>
      <c r="P29" s="2188"/>
      <c r="Q29" s="2189">
        <f t="shared" si="22"/>
        <v>0</v>
      </c>
      <c r="R29" s="2190"/>
      <c r="S29" s="2189">
        <f t="shared" si="22"/>
        <v>0</v>
      </c>
      <c r="T29" s="2190"/>
      <c r="U29" s="2189">
        <f t="shared" si="0"/>
        <v>0</v>
      </c>
      <c r="V29" s="2191"/>
      <c r="W29" s="2192">
        <f t="shared" si="1"/>
        <v>0</v>
      </c>
      <c r="X29" s="2191"/>
      <c r="Y29" s="2192">
        <f t="shared" si="2"/>
        <v>0</v>
      </c>
      <c r="Z29" s="2191"/>
      <c r="AA29" s="2192">
        <f t="shared" si="3"/>
        <v>0</v>
      </c>
      <c r="AB29" s="2191"/>
      <c r="AC29" s="2192">
        <f t="shared" si="4"/>
        <v>0</v>
      </c>
      <c r="AD29" s="2191"/>
      <c r="AE29" s="2192">
        <f t="shared" si="5"/>
        <v>0</v>
      </c>
      <c r="AF29" s="2193"/>
      <c r="AG29" s="2192">
        <f t="shared" si="6"/>
        <v>0</v>
      </c>
      <c r="AH29" s="2191"/>
      <c r="AI29" s="2192">
        <f t="shared" si="7"/>
        <v>0</v>
      </c>
      <c r="AJ29" s="2191"/>
      <c r="AK29" s="2192">
        <f t="shared" si="8"/>
        <v>0</v>
      </c>
      <c r="AL29" s="2191"/>
      <c r="AM29" s="2192">
        <f t="shared" si="8"/>
        <v>0</v>
      </c>
      <c r="AN29" s="2191">
        <v>4</v>
      </c>
      <c r="AO29" s="2192">
        <f t="shared" si="9"/>
        <v>302.68890599999997</v>
      </c>
      <c r="AP29" s="2191">
        <v>2</v>
      </c>
      <c r="AQ29" s="2192">
        <f t="shared" si="10"/>
        <v>151.34445299999999</v>
      </c>
      <c r="AR29" s="2191"/>
      <c r="AS29" s="2192">
        <f t="shared" si="11"/>
        <v>0</v>
      </c>
      <c r="AT29" s="2191"/>
      <c r="AU29" s="2192">
        <f t="shared" si="12"/>
        <v>0</v>
      </c>
      <c r="AV29" s="2191"/>
      <c r="AW29" s="2192">
        <f t="shared" si="13"/>
        <v>0</v>
      </c>
      <c r="AX29" s="2191"/>
      <c r="AY29" s="2192">
        <f t="shared" si="14"/>
        <v>0</v>
      </c>
      <c r="AZ29" s="2191"/>
      <c r="BA29" s="2192">
        <f t="shared" si="15"/>
        <v>0</v>
      </c>
      <c r="BB29" s="2191"/>
      <c r="BC29" s="2192">
        <f t="shared" si="16"/>
        <v>0</v>
      </c>
      <c r="BD29" s="2191"/>
      <c r="BE29" s="2192">
        <f t="shared" si="17"/>
        <v>0</v>
      </c>
      <c r="BF29" s="2191"/>
      <c r="BG29" s="2194" t="s">
        <v>558</v>
      </c>
      <c r="BH29" s="2148">
        <f t="shared" si="23"/>
        <v>6</v>
      </c>
      <c r="BI29" s="2160">
        <f>SUM(BH28:BH30)/BH$65</f>
        <v>0.13227513227513227</v>
      </c>
      <c r="BJ29" s="1679"/>
      <c r="BK29" s="2045" t="e">
        <f t="shared" si="24"/>
        <v>#VALUE!</v>
      </c>
      <c r="BL29" s="2046"/>
      <c r="BM29" s="2042"/>
      <c r="BN29" s="2043"/>
    </row>
    <row r="30" spans="1:66" ht="16.2">
      <c r="A30" s="2195" t="s">
        <v>559</v>
      </c>
      <c r="B30" s="2196">
        <v>40</v>
      </c>
      <c r="C30" s="2197">
        <v>34.49</v>
      </c>
      <c r="D30" s="2197">
        <v>18.11</v>
      </c>
      <c r="E30" s="2197">
        <f t="shared" si="18"/>
        <v>0</v>
      </c>
      <c r="F30" s="2197">
        <f t="shared" si="19"/>
        <v>52.6</v>
      </c>
      <c r="G30" s="2197"/>
      <c r="H30" s="2197">
        <f t="shared" si="25"/>
        <v>4.5736765000000004</v>
      </c>
      <c r="I30" s="2197">
        <f t="shared" si="26"/>
        <v>13.968450000000001</v>
      </c>
      <c r="J30" s="2197">
        <f t="shared" si="21"/>
        <v>71.142126500000003</v>
      </c>
      <c r="K30" s="2198">
        <v>40694</v>
      </c>
      <c r="L30" s="2139" t="s">
        <v>2317</v>
      </c>
      <c r="M30" s="716"/>
      <c r="N30" s="716"/>
      <c r="O30" s="716"/>
      <c r="P30" s="2199"/>
      <c r="Q30" s="2200">
        <f t="shared" si="22"/>
        <v>0</v>
      </c>
      <c r="R30" s="2201"/>
      <c r="S30" s="2200">
        <f t="shared" si="22"/>
        <v>0</v>
      </c>
      <c r="T30" s="2201"/>
      <c r="U30" s="2200">
        <f t="shared" si="0"/>
        <v>0</v>
      </c>
      <c r="V30" s="2202"/>
      <c r="W30" s="2203">
        <f t="shared" si="1"/>
        <v>0</v>
      </c>
      <c r="X30" s="2202"/>
      <c r="Y30" s="2203">
        <f t="shared" si="2"/>
        <v>0</v>
      </c>
      <c r="Z30" s="2202"/>
      <c r="AA30" s="2203">
        <f t="shared" si="3"/>
        <v>0</v>
      </c>
      <c r="AB30" s="2202"/>
      <c r="AC30" s="2203">
        <f t="shared" si="4"/>
        <v>0</v>
      </c>
      <c r="AD30" s="2202"/>
      <c r="AE30" s="2203">
        <f t="shared" si="5"/>
        <v>0</v>
      </c>
      <c r="AF30" s="2204"/>
      <c r="AG30" s="2203">
        <f t="shared" si="6"/>
        <v>0</v>
      </c>
      <c r="AH30" s="2202"/>
      <c r="AI30" s="2203">
        <f t="shared" si="7"/>
        <v>0</v>
      </c>
      <c r="AJ30" s="2202"/>
      <c r="AK30" s="2203">
        <f t="shared" si="8"/>
        <v>0</v>
      </c>
      <c r="AL30" s="2202"/>
      <c r="AM30" s="2203">
        <f t="shared" si="8"/>
        <v>0</v>
      </c>
      <c r="AN30" s="2202">
        <v>32</v>
      </c>
      <c r="AO30" s="2205">
        <f t="shared" si="9"/>
        <v>2276.5480480000001</v>
      </c>
      <c r="AP30" s="2202">
        <v>10</v>
      </c>
      <c r="AQ30" s="2205">
        <f t="shared" si="10"/>
        <v>711.42126500000006</v>
      </c>
      <c r="AR30" s="2202"/>
      <c r="AS30" s="2203">
        <f t="shared" si="11"/>
        <v>0</v>
      </c>
      <c r="AT30" s="2202"/>
      <c r="AU30" s="2203">
        <f t="shared" si="12"/>
        <v>0</v>
      </c>
      <c r="AV30" s="2202"/>
      <c r="AW30" s="2203">
        <f t="shared" si="13"/>
        <v>0</v>
      </c>
      <c r="AX30" s="2202"/>
      <c r="AY30" s="2203">
        <f t="shared" si="14"/>
        <v>0</v>
      </c>
      <c r="AZ30" s="2202"/>
      <c r="BA30" s="2203">
        <f t="shared" si="15"/>
        <v>0</v>
      </c>
      <c r="BB30" s="2202"/>
      <c r="BC30" s="2203">
        <f t="shared" si="16"/>
        <v>0</v>
      </c>
      <c r="BD30" s="2202"/>
      <c r="BE30" s="2203">
        <f t="shared" si="17"/>
        <v>0</v>
      </c>
      <c r="BF30" s="2202"/>
      <c r="BG30" s="2206" t="s">
        <v>559</v>
      </c>
      <c r="BH30" s="2148">
        <f t="shared" si="23"/>
        <v>42</v>
      </c>
      <c r="BI30" s="2172"/>
      <c r="BJ30" s="1679"/>
      <c r="BK30" s="2045" t="e">
        <f t="shared" si="24"/>
        <v>#VALUE!</v>
      </c>
      <c r="BL30" s="2047" t="e">
        <f>SUM(BK29:BK31)/BK$66</f>
        <v>#VALUE!</v>
      </c>
      <c r="BM30" s="2042"/>
      <c r="BN30" s="2043"/>
    </row>
    <row r="31" spans="1:66" ht="16.2">
      <c r="A31" s="2207" t="s">
        <v>561</v>
      </c>
      <c r="B31" s="2208"/>
      <c r="C31" s="2209">
        <f>19.81+1.52</f>
        <v>21.33</v>
      </c>
      <c r="D31" s="2209">
        <f>D32</f>
        <v>7.98</v>
      </c>
      <c r="E31" s="2209">
        <f t="shared" si="18"/>
        <v>0</v>
      </c>
      <c r="F31" s="2209">
        <f t="shared" si="19"/>
        <v>29.31</v>
      </c>
      <c r="G31" s="2209"/>
      <c r="H31" s="2209">
        <f t="shared" si="25"/>
        <v>2.6594440000000001</v>
      </c>
      <c r="I31" s="2209">
        <f>((C31)*$F$131/100)</f>
        <v>1.4781690000000001</v>
      </c>
      <c r="J31" s="2209">
        <f t="shared" si="21"/>
        <v>33.447612999999997</v>
      </c>
      <c r="K31" s="2210"/>
      <c r="L31" s="2139"/>
      <c r="M31" s="716"/>
      <c r="N31" s="716"/>
      <c r="O31" s="716"/>
      <c r="P31" s="2211"/>
      <c r="Q31" s="2212">
        <f t="shared" si="22"/>
        <v>0</v>
      </c>
      <c r="R31" s="2213"/>
      <c r="S31" s="2212">
        <f t="shared" si="22"/>
        <v>0</v>
      </c>
      <c r="T31" s="2213"/>
      <c r="U31" s="2212">
        <f t="shared" si="0"/>
        <v>0</v>
      </c>
      <c r="V31" s="2214"/>
      <c r="W31" s="2215">
        <f t="shared" si="1"/>
        <v>0</v>
      </c>
      <c r="X31" s="2214"/>
      <c r="Y31" s="2215">
        <f t="shared" si="2"/>
        <v>0</v>
      </c>
      <c r="Z31" s="2214"/>
      <c r="AA31" s="2215">
        <f t="shared" si="3"/>
        <v>0</v>
      </c>
      <c r="AB31" s="2214"/>
      <c r="AC31" s="2215">
        <f t="shared" si="4"/>
        <v>0</v>
      </c>
      <c r="AD31" s="2214"/>
      <c r="AE31" s="2215">
        <f t="shared" si="5"/>
        <v>0</v>
      </c>
      <c r="AF31" s="2216">
        <v>1</v>
      </c>
      <c r="AG31" s="2215">
        <f t="shared" si="6"/>
        <v>33.447612999999997</v>
      </c>
      <c r="AH31" s="2214"/>
      <c r="AI31" s="2215">
        <f t="shared" si="7"/>
        <v>0</v>
      </c>
      <c r="AJ31" s="2214"/>
      <c r="AK31" s="2215">
        <f t="shared" si="8"/>
        <v>0</v>
      </c>
      <c r="AL31" s="2214"/>
      <c r="AM31" s="2215">
        <f t="shared" si="8"/>
        <v>0</v>
      </c>
      <c r="AN31" s="2214"/>
      <c r="AO31" s="2215">
        <f t="shared" si="9"/>
        <v>0</v>
      </c>
      <c r="AP31" s="2214"/>
      <c r="AQ31" s="2215">
        <f t="shared" si="10"/>
        <v>0</v>
      </c>
      <c r="AR31" s="2214"/>
      <c r="AS31" s="2215">
        <f t="shared" si="11"/>
        <v>0</v>
      </c>
      <c r="AT31" s="2214"/>
      <c r="AU31" s="2215">
        <f t="shared" si="12"/>
        <v>0</v>
      </c>
      <c r="AV31" s="2214"/>
      <c r="AW31" s="2215">
        <f t="shared" si="13"/>
        <v>0</v>
      </c>
      <c r="AX31" s="2214"/>
      <c r="AY31" s="2215">
        <f t="shared" si="14"/>
        <v>0</v>
      </c>
      <c r="AZ31" s="2214"/>
      <c r="BA31" s="2215">
        <f t="shared" si="15"/>
        <v>0</v>
      </c>
      <c r="BB31" s="2214"/>
      <c r="BC31" s="2215">
        <f t="shared" si="16"/>
        <v>0</v>
      </c>
      <c r="BD31" s="2214"/>
      <c r="BE31" s="2215">
        <f t="shared" si="17"/>
        <v>0</v>
      </c>
      <c r="BF31" s="2214"/>
      <c r="BG31" s="2217" t="s">
        <v>561</v>
      </c>
      <c r="BH31" s="2148">
        <f t="shared" si="23"/>
        <v>1</v>
      </c>
      <c r="BI31" s="2149"/>
      <c r="BJ31" s="1679"/>
      <c r="BK31" s="2045" t="e">
        <f t="shared" si="24"/>
        <v>#VALUE!</v>
      </c>
      <c r="BL31" s="2048"/>
      <c r="BM31" s="2042"/>
      <c r="BN31" s="2043"/>
    </row>
    <row r="32" spans="1:66" ht="16.2">
      <c r="A32" s="2207" t="s">
        <v>2249</v>
      </c>
      <c r="B32" s="2208">
        <v>576</v>
      </c>
      <c r="C32" s="2209">
        <v>18.27</v>
      </c>
      <c r="D32" s="2209">
        <v>7.98</v>
      </c>
      <c r="E32" s="2209">
        <f t="shared" si="18"/>
        <v>0</v>
      </c>
      <c r="F32" s="2209">
        <f t="shared" si="19"/>
        <v>26.25</v>
      </c>
      <c r="G32" s="2209"/>
      <c r="H32" s="2209">
        <f t="shared" si="25"/>
        <v>2.3380419999999997</v>
      </c>
      <c r="I32" s="2209">
        <f>((C32)*$F$131/100)</f>
        <v>1.266111</v>
      </c>
      <c r="J32" s="2209">
        <f t="shared" si="21"/>
        <v>29.854153</v>
      </c>
      <c r="K32" s="2210">
        <v>40724</v>
      </c>
      <c r="L32" s="2139"/>
      <c r="M32" s="716"/>
      <c r="N32" s="716"/>
      <c r="O32" s="716"/>
      <c r="P32" s="2218"/>
      <c r="Q32" s="2212">
        <f t="shared" si="22"/>
        <v>0</v>
      </c>
      <c r="R32" s="2213"/>
      <c r="S32" s="2212">
        <f t="shared" si="22"/>
        <v>0</v>
      </c>
      <c r="T32" s="2213"/>
      <c r="U32" s="2212">
        <f t="shared" si="0"/>
        <v>0</v>
      </c>
      <c r="V32" s="2214"/>
      <c r="W32" s="2215">
        <f t="shared" si="1"/>
        <v>0</v>
      </c>
      <c r="X32" s="2214"/>
      <c r="Y32" s="2215">
        <f t="shared" si="2"/>
        <v>0</v>
      </c>
      <c r="Z32" s="2214"/>
      <c r="AA32" s="2215">
        <f t="shared" si="3"/>
        <v>0</v>
      </c>
      <c r="AB32" s="2214"/>
      <c r="AC32" s="2215">
        <f t="shared" si="4"/>
        <v>0</v>
      </c>
      <c r="AD32" s="2214"/>
      <c r="AE32" s="2215">
        <f t="shared" si="5"/>
        <v>0</v>
      </c>
      <c r="AF32" s="2216">
        <v>4</v>
      </c>
      <c r="AG32" s="2215">
        <f t="shared" si="6"/>
        <v>119.416612</v>
      </c>
      <c r="AH32" s="2214"/>
      <c r="AI32" s="2215">
        <f t="shared" si="7"/>
        <v>0</v>
      </c>
      <c r="AJ32" s="2214"/>
      <c r="AK32" s="2215">
        <f t="shared" si="8"/>
        <v>0</v>
      </c>
      <c r="AL32" s="2214"/>
      <c r="AM32" s="2215">
        <f t="shared" si="8"/>
        <v>0</v>
      </c>
      <c r="AN32" s="2214"/>
      <c r="AO32" s="2215">
        <f t="shared" si="9"/>
        <v>0</v>
      </c>
      <c r="AP32" s="2214"/>
      <c r="AQ32" s="2215">
        <f t="shared" si="10"/>
        <v>0</v>
      </c>
      <c r="AR32" s="2214"/>
      <c r="AS32" s="2215">
        <f t="shared" si="11"/>
        <v>0</v>
      </c>
      <c r="AT32" s="2214"/>
      <c r="AU32" s="2215">
        <f t="shared" si="12"/>
        <v>0</v>
      </c>
      <c r="AV32" s="2214"/>
      <c r="AW32" s="2215">
        <f t="shared" si="13"/>
        <v>0</v>
      </c>
      <c r="AX32" s="2214"/>
      <c r="AY32" s="2215">
        <f t="shared" si="14"/>
        <v>0</v>
      </c>
      <c r="AZ32" s="2214"/>
      <c r="BA32" s="2215">
        <f t="shared" si="15"/>
        <v>0</v>
      </c>
      <c r="BB32" s="2214"/>
      <c r="BC32" s="2215">
        <f t="shared" si="16"/>
        <v>0</v>
      </c>
      <c r="BD32" s="2214"/>
      <c r="BE32" s="2215">
        <f t="shared" si="17"/>
        <v>0</v>
      </c>
      <c r="BF32" s="2214"/>
      <c r="BG32" s="2217" t="s">
        <v>2249</v>
      </c>
      <c r="BH32" s="2148">
        <f t="shared" si="23"/>
        <v>4</v>
      </c>
      <c r="BI32" s="2160">
        <f>SUM(BH31:BH32)/BH$65</f>
        <v>1.3227513227513227E-2</v>
      </c>
      <c r="BJ32" s="1679"/>
      <c r="BK32" s="2045" t="e">
        <f t="shared" si="24"/>
        <v>#VALUE!</v>
      </c>
      <c r="BL32" s="2046"/>
      <c r="BM32" s="2042"/>
      <c r="BN32" s="2043"/>
    </row>
    <row r="33" spans="1:66" ht="16.2">
      <c r="A33" s="2219" t="s">
        <v>562</v>
      </c>
      <c r="B33" s="2220"/>
      <c r="C33" s="2221">
        <f>C34*1.07</f>
        <v>23.154800000000002</v>
      </c>
      <c r="D33" s="2221"/>
      <c r="E33" s="2221">
        <f t="shared" si="18"/>
        <v>0</v>
      </c>
      <c r="F33" s="2221">
        <f t="shared" si="19"/>
        <v>23.154800000000002</v>
      </c>
      <c r="G33" s="2221"/>
      <c r="H33" s="2221">
        <f t="shared" si="25"/>
        <v>2.432025826666667</v>
      </c>
      <c r="I33" s="2221">
        <f>((C33)*$F$125/100)</f>
        <v>5.1848228160000005</v>
      </c>
      <c r="J33" s="2221">
        <f t="shared" si="21"/>
        <v>30.771648642666669</v>
      </c>
      <c r="K33" s="2222"/>
      <c r="L33" s="2139"/>
      <c r="M33" s="716"/>
      <c r="N33" s="716"/>
      <c r="O33" s="716"/>
      <c r="P33" s="2223"/>
      <c r="Q33" s="2224">
        <f t="shared" si="22"/>
        <v>0</v>
      </c>
      <c r="R33" s="2225"/>
      <c r="S33" s="2224">
        <f t="shared" si="22"/>
        <v>0</v>
      </c>
      <c r="T33" s="2225">
        <v>1</v>
      </c>
      <c r="U33" s="2224">
        <f t="shared" si="0"/>
        <v>30.771648642666669</v>
      </c>
      <c r="V33" s="2226"/>
      <c r="W33" s="2227">
        <f t="shared" si="1"/>
        <v>0</v>
      </c>
      <c r="X33" s="2225">
        <v>1</v>
      </c>
      <c r="Y33" s="2227">
        <f t="shared" si="2"/>
        <v>30.771648642666669</v>
      </c>
      <c r="Z33" s="2226"/>
      <c r="AA33" s="2227">
        <f t="shared" si="3"/>
        <v>0</v>
      </c>
      <c r="AB33" s="2226"/>
      <c r="AC33" s="2227">
        <f t="shared" si="4"/>
        <v>0</v>
      </c>
      <c r="AD33" s="2226"/>
      <c r="AE33" s="2227">
        <f t="shared" si="5"/>
        <v>0</v>
      </c>
      <c r="AF33" s="2228"/>
      <c r="AG33" s="2227">
        <f t="shared" si="6"/>
        <v>0</v>
      </c>
      <c r="AH33" s="2226">
        <v>1</v>
      </c>
      <c r="AI33" s="2227">
        <v>1</v>
      </c>
      <c r="AJ33" s="2226">
        <v>1</v>
      </c>
      <c r="AK33" s="2227">
        <f t="shared" si="8"/>
        <v>30.771648642666669</v>
      </c>
      <c r="AL33" s="2226">
        <v>1</v>
      </c>
      <c r="AM33" s="2227">
        <f t="shared" si="8"/>
        <v>30.771648642666669</v>
      </c>
      <c r="AN33" s="2226"/>
      <c r="AO33" s="2227">
        <f t="shared" si="9"/>
        <v>0</v>
      </c>
      <c r="AP33" s="2226"/>
      <c r="AQ33" s="2227">
        <f t="shared" si="10"/>
        <v>0</v>
      </c>
      <c r="AR33" s="2226"/>
      <c r="AS33" s="2227">
        <f t="shared" si="11"/>
        <v>0</v>
      </c>
      <c r="AT33" s="2226"/>
      <c r="AU33" s="2227">
        <f t="shared" si="12"/>
        <v>0</v>
      </c>
      <c r="AV33" s="2226"/>
      <c r="AW33" s="2227">
        <f t="shared" si="13"/>
        <v>0</v>
      </c>
      <c r="AX33" s="2226"/>
      <c r="AY33" s="2227">
        <f t="shared" si="14"/>
        <v>0</v>
      </c>
      <c r="AZ33" s="2226"/>
      <c r="BA33" s="2227">
        <f t="shared" si="15"/>
        <v>0</v>
      </c>
      <c r="BB33" s="2226"/>
      <c r="BC33" s="2227">
        <f t="shared" si="16"/>
        <v>0</v>
      </c>
      <c r="BD33" s="2226"/>
      <c r="BE33" s="2227">
        <f t="shared" si="17"/>
        <v>0</v>
      </c>
      <c r="BF33" s="2226"/>
      <c r="BG33" s="2229" t="s">
        <v>562</v>
      </c>
      <c r="BH33" s="2148">
        <f t="shared" si="23"/>
        <v>5</v>
      </c>
      <c r="BI33" s="2149"/>
      <c r="BJ33" s="1679"/>
      <c r="BK33" s="2045" t="e">
        <f t="shared" si="24"/>
        <v>#VALUE!</v>
      </c>
      <c r="BL33" s="2047" t="e">
        <f>SUM(BK32:BK33)/BK$66</f>
        <v>#VALUE!</v>
      </c>
      <c r="BM33" s="2042"/>
      <c r="BN33" s="2043"/>
    </row>
    <row r="34" spans="1:66" ht="16.2">
      <c r="A34" s="2219" t="s">
        <v>564</v>
      </c>
      <c r="B34" s="2220">
        <v>64</v>
      </c>
      <c r="C34" s="2221">
        <v>21.64</v>
      </c>
      <c r="D34" s="2221">
        <v>11.45</v>
      </c>
      <c r="E34" s="2221">
        <f t="shared" si="18"/>
        <v>0</v>
      </c>
      <c r="F34" s="2221">
        <f t="shared" si="19"/>
        <v>33.090000000000003</v>
      </c>
      <c r="G34" s="2221"/>
      <c r="H34" s="2221">
        <f t="shared" si="25"/>
        <v>2.8742371666666671</v>
      </c>
      <c r="I34" s="2221">
        <f>((C34)*$F$125/100)</f>
        <v>4.8456288000000001</v>
      </c>
      <c r="J34" s="2221">
        <f t="shared" si="21"/>
        <v>40.809865966666671</v>
      </c>
      <c r="K34" s="2222">
        <v>40694</v>
      </c>
      <c r="L34" s="2139"/>
      <c r="M34" s="716"/>
      <c r="N34" s="716"/>
      <c r="O34" s="716"/>
      <c r="P34" s="2223"/>
      <c r="Q34" s="2224">
        <f t="shared" si="22"/>
        <v>0</v>
      </c>
      <c r="R34" s="2225"/>
      <c r="S34" s="2224">
        <f t="shared" si="22"/>
        <v>0</v>
      </c>
      <c r="T34" s="2225">
        <v>2</v>
      </c>
      <c r="U34" s="2224">
        <f t="shared" si="0"/>
        <v>81.619731933333341</v>
      </c>
      <c r="V34" s="2226"/>
      <c r="W34" s="2227">
        <f t="shared" si="1"/>
        <v>0</v>
      </c>
      <c r="X34" s="2225">
        <v>4</v>
      </c>
      <c r="Y34" s="2227">
        <f t="shared" si="2"/>
        <v>163.23946386666668</v>
      </c>
      <c r="Z34" s="2226"/>
      <c r="AA34" s="2227">
        <f t="shared" si="3"/>
        <v>0</v>
      </c>
      <c r="AB34" s="2226"/>
      <c r="AC34" s="2227">
        <f t="shared" si="4"/>
        <v>0</v>
      </c>
      <c r="AD34" s="2226"/>
      <c r="AE34" s="2227">
        <f t="shared" si="5"/>
        <v>0</v>
      </c>
      <c r="AF34" s="2228"/>
      <c r="AG34" s="2227">
        <f t="shared" si="6"/>
        <v>0</v>
      </c>
      <c r="AH34" s="2226">
        <v>4</v>
      </c>
      <c r="AI34" s="2227">
        <v>4</v>
      </c>
      <c r="AJ34" s="2226">
        <v>4</v>
      </c>
      <c r="AK34" s="2227">
        <f t="shared" si="8"/>
        <v>163.23946386666668</v>
      </c>
      <c r="AL34" s="2226">
        <v>4</v>
      </c>
      <c r="AM34" s="2227">
        <f t="shared" si="8"/>
        <v>163.23946386666668</v>
      </c>
      <c r="AN34" s="2226"/>
      <c r="AO34" s="2227">
        <f t="shared" si="9"/>
        <v>0</v>
      </c>
      <c r="AP34" s="2226"/>
      <c r="AQ34" s="2227">
        <f t="shared" si="10"/>
        <v>0</v>
      </c>
      <c r="AR34" s="2226"/>
      <c r="AS34" s="2227">
        <f t="shared" si="11"/>
        <v>0</v>
      </c>
      <c r="AT34" s="2226"/>
      <c r="AU34" s="2227">
        <f t="shared" si="12"/>
        <v>0</v>
      </c>
      <c r="AV34" s="2226"/>
      <c r="AW34" s="2227">
        <f t="shared" si="13"/>
        <v>0</v>
      </c>
      <c r="AX34" s="2226"/>
      <c r="AY34" s="2227">
        <f t="shared" si="14"/>
        <v>0</v>
      </c>
      <c r="AZ34" s="2226"/>
      <c r="BA34" s="2227">
        <f t="shared" si="15"/>
        <v>0</v>
      </c>
      <c r="BB34" s="2226"/>
      <c r="BC34" s="2227">
        <f t="shared" si="16"/>
        <v>0</v>
      </c>
      <c r="BD34" s="2226">
        <v>2</v>
      </c>
      <c r="BE34" s="2227">
        <f t="shared" si="17"/>
        <v>81.619731933333341</v>
      </c>
      <c r="BF34" s="2226"/>
      <c r="BG34" s="2229" t="s">
        <v>564</v>
      </c>
      <c r="BH34" s="2148">
        <f t="shared" si="23"/>
        <v>20</v>
      </c>
      <c r="BI34" s="2160">
        <f>SUM(BH33:BH34)/BH$65</f>
        <v>6.6137566137566134E-2</v>
      </c>
      <c r="BJ34" s="1679"/>
      <c r="BK34" s="2045" t="e">
        <f t="shared" si="24"/>
        <v>#VALUE!</v>
      </c>
      <c r="BL34" s="2046"/>
      <c r="BM34" s="2042"/>
      <c r="BN34" s="2043"/>
    </row>
    <row r="35" spans="1:66" ht="16.2">
      <c r="A35" s="2230"/>
      <c r="B35" s="2231"/>
      <c r="C35" s="2232"/>
      <c r="D35" s="2232"/>
      <c r="E35" s="2232"/>
      <c r="F35" s="2232"/>
      <c r="G35" s="2232"/>
      <c r="H35" s="2232">
        <f t="shared" si="25"/>
        <v>0</v>
      </c>
      <c r="I35" s="2232"/>
      <c r="J35" s="2232"/>
      <c r="K35" s="2233"/>
      <c r="L35" s="2139"/>
      <c r="M35" s="716"/>
      <c r="N35" s="716"/>
      <c r="O35" s="716"/>
      <c r="P35" s="2234"/>
      <c r="Q35" s="2235">
        <f t="shared" si="22"/>
        <v>0</v>
      </c>
      <c r="R35" s="2236"/>
      <c r="S35" s="2235">
        <f t="shared" si="22"/>
        <v>0</v>
      </c>
      <c r="T35" s="2236"/>
      <c r="U35" s="2235">
        <f t="shared" si="0"/>
        <v>0</v>
      </c>
      <c r="V35" s="2237"/>
      <c r="W35" s="2238">
        <f t="shared" si="1"/>
        <v>0</v>
      </c>
      <c r="X35" s="2236"/>
      <c r="Y35" s="2238">
        <f t="shared" si="2"/>
        <v>0</v>
      </c>
      <c r="Z35" s="2237"/>
      <c r="AA35" s="2238">
        <f t="shared" si="3"/>
        <v>0</v>
      </c>
      <c r="AB35" s="2237"/>
      <c r="AC35" s="2238">
        <f t="shared" si="4"/>
        <v>0</v>
      </c>
      <c r="AD35" s="2237"/>
      <c r="AE35" s="2238">
        <f t="shared" si="5"/>
        <v>0</v>
      </c>
      <c r="AF35" s="2239"/>
      <c r="AG35" s="2238">
        <f t="shared" si="6"/>
        <v>0</v>
      </c>
      <c r="AH35" s="2237"/>
      <c r="AI35" s="2238">
        <f t="shared" si="7"/>
        <v>0</v>
      </c>
      <c r="AJ35" s="2237"/>
      <c r="AK35" s="2238">
        <f t="shared" si="8"/>
        <v>0</v>
      </c>
      <c r="AL35" s="2237"/>
      <c r="AM35" s="2238">
        <f t="shared" si="8"/>
        <v>0</v>
      </c>
      <c r="AN35" s="2237"/>
      <c r="AO35" s="2238">
        <f t="shared" si="9"/>
        <v>0</v>
      </c>
      <c r="AP35" s="2237"/>
      <c r="AQ35" s="2238">
        <f t="shared" si="10"/>
        <v>0</v>
      </c>
      <c r="AR35" s="2237"/>
      <c r="AS35" s="2238">
        <f t="shared" si="11"/>
        <v>0</v>
      </c>
      <c r="AT35" s="2237"/>
      <c r="AU35" s="2238">
        <f t="shared" si="12"/>
        <v>0</v>
      </c>
      <c r="AV35" s="2237"/>
      <c r="AW35" s="2238">
        <f t="shared" si="13"/>
        <v>0</v>
      </c>
      <c r="AX35" s="2237"/>
      <c r="AY35" s="2238">
        <f t="shared" si="14"/>
        <v>0</v>
      </c>
      <c r="AZ35" s="2237"/>
      <c r="BA35" s="2238">
        <f t="shared" si="15"/>
        <v>0</v>
      </c>
      <c r="BB35" s="2237"/>
      <c r="BC35" s="2238">
        <f t="shared" si="16"/>
        <v>0</v>
      </c>
      <c r="BD35" s="2237"/>
      <c r="BE35" s="2238">
        <f t="shared" si="17"/>
        <v>0</v>
      </c>
      <c r="BF35" s="2237"/>
      <c r="BG35" s="2240" t="s">
        <v>2250</v>
      </c>
      <c r="BH35" s="2148">
        <f t="shared" si="23"/>
        <v>0</v>
      </c>
      <c r="BI35" s="2149"/>
      <c r="BJ35" s="1679"/>
      <c r="BK35" s="2045" t="e">
        <f t="shared" si="24"/>
        <v>#VALUE!</v>
      </c>
      <c r="BL35" s="2047" t="e">
        <f>SUM(BK34:BK35)/BK$66</f>
        <v>#VALUE!</v>
      </c>
      <c r="BM35" s="2042"/>
      <c r="BN35" s="2043"/>
    </row>
    <row r="36" spans="1:66" ht="16.2">
      <c r="A36" s="2241" t="s">
        <v>1238</v>
      </c>
      <c r="B36" s="2231"/>
      <c r="C36" s="2232">
        <f>C37+2</f>
        <v>22.5</v>
      </c>
      <c r="D36" s="2232">
        <f>D37</f>
        <v>9.4</v>
      </c>
      <c r="E36" s="2232">
        <f t="shared" si="18"/>
        <v>0</v>
      </c>
      <c r="F36" s="2232">
        <f t="shared" si="19"/>
        <v>31.9</v>
      </c>
      <c r="G36" s="2232"/>
      <c r="H36" s="2232">
        <f t="shared" si="25"/>
        <v>2.8569066666666667</v>
      </c>
      <c r="I36" s="2232">
        <f t="shared" ref="I36:I37" si="27">((C36)*$F$131/100)</f>
        <v>1.55925</v>
      </c>
      <c r="J36" s="2232">
        <f t="shared" si="21"/>
        <v>36.316156666666664</v>
      </c>
      <c r="K36" s="2233"/>
      <c r="L36" s="2139"/>
      <c r="M36" s="716"/>
      <c r="N36" s="716"/>
      <c r="O36" s="716"/>
      <c r="P36" s="2234"/>
      <c r="Q36" s="2235">
        <f t="shared" si="22"/>
        <v>0</v>
      </c>
      <c r="R36" s="2236"/>
      <c r="S36" s="2235">
        <f t="shared" si="22"/>
        <v>0</v>
      </c>
      <c r="T36" s="2236"/>
      <c r="U36" s="2235">
        <f t="shared" si="0"/>
        <v>0</v>
      </c>
      <c r="V36" s="2237"/>
      <c r="W36" s="2238">
        <f t="shared" si="1"/>
        <v>0</v>
      </c>
      <c r="X36" s="2236">
        <v>1</v>
      </c>
      <c r="Y36" s="2238">
        <f t="shared" si="2"/>
        <v>36.316156666666664</v>
      </c>
      <c r="Z36" s="2237"/>
      <c r="AA36" s="2238">
        <f t="shared" si="3"/>
        <v>0</v>
      </c>
      <c r="AB36" s="2237"/>
      <c r="AC36" s="2238">
        <f t="shared" si="4"/>
        <v>0</v>
      </c>
      <c r="AD36" s="2237"/>
      <c r="AE36" s="2238">
        <f t="shared" si="5"/>
        <v>0</v>
      </c>
      <c r="AF36" s="2239"/>
      <c r="AG36" s="2238">
        <f t="shared" si="6"/>
        <v>0</v>
      </c>
      <c r="AH36" s="2237"/>
      <c r="AI36" s="2238">
        <f t="shared" si="7"/>
        <v>0</v>
      </c>
      <c r="AJ36" s="2237"/>
      <c r="AK36" s="2238">
        <f t="shared" si="8"/>
        <v>0</v>
      </c>
      <c r="AL36" s="2237"/>
      <c r="AM36" s="2238">
        <f t="shared" si="8"/>
        <v>0</v>
      </c>
      <c r="AN36" s="2237"/>
      <c r="AO36" s="2238">
        <f t="shared" si="9"/>
        <v>0</v>
      </c>
      <c r="AP36" s="2237"/>
      <c r="AQ36" s="2238">
        <f t="shared" si="10"/>
        <v>0</v>
      </c>
      <c r="AR36" s="2237"/>
      <c r="AS36" s="2238">
        <f t="shared" si="11"/>
        <v>0</v>
      </c>
      <c r="AT36" s="2237"/>
      <c r="AU36" s="2238">
        <f t="shared" si="12"/>
        <v>0</v>
      </c>
      <c r="AV36" s="2237"/>
      <c r="AW36" s="2238">
        <f t="shared" si="13"/>
        <v>0</v>
      </c>
      <c r="AX36" s="2237"/>
      <c r="AY36" s="2238">
        <f t="shared" si="14"/>
        <v>0</v>
      </c>
      <c r="AZ36" s="2237"/>
      <c r="BA36" s="2238">
        <f t="shared" si="15"/>
        <v>0</v>
      </c>
      <c r="BB36" s="2237"/>
      <c r="BC36" s="2238">
        <f t="shared" si="16"/>
        <v>0</v>
      </c>
      <c r="BD36" s="2237"/>
      <c r="BE36" s="2238">
        <f t="shared" si="17"/>
        <v>0</v>
      </c>
      <c r="BF36" s="2237"/>
      <c r="BG36" s="2240" t="s">
        <v>1238</v>
      </c>
      <c r="BH36" s="2148">
        <f t="shared" si="23"/>
        <v>1</v>
      </c>
      <c r="BI36" s="2160">
        <f>SUM(BH35:BH37)/BH$65</f>
        <v>7.9365079365079361E-3</v>
      </c>
      <c r="BJ36" s="1679"/>
      <c r="BK36" s="2045" t="e">
        <f t="shared" si="24"/>
        <v>#VALUE!</v>
      </c>
      <c r="BL36" s="2046"/>
      <c r="BM36" s="2042"/>
      <c r="BN36" s="2043"/>
    </row>
    <row r="37" spans="1:66" ht="16.2">
      <c r="A37" s="2242" t="s">
        <v>2062</v>
      </c>
      <c r="B37" s="2243">
        <v>694</v>
      </c>
      <c r="C37" s="2244">
        <v>20.5</v>
      </c>
      <c r="D37" s="2244">
        <v>9.4</v>
      </c>
      <c r="E37" s="2244">
        <f t="shared" si="18"/>
        <v>0</v>
      </c>
      <c r="F37" s="2244">
        <f t="shared" si="19"/>
        <v>29.9</v>
      </c>
      <c r="G37" s="2244"/>
      <c r="H37" s="2244">
        <f t="shared" si="25"/>
        <v>2.6468400000000001</v>
      </c>
      <c r="I37" s="2244">
        <f t="shared" si="27"/>
        <v>1.4206500000000002</v>
      </c>
      <c r="J37" s="2244">
        <f t="shared" si="21"/>
        <v>33.967489999999998</v>
      </c>
      <c r="K37" s="2245">
        <v>40689</v>
      </c>
      <c r="L37" s="2139"/>
      <c r="M37" s="716"/>
      <c r="N37" s="716"/>
      <c r="O37" s="716"/>
      <c r="P37" s="2246"/>
      <c r="Q37" s="2247">
        <f t="shared" si="22"/>
        <v>0</v>
      </c>
      <c r="R37" s="2248"/>
      <c r="S37" s="2247">
        <f t="shared" si="22"/>
        <v>0</v>
      </c>
      <c r="T37" s="2248"/>
      <c r="U37" s="2247">
        <f t="shared" si="0"/>
        <v>0</v>
      </c>
      <c r="V37" s="2249"/>
      <c r="W37" s="2250">
        <f t="shared" si="1"/>
        <v>0</v>
      </c>
      <c r="X37" s="2248">
        <v>2</v>
      </c>
      <c r="Y37" s="2250">
        <f t="shared" si="2"/>
        <v>67.934979999999996</v>
      </c>
      <c r="Z37" s="2249"/>
      <c r="AA37" s="2250">
        <f t="shared" si="3"/>
        <v>0</v>
      </c>
      <c r="AB37" s="2249"/>
      <c r="AC37" s="2250">
        <f t="shared" si="4"/>
        <v>0</v>
      </c>
      <c r="AD37" s="2249"/>
      <c r="AE37" s="2250">
        <f t="shared" si="5"/>
        <v>0</v>
      </c>
      <c r="AF37" s="2251"/>
      <c r="AG37" s="2250">
        <f t="shared" si="6"/>
        <v>0</v>
      </c>
      <c r="AH37" s="2249"/>
      <c r="AI37" s="2250">
        <f t="shared" si="7"/>
        <v>0</v>
      </c>
      <c r="AJ37" s="2249"/>
      <c r="AK37" s="2250">
        <f t="shared" si="8"/>
        <v>0</v>
      </c>
      <c r="AL37" s="2249"/>
      <c r="AM37" s="2250">
        <f t="shared" si="8"/>
        <v>0</v>
      </c>
      <c r="AN37" s="2249"/>
      <c r="AO37" s="2250">
        <f t="shared" si="9"/>
        <v>0</v>
      </c>
      <c r="AP37" s="2249"/>
      <c r="AQ37" s="2250">
        <f t="shared" si="10"/>
        <v>0</v>
      </c>
      <c r="AR37" s="2249"/>
      <c r="AS37" s="2250">
        <f t="shared" si="11"/>
        <v>0</v>
      </c>
      <c r="AT37" s="2249"/>
      <c r="AU37" s="2250">
        <f t="shared" si="12"/>
        <v>0</v>
      </c>
      <c r="AV37" s="2249"/>
      <c r="AW37" s="2250">
        <f t="shared" si="13"/>
        <v>0</v>
      </c>
      <c r="AX37" s="2249"/>
      <c r="AY37" s="2250">
        <f t="shared" si="14"/>
        <v>0</v>
      </c>
      <c r="AZ37" s="2249"/>
      <c r="BA37" s="2250">
        <f t="shared" si="15"/>
        <v>0</v>
      </c>
      <c r="BB37" s="2249"/>
      <c r="BC37" s="2250">
        <f t="shared" si="16"/>
        <v>0</v>
      </c>
      <c r="BD37" s="2249"/>
      <c r="BE37" s="2250">
        <f t="shared" si="17"/>
        <v>0</v>
      </c>
      <c r="BF37" s="2249"/>
      <c r="BG37" s="2252" t="s">
        <v>2062</v>
      </c>
      <c r="BH37" s="2148">
        <f t="shared" si="23"/>
        <v>2</v>
      </c>
      <c r="BI37" s="2172"/>
      <c r="BJ37" s="1679"/>
      <c r="BK37" s="2045" t="e">
        <f t="shared" si="24"/>
        <v>#VALUE!</v>
      </c>
      <c r="BL37" s="2047" t="e">
        <f>SUM(BK36:BK38)/BK$66</f>
        <v>#VALUE!</v>
      </c>
      <c r="BM37" s="2042"/>
      <c r="BN37" s="2043"/>
    </row>
    <row r="38" spans="1:66" ht="16.2">
      <c r="A38" s="2253" t="s">
        <v>565</v>
      </c>
      <c r="B38" s="2254"/>
      <c r="C38" s="2255">
        <f>C40*1.25</f>
        <v>35.375</v>
      </c>
      <c r="D38" s="2255">
        <f>D40</f>
        <v>12.55</v>
      </c>
      <c r="E38" s="2255">
        <f t="shared" si="18"/>
        <v>0</v>
      </c>
      <c r="F38" s="2255">
        <f t="shared" si="19"/>
        <v>47.924999999999997</v>
      </c>
      <c r="G38" s="2255"/>
      <c r="H38" s="2255">
        <f t="shared" si="25"/>
        <v>4.3746383333333334</v>
      </c>
      <c r="I38" s="2255">
        <f>((C38)*$F$127/100)</f>
        <v>1.7064900000000003</v>
      </c>
      <c r="J38" s="2255">
        <f t="shared" si="21"/>
        <v>54.006128333333336</v>
      </c>
      <c r="K38" s="2256"/>
      <c r="L38" s="2139"/>
      <c r="M38" s="716"/>
      <c r="N38" s="716"/>
      <c r="O38" s="716"/>
      <c r="P38" s="2257"/>
      <c r="Q38" s="2258">
        <f t="shared" si="22"/>
        <v>0</v>
      </c>
      <c r="R38" s="2259"/>
      <c r="S38" s="2258">
        <f t="shared" si="22"/>
        <v>0</v>
      </c>
      <c r="T38" s="2259"/>
      <c r="U38" s="2258">
        <f t="shared" si="0"/>
        <v>0</v>
      </c>
      <c r="V38" s="2260"/>
      <c r="W38" s="2261">
        <f t="shared" si="1"/>
        <v>0</v>
      </c>
      <c r="X38" s="2259"/>
      <c r="Y38" s="2261">
        <f t="shared" si="2"/>
        <v>0</v>
      </c>
      <c r="Z38" s="2260"/>
      <c r="AA38" s="2261">
        <f t="shared" si="3"/>
        <v>0</v>
      </c>
      <c r="AB38" s="2260"/>
      <c r="AC38" s="2261">
        <f t="shared" si="4"/>
        <v>0</v>
      </c>
      <c r="AD38" s="2260"/>
      <c r="AE38" s="2261">
        <f t="shared" si="5"/>
        <v>0</v>
      </c>
      <c r="AF38" s="2262"/>
      <c r="AG38" s="2261">
        <f t="shared" si="6"/>
        <v>0</v>
      </c>
      <c r="AH38" s="2260"/>
      <c r="AI38" s="2261">
        <f t="shared" si="7"/>
        <v>0</v>
      </c>
      <c r="AJ38" s="2260"/>
      <c r="AK38" s="2261">
        <f t="shared" si="8"/>
        <v>0</v>
      </c>
      <c r="AL38" s="2260"/>
      <c r="AM38" s="2261">
        <f t="shared" si="8"/>
        <v>0</v>
      </c>
      <c r="AN38" s="2260"/>
      <c r="AO38" s="2261">
        <f t="shared" si="9"/>
        <v>0</v>
      </c>
      <c r="AP38" s="2260"/>
      <c r="AQ38" s="2261">
        <f t="shared" si="10"/>
        <v>0</v>
      </c>
      <c r="AR38" s="2260"/>
      <c r="AS38" s="2261">
        <f t="shared" si="11"/>
        <v>0</v>
      </c>
      <c r="AT38" s="2260"/>
      <c r="AU38" s="2261">
        <f t="shared" si="12"/>
        <v>0</v>
      </c>
      <c r="AV38" s="2260"/>
      <c r="AW38" s="2261">
        <f t="shared" si="13"/>
        <v>0</v>
      </c>
      <c r="AX38" s="2260"/>
      <c r="AY38" s="2261">
        <f t="shared" si="14"/>
        <v>0</v>
      </c>
      <c r="AZ38" s="2260">
        <v>1</v>
      </c>
      <c r="BA38" s="2261">
        <f t="shared" si="15"/>
        <v>54.006128333333336</v>
      </c>
      <c r="BB38" s="2260">
        <v>1</v>
      </c>
      <c r="BC38" s="2261">
        <f t="shared" si="16"/>
        <v>54.006128333333336</v>
      </c>
      <c r="BD38" s="2260"/>
      <c r="BE38" s="2261">
        <f t="shared" si="17"/>
        <v>0</v>
      </c>
      <c r="BF38" s="2260"/>
      <c r="BG38" s="2263" t="s">
        <v>565</v>
      </c>
      <c r="BH38" s="2148">
        <f t="shared" si="23"/>
        <v>2</v>
      </c>
      <c r="BI38" s="2149"/>
      <c r="BJ38" s="1679"/>
      <c r="BK38" s="2045" t="e">
        <f t="shared" si="24"/>
        <v>#VALUE!</v>
      </c>
      <c r="BL38" s="2048"/>
      <c r="BM38" s="2042"/>
      <c r="BN38" s="2043"/>
    </row>
    <row r="39" spans="1:66" ht="16.2">
      <c r="A39" s="2264" t="s">
        <v>566</v>
      </c>
      <c r="B39" s="2265"/>
      <c r="C39" s="2266">
        <f>C40*1.1</f>
        <v>31.130000000000003</v>
      </c>
      <c r="D39" s="2266">
        <f>D40</f>
        <v>12.55</v>
      </c>
      <c r="E39" s="2266">
        <f t="shared" si="18"/>
        <v>0</v>
      </c>
      <c r="F39" s="2266">
        <f t="shared" si="19"/>
        <v>43.680000000000007</v>
      </c>
      <c r="G39" s="2266"/>
      <c r="H39" s="2266">
        <f t="shared" si="25"/>
        <v>3.9287718333333337</v>
      </c>
      <c r="I39" s="2266">
        <f>((C39)*$F$127/100)</f>
        <v>1.5017112000000004</v>
      </c>
      <c r="J39" s="2266">
        <f t="shared" si="21"/>
        <v>49.110483033333345</v>
      </c>
      <c r="K39" s="2267"/>
      <c r="L39" s="2139"/>
      <c r="M39" s="716"/>
      <c r="N39" s="716"/>
      <c r="O39" s="716"/>
      <c r="P39" s="2268"/>
      <c r="Q39" s="2269">
        <f t="shared" si="22"/>
        <v>0</v>
      </c>
      <c r="R39" s="2270"/>
      <c r="S39" s="2269">
        <f t="shared" si="22"/>
        <v>0</v>
      </c>
      <c r="T39" s="2270"/>
      <c r="U39" s="2269">
        <f t="shared" si="0"/>
        <v>0</v>
      </c>
      <c r="V39" s="2271"/>
      <c r="W39" s="2272">
        <f t="shared" si="1"/>
        <v>0</v>
      </c>
      <c r="X39" s="2270"/>
      <c r="Y39" s="2272">
        <f t="shared" si="2"/>
        <v>0</v>
      </c>
      <c r="Z39" s="2271"/>
      <c r="AA39" s="2272">
        <f t="shared" si="3"/>
        <v>0</v>
      </c>
      <c r="AB39" s="2271"/>
      <c r="AC39" s="2272">
        <f t="shared" si="4"/>
        <v>0</v>
      </c>
      <c r="AD39" s="2271"/>
      <c r="AE39" s="2272">
        <f t="shared" si="5"/>
        <v>0</v>
      </c>
      <c r="AF39" s="2273"/>
      <c r="AG39" s="2272">
        <f t="shared" si="6"/>
        <v>0</v>
      </c>
      <c r="AH39" s="2271"/>
      <c r="AI39" s="2272">
        <f t="shared" si="7"/>
        <v>0</v>
      </c>
      <c r="AJ39" s="2271"/>
      <c r="AK39" s="2272">
        <f t="shared" si="8"/>
        <v>0</v>
      </c>
      <c r="AL39" s="2271"/>
      <c r="AM39" s="2272">
        <f t="shared" si="8"/>
        <v>0</v>
      </c>
      <c r="AN39" s="2271"/>
      <c r="AO39" s="2272">
        <f t="shared" si="9"/>
        <v>0</v>
      </c>
      <c r="AP39" s="2271"/>
      <c r="AQ39" s="2272">
        <f t="shared" si="10"/>
        <v>0</v>
      </c>
      <c r="AR39" s="2271"/>
      <c r="AS39" s="2272">
        <f t="shared" si="11"/>
        <v>0</v>
      </c>
      <c r="AT39" s="2271"/>
      <c r="AU39" s="2272">
        <f t="shared" si="12"/>
        <v>0</v>
      </c>
      <c r="AV39" s="2271"/>
      <c r="AW39" s="2272">
        <f t="shared" si="13"/>
        <v>0</v>
      </c>
      <c r="AX39" s="2271"/>
      <c r="AY39" s="2272">
        <f t="shared" si="14"/>
        <v>0</v>
      </c>
      <c r="AZ39" s="2271">
        <v>6</v>
      </c>
      <c r="BA39" s="2272">
        <f t="shared" si="15"/>
        <v>294.66289820000009</v>
      </c>
      <c r="BB39" s="2271"/>
      <c r="BC39" s="2272">
        <f t="shared" si="16"/>
        <v>0</v>
      </c>
      <c r="BD39" s="2271"/>
      <c r="BE39" s="2272">
        <f t="shared" si="17"/>
        <v>0</v>
      </c>
      <c r="BF39" s="2271"/>
      <c r="BG39" s="2274" t="s">
        <v>566</v>
      </c>
      <c r="BH39" s="2148">
        <f t="shared" si="23"/>
        <v>6</v>
      </c>
      <c r="BI39" s="2160">
        <f>SUM(BH38:BH40)/BH$65</f>
        <v>0.15873015873015872</v>
      </c>
      <c r="BJ39" s="1679"/>
      <c r="BK39" s="2045" t="e">
        <f t="shared" si="24"/>
        <v>#VALUE!</v>
      </c>
      <c r="BL39" s="2046"/>
      <c r="BM39" s="2042"/>
      <c r="BN39" s="2043"/>
    </row>
    <row r="40" spans="1:66" ht="16.2">
      <c r="A40" s="2275" t="s">
        <v>567</v>
      </c>
      <c r="B40" s="2276">
        <v>369</v>
      </c>
      <c r="C40" s="2277">
        <v>28.3</v>
      </c>
      <c r="D40" s="2277">
        <v>12.55</v>
      </c>
      <c r="E40" s="2277">
        <f t="shared" si="18"/>
        <v>0</v>
      </c>
      <c r="F40" s="2277">
        <f t="shared" si="19"/>
        <v>40.85</v>
      </c>
      <c r="G40" s="2277"/>
      <c r="H40" s="2277">
        <f t="shared" si="25"/>
        <v>3.6315275000000007</v>
      </c>
      <c r="I40" s="2277">
        <f>((C40)*$F$127/100)</f>
        <v>1.3651920000000002</v>
      </c>
      <c r="J40" s="2277">
        <f t="shared" si="21"/>
        <v>45.846719499999999</v>
      </c>
      <c r="K40" s="2278">
        <v>40689</v>
      </c>
      <c r="L40" s="2139"/>
      <c r="M40" s="716"/>
      <c r="N40" s="716"/>
      <c r="O40" s="716"/>
      <c r="P40" s="2279"/>
      <c r="Q40" s="2280">
        <f t="shared" si="22"/>
        <v>0</v>
      </c>
      <c r="R40" s="2281"/>
      <c r="S40" s="2280">
        <f t="shared" si="22"/>
        <v>0</v>
      </c>
      <c r="T40" s="2281"/>
      <c r="U40" s="2280">
        <f t="shared" si="0"/>
        <v>0</v>
      </c>
      <c r="V40" s="2282"/>
      <c r="W40" s="2283">
        <f t="shared" si="1"/>
        <v>0</v>
      </c>
      <c r="X40" s="2281"/>
      <c r="Y40" s="2283">
        <f t="shared" si="2"/>
        <v>0</v>
      </c>
      <c r="Z40" s="2282"/>
      <c r="AA40" s="2283">
        <f t="shared" si="3"/>
        <v>0</v>
      </c>
      <c r="AB40" s="2282"/>
      <c r="AC40" s="2283">
        <f t="shared" si="4"/>
        <v>0</v>
      </c>
      <c r="AD40" s="2282"/>
      <c r="AE40" s="2283">
        <f t="shared" si="5"/>
        <v>0</v>
      </c>
      <c r="AF40" s="2284"/>
      <c r="AG40" s="2283">
        <f t="shared" si="6"/>
        <v>0</v>
      </c>
      <c r="AH40" s="2282"/>
      <c r="AI40" s="2283">
        <f t="shared" si="7"/>
        <v>0</v>
      </c>
      <c r="AJ40" s="2282"/>
      <c r="AK40" s="2283">
        <f t="shared" si="8"/>
        <v>0</v>
      </c>
      <c r="AL40" s="2282"/>
      <c r="AM40" s="2283">
        <f t="shared" si="8"/>
        <v>0</v>
      </c>
      <c r="AN40" s="2282"/>
      <c r="AO40" s="2283">
        <f t="shared" si="9"/>
        <v>0</v>
      </c>
      <c r="AP40" s="2282"/>
      <c r="AQ40" s="2283">
        <f t="shared" si="10"/>
        <v>0</v>
      </c>
      <c r="AR40" s="2282"/>
      <c r="AS40" s="2283">
        <f t="shared" si="11"/>
        <v>0</v>
      </c>
      <c r="AT40" s="2282"/>
      <c r="AU40" s="2283">
        <f t="shared" si="12"/>
        <v>0</v>
      </c>
      <c r="AV40" s="2282"/>
      <c r="AW40" s="2283">
        <f t="shared" si="13"/>
        <v>0</v>
      </c>
      <c r="AX40" s="2282"/>
      <c r="AY40" s="2283">
        <f t="shared" si="14"/>
        <v>0</v>
      </c>
      <c r="AZ40" s="2282">
        <v>48</v>
      </c>
      <c r="BA40" s="2285">
        <f t="shared" si="15"/>
        <v>2200.6425359999998</v>
      </c>
      <c r="BB40" s="2282">
        <v>4</v>
      </c>
      <c r="BC40" s="2283">
        <f t="shared" si="16"/>
        <v>183.386878</v>
      </c>
      <c r="BD40" s="2282"/>
      <c r="BE40" s="2283">
        <f t="shared" si="17"/>
        <v>0</v>
      </c>
      <c r="BF40" s="2282"/>
      <c r="BG40" s="2286" t="s">
        <v>567</v>
      </c>
      <c r="BH40" s="2148">
        <f t="shared" si="23"/>
        <v>52</v>
      </c>
      <c r="BI40" s="2172"/>
      <c r="BJ40" s="1679"/>
      <c r="BK40" s="2045" t="e">
        <f t="shared" si="24"/>
        <v>#VALUE!</v>
      </c>
      <c r="BL40" s="2047" t="e">
        <f>SUM(BK39:BK41)/BK$66</f>
        <v>#VALUE!</v>
      </c>
      <c r="BM40" s="2042"/>
      <c r="BN40" s="2043"/>
    </row>
    <row r="41" spans="1:66" ht="16.2">
      <c r="A41" s="2287" t="s">
        <v>2251</v>
      </c>
      <c r="B41" s="2288"/>
      <c r="C41" s="2289">
        <f>C43+3.5</f>
        <v>28.49</v>
      </c>
      <c r="D41" s="2289">
        <f>D43</f>
        <v>17.98</v>
      </c>
      <c r="E41" s="2289">
        <f t="shared" si="18"/>
        <v>0</v>
      </c>
      <c r="F41" s="2289">
        <f t="shared" si="19"/>
        <v>46.47</v>
      </c>
      <c r="G41" s="2289"/>
      <c r="H41" s="2289">
        <f t="shared" si="25"/>
        <v>3.9366493333333334</v>
      </c>
      <c r="I41" s="2289">
        <f>((C41)*$F$137/100)</f>
        <v>15.384599999999999</v>
      </c>
      <c r="J41" s="2289">
        <f t="shared" si="21"/>
        <v>65.791249333333326</v>
      </c>
      <c r="K41" s="2290"/>
      <c r="L41" s="2139"/>
      <c r="M41" s="716"/>
      <c r="N41" s="716"/>
      <c r="O41" s="716"/>
      <c r="P41" s="2291"/>
      <c r="Q41" s="2292">
        <f t="shared" si="22"/>
        <v>0</v>
      </c>
      <c r="R41" s="2293"/>
      <c r="S41" s="2292">
        <f t="shared" si="22"/>
        <v>0</v>
      </c>
      <c r="T41" s="2293"/>
      <c r="U41" s="2292">
        <f t="shared" si="0"/>
        <v>0</v>
      </c>
      <c r="V41" s="2294"/>
      <c r="W41" s="2295">
        <f t="shared" si="1"/>
        <v>0</v>
      </c>
      <c r="X41" s="2293"/>
      <c r="Y41" s="2295">
        <f t="shared" si="2"/>
        <v>0</v>
      </c>
      <c r="Z41" s="2294">
        <v>1</v>
      </c>
      <c r="AA41" s="2295">
        <f t="shared" si="3"/>
        <v>65.791249333333326</v>
      </c>
      <c r="AB41" s="2294"/>
      <c r="AC41" s="2295">
        <f t="shared" si="4"/>
        <v>0</v>
      </c>
      <c r="AD41" s="2294"/>
      <c r="AE41" s="2295">
        <f t="shared" si="5"/>
        <v>0</v>
      </c>
      <c r="AF41" s="2296"/>
      <c r="AG41" s="2295">
        <f t="shared" si="6"/>
        <v>0</v>
      </c>
      <c r="AH41" s="2294"/>
      <c r="AI41" s="2295">
        <f t="shared" si="7"/>
        <v>0</v>
      </c>
      <c r="AJ41" s="2294"/>
      <c r="AK41" s="2295">
        <f t="shared" ref="AK41:AM56" si="28">$J41*AJ41</f>
        <v>0</v>
      </c>
      <c r="AL41" s="2294"/>
      <c r="AM41" s="2295">
        <f t="shared" si="28"/>
        <v>0</v>
      </c>
      <c r="AN41" s="2294"/>
      <c r="AO41" s="2295">
        <f t="shared" si="9"/>
        <v>0</v>
      </c>
      <c r="AP41" s="2294"/>
      <c r="AQ41" s="2295">
        <f t="shared" si="10"/>
        <v>0</v>
      </c>
      <c r="AR41" s="2294"/>
      <c r="AS41" s="2295">
        <f t="shared" si="11"/>
        <v>0</v>
      </c>
      <c r="AT41" s="2294"/>
      <c r="AU41" s="2295">
        <f t="shared" si="12"/>
        <v>0</v>
      </c>
      <c r="AV41" s="2294"/>
      <c r="AW41" s="2295">
        <f t="shared" si="13"/>
        <v>0</v>
      </c>
      <c r="AX41" s="2294"/>
      <c r="AY41" s="2295">
        <f t="shared" si="14"/>
        <v>0</v>
      </c>
      <c r="AZ41" s="2294"/>
      <c r="BA41" s="2295">
        <f t="shared" si="15"/>
        <v>0</v>
      </c>
      <c r="BB41" s="2294"/>
      <c r="BC41" s="2295">
        <f t="shared" si="16"/>
        <v>0</v>
      </c>
      <c r="BD41" s="2294"/>
      <c r="BE41" s="2295">
        <f t="shared" si="17"/>
        <v>0</v>
      </c>
      <c r="BF41" s="2294"/>
      <c r="BG41" s="2297" t="s">
        <v>2251</v>
      </c>
      <c r="BH41" s="2148">
        <f t="shared" si="23"/>
        <v>1</v>
      </c>
      <c r="BI41" s="2149"/>
      <c r="BJ41" s="1679"/>
      <c r="BK41" s="2045" t="e">
        <f t="shared" si="24"/>
        <v>#VALUE!</v>
      </c>
      <c r="BL41" s="2048"/>
      <c r="BM41" s="2042"/>
      <c r="BN41" s="2043"/>
    </row>
    <row r="42" spans="1:66" ht="16.2">
      <c r="A42" s="2298" t="s">
        <v>2252</v>
      </c>
      <c r="B42" s="2299"/>
      <c r="C42" s="2300">
        <f>C43+2</f>
        <v>26.99</v>
      </c>
      <c r="D42" s="2300">
        <f>D43</f>
        <v>17.98</v>
      </c>
      <c r="E42" s="2300">
        <f t="shared" si="18"/>
        <v>0</v>
      </c>
      <c r="F42" s="2300">
        <f t="shared" si="19"/>
        <v>44.97</v>
      </c>
      <c r="G42" s="2300"/>
      <c r="H42" s="2300">
        <f t="shared" si="25"/>
        <v>3.7790993333333334</v>
      </c>
      <c r="I42" s="2300">
        <f t="shared" ref="I42:I45" si="29">((C42)*$F$137/100)</f>
        <v>14.574599999999998</v>
      </c>
      <c r="J42" s="2300">
        <f t="shared" si="21"/>
        <v>63.32369933333333</v>
      </c>
      <c r="K42" s="2301"/>
      <c r="L42" s="2139"/>
      <c r="M42" s="716"/>
      <c r="N42" s="716"/>
      <c r="O42" s="716"/>
      <c r="P42" s="2302"/>
      <c r="Q42" s="2303">
        <f t="shared" ref="Q42:S57" si="30">$J42*P42</f>
        <v>0</v>
      </c>
      <c r="R42" s="2304"/>
      <c r="S42" s="2303">
        <f t="shared" si="30"/>
        <v>0</v>
      </c>
      <c r="T42" s="2304"/>
      <c r="U42" s="2303">
        <f t="shared" si="0"/>
        <v>0</v>
      </c>
      <c r="V42" s="2305"/>
      <c r="W42" s="2306">
        <f t="shared" si="1"/>
        <v>0</v>
      </c>
      <c r="X42" s="2304"/>
      <c r="Y42" s="2306">
        <f t="shared" si="2"/>
        <v>0</v>
      </c>
      <c r="Z42" s="2305">
        <v>2</v>
      </c>
      <c r="AA42" s="2306">
        <f t="shared" si="3"/>
        <v>126.64739866666666</v>
      </c>
      <c r="AB42" s="2305">
        <v>1</v>
      </c>
      <c r="AC42" s="2306">
        <f t="shared" si="4"/>
        <v>63.32369933333333</v>
      </c>
      <c r="AD42" s="2305">
        <v>1</v>
      </c>
      <c r="AE42" s="2306">
        <f t="shared" si="5"/>
        <v>63.32369933333333</v>
      </c>
      <c r="AF42" s="2307"/>
      <c r="AG42" s="2306">
        <f t="shared" si="6"/>
        <v>0</v>
      </c>
      <c r="AH42" s="2305"/>
      <c r="AI42" s="2306">
        <f t="shared" si="7"/>
        <v>0</v>
      </c>
      <c r="AJ42" s="2305"/>
      <c r="AK42" s="2306">
        <f t="shared" si="28"/>
        <v>0</v>
      </c>
      <c r="AL42" s="2305"/>
      <c r="AM42" s="2306">
        <f t="shared" si="28"/>
        <v>0</v>
      </c>
      <c r="AN42" s="2305"/>
      <c r="AO42" s="2306">
        <f t="shared" si="9"/>
        <v>0</v>
      </c>
      <c r="AP42" s="2305">
        <v>1</v>
      </c>
      <c r="AQ42" s="2306">
        <f t="shared" si="10"/>
        <v>63.32369933333333</v>
      </c>
      <c r="AR42" s="2305"/>
      <c r="AS42" s="2306">
        <f t="shared" si="11"/>
        <v>0</v>
      </c>
      <c r="AT42" s="2305"/>
      <c r="AU42" s="2306">
        <f t="shared" si="12"/>
        <v>0</v>
      </c>
      <c r="AV42" s="2305">
        <v>1</v>
      </c>
      <c r="AW42" s="2306">
        <f t="shared" si="13"/>
        <v>63.32369933333333</v>
      </c>
      <c r="AX42" s="2305"/>
      <c r="AY42" s="2306">
        <f t="shared" si="14"/>
        <v>0</v>
      </c>
      <c r="AZ42" s="2305"/>
      <c r="BA42" s="2306">
        <f t="shared" si="15"/>
        <v>0</v>
      </c>
      <c r="BB42" s="2305"/>
      <c r="BC42" s="2306">
        <f t="shared" si="16"/>
        <v>0</v>
      </c>
      <c r="BD42" s="2305"/>
      <c r="BE42" s="2306">
        <f t="shared" si="17"/>
        <v>0</v>
      </c>
      <c r="BF42" s="2305"/>
      <c r="BG42" s="2308" t="s">
        <v>2252</v>
      </c>
      <c r="BH42" s="2148">
        <f t="shared" si="23"/>
        <v>6</v>
      </c>
      <c r="BI42" s="2309"/>
      <c r="BJ42" s="1679"/>
      <c r="BK42" s="2045" t="e">
        <f t="shared" si="24"/>
        <v>#VALUE!</v>
      </c>
      <c r="BL42" s="2046"/>
      <c r="BM42" s="2042"/>
      <c r="BN42" s="2043"/>
    </row>
    <row r="43" spans="1:66" ht="16.2">
      <c r="A43" s="2310" t="s">
        <v>2253</v>
      </c>
      <c r="B43" s="2311">
        <v>70</v>
      </c>
      <c r="C43" s="2312">
        <v>24.99</v>
      </c>
      <c r="D43" s="2312">
        <f>6.2+7.7+3.58+0.5</f>
        <v>17.98</v>
      </c>
      <c r="E43" s="2312">
        <f t="shared" si="18"/>
        <v>0</v>
      </c>
      <c r="F43" s="2312">
        <f t="shared" si="19"/>
        <v>42.97</v>
      </c>
      <c r="G43" s="2312"/>
      <c r="H43" s="2312">
        <f t="shared" si="25"/>
        <v>3.5690326666666667</v>
      </c>
      <c r="I43" s="2312">
        <f t="shared" si="29"/>
        <v>13.494599999999998</v>
      </c>
      <c r="J43" s="2312">
        <f t="shared" si="21"/>
        <v>60.033632666666662</v>
      </c>
      <c r="K43" s="2313">
        <v>40633</v>
      </c>
      <c r="L43" s="2139" t="s">
        <v>2318</v>
      </c>
      <c r="M43" s="716"/>
      <c r="N43" s="716"/>
      <c r="O43" s="716"/>
      <c r="P43" s="2314"/>
      <c r="Q43" s="2315">
        <f t="shared" si="30"/>
        <v>0</v>
      </c>
      <c r="R43" s="2316"/>
      <c r="S43" s="2315">
        <f t="shared" si="30"/>
        <v>0</v>
      </c>
      <c r="T43" s="2316"/>
      <c r="U43" s="2315">
        <f t="shared" si="0"/>
        <v>0</v>
      </c>
      <c r="V43" s="2317"/>
      <c r="W43" s="2318">
        <f t="shared" si="1"/>
        <v>0</v>
      </c>
      <c r="X43" s="2316"/>
      <c r="Y43" s="2318">
        <f t="shared" si="2"/>
        <v>0</v>
      </c>
      <c r="Z43" s="2317">
        <v>16</v>
      </c>
      <c r="AA43" s="2318">
        <f t="shared" si="3"/>
        <v>960.5381226666666</v>
      </c>
      <c r="AB43" s="2317">
        <v>4</v>
      </c>
      <c r="AC43" s="2318">
        <f t="shared" si="4"/>
        <v>240.13453066666665</v>
      </c>
      <c r="AD43" s="2317">
        <v>2</v>
      </c>
      <c r="AE43" s="2318">
        <f t="shared" si="5"/>
        <v>120.06726533333332</v>
      </c>
      <c r="AF43" s="2319"/>
      <c r="AG43" s="2318">
        <f t="shared" si="6"/>
        <v>0</v>
      </c>
      <c r="AH43" s="2317"/>
      <c r="AI43" s="2318">
        <f t="shared" si="7"/>
        <v>0</v>
      </c>
      <c r="AJ43" s="2317"/>
      <c r="AK43" s="2318">
        <f t="shared" si="28"/>
        <v>0</v>
      </c>
      <c r="AL43" s="2317"/>
      <c r="AM43" s="2318">
        <f t="shared" si="28"/>
        <v>0</v>
      </c>
      <c r="AN43" s="2317"/>
      <c r="AO43" s="2318">
        <f t="shared" si="9"/>
        <v>0</v>
      </c>
      <c r="AP43" s="2317">
        <v>2</v>
      </c>
      <c r="AQ43" s="2318">
        <f t="shared" si="10"/>
        <v>120.06726533333332</v>
      </c>
      <c r="AR43" s="2317"/>
      <c r="AS43" s="2318">
        <f t="shared" si="11"/>
        <v>0</v>
      </c>
      <c r="AT43" s="2317"/>
      <c r="AU43" s="2318">
        <f t="shared" si="12"/>
        <v>0</v>
      </c>
      <c r="AV43" s="2317">
        <v>4</v>
      </c>
      <c r="AW43" s="2318">
        <f t="shared" si="13"/>
        <v>240.13453066666665</v>
      </c>
      <c r="AX43" s="2317"/>
      <c r="AY43" s="2318">
        <f t="shared" si="14"/>
        <v>0</v>
      </c>
      <c r="AZ43" s="2317"/>
      <c r="BA43" s="2318">
        <f t="shared" si="15"/>
        <v>0</v>
      </c>
      <c r="BB43" s="2317"/>
      <c r="BC43" s="2318">
        <f t="shared" si="16"/>
        <v>0</v>
      </c>
      <c r="BD43" s="2317"/>
      <c r="BE43" s="2318">
        <f t="shared" si="17"/>
        <v>0</v>
      </c>
      <c r="BF43" s="2317"/>
      <c r="BG43" s="2320" t="s">
        <v>2253</v>
      </c>
      <c r="BH43" s="2148">
        <f t="shared" si="23"/>
        <v>28</v>
      </c>
      <c r="BI43" s="2160">
        <f>SUM(BH41:BH45)/BH$65</f>
        <v>9.2592592592592587E-2</v>
      </c>
      <c r="BJ43" s="1679"/>
      <c r="BK43" s="2045" t="e">
        <f t="shared" si="24"/>
        <v>#VALUE!</v>
      </c>
      <c r="BL43" s="2044"/>
      <c r="BM43" s="2042"/>
      <c r="BN43" s="2043"/>
    </row>
    <row r="44" spans="1:66" ht="16.2">
      <c r="A44" s="2321" t="s">
        <v>698</v>
      </c>
      <c r="B44" s="2322"/>
      <c r="C44" s="2323">
        <f>C45+2</f>
        <v>26.99</v>
      </c>
      <c r="D44" s="2323">
        <f>D43</f>
        <v>17.98</v>
      </c>
      <c r="E44" s="2323">
        <f t="shared" si="18"/>
        <v>0</v>
      </c>
      <c r="F44" s="2323">
        <f t="shared" si="19"/>
        <v>44.97</v>
      </c>
      <c r="G44" s="2323"/>
      <c r="H44" s="2323">
        <f t="shared" si="25"/>
        <v>3.7790993333333334</v>
      </c>
      <c r="I44" s="2323">
        <f t="shared" si="29"/>
        <v>14.574599999999998</v>
      </c>
      <c r="J44" s="2323">
        <f t="shared" si="21"/>
        <v>63.32369933333333</v>
      </c>
      <c r="K44" s="2324"/>
      <c r="L44" s="2139"/>
      <c r="M44" s="716"/>
      <c r="N44" s="716"/>
      <c r="O44" s="716"/>
      <c r="P44" s="2325"/>
      <c r="Q44" s="2326">
        <f t="shared" si="30"/>
        <v>0</v>
      </c>
      <c r="R44" s="2327"/>
      <c r="S44" s="2326">
        <f t="shared" si="30"/>
        <v>0</v>
      </c>
      <c r="T44" s="2327"/>
      <c r="U44" s="2326">
        <f t="shared" si="0"/>
        <v>0</v>
      </c>
      <c r="V44" s="2328"/>
      <c r="W44" s="2329">
        <f t="shared" si="1"/>
        <v>0</v>
      </c>
      <c r="X44" s="2327"/>
      <c r="Y44" s="2329">
        <f t="shared" si="2"/>
        <v>0</v>
      </c>
      <c r="Z44" s="2328"/>
      <c r="AA44" s="2329">
        <f t="shared" si="3"/>
        <v>0</v>
      </c>
      <c r="AB44" s="2328"/>
      <c r="AC44" s="2329">
        <f t="shared" si="4"/>
        <v>0</v>
      </c>
      <c r="AD44" s="2328"/>
      <c r="AE44" s="2329">
        <f t="shared" si="5"/>
        <v>0</v>
      </c>
      <c r="AF44" s="2330"/>
      <c r="AG44" s="2329">
        <f t="shared" si="6"/>
        <v>0</v>
      </c>
      <c r="AH44" s="2328"/>
      <c r="AI44" s="2329">
        <f t="shared" si="7"/>
        <v>0</v>
      </c>
      <c r="AJ44" s="2328"/>
      <c r="AK44" s="2329">
        <f t="shared" si="28"/>
        <v>0</v>
      </c>
      <c r="AL44" s="2328"/>
      <c r="AM44" s="2329">
        <f t="shared" si="28"/>
        <v>0</v>
      </c>
      <c r="AN44" s="2328"/>
      <c r="AO44" s="2329">
        <f t="shared" si="9"/>
        <v>0</v>
      </c>
      <c r="AP44" s="2328"/>
      <c r="AQ44" s="2329">
        <f t="shared" si="10"/>
        <v>0</v>
      </c>
      <c r="AR44" s="2328"/>
      <c r="AS44" s="2329">
        <f t="shared" si="11"/>
        <v>0</v>
      </c>
      <c r="AT44" s="2328"/>
      <c r="AU44" s="2329">
        <f t="shared" si="12"/>
        <v>0</v>
      </c>
      <c r="AV44" s="2328"/>
      <c r="AW44" s="2329">
        <f t="shared" si="13"/>
        <v>0</v>
      </c>
      <c r="AX44" s="2328"/>
      <c r="AY44" s="2329">
        <f t="shared" si="14"/>
        <v>0</v>
      </c>
      <c r="AZ44" s="2328"/>
      <c r="BA44" s="2329">
        <f t="shared" si="15"/>
        <v>0</v>
      </c>
      <c r="BB44" s="2328"/>
      <c r="BC44" s="2329">
        <f t="shared" si="16"/>
        <v>0</v>
      </c>
      <c r="BD44" s="2328"/>
      <c r="BE44" s="2329">
        <f t="shared" si="17"/>
        <v>0</v>
      </c>
      <c r="BF44" s="2328"/>
      <c r="BG44" s="2331" t="s">
        <v>698</v>
      </c>
      <c r="BH44" s="2148">
        <f t="shared" si="23"/>
        <v>0</v>
      </c>
      <c r="BI44" s="2309"/>
      <c r="BJ44" s="1679"/>
      <c r="BK44" s="2045" t="e">
        <f t="shared" si="24"/>
        <v>#VALUE!</v>
      </c>
      <c r="BL44" s="2047" t="e">
        <f>SUM(BK42:BK46)/BK$66</f>
        <v>#VALUE!</v>
      </c>
      <c r="BM44" s="2042"/>
      <c r="BN44" s="2043"/>
    </row>
    <row r="45" spans="1:66" ht="16.2">
      <c r="A45" s="2332" t="s">
        <v>699</v>
      </c>
      <c r="B45" s="2333"/>
      <c r="C45" s="2334">
        <v>24.99</v>
      </c>
      <c r="D45" s="2334">
        <f>D43</f>
        <v>17.98</v>
      </c>
      <c r="E45" s="2334">
        <f t="shared" si="18"/>
        <v>0</v>
      </c>
      <c r="F45" s="2334">
        <f t="shared" si="19"/>
        <v>42.97</v>
      </c>
      <c r="G45" s="2334"/>
      <c r="H45" s="2334">
        <f t="shared" si="25"/>
        <v>3.5690326666666667</v>
      </c>
      <c r="I45" s="2334">
        <f t="shared" si="29"/>
        <v>13.494599999999998</v>
      </c>
      <c r="J45" s="2334">
        <f t="shared" si="21"/>
        <v>60.033632666666662</v>
      </c>
      <c r="K45" s="2335"/>
      <c r="L45" s="2139"/>
      <c r="M45" s="716"/>
      <c r="N45" s="716"/>
      <c r="O45" s="716"/>
      <c r="P45" s="2336"/>
      <c r="Q45" s="2337">
        <f t="shared" si="30"/>
        <v>0</v>
      </c>
      <c r="R45" s="2338"/>
      <c r="S45" s="2337">
        <f t="shared" si="30"/>
        <v>0</v>
      </c>
      <c r="T45" s="2338"/>
      <c r="U45" s="2337">
        <f t="shared" si="0"/>
        <v>0</v>
      </c>
      <c r="V45" s="2339"/>
      <c r="W45" s="2340">
        <f t="shared" si="1"/>
        <v>0</v>
      </c>
      <c r="X45" s="2338"/>
      <c r="Y45" s="2340">
        <f t="shared" si="2"/>
        <v>0</v>
      </c>
      <c r="Z45" s="2339"/>
      <c r="AA45" s="2340">
        <f t="shared" si="3"/>
        <v>0</v>
      </c>
      <c r="AB45" s="2339"/>
      <c r="AC45" s="2340">
        <f t="shared" si="4"/>
        <v>0</v>
      </c>
      <c r="AD45" s="2339"/>
      <c r="AE45" s="2340">
        <f t="shared" si="5"/>
        <v>0</v>
      </c>
      <c r="AF45" s="2341"/>
      <c r="AG45" s="2340">
        <f t="shared" si="6"/>
        <v>0</v>
      </c>
      <c r="AH45" s="2339"/>
      <c r="AI45" s="2340">
        <f t="shared" si="7"/>
        <v>0</v>
      </c>
      <c r="AJ45" s="2339"/>
      <c r="AK45" s="2340">
        <f t="shared" si="28"/>
        <v>0</v>
      </c>
      <c r="AL45" s="2339"/>
      <c r="AM45" s="2340">
        <f t="shared" si="28"/>
        <v>0</v>
      </c>
      <c r="AN45" s="2339"/>
      <c r="AO45" s="2340">
        <f t="shared" si="9"/>
        <v>0</v>
      </c>
      <c r="AP45" s="2339"/>
      <c r="AQ45" s="2340">
        <f t="shared" si="10"/>
        <v>0</v>
      </c>
      <c r="AR45" s="2339"/>
      <c r="AS45" s="2340">
        <f t="shared" si="11"/>
        <v>0</v>
      </c>
      <c r="AT45" s="2339"/>
      <c r="AU45" s="2340">
        <f t="shared" si="12"/>
        <v>0</v>
      </c>
      <c r="AV45" s="2339"/>
      <c r="AW45" s="2340">
        <f t="shared" si="13"/>
        <v>0</v>
      </c>
      <c r="AX45" s="2339"/>
      <c r="AY45" s="2340">
        <f t="shared" si="14"/>
        <v>0</v>
      </c>
      <c r="AZ45" s="2339"/>
      <c r="BA45" s="2340">
        <f t="shared" si="15"/>
        <v>0</v>
      </c>
      <c r="BB45" s="2339"/>
      <c r="BC45" s="2340">
        <f t="shared" si="16"/>
        <v>0</v>
      </c>
      <c r="BD45" s="2339"/>
      <c r="BE45" s="2340">
        <f t="shared" si="17"/>
        <v>0</v>
      </c>
      <c r="BF45" s="2339"/>
      <c r="BG45" s="2342" t="s">
        <v>699</v>
      </c>
      <c r="BH45" s="2148">
        <f t="shared" si="23"/>
        <v>0</v>
      </c>
      <c r="BI45" s="2172"/>
      <c r="BJ45" s="1679"/>
      <c r="BK45" s="2045" t="e">
        <f t="shared" si="24"/>
        <v>#VALUE!</v>
      </c>
      <c r="BL45" s="2044"/>
      <c r="BM45" s="2042"/>
      <c r="BN45" s="2043"/>
    </row>
    <row r="46" spans="1:66" ht="16.2">
      <c r="A46" s="2343" t="s">
        <v>700</v>
      </c>
      <c r="B46" s="2344"/>
      <c r="C46" s="2345">
        <f>19.81+1.75</f>
        <v>21.56</v>
      </c>
      <c r="D46" s="2345">
        <f>D47</f>
        <v>7.98</v>
      </c>
      <c r="E46" s="2345">
        <f t="shared" si="18"/>
        <v>0</v>
      </c>
      <c r="F46" s="2345">
        <f t="shared" si="19"/>
        <v>29.54</v>
      </c>
      <c r="G46" s="2345"/>
      <c r="H46" s="2345">
        <f t="shared" si="25"/>
        <v>2.6836016666666667</v>
      </c>
      <c r="I46" s="2345">
        <f>((C46)*$F$143/100)</f>
        <v>2.3876621999999998</v>
      </c>
      <c r="J46" s="2345">
        <f t="shared" si="21"/>
        <v>34.611263866666668</v>
      </c>
      <c r="K46" s="2346"/>
      <c r="L46" s="2139"/>
      <c r="M46" s="716"/>
      <c r="N46" s="716"/>
      <c r="O46" s="716"/>
      <c r="P46" s="2347">
        <v>1</v>
      </c>
      <c r="Q46" s="2348">
        <f t="shared" si="30"/>
        <v>34.611263866666668</v>
      </c>
      <c r="R46" s="2349">
        <v>1</v>
      </c>
      <c r="S46" s="2348">
        <f t="shared" si="30"/>
        <v>34.611263866666668</v>
      </c>
      <c r="T46" s="2349">
        <v>1</v>
      </c>
      <c r="U46" s="2348">
        <f t="shared" si="0"/>
        <v>34.611263866666668</v>
      </c>
      <c r="V46" s="2350">
        <v>1</v>
      </c>
      <c r="W46" s="2351">
        <f t="shared" si="1"/>
        <v>34.611263866666668</v>
      </c>
      <c r="X46" s="2349">
        <v>1</v>
      </c>
      <c r="Y46" s="2351">
        <f t="shared" si="2"/>
        <v>34.611263866666668</v>
      </c>
      <c r="Z46" s="2350"/>
      <c r="AA46" s="2351">
        <f t="shared" si="3"/>
        <v>0</v>
      </c>
      <c r="AB46" s="2350"/>
      <c r="AC46" s="2351">
        <f t="shared" si="4"/>
        <v>0</v>
      </c>
      <c r="AD46" s="2350"/>
      <c r="AE46" s="2351">
        <f t="shared" si="5"/>
        <v>0</v>
      </c>
      <c r="AF46" s="2352"/>
      <c r="AG46" s="2351">
        <f t="shared" si="6"/>
        <v>0</v>
      </c>
      <c r="AH46" s="2350"/>
      <c r="AI46" s="2351">
        <f t="shared" si="7"/>
        <v>0</v>
      </c>
      <c r="AJ46" s="2350">
        <v>1</v>
      </c>
      <c r="AK46" s="2351">
        <f t="shared" si="28"/>
        <v>34.611263866666668</v>
      </c>
      <c r="AL46" s="2350"/>
      <c r="AM46" s="2351">
        <f t="shared" si="28"/>
        <v>0</v>
      </c>
      <c r="AN46" s="2350"/>
      <c r="AO46" s="2351">
        <f t="shared" si="9"/>
        <v>0</v>
      </c>
      <c r="AP46" s="2350"/>
      <c r="AQ46" s="2351">
        <f t="shared" si="10"/>
        <v>0</v>
      </c>
      <c r="AR46" s="2350"/>
      <c r="AS46" s="2351">
        <f t="shared" si="11"/>
        <v>0</v>
      </c>
      <c r="AT46" s="2350"/>
      <c r="AU46" s="2351">
        <f t="shared" si="12"/>
        <v>0</v>
      </c>
      <c r="AV46" s="2350"/>
      <c r="AW46" s="2351">
        <f t="shared" si="13"/>
        <v>0</v>
      </c>
      <c r="AX46" s="2350"/>
      <c r="AY46" s="2351">
        <f t="shared" si="14"/>
        <v>0</v>
      </c>
      <c r="AZ46" s="2350"/>
      <c r="BA46" s="2351">
        <f t="shared" si="15"/>
        <v>0</v>
      </c>
      <c r="BB46" s="2350"/>
      <c r="BC46" s="2351">
        <f t="shared" si="16"/>
        <v>0</v>
      </c>
      <c r="BD46" s="2350"/>
      <c r="BE46" s="2351">
        <f t="shared" si="17"/>
        <v>0</v>
      </c>
      <c r="BF46" s="2350"/>
      <c r="BG46" s="2353" t="s">
        <v>700</v>
      </c>
      <c r="BH46" s="2148">
        <f t="shared" si="23"/>
        <v>6</v>
      </c>
      <c r="BI46" s="2149"/>
      <c r="BJ46" s="1679"/>
      <c r="BK46" s="2045" t="e">
        <f t="shared" si="24"/>
        <v>#VALUE!</v>
      </c>
      <c r="BL46" s="2048"/>
      <c r="BM46" s="2042"/>
      <c r="BN46" s="2043"/>
    </row>
    <row r="47" spans="1:66" ht="16.2">
      <c r="A47" s="2354" t="s">
        <v>2060</v>
      </c>
      <c r="B47" s="2355">
        <v>576</v>
      </c>
      <c r="C47" s="2356">
        <v>18.27</v>
      </c>
      <c r="D47" s="2356">
        <v>7.98</v>
      </c>
      <c r="E47" s="2356">
        <f t="shared" si="18"/>
        <v>0</v>
      </c>
      <c r="F47" s="2356">
        <f t="shared" si="19"/>
        <v>26.25</v>
      </c>
      <c r="G47" s="2356"/>
      <c r="H47" s="2356">
        <f t="shared" si="25"/>
        <v>2.3380419999999997</v>
      </c>
      <c r="I47" s="2356">
        <f>((C47)*$F$143/100)</f>
        <v>2.0233111500000001</v>
      </c>
      <c r="J47" s="2356">
        <f t="shared" si="21"/>
        <v>30.611353150000003</v>
      </c>
      <c r="K47" s="2357">
        <v>40724</v>
      </c>
      <c r="L47" s="2139"/>
      <c r="M47" s="716"/>
      <c r="N47" s="716"/>
      <c r="O47" s="716"/>
      <c r="P47" s="2358">
        <v>2</v>
      </c>
      <c r="Q47" s="2359">
        <f t="shared" si="30"/>
        <v>61.222706300000006</v>
      </c>
      <c r="R47" s="2360">
        <v>4</v>
      </c>
      <c r="S47" s="2359">
        <f t="shared" si="30"/>
        <v>122.44541260000001</v>
      </c>
      <c r="T47" s="2360">
        <v>2</v>
      </c>
      <c r="U47" s="2359">
        <f t="shared" si="0"/>
        <v>61.222706300000006</v>
      </c>
      <c r="V47" s="2361">
        <v>4</v>
      </c>
      <c r="W47" s="2362">
        <f t="shared" si="1"/>
        <v>122.44541260000001</v>
      </c>
      <c r="X47" s="2360">
        <v>8</v>
      </c>
      <c r="Y47" s="2362">
        <f t="shared" si="2"/>
        <v>244.89082520000002</v>
      </c>
      <c r="Z47" s="2361"/>
      <c r="AA47" s="2362">
        <f t="shared" si="3"/>
        <v>0</v>
      </c>
      <c r="AB47" s="2361"/>
      <c r="AC47" s="2362">
        <f t="shared" si="4"/>
        <v>0</v>
      </c>
      <c r="AD47" s="2361"/>
      <c r="AE47" s="2362">
        <f t="shared" si="5"/>
        <v>0</v>
      </c>
      <c r="AF47" s="2363">
        <v>2</v>
      </c>
      <c r="AG47" s="2362">
        <f t="shared" si="6"/>
        <v>61.222706300000006</v>
      </c>
      <c r="AH47" s="2361">
        <v>2</v>
      </c>
      <c r="AI47" s="2362">
        <f t="shared" si="7"/>
        <v>61.222706300000006</v>
      </c>
      <c r="AJ47" s="2361">
        <v>2</v>
      </c>
      <c r="AK47" s="2362">
        <f t="shared" si="28"/>
        <v>61.222706300000006</v>
      </c>
      <c r="AL47" s="2361">
        <v>2</v>
      </c>
      <c r="AM47" s="2362">
        <f t="shared" si="28"/>
        <v>61.222706300000006</v>
      </c>
      <c r="AN47" s="2361"/>
      <c r="AO47" s="2362">
        <f t="shared" si="9"/>
        <v>0</v>
      </c>
      <c r="AP47" s="2361"/>
      <c r="AQ47" s="2362">
        <f t="shared" si="10"/>
        <v>0</v>
      </c>
      <c r="AR47" s="2361"/>
      <c r="AS47" s="2362">
        <f t="shared" si="11"/>
        <v>0</v>
      </c>
      <c r="AT47" s="2361"/>
      <c r="AU47" s="2362">
        <f t="shared" si="12"/>
        <v>0</v>
      </c>
      <c r="AV47" s="2361"/>
      <c r="AW47" s="2362">
        <f t="shared" si="13"/>
        <v>0</v>
      </c>
      <c r="AX47" s="2361"/>
      <c r="AY47" s="2362">
        <f t="shared" si="14"/>
        <v>0</v>
      </c>
      <c r="AZ47" s="2361"/>
      <c r="BA47" s="2362">
        <f t="shared" si="15"/>
        <v>0</v>
      </c>
      <c r="BB47" s="2361"/>
      <c r="BC47" s="2362">
        <f t="shared" si="16"/>
        <v>0</v>
      </c>
      <c r="BD47" s="2361">
        <v>2</v>
      </c>
      <c r="BE47" s="2362">
        <f t="shared" si="17"/>
        <v>61.222706300000006</v>
      </c>
      <c r="BF47" s="2361"/>
      <c r="BG47" s="2364" t="s">
        <v>2060</v>
      </c>
      <c r="BH47" s="2148">
        <f t="shared" si="23"/>
        <v>30</v>
      </c>
      <c r="BI47" s="2160">
        <f>SUM(BH46:BH47)/BH$65</f>
        <v>9.5238095238095233E-2</v>
      </c>
      <c r="BJ47" s="1679"/>
      <c r="BK47" s="2045" t="e">
        <f t="shared" si="24"/>
        <v>#VALUE!</v>
      </c>
      <c r="BL47" s="2046"/>
      <c r="BM47" s="2042"/>
      <c r="BN47" s="2043"/>
    </row>
    <row r="48" spans="1:66" ht="16.2">
      <c r="A48" s="2365" t="s">
        <v>701</v>
      </c>
      <c r="B48" s="2366"/>
      <c r="C48" s="2367">
        <f>C50*1.077</f>
        <v>26.849609999999998</v>
      </c>
      <c r="D48" s="2367">
        <f>D50</f>
        <v>11.45</v>
      </c>
      <c r="E48" s="2367">
        <f t="shared" si="18"/>
        <v>0</v>
      </c>
      <c r="F48" s="2367">
        <f t="shared" si="19"/>
        <v>38.299610000000001</v>
      </c>
      <c r="G48" s="2367"/>
      <c r="H48" s="2367">
        <f t="shared" si="25"/>
        <v>3.4214198703333336</v>
      </c>
      <c r="I48" s="2367">
        <f>((C48)*$F$140/100)</f>
        <v>6.0121646711999999</v>
      </c>
      <c r="J48" s="2367">
        <f t="shared" si="21"/>
        <v>47.733194541533329</v>
      </c>
      <c r="K48" s="2368"/>
      <c r="L48" s="2139"/>
      <c r="M48" s="716"/>
      <c r="N48" s="716"/>
      <c r="O48" s="716"/>
      <c r="P48" s="2369"/>
      <c r="Q48" s="2370">
        <f t="shared" si="30"/>
        <v>0</v>
      </c>
      <c r="R48" s="2371"/>
      <c r="S48" s="2370">
        <f t="shared" si="30"/>
        <v>0</v>
      </c>
      <c r="T48" s="2371"/>
      <c r="U48" s="2370">
        <f t="shared" si="0"/>
        <v>0</v>
      </c>
      <c r="V48" s="2372"/>
      <c r="W48" s="2373">
        <f t="shared" si="1"/>
        <v>0</v>
      </c>
      <c r="X48" s="2371"/>
      <c r="Y48" s="2373">
        <f t="shared" si="2"/>
        <v>0</v>
      </c>
      <c r="Z48" s="2372"/>
      <c r="AA48" s="2373">
        <f t="shared" si="3"/>
        <v>0</v>
      </c>
      <c r="AB48" s="2372"/>
      <c r="AC48" s="2373">
        <f t="shared" si="4"/>
        <v>0</v>
      </c>
      <c r="AD48" s="2372"/>
      <c r="AE48" s="2373">
        <f t="shared" si="5"/>
        <v>0</v>
      </c>
      <c r="AF48" s="2374"/>
      <c r="AG48" s="2373">
        <f t="shared" si="6"/>
        <v>0</v>
      </c>
      <c r="AH48" s="2372"/>
      <c r="AI48" s="2373">
        <f t="shared" si="7"/>
        <v>0</v>
      </c>
      <c r="AJ48" s="2372"/>
      <c r="AK48" s="2373">
        <f t="shared" si="28"/>
        <v>0</v>
      </c>
      <c r="AL48" s="2372"/>
      <c r="AM48" s="2373">
        <f t="shared" si="28"/>
        <v>0</v>
      </c>
      <c r="AN48" s="2372"/>
      <c r="AO48" s="2373">
        <f t="shared" si="9"/>
        <v>0</v>
      </c>
      <c r="AP48" s="2372"/>
      <c r="AQ48" s="2373">
        <f t="shared" si="10"/>
        <v>0</v>
      </c>
      <c r="AR48" s="2372"/>
      <c r="AS48" s="2373">
        <f t="shared" si="11"/>
        <v>0</v>
      </c>
      <c r="AT48" s="2372"/>
      <c r="AU48" s="2373">
        <f t="shared" si="12"/>
        <v>0</v>
      </c>
      <c r="AV48" s="2372">
        <v>1</v>
      </c>
      <c r="AW48" s="2373">
        <f t="shared" si="13"/>
        <v>47.733194541533329</v>
      </c>
      <c r="AX48" s="2372"/>
      <c r="AY48" s="2373">
        <f t="shared" si="14"/>
        <v>0</v>
      </c>
      <c r="AZ48" s="2372"/>
      <c r="BA48" s="2373">
        <f t="shared" si="15"/>
        <v>0</v>
      </c>
      <c r="BB48" s="2372"/>
      <c r="BC48" s="2373">
        <f t="shared" si="16"/>
        <v>0</v>
      </c>
      <c r="BD48" s="2372"/>
      <c r="BE48" s="2373">
        <f t="shared" si="17"/>
        <v>0</v>
      </c>
      <c r="BF48" s="2372"/>
      <c r="BG48" s="2375" t="s">
        <v>701</v>
      </c>
      <c r="BH48" s="2148">
        <f t="shared" si="23"/>
        <v>1</v>
      </c>
      <c r="BI48" s="2149"/>
      <c r="BJ48" s="1679"/>
      <c r="BK48" s="2045" t="e">
        <f t="shared" si="24"/>
        <v>#VALUE!</v>
      </c>
      <c r="BL48" s="2047" t="e">
        <f>SUM(BK47:BK48)/BK$66</f>
        <v>#VALUE!</v>
      </c>
      <c r="BM48" s="2042"/>
      <c r="BN48" s="2043"/>
    </row>
    <row r="49" spans="1:66" ht="16.2">
      <c r="A49" s="2376" t="s">
        <v>702</v>
      </c>
      <c r="B49" s="2377"/>
      <c r="C49" s="2378">
        <f>C50*1.04</f>
        <v>25.927199999999999</v>
      </c>
      <c r="D49" s="2378">
        <f>D50</f>
        <v>11.45</v>
      </c>
      <c r="E49" s="2378">
        <f t="shared" si="18"/>
        <v>0</v>
      </c>
      <c r="F49" s="2378">
        <f t="shared" si="19"/>
        <v>37.377200000000002</v>
      </c>
      <c r="G49" s="2378"/>
      <c r="H49" s="2378">
        <f t="shared" si="25"/>
        <v>3.3245360733333338</v>
      </c>
      <c r="I49" s="2378">
        <f t="shared" ref="I49:I50" si="31">((C49)*$F$140/100)</f>
        <v>5.8056186240000001</v>
      </c>
      <c r="J49" s="2378">
        <f t="shared" si="21"/>
        <v>46.507354697333334</v>
      </c>
      <c r="K49" s="2379"/>
      <c r="L49" s="2139"/>
      <c r="M49" s="716"/>
      <c r="N49" s="716"/>
      <c r="O49" s="716"/>
      <c r="P49" s="2380"/>
      <c r="Q49" s="2381">
        <f t="shared" si="30"/>
        <v>0</v>
      </c>
      <c r="R49" s="2382"/>
      <c r="S49" s="2381">
        <f t="shared" si="30"/>
        <v>0</v>
      </c>
      <c r="T49" s="2382"/>
      <c r="U49" s="2381">
        <f t="shared" si="0"/>
        <v>0</v>
      </c>
      <c r="V49" s="2383"/>
      <c r="W49" s="2384">
        <f t="shared" si="1"/>
        <v>0</v>
      </c>
      <c r="X49" s="2382"/>
      <c r="Y49" s="2384">
        <f t="shared" si="2"/>
        <v>0</v>
      </c>
      <c r="Z49" s="2383"/>
      <c r="AA49" s="2384">
        <f t="shared" si="3"/>
        <v>0</v>
      </c>
      <c r="AB49" s="2383"/>
      <c r="AC49" s="2384">
        <f t="shared" si="4"/>
        <v>0</v>
      </c>
      <c r="AD49" s="2383"/>
      <c r="AE49" s="2384">
        <f t="shared" si="5"/>
        <v>0</v>
      </c>
      <c r="AF49" s="2385"/>
      <c r="AG49" s="2384">
        <f t="shared" si="6"/>
        <v>0</v>
      </c>
      <c r="AH49" s="2383"/>
      <c r="AI49" s="2384">
        <f t="shared" si="7"/>
        <v>0</v>
      </c>
      <c r="AJ49" s="2383"/>
      <c r="AK49" s="2384">
        <f t="shared" si="28"/>
        <v>0</v>
      </c>
      <c r="AL49" s="2383"/>
      <c r="AM49" s="2384">
        <f t="shared" si="28"/>
        <v>0</v>
      </c>
      <c r="AN49" s="2383"/>
      <c r="AO49" s="2384">
        <f t="shared" si="9"/>
        <v>0</v>
      </c>
      <c r="AP49" s="2383"/>
      <c r="AQ49" s="2384">
        <f t="shared" si="10"/>
        <v>0</v>
      </c>
      <c r="AR49" s="2383"/>
      <c r="AS49" s="2384">
        <f t="shared" si="11"/>
        <v>0</v>
      </c>
      <c r="AT49" s="2383"/>
      <c r="AU49" s="2384">
        <f t="shared" si="12"/>
        <v>0</v>
      </c>
      <c r="AV49" s="2383">
        <v>2</v>
      </c>
      <c r="AW49" s="2384">
        <f t="shared" si="13"/>
        <v>93.014709394666667</v>
      </c>
      <c r="AX49" s="2383"/>
      <c r="AY49" s="2384">
        <f t="shared" si="14"/>
        <v>0</v>
      </c>
      <c r="AZ49" s="2383"/>
      <c r="BA49" s="2384">
        <f t="shared" si="15"/>
        <v>0</v>
      </c>
      <c r="BB49" s="2383"/>
      <c r="BC49" s="2384">
        <f t="shared" si="16"/>
        <v>0</v>
      </c>
      <c r="BD49" s="2383"/>
      <c r="BE49" s="2384">
        <f t="shared" si="17"/>
        <v>0</v>
      </c>
      <c r="BF49" s="2383"/>
      <c r="BG49" s="2386" t="s">
        <v>702</v>
      </c>
      <c r="BH49" s="2148">
        <f t="shared" si="23"/>
        <v>2</v>
      </c>
      <c r="BI49" s="2160">
        <f>SUM(BH48:BH50)/BH$65</f>
        <v>2.9100529100529099E-2</v>
      </c>
      <c r="BJ49" s="1679"/>
      <c r="BK49" s="2045" t="e">
        <f t="shared" si="24"/>
        <v>#VALUE!</v>
      </c>
      <c r="BL49" s="2046"/>
      <c r="BM49" s="2042"/>
      <c r="BN49" s="2043"/>
    </row>
    <row r="50" spans="1:66" ht="16.2">
      <c r="A50" s="2387" t="s">
        <v>703</v>
      </c>
      <c r="B50" s="2388">
        <v>1080</v>
      </c>
      <c r="C50" s="2389">
        <v>24.93</v>
      </c>
      <c r="D50" s="2389">
        <v>11.45</v>
      </c>
      <c r="E50" s="2389">
        <f t="shared" si="18"/>
        <v>0</v>
      </c>
      <c r="F50" s="2389">
        <f t="shared" si="19"/>
        <v>36.379999999999995</v>
      </c>
      <c r="G50" s="2389"/>
      <c r="H50" s="2389">
        <f t="shared" si="25"/>
        <v>3.2197968333333336</v>
      </c>
      <c r="I50" s="2389">
        <f t="shared" si="31"/>
        <v>5.5823256000000008</v>
      </c>
      <c r="J50" s="2389">
        <f t="shared" si="21"/>
        <v>45.182122433333333</v>
      </c>
      <c r="K50" s="2390">
        <v>40633</v>
      </c>
      <c r="L50" s="2139" t="s">
        <v>2319</v>
      </c>
      <c r="M50" s="716"/>
      <c r="N50" s="716"/>
      <c r="O50" s="716"/>
      <c r="P50" s="2391"/>
      <c r="Q50" s="2392">
        <f t="shared" si="30"/>
        <v>0</v>
      </c>
      <c r="R50" s="2393"/>
      <c r="S50" s="2392">
        <f t="shared" si="30"/>
        <v>0</v>
      </c>
      <c r="T50" s="2393"/>
      <c r="U50" s="2392">
        <f t="shared" si="0"/>
        <v>0</v>
      </c>
      <c r="V50" s="2394"/>
      <c r="W50" s="2395">
        <f t="shared" si="1"/>
        <v>0</v>
      </c>
      <c r="X50" s="2394"/>
      <c r="Y50" s="2395">
        <f t="shared" si="2"/>
        <v>0</v>
      </c>
      <c r="Z50" s="2394"/>
      <c r="AA50" s="2395">
        <f t="shared" si="3"/>
        <v>0</v>
      </c>
      <c r="AB50" s="2394"/>
      <c r="AC50" s="2395">
        <f t="shared" si="4"/>
        <v>0</v>
      </c>
      <c r="AD50" s="2394"/>
      <c r="AE50" s="2395">
        <f t="shared" si="5"/>
        <v>0</v>
      </c>
      <c r="AF50" s="2396"/>
      <c r="AG50" s="2395">
        <f t="shared" si="6"/>
        <v>0</v>
      </c>
      <c r="AH50" s="2394"/>
      <c r="AI50" s="2395">
        <f t="shared" si="7"/>
        <v>0</v>
      </c>
      <c r="AJ50" s="2394"/>
      <c r="AK50" s="2395">
        <f t="shared" si="28"/>
        <v>0</v>
      </c>
      <c r="AL50" s="2394"/>
      <c r="AM50" s="2395">
        <f t="shared" si="28"/>
        <v>0</v>
      </c>
      <c r="AN50" s="2394"/>
      <c r="AO50" s="2395">
        <f t="shared" si="9"/>
        <v>0</v>
      </c>
      <c r="AP50" s="2394"/>
      <c r="AQ50" s="2395">
        <f t="shared" si="10"/>
        <v>0</v>
      </c>
      <c r="AR50" s="2394"/>
      <c r="AS50" s="2395">
        <f t="shared" si="11"/>
        <v>0</v>
      </c>
      <c r="AT50" s="2394"/>
      <c r="AU50" s="2395">
        <f t="shared" si="12"/>
        <v>0</v>
      </c>
      <c r="AV50" s="2394">
        <v>8</v>
      </c>
      <c r="AW50" s="2395">
        <f t="shared" si="13"/>
        <v>361.45697946666667</v>
      </c>
      <c r="AX50" s="2394"/>
      <c r="AY50" s="2395">
        <f t="shared" si="14"/>
        <v>0</v>
      </c>
      <c r="AZ50" s="2394"/>
      <c r="BA50" s="2395">
        <f t="shared" si="15"/>
        <v>0</v>
      </c>
      <c r="BB50" s="2394"/>
      <c r="BC50" s="2395">
        <f t="shared" si="16"/>
        <v>0</v>
      </c>
      <c r="BD50" s="2394"/>
      <c r="BE50" s="2395">
        <f t="shared" si="17"/>
        <v>0</v>
      </c>
      <c r="BF50" s="2394"/>
      <c r="BG50" s="2397" t="s">
        <v>703</v>
      </c>
      <c r="BH50" s="2148">
        <f t="shared" si="23"/>
        <v>8</v>
      </c>
      <c r="BI50" s="2172"/>
      <c r="BJ50" s="1679"/>
      <c r="BK50" s="2045" t="e">
        <f t="shared" si="24"/>
        <v>#VALUE!</v>
      </c>
      <c r="BL50" s="2047" t="e">
        <f>SUM(BK49:BK51)/BK$66</f>
        <v>#VALUE!</v>
      </c>
      <c r="BM50" s="2042"/>
      <c r="BN50" s="2043"/>
    </row>
    <row r="51" spans="1:66" ht="16.2">
      <c r="A51" s="2398" t="s">
        <v>704</v>
      </c>
      <c r="B51" s="2399"/>
      <c r="C51" s="2400">
        <v>25.35</v>
      </c>
      <c r="D51" s="2400">
        <v>13</v>
      </c>
      <c r="E51" s="2400">
        <f t="shared" si="18"/>
        <v>0</v>
      </c>
      <c r="F51" s="2400">
        <f t="shared" si="19"/>
        <v>38.35</v>
      </c>
      <c r="G51" s="2400"/>
      <c r="H51" s="2400">
        <f t="shared" si="25"/>
        <v>3.3453116666666669</v>
      </c>
      <c r="I51" s="2400">
        <f>((C51)*$F$139/100)</f>
        <v>4.0701960000000001</v>
      </c>
      <c r="J51" s="2400">
        <f t="shared" si="21"/>
        <v>45.765507666666672</v>
      </c>
      <c r="K51" s="2401"/>
      <c r="L51" s="2139"/>
      <c r="M51" s="716"/>
      <c r="N51" s="716"/>
      <c r="O51" s="716"/>
      <c r="P51" s="2402"/>
      <c r="Q51" s="2403">
        <f t="shared" si="30"/>
        <v>0</v>
      </c>
      <c r="R51" s="2404"/>
      <c r="S51" s="2403">
        <f t="shared" si="30"/>
        <v>0</v>
      </c>
      <c r="T51" s="2404"/>
      <c r="U51" s="2403">
        <f t="shared" si="0"/>
        <v>0</v>
      </c>
      <c r="V51" s="2405">
        <v>1</v>
      </c>
      <c r="W51" s="2406">
        <f t="shared" si="1"/>
        <v>45.765507666666672</v>
      </c>
      <c r="X51" s="2405"/>
      <c r="Y51" s="2406">
        <f t="shared" si="2"/>
        <v>0</v>
      </c>
      <c r="Z51" s="2405">
        <v>2</v>
      </c>
      <c r="AA51" s="2406">
        <f t="shared" si="3"/>
        <v>91.531015333333343</v>
      </c>
      <c r="AB51" s="2405"/>
      <c r="AC51" s="2406">
        <f t="shared" si="4"/>
        <v>0</v>
      </c>
      <c r="AD51" s="2405"/>
      <c r="AE51" s="2406">
        <f t="shared" si="5"/>
        <v>0</v>
      </c>
      <c r="AF51" s="2407"/>
      <c r="AG51" s="2406">
        <f t="shared" si="6"/>
        <v>0</v>
      </c>
      <c r="AH51" s="2405"/>
      <c r="AI51" s="2406">
        <f t="shared" si="7"/>
        <v>0</v>
      </c>
      <c r="AJ51" s="2405"/>
      <c r="AK51" s="2406">
        <f t="shared" si="28"/>
        <v>0</v>
      </c>
      <c r="AL51" s="2405"/>
      <c r="AM51" s="2406">
        <f t="shared" si="28"/>
        <v>0</v>
      </c>
      <c r="AN51" s="2405">
        <v>2</v>
      </c>
      <c r="AO51" s="2406">
        <f t="shared" si="9"/>
        <v>91.531015333333343</v>
      </c>
      <c r="AP51" s="2405">
        <v>1</v>
      </c>
      <c r="AQ51" s="2406">
        <f t="shared" si="10"/>
        <v>45.765507666666672</v>
      </c>
      <c r="AR51" s="2405"/>
      <c r="AS51" s="2406">
        <f t="shared" si="11"/>
        <v>0</v>
      </c>
      <c r="AT51" s="2405"/>
      <c r="AU51" s="2406">
        <f t="shared" si="12"/>
        <v>0</v>
      </c>
      <c r="AV51" s="2405">
        <v>1</v>
      </c>
      <c r="AW51" s="2406">
        <f t="shared" si="13"/>
        <v>45.765507666666672</v>
      </c>
      <c r="AX51" s="2405"/>
      <c r="AY51" s="2406">
        <f t="shared" si="14"/>
        <v>0</v>
      </c>
      <c r="AZ51" s="2405"/>
      <c r="BA51" s="2406">
        <f t="shared" si="15"/>
        <v>0</v>
      </c>
      <c r="BB51" s="2405"/>
      <c r="BC51" s="2406">
        <f t="shared" si="16"/>
        <v>0</v>
      </c>
      <c r="BD51" s="2405"/>
      <c r="BE51" s="2406">
        <f t="shared" si="17"/>
        <v>0</v>
      </c>
      <c r="BF51" s="2405"/>
      <c r="BG51" s="2408" t="s">
        <v>704</v>
      </c>
      <c r="BH51" s="2148">
        <f t="shared" si="23"/>
        <v>7</v>
      </c>
      <c r="BI51" s="2149"/>
      <c r="BJ51" s="1679"/>
      <c r="BK51" s="2045" t="e">
        <f t="shared" si="24"/>
        <v>#VALUE!</v>
      </c>
      <c r="BL51" s="2048"/>
      <c r="BM51" s="2042"/>
      <c r="BN51" s="2043"/>
    </row>
    <row r="52" spans="1:66" ht="16.2">
      <c r="A52" s="2409" t="s">
        <v>2254</v>
      </c>
      <c r="B52" s="2410"/>
      <c r="C52" s="2411">
        <v>24.65</v>
      </c>
      <c r="D52" s="2411">
        <v>13</v>
      </c>
      <c r="E52" s="2411">
        <f t="shared" si="18"/>
        <v>0</v>
      </c>
      <c r="F52" s="2411">
        <f t="shared" si="19"/>
        <v>37.65</v>
      </c>
      <c r="G52" s="2411"/>
      <c r="H52" s="2411">
        <f t="shared" si="25"/>
        <v>3.2717883333333333</v>
      </c>
      <c r="I52" s="2411">
        <f t="shared" ref="I52:I55" si="32">((C52)*$F$139/100)</f>
        <v>3.9578039999999999</v>
      </c>
      <c r="J52" s="2411">
        <f t="shared" si="21"/>
        <v>44.879592333333335</v>
      </c>
      <c r="K52" s="2412"/>
      <c r="L52" s="2139"/>
      <c r="M52" s="716"/>
      <c r="N52" s="716"/>
      <c r="O52" s="716"/>
      <c r="P52" s="2413">
        <v>8</v>
      </c>
      <c r="Q52" s="2414">
        <f t="shared" si="30"/>
        <v>359.03673866666668</v>
      </c>
      <c r="R52" s="2415">
        <v>3</v>
      </c>
      <c r="S52" s="2414">
        <f t="shared" si="30"/>
        <v>134.638777</v>
      </c>
      <c r="T52" s="2415"/>
      <c r="U52" s="2414">
        <f t="shared" si="0"/>
        <v>0</v>
      </c>
      <c r="V52" s="2416">
        <v>3</v>
      </c>
      <c r="W52" s="2417">
        <f t="shared" si="1"/>
        <v>134.638777</v>
      </c>
      <c r="X52" s="2416">
        <v>2</v>
      </c>
      <c r="Y52" s="2417">
        <f t="shared" si="2"/>
        <v>89.75918466666667</v>
      </c>
      <c r="Z52" s="2416"/>
      <c r="AA52" s="2417">
        <f t="shared" si="3"/>
        <v>0</v>
      </c>
      <c r="AB52" s="2416"/>
      <c r="AC52" s="2417">
        <f t="shared" si="4"/>
        <v>0</v>
      </c>
      <c r="AD52" s="2416"/>
      <c r="AE52" s="2417">
        <f t="shared" si="5"/>
        <v>0</v>
      </c>
      <c r="AF52" s="2418"/>
      <c r="AG52" s="2417">
        <f t="shared" si="6"/>
        <v>0</v>
      </c>
      <c r="AH52" s="2416"/>
      <c r="AI52" s="2417">
        <f t="shared" si="7"/>
        <v>0</v>
      </c>
      <c r="AJ52" s="2416"/>
      <c r="AK52" s="2417">
        <f t="shared" si="28"/>
        <v>0</v>
      </c>
      <c r="AL52" s="2416"/>
      <c r="AM52" s="2417">
        <f t="shared" si="28"/>
        <v>0</v>
      </c>
      <c r="AN52" s="2416"/>
      <c r="AO52" s="2417">
        <f t="shared" si="9"/>
        <v>0</v>
      </c>
      <c r="AP52" s="2416"/>
      <c r="AQ52" s="2417">
        <f t="shared" si="10"/>
        <v>0</v>
      </c>
      <c r="AR52" s="2416"/>
      <c r="AS52" s="2417">
        <f t="shared" si="11"/>
        <v>0</v>
      </c>
      <c r="AT52" s="2416"/>
      <c r="AU52" s="2417">
        <f t="shared" si="12"/>
        <v>0</v>
      </c>
      <c r="AV52" s="2416"/>
      <c r="AW52" s="2417">
        <f t="shared" si="13"/>
        <v>0</v>
      </c>
      <c r="AX52" s="2416"/>
      <c r="AY52" s="2417">
        <f t="shared" si="14"/>
        <v>0</v>
      </c>
      <c r="AZ52" s="2416"/>
      <c r="BA52" s="2417">
        <f t="shared" si="15"/>
        <v>0</v>
      </c>
      <c r="BB52" s="2416"/>
      <c r="BC52" s="2417">
        <f t="shared" si="16"/>
        <v>0</v>
      </c>
      <c r="BD52" s="2416"/>
      <c r="BE52" s="2417">
        <f t="shared" si="17"/>
        <v>0</v>
      </c>
      <c r="BF52" s="2416"/>
      <c r="BG52" s="2419" t="s">
        <v>2254</v>
      </c>
      <c r="BH52" s="2148">
        <f t="shared" si="23"/>
        <v>16</v>
      </c>
      <c r="BI52" s="2309"/>
      <c r="BJ52" s="1679"/>
      <c r="BK52" s="2045" t="e">
        <f t="shared" si="24"/>
        <v>#VALUE!</v>
      </c>
      <c r="BL52" s="2046"/>
      <c r="BM52" s="2042"/>
      <c r="BN52" s="2043"/>
    </row>
    <row r="53" spans="1:66" ht="16.2">
      <c r="A53" s="2420" t="s">
        <v>2061</v>
      </c>
      <c r="B53" s="2421">
        <v>181</v>
      </c>
      <c r="C53" s="2422">
        <v>21.19</v>
      </c>
      <c r="D53" s="2422">
        <v>13</v>
      </c>
      <c r="E53" s="2422">
        <f t="shared" si="18"/>
        <v>0</v>
      </c>
      <c r="F53" s="2422">
        <f t="shared" si="19"/>
        <v>34.19</v>
      </c>
      <c r="G53" s="2422"/>
      <c r="H53" s="2422">
        <f t="shared" si="25"/>
        <v>2.9083730000000001</v>
      </c>
      <c r="I53" s="2422">
        <f t="shared" si="32"/>
        <v>3.4022664000000002</v>
      </c>
      <c r="J53" s="2422">
        <f t="shared" si="21"/>
        <v>40.500639399999997</v>
      </c>
      <c r="K53" s="2423"/>
      <c r="L53" s="2139" t="s">
        <v>2320</v>
      </c>
      <c r="M53" s="716"/>
      <c r="N53" s="716"/>
      <c r="O53" s="716"/>
      <c r="P53" s="2424"/>
      <c r="Q53" s="2425">
        <f t="shared" si="30"/>
        <v>0</v>
      </c>
      <c r="R53" s="2426"/>
      <c r="S53" s="2425">
        <f t="shared" si="30"/>
        <v>0</v>
      </c>
      <c r="T53" s="2426">
        <v>1</v>
      </c>
      <c r="U53" s="2425">
        <f t="shared" si="0"/>
        <v>40.500639399999997</v>
      </c>
      <c r="V53" s="2427">
        <v>1</v>
      </c>
      <c r="W53" s="2428">
        <f t="shared" si="1"/>
        <v>40.500639399999997</v>
      </c>
      <c r="X53" s="2427"/>
      <c r="Y53" s="2428">
        <f t="shared" si="2"/>
        <v>0</v>
      </c>
      <c r="Z53" s="2427"/>
      <c r="AA53" s="2428">
        <f t="shared" si="3"/>
        <v>0</v>
      </c>
      <c r="AB53" s="2427"/>
      <c r="AC53" s="2428">
        <f t="shared" si="4"/>
        <v>0</v>
      </c>
      <c r="AD53" s="2427">
        <v>1</v>
      </c>
      <c r="AE53" s="2428">
        <f t="shared" si="5"/>
        <v>40.500639399999997</v>
      </c>
      <c r="AF53" s="2429"/>
      <c r="AG53" s="2428">
        <f t="shared" si="6"/>
        <v>0</v>
      </c>
      <c r="AH53" s="2427">
        <v>1</v>
      </c>
      <c r="AI53" s="2428">
        <f t="shared" si="7"/>
        <v>40.500639399999997</v>
      </c>
      <c r="AJ53" s="2427"/>
      <c r="AK53" s="2428">
        <f t="shared" si="28"/>
        <v>0</v>
      </c>
      <c r="AL53" s="2427"/>
      <c r="AM53" s="2428">
        <f t="shared" si="28"/>
        <v>0</v>
      </c>
      <c r="AN53" s="2427"/>
      <c r="AO53" s="2428">
        <f t="shared" si="9"/>
        <v>0</v>
      </c>
      <c r="AP53" s="2427"/>
      <c r="AQ53" s="2428">
        <f t="shared" si="10"/>
        <v>0</v>
      </c>
      <c r="AR53" s="2427"/>
      <c r="AS53" s="2428">
        <f t="shared" si="11"/>
        <v>0</v>
      </c>
      <c r="AT53" s="2427"/>
      <c r="AU53" s="2428">
        <f t="shared" si="12"/>
        <v>0</v>
      </c>
      <c r="AV53" s="2427"/>
      <c r="AW53" s="2428">
        <f t="shared" si="13"/>
        <v>0</v>
      </c>
      <c r="AX53" s="2427"/>
      <c r="AY53" s="2428">
        <f t="shared" si="14"/>
        <v>0</v>
      </c>
      <c r="AZ53" s="2427"/>
      <c r="BA53" s="2428">
        <f t="shared" si="15"/>
        <v>0</v>
      </c>
      <c r="BB53" s="2427"/>
      <c r="BC53" s="2428">
        <f t="shared" si="16"/>
        <v>0</v>
      </c>
      <c r="BD53" s="2427"/>
      <c r="BE53" s="2428">
        <f t="shared" si="17"/>
        <v>0</v>
      </c>
      <c r="BF53" s="2427"/>
      <c r="BG53" s="2430" t="s">
        <v>2061</v>
      </c>
      <c r="BH53" s="2148">
        <f t="shared" si="23"/>
        <v>4</v>
      </c>
      <c r="BI53" s="2160">
        <f>SUM(BH51:BH55)/BH$65</f>
        <v>0.11375661375661375</v>
      </c>
      <c r="BJ53" s="1679"/>
      <c r="BK53" s="2045" t="e">
        <f t="shared" si="24"/>
        <v>#VALUE!</v>
      </c>
      <c r="BL53" s="2044"/>
      <c r="BM53" s="2042"/>
      <c r="BN53" s="2043"/>
    </row>
    <row r="54" spans="1:66" ht="16.2">
      <c r="A54" s="2431" t="s">
        <v>2255</v>
      </c>
      <c r="B54" s="2432"/>
      <c r="C54" s="2433">
        <v>21.14</v>
      </c>
      <c r="D54" s="2433">
        <v>13</v>
      </c>
      <c r="E54" s="2433">
        <f t="shared" si="18"/>
        <v>0</v>
      </c>
      <c r="F54" s="2433">
        <f t="shared" si="19"/>
        <v>34.14</v>
      </c>
      <c r="G54" s="2433"/>
      <c r="H54" s="2433">
        <f t="shared" si="25"/>
        <v>2.9031213333333334</v>
      </c>
      <c r="I54" s="2433">
        <f t="shared" si="32"/>
        <v>3.3942384000000003</v>
      </c>
      <c r="J54" s="2433">
        <f t="shared" si="21"/>
        <v>40.437359733333331</v>
      </c>
      <c r="K54" s="2434"/>
      <c r="L54" s="2139"/>
      <c r="M54" s="716"/>
      <c r="N54" s="716"/>
      <c r="O54" s="716"/>
      <c r="P54" s="2435">
        <v>2</v>
      </c>
      <c r="Q54" s="2436">
        <f t="shared" si="30"/>
        <v>80.874719466666662</v>
      </c>
      <c r="R54" s="2437">
        <v>1</v>
      </c>
      <c r="S54" s="2436">
        <f t="shared" si="30"/>
        <v>40.437359733333331</v>
      </c>
      <c r="T54" s="2437"/>
      <c r="U54" s="2436">
        <f t="shared" si="0"/>
        <v>0</v>
      </c>
      <c r="V54" s="2438"/>
      <c r="W54" s="2439">
        <f t="shared" si="1"/>
        <v>0</v>
      </c>
      <c r="X54" s="2438">
        <v>2</v>
      </c>
      <c r="Y54" s="2439">
        <f t="shared" si="2"/>
        <v>80.874719466666662</v>
      </c>
      <c r="Z54" s="2438">
        <v>2</v>
      </c>
      <c r="AA54" s="2439">
        <f t="shared" si="3"/>
        <v>80.874719466666662</v>
      </c>
      <c r="AB54" s="2438"/>
      <c r="AC54" s="2439">
        <f t="shared" si="4"/>
        <v>0</v>
      </c>
      <c r="AD54" s="2438"/>
      <c r="AE54" s="2439">
        <f t="shared" si="5"/>
        <v>0</v>
      </c>
      <c r="AF54" s="2440"/>
      <c r="AG54" s="2439">
        <f t="shared" si="6"/>
        <v>0</v>
      </c>
      <c r="AH54" s="2438"/>
      <c r="AI54" s="2439">
        <f t="shared" si="7"/>
        <v>0</v>
      </c>
      <c r="AJ54" s="2438"/>
      <c r="AK54" s="2439">
        <f t="shared" si="28"/>
        <v>0</v>
      </c>
      <c r="AL54" s="2438"/>
      <c r="AM54" s="2439">
        <f t="shared" si="28"/>
        <v>0</v>
      </c>
      <c r="AN54" s="2438">
        <v>2</v>
      </c>
      <c r="AO54" s="2439">
        <f t="shared" si="9"/>
        <v>80.874719466666662</v>
      </c>
      <c r="AP54" s="2438">
        <v>1</v>
      </c>
      <c r="AQ54" s="2439">
        <f t="shared" si="10"/>
        <v>40.437359733333331</v>
      </c>
      <c r="AR54" s="2438"/>
      <c r="AS54" s="2439">
        <v>1</v>
      </c>
      <c r="AT54" s="2438"/>
      <c r="AU54" s="2439">
        <f t="shared" si="12"/>
        <v>0</v>
      </c>
      <c r="AV54" s="2438">
        <v>1</v>
      </c>
      <c r="AW54" s="2439">
        <f t="shared" si="13"/>
        <v>40.437359733333331</v>
      </c>
      <c r="AX54" s="2438"/>
      <c r="AY54" s="2439">
        <f t="shared" si="14"/>
        <v>0</v>
      </c>
      <c r="AZ54" s="2438"/>
      <c r="BA54" s="2439">
        <f t="shared" si="15"/>
        <v>0</v>
      </c>
      <c r="BB54" s="2438"/>
      <c r="BC54" s="2439">
        <f t="shared" si="16"/>
        <v>0</v>
      </c>
      <c r="BD54" s="2438">
        <v>1</v>
      </c>
      <c r="BE54" s="2439">
        <f t="shared" si="17"/>
        <v>40.437359733333331</v>
      </c>
      <c r="BF54" s="2438"/>
      <c r="BG54" s="2441" t="s">
        <v>2255</v>
      </c>
      <c r="BH54" s="2148">
        <f t="shared" si="23"/>
        <v>12</v>
      </c>
      <c r="BI54" s="2309"/>
      <c r="BJ54" s="1679"/>
      <c r="BK54" s="2045" t="e">
        <f t="shared" si="24"/>
        <v>#VALUE!</v>
      </c>
      <c r="BL54" s="2047" t="e">
        <f>SUM(BK52:BK56)/BK$66</f>
        <v>#VALUE!</v>
      </c>
      <c r="BM54" s="2042"/>
      <c r="BN54" s="2043"/>
    </row>
    <row r="55" spans="1:66" ht="16.2">
      <c r="A55" s="2442" t="s">
        <v>2256</v>
      </c>
      <c r="B55" s="2443"/>
      <c r="C55" s="2444">
        <v>25.35</v>
      </c>
      <c r="D55" s="2444">
        <v>13</v>
      </c>
      <c r="E55" s="2444">
        <f t="shared" si="18"/>
        <v>0</v>
      </c>
      <c r="F55" s="2444">
        <f>SUM(C55:E55)</f>
        <v>38.35</v>
      </c>
      <c r="G55" s="2444"/>
      <c r="H55" s="2444">
        <f t="shared" si="25"/>
        <v>3.3453116666666669</v>
      </c>
      <c r="I55" s="2444">
        <f t="shared" si="32"/>
        <v>4.0701960000000001</v>
      </c>
      <c r="J55" s="2444">
        <f>SUM(F55:I55)</f>
        <v>45.765507666666672</v>
      </c>
      <c r="K55" s="2445"/>
      <c r="L55" s="2139"/>
      <c r="M55" s="716"/>
      <c r="N55" s="716"/>
      <c r="O55" s="716"/>
      <c r="P55" s="2446">
        <v>1</v>
      </c>
      <c r="Q55" s="2447">
        <f t="shared" si="30"/>
        <v>45.765507666666672</v>
      </c>
      <c r="R55" s="2448"/>
      <c r="S55" s="2447">
        <f t="shared" si="30"/>
        <v>0</v>
      </c>
      <c r="T55" s="2448"/>
      <c r="U55" s="2447">
        <f t="shared" si="0"/>
        <v>0</v>
      </c>
      <c r="V55" s="2449"/>
      <c r="W55" s="2450">
        <f t="shared" si="1"/>
        <v>0</v>
      </c>
      <c r="X55" s="2449">
        <v>1</v>
      </c>
      <c r="Y55" s="2450">
        <f t="shared" si="2"/>
        <v>45.765507666666672</v>
      </c>
      <c r="Z55" s="2449"/>
      <c r="AA55" s="2450">
        <f t="shared" si="3"/>
        <v>0</v>
      </c>
      <c r="AB55" s="2449"/>
      <c r="AC55" s="2450">
        <f t="shared" si="4"/>
        <v>0</v>
      </c>
      <c r="AD55" s="2449"/>
      <c r="AE55" s="2450">
        <f t="shared" si="5"/>
        <v>0</v>
      </c>
      <c r="AF55" s="2451"/>
      <c r="AG55" s="2450">
        <f t="shared" si="6"/>
        <v>0</v>
      </c>
      <c r="AH55" s="2449"/>
      <c r="AI55" s="2450">
        <f t="shared" si="7"/>
        <v>0</v>
      </c>
      <c r="AJ55" s="2449"/>
      <c r="AK55" s="2450">
        <f t="shared" si="28"/>
        <v>0</v>
      </c>
      <c r="AL55" s="2449"/>
      <c r="AM55" s="2450">
        <f t="shared" si="28"/>
        <v>0</v>
      </c>
      <c r="AN55" s="2449">
        <v>1</v>
      </c>
      <c r="AO55" s="2450">
        <f t="shared" si="9"/>
        <v>45.765507666666672</v>
      </c>
      <c r="AP55" s="2449">
        <v>1</v>
      </c>
      <c r="AQ55" s="2450">
        <f t="shared" si="10"/>
        <v>45.765507666666672</v>
      </c>
      <c r="AR55" s="2449"/>
      <c r="AS55" s="2450">
        <f t="shared" si="11"/>
        <v>0</v>
      </c>
      <c r="AT55" s="2449"/>
      <c r="AU55" s="2450">
        <f t="shared" si="12"/>
        <v>0</v>
      </c>
      <c r="AV55" s="2449"/>
      <c r="AW55" s="2450">
        <f t="shared" si="13"/>
        <v>0</v>
      </c>
      <c r="AX55" s="2449"/>
      <c r="AY55" s="2450">
        <f t="shared" si="14"/>
        <v>0</v>
      </c>
      <c r="AZ55" s="2449"/>
      <c r="BA55" s="2450">
        <f t="shared" si="15"/>
        <v>0</v>
      </c>
      <c r="BB55" s="2449"/>
      <c r="BC55" s="2450">
        <f t="shared" si="16"/>
        <v>0</v>
      </c>
      <c r="BD55" s="2449"/>
      <c r="BE55" s="2450">
        <f t="shared" si="17"/>
        <v>0</v>
      </c>
      <c r="BF55" s="2449"/>
      <c r="BG55" s="2452" t="s">
        <v>2256</v>
      </c>
      <c r="BH55" s="2148">
        <f t="shared" si="23"/>
        <v>4</v>
      </c>
      <c r="BI55" s="2172"/>
      <c r="BJ55" s="1679"/>
      <c r="BK55" s="2045" t="e">
        <f t="shared" si="24"/>
        <v>#VALUE!</v>
      </c>
      <c r="BL55" s="2044"/>
      <c r="BM55" s="2042"/>
      <c r="BN55" s="2043"/>
    </row>
    <row r="56" spans="1:66" ht="16.2">
      <c r="A56" s="2453" t="s">
        <v>2257</v>
      </c>
      <c r="B56" s="2454">
        <v>118</v>
      </c>
      <c r="C56" s="2455">
        <v>19.5</v>
      </c>
      <c r="D56" s="2455">
        <v>9.84</v>
      </c>
      <c r="E56" s="2455">
        <f t="shared" si="18"/>
        <v>0</v>
      </c>
      <c r="F56" s="2455">
        <f t="shared" si="19"/>
        <v>29.34</v>
      </c>
      <c r="G56" s="2455"/>
      <c r="H56" s="2455">
        <f t="shared" si="25"/>
        <v>2.5649140000000004</v>
      </c>
      <c r="I56" s="2455">
        <f>((C56)*$F$132/100)</f>
        <v>1.9305000000000001</v>
      </c>
      <c r="J56" s="2455">
        <f t="shared" si="21"/>
        <v>33.835414</v>
      </c>
      <c r="K56" s="2456"/>
      <c r="L56" s="2139"/>
      <c r="M56" s="716"/>
      <c r="N56" s="716"/>
      <c r="O56" s="716"/>
      <c r="P56" s="2457"/>
      <c r="Q56" s="2458">
        <f t="shared" si="30"/>
        <v>0</v>
      </c>
      <c r="R56" s="2459"/>
      <c r="S56" s="2458">
        <f t="shared" si="30"/>
        <v>0</v>
      </c>
      <c r="T56" s="2459"/>
      <c r="U56" s="2458">
        <f t="shared" si="0"/>
        <v>0</v>
      </c>
      <c r="V56" s="2460"/>
      <c r="W56" s="2461">
        <f t="shared" si="1"/>
        <v>0</v>
      </c>
      <c r="X56" s="2460"/>
      <c r="Y56" s="2461">
        <f t="shared" si="2"/>
        <v>0</v>
      </c>
      <c r="Z56" s="2460"/>
      <c r="AA56" s="2461">
        <f t="shared" si="3"/>
        <v>0</v>
      </c>
      <c r="AB56" s="2460"/>
      <c r="AC56" s="2461">
        <f t="shared" si="4"/>
        <v>0</v>
      </c>
      <c r="AD56" s="2460"/>
      <c r="AE56" s="2461">
        <f t="shared" si="5"/>
        <v>0</v>
      </c>
      <c r="AF56" s="2462"/>
      <c r="AG56" s="2461">
        <f t="shared" si="6"/>
        <v>0</v>
      </c>
      <c r="AH56" s="2460"/>
      <c r="AI56" s="2461">
        <f t="shared" si="7"/>
        <v>0</v>
      </c>
      <c r="AJ56" s="2460"/>
      <c r="AK56" s="2461">
        <f t="shared" si="28"/>
        <v>0</v>
      </c>
      <c r="AL56" s="2460"/>
      <c r="AM56" s="2461">
        <f t="shared" si="28"/>
        <v>0</v>
      </c>
      <c r="AN56" s="2460"/>
      <c r="AO56" s="2461">
        <f t="shared" si="9"/>
        <v>0</v>
      </c>
      <c r="AP56" s="2460"/>
      <c r="AQ56" s="2461">
        <f t="shared" si="10"/>
        <v>0</v>
      </c>
      <c r="AR56" s="2460"/>
      <c r="AS56" s="2461">
        <f t="shared" si="11"/>
        <v>0</v>
      </c>
      <c r="AT56" s="2460"/>
      <c r="AU56" s="2461">
        <f t="shared" si="12"/>
        <v>0</v>
      </c>
      <c r="AV56" s="2460"/>
      <c r="AW56" s="2461">
        <f t="shared" si="13"/>
        <v>0</v>
      </c>
      <c r="AX56" s="2460"/>
      <c r="AY56" s="2461">
        <f t="shared" si="14"/>
        <v>0</v>
      </c>
      <c r="AZ56" s="2460"/>
      <c r="BA56" s="2461">
        <f t="shared" si="15"/>
        <v>0</v>
      </c>
      <c r="BB56" s="2460"/>
      <c r="BC56" s="2461">
        <f t="shared" si="16"/>
        <v>0</v>
      </c>
      <c r="BD56" s="2460"/>
      <c r="BE56" s="2461">
        <f t="shared" si="17"/>
        <v>0</v>
      </c>
      <c r="BF56" s="2460"/>
      <c r="BG56" s="2463" t="s">
        <v>2257</v>
      </c>
      <c r="BH56" s="2148">
        <f t="shared" si="23"/>
        <v>0</v>
      </c>
      <c r="BI56" s="2160">
        <f>BH56/BH$65</f>
        <v>0</v>
      </c>
      <c r="BJ56" s="1679"/>
      <c r="BK56" s="2045" t="e">
        <f t="shared" si="24"/>
        <v>#VALUE!</v>
      </c>
      <c r="BL56" s="2048"/>
      <c r="BM56" s="2042"/>
      <c r="BN56" s="2043"/>
    </row>
    <row r="57" spans="1:66" ht="16.2">
      <c r="A57" s="2464" t="s">
        <v>1367</v>
      </c>
      <c r="B57" s="2465"/>
      <c r="C57" s="2466">
        <f>C59+2.77</f>
        <v>30.14</v>
      </c>
      <c r="D57" s="2466">
        <f>D59</f>
        <v>12.75</v>
      </c>
      <c r="E57" s="2466">
        <f t="shared" si="18"/>
        <v>0</v>
      </c>
      <c r="F57" s="2466">
        <f t="shared" si="19"/>
        <v>42.89</v>
      </c>
      <c r="G57" s="2466"/>
      <c r="H57" s="2466">
        <f t="shared" si="25"/>
        <v>3.8352921666666671</v>
      </c>
      <c r="I57" s="2466">
        <f>((C57)*$F$142/100)</f>
        <v>8.1378000000000004</v>
      </c>
      <c r="J57" s="2466">
        <f t="shared" si="21"/>
        <v>54.863092166666668</v>
      </c>
      <c r="K57" s="2467"/>
      <c r="L57" s="2139"/>
      <c r="M57" s="716"/>
      <c r="N57" s="716"/>
      <c r="O57" s="716"/>
      <c r="P57" s="2468"/>
      <c r="Q57" s="2469">
        <f t="shared" si="30"/>
        <v>0</v>
      </c>
      <c r="R57" s="2470"/>
      <c r="S57" s="2469">
        <f t="shared" si="30"/>
        <v>0</v>
      </c>
      <c r="T57" s="2470"/>
      <c r="U57" s="2469">
        <f t="shared" si="0"/>
        <v>0</v>
      </c>
      <c r="V57" s="2471"/>
      <c r="W57" s="2472">
        <f t="shared" si="1"/>
        <v>0</v>
      </c>
      <c r="X57" s="2471"/>
      <c r="Y57" s="2472">
        <f t="shared" si="2"/>
        <v>0</v>
      </c>
      <c r="Z57" s="2471"/>
      <c r="AA57" s="2472">
        <f t="shared" si="3"/>
        <v>0</v>
      </c>
      <c r="AB57" s="2471"/>
      <c r="AC57" s="2472">
        <f t="shared" si="4"/>
        <v>0</v>
      </c>
      <c r="AD57" s="2471"/>
      <c r="AE57" s="2472">
        <f t="shared" si="5"/>
        <v>0</v>
      </c>
      <c r="AF57" s="2473"/>
      <c r="AG57" s="2472">
        <f t="shared" si="6"/>
        <v>0</v>
      </c>
      <c r="AH57" s="2471"/>
      <c r="AI57" s="2472">
        <f t="shared" si="7"/>
        <v>0</v>
      </c>
      <c r="AJ57" s="2471"/>
      <c r="AK57" s="2472">
        <f t="shared" ref="AK57:AM63" si="33">$J57*AJ57</f>
        <v>0</v>
      </c>
      <c r="AL57" s="2471"/>
      <c r="AM57" s="2472">
        <f t="shared" si="33"/>
        <v>0</v>
      </c>
      <c r="AN57" s="2471"/>
      <c r="AO57" s="2472">
        <f t="shared" si="9"/>
        <v>0</v>
      </c>
      <c r="AP57" s="2471"/>
      <c r="AQ57" s="2472">
        <f t="shared" si="10"/>
        <v>0</v>
      </c>
      <c r="AR57" s="2471">
        <v>1</v>
      </c>
      <c r="AS57" s="2472">
        <f t="shared" si="11"/>
        <v>54.863092166666668</v>
      </c>
      <c r="AT57" s="2471">
        <v>1</v>
      </c>
      <c r="AU57" s="2472">
        <f t="shared" si="12"/>
        <v>54.863092166666668</v>
      </c>
      <c r="AV57" s="2471">
        <v>1</v>
      </c>
      <c r="AW57" s="2472">
        <f t="shared" si="13"/>
        <v>54.863092166666668</v>
      </c>
      <c r="AX57" s="2471"/>
      <c r="AY57" s="2472">
        <f t="shared" si="14"/>
        <v>0</v>
      </c>
      <c r="AZ57" s="2471"/>
      <c r="BA57" s="2472">
        <f t="shared" si="15"/>
        <v>0</v>
      </c>
      <c r="BB57" s="2471"/>
      <c r="BC57" s="2472">
        <f t="shared" si="16"/>
        <v>0</v>
      </c>
      <c r="BD57" s="2471"/>
      <c r="BE57" s="2472">
        <f t="shared" si="17"/>
        <v>0</v>
      </c>
      <c r="BF57" s="2471"/>
      <c r="BG57" s="2474" t="s">
        <v>1367</v>
      </c>
      <c r="BH57" s="2148">
        <f t="shared" si="23"/>
        <v>3</v>
      </c>
      <c r="BI57" s="2149"/>
      <c r="BJ57" s="1679"/>
      <c r="BK57" s="2045" t="e">
        <f t="shared" si="24"/>
        <v>#VALUE!</v>
      </c>
      <c r="BL57" s="2047" t="e">
        <f>BK57/BK$66</f>
        <v>#VALUE!</v>
      </c>
      <c r="BM57" s="2042"/>
      <c r="BN57" s="2043"/>
    </row>
    <row r="58" spans="1:66" ht="16.2">
      <c r="A58" s="2475" t="s">
        <v>2258</v>
      </c>
      <c r="B58" s="2476"/>
      <c r="C58" s="2477">
        <f>C60+1.25</f>
        <v>32.25</v>
      </c>
      <c r="D58" s="2477">
        <f>D59</f>
        <v>12.75</v>
      </c>
      <c r="E58" s="2477">
        <f t="shared" si="18"/>
        <v>0</v>
      </c>
      <c r="F58" s="2477">
        <f t="shared" si="19"/>
        <v>45</v>
      </c>
      <c r="G58" s="2477"/>
      <c r="H58" s="2477">
        <f t="shared" si="25"/>
        <v>4.0569125000000001</v>
      </c>
      <c r="I58" s="2477">
        <f t="shared" ref="I58:I59" si="34">((C58)*$F$142/100)</f>
        <v>8.7074999999999996</v>
      </c>
      <c r="J58" s="2477">
        <f t="shared" si="21"/>
        <v>57.764412500000006</v>
      </c>
      <c r="K58" s="2478"/>
      <c r="L58" s="2139"/>
      <c r="M58" s="716"/>
      <c r="N58" s="716"/>
      <c r="O58" s="716"/>
      <c r="P58" s="2479"/>
      <c r="Q58" s="2480">
        <f t="shared" ref="Q58:S63" si="35">$J58*P58</f>
        <v>0</v>
      </c>
      <c r="R58" s="2481"/>
      <c r="S58" s="2480">
        <f t="shared" si="35"/>
        <v>0</v>
      </c>
      <c r="T58" s="2481"/>
      <c r="U58" s="2480">
        <f t="shared" si="0"/>
        <v>0</v>
      </c>
      <c r="V58" s="2482"/>
      <c r="W58" s="2483">
        <f t="shared" si="1"/>
        <v>0</v>
      </c>
      <c r="X58" s="2482"/>
      <c r="Y58" s="2483">
        <f t="shared" si="2"/>
        <v>0</v>
      </c>
      <c r="Z58" s="2482"/>
      <c r="AA58" s="2483">
        <f t="shared" si="3"/>
        <v>0</v>
      </c>
      <c r="AB58" s="2482"/>
      <c r="AC58" s="2483">
        <f t="shared" si="4"/>
        <v>0</v>
      </c>
      <c r="AD58" s="2482"/>
      <c r="AE58" s="2483">
        <f t="shared" si="5"/>
        <v>0</v>
      </c>
      <c r="AF58" s="2484"/>
      <c r="AG58" s="2483">
        <f t="shared" si="6"/>
        <v>0</v>
      </c>
      <c r="AH58" s="2482"/>
      <c r="AI58" s="2483">
        <f t="shared" si="7"/>
        <v>0</v>
      </c>
      <c r="AJ58" s="2482"/>
      <c r="AK58" s="2483">
        <f t="shared" si="33"/>
        <v>0</v>
      </c>
      <c r="AL58" s="2482"/>
      <c r="AM58" s="2483">
        <f t="shared" si="33"/>
        <v>0</v>
      </c>
      <c r="AN58" s="2482"/>
      <c r="AO58" s="2483">
        <f t="shared" si="9"/>
        <v>0</v>
      </c>
      <c r="AP58" s="2482">
        <v>1</v>
      </c>
      <c r="AQ58" s="2483">
        <f t="shared" si="10"/>
        <v>57.764412500000006</v>
      </c>
      <c r="AR58" s="2482">
        <v>6</v>
      </c>
      <c r="AS58" s="2483">
        <f t="shared" si="11"/>
        <v>346.58647500000006</v>
      </c>
      <c r="AT58" s="2482">
        <v>1</v>
      </c>
      <c r="AU58" s="2483">
        <f t="shared" si="12"/>
        <v>57.764412500000006</v>
      </c>
      <c r="AV58" s="2482">
        <v>1</v>
      </c>
      <c r="AW58" s="2483">
        <f t="shared" si="13"/>
        <v>57.764412500000006</v>
      </c>
      <c r="AX58" s="2482"/>
      <c r="AY58" s="2483">
        <f t="shared" si="14"/>
        <v>0</v>
      </c>
      <c r="AZ58" s="2482"/>
      <c r="BA58" s="2483">
        <f t="shared" si="15"/>
        <v>0</v>
      </c>
      <c r="BB58" s="2482"/>
      <c r="BC58" s="2483">
        <f t="shared" si="16"/>
        <v>0</v>
      </c>
      <c r="BD58" s="2482"/>
      <c r="BE58" s="2483">
        <f t="shared" si="17"/>
        <v>0</v>
      </c>
      <c r="BF58" s="2482"/>
      <c r="BG58" s="2485" t="s">
        <v>1368</v>
      </c>
      <c r="BH58" s="2148">
        <f t="shared" si="23"/>
        <v>9</v>
      </c>
      <c r="BI58" s="2160">
        <f>SUM(BH57:BH59)/BH$65</f>
        <v>0.19047619047619047</v>
      </c>
      <c r="BJ58" s="1679"/>
      <c r="BK58" s="2045" t="e">
        <f t="shared" si="24"/>
        <v>#VALUE!</v>
      </c>
      <c r="BL58" s="2046"/>
      <c r="BM58" s="2042"/>
      <c r="BN58" s="2043"/>
    </row>
    <row r="59" spans="1:66" ht="16.2">
      <c r="A59" s="2486" t="s">
        <v>1369</v>
      </c>
      <c r="B59" s="2487">
        <v>502</v>
      </c>
      <c r="C59" s="2488">
        <v>27.37</v>
      </c>
      <c r="D59" s="2488">
        <v>12.75</v>
      </c>
      <c r="E59" s="2488">
        <f t="shared" si="18"/>
        <v>0</v>
      </c>
      <c r="F59" s="2488">
        <f t="shared" si="19"/>
        <v>40.120000000000005</v>
      </c>
      <c r="G59" s="2488"/>
      <c r="H59" s="2488">
        <f t="shared" si="25"/>
        <v>3.5443498333333339</v>
      </c>
      <c r="I59" s="2488">
        <f t="shared" si="34"/>
        <v>7.3898999999999999</v>
      </c>
      <c r="J59" s="2488">
        <f t="shared" si="21"/>
        <v>51.054249833333337</v>
      </c>
      <c r="K59" s="2489"/>
      <c r="L59" s="2139"/>
      <c r="M59" s="716"/>
      <c r="N59" s="716"/>
      <c r="O59" s="716"/>
      <c r="P59" s="2490"/>
      <c r="Q59" s="2491">
        <f t="shared" si="35"/>
        <v>0</v>
      </c>
      <c r="R59" s="2492"/>
      <c r="S59" s="2491">
        <f t="shared" si="35"/>
        <v>0</v>
      </c>
      <c r="T59" s="2492"/>
      <c r="U59" s="2491">
        <f t="shared" si="0"/>
        <v>0</v>
      </c>
      <c r="V59" s="2493"/>
      <c r="W59" s="2494">
        <f t="shared" si="1"/>
        <v>0</v>
      </c>
      <c r="X59" s="2493"/>
      <c r="Y59" s="2494">
        <f t="shared" si="2"/>
        <v>0</v>
      </c>
      <c r="Z59" s="2493"/>
      <c r="AA59" s="2494">
        <f t="shared" si="3"/>
        <v>0</v>
      </c>
      <c r="AB59" s="2493"/>
      <c r="AC59" s="2494">
        <f t="shared" si="4"/>
        <v>0</v>
      </c>
      <c r="AD59" s="2493"/>
      <c r="AE59" s="2494">
        <f t="shared" si="5"/>
        <v>0</v>
      </c>
      <c r="AF59" s="2495"/>
      <c r="AG59" s="2494">
        <f t="shared" si="6"/>
        <v>0</v>
      </c>
      <c r="AH59" s="2493"/>
      <c r="AI59" s="2494">
        <f t="shared" si="7"/>
        <v>0</v>
      </c>
      <c r="AJ59" s="2493"/>
      <c r="AK59" s="2494">
        <f t="shared" si="33"/>
        <v>0</v>
      </c>
      <c r="AL59" s="2493"/>
      <c r="AM59" s="2494">
        <f t="shared" si="33"/>
        <v>0</v>
      </c>
      <c r="AN59" s="2493"/>
      <c r="AO59" s="2494">
        <f t="shared" si="9"/>
        <v>0</v>
      </c>
      <c r="AP59" s="2493">
        <v>2</v>
      </c>
      <c r="AQ59" s="2494">
        <f t="shared" si="10"/>
        <v>102.10849966666667</v>
      </c>
      <c r="AR59" s="2493">
        <v>48</v>
      </c>
      <c r="AS59" s="2496">
        <f t="shared" si="11"/>
        <v>2450.6039920000003</v>
      </c>
      <c r="AT59" s="2493">
        <v>4</v>
      </c>
      <c r="AU59" s="2494">
        <f t="shared" si="12"/>
        <v>204.21699933333335</v>
      </c>
      <c r="AV59" s="2493">
        <v>6</v>
      </c>
      <c r="AW59" s="2494">
        <f t="shared" si="13"/>
        <v>306.32549900000004</v>
      </c>
      <c r="AX59" s="2493"/>
      <c r="AY59" s="2494">
        <f t="shared" si="14"/>
        <v>0</v>
      </c>
      <c r="AZ59" s="2493"/>
      <c r="BA59" s="2494">
        <f t="shared" si="15"/>
        <v>0</v>
      </c>
      <c r="BB59" s="2493"/>
      <c r="BC59" s="2494">
        <f t="shared" si="16"/>
        <v>0</v>
      </c>
      <c r="BD59" s="2493"/>
      <c r="BE59" s="2494">
        <f t="shared" si="17"/>
        <v>0</v>
      </c>
      <c r="BF59" s="2493"/>
      <c r="BG59" s="2497" t="s">
        <v>1369</v>
      </c>
      <c r="BH59" s="2148">
        <f t="shared" si="23"/>
        <v>60</v>
      </c>
      <c r="BI59" s="2172"/>
      <c r="BJ59" s="1679"/>
      <c r="BK59" s="2045" t="e">
        <f t="shared" si="24"/>
        <v>#VALUE!</v>
      </c>
      <c r="BL59" s="2047" t="e">
        <f>SUM(BK58:BK60)/BK$66</f>
        <v>#VALUE!</v>
      </c>
      <c r="BM59" s="2042"/>
      <c r="BN59" s="2043"/>
    </row>
    <row r="60" spans="1:66" ht="16.2">
      <c r="A60" s="2498" t="s">
        <v>1239</v>
      </c>
      <c r="B60" s="2499"/>
      <c r="C60" s="2500">
        <f>C62+3</f>
        <v>31</v>
      </c>
      <c r="D60" s="2500">
        <f>D62</f>
        <v>14.42</v>
      </c>
      <c r="E60" s="2500">
        <f t="shared" si="18"/>
        <v>0</v>
      </c>
      <c r="F60" s="2500">
        <f t="shared" si="19"/>
        <v>45.42</v>
      </c>
      <c r="G60" s="2500"/>
      <c r="H60" s="2500">
        <f t="shared" si="25"/>
        <v>4.0133236666666674</v>
      </c>
      <c r="I60" s="2500">
        <f>((C60)*$F$136/100)</f>
        <v>3.1861799999999998</v>
      </c>
      <c r="J60" s="2500">
        <f t="shared" si="21"/>
        <v>52.619503666666667</v>
      </c>
      <c r="K60" s="2501"/>
      <c r="L60" s="2139"/>
      <c r="M60" s="716"/>
      <c r="N60" s="716"/>
      <c r="O60" s="716"/>
      <c r="P60" s="2502"/>
      <c r="Q60" s="2503">
        <f t="shared" si="35"/>
        <v>0</v>
      </c>
      <c r="R60" s="2504"/>
      <c r="S60" s="2503">
        <f t="shared" si="35"/>
        <v>0</v>
      </c>
      <c r="T60" s="2504"/>
      <c r="U60" s="2503">
        <f t="shared" si="0"/>
        <v>0</v>
      </c>
      <c r="V60" s="2505"/>
      <c r="W60" s="2506">
        <f t="shared" si="1"/>
        <v>0</v>
      </c>
      <c r="X60" s="2505"/>
      <c r="Y60" s="2506">
        <f t="shared" si="2"/>
        <v>0</v>
      </c>
      <c r="Z60" s="2505"/>
      <c r="AA60" s="2506">
        <f t="shared" si="3"/>
        <v>0</v>
      </c>
      <c r="AB60" s="2505"/>
      <c r="AC60" s="2506">
        <f t="shared" si="4"/>
        <v>0</v>
      </c>
      <c r="AD60" s="2505"/>
      <c r="AE60" s="2506">
        <f t="shared" si="5"/>
        <v>0</v>
      </c>
      <c r="AF60" s="2507"/>
      <c r="AG60" s="2506">
        <f t="shared" si="6"/>
        <v>0</v>
      </c>
      <c r="AH60" s="2505"/>
      <c r="AI60" s="2506">
        <f t="shared" si="7"/>
        <v>0</v>
      </c>
      <c r="AJ60" s="2505"/>
      <c r="AK60" s="2506">
        <f t="shared" si="33"/>
        <v>0</v>
      </c>
      <c r="AL60" s="2505"/>
      <c r="AM60" s="2506">
        <f t="shared" si="33"/>
        <v>0</v>
      </c>
      <c r="AN60" s="2505"/>
      <c r="AO60" s="2506">
        <f t="shared" si="9"/>
        <v>0</v>
      </c>
      <c r="AP60" s="2505"/>
      <c r="AQ60" s="2506">
        <f t="shared" si="10"/>
        <v>0</v>
      </c>
      <c r="AR60" s="2505"/>
      <c r="AS60" s="2506">
        <f t="shared" si="11"/>
        <v>0</v>
      </c>
      <c r="AT60" s="2505"/>
      <c r="AU60" s="2506">
        <f t="shared" si="12"/>
        <v>0</v>
      </c>
      <c r="AV60" s="2505"/>
      <c r="AW60" s="2506">
        <f t="shared" si="13"/>
        <v>0</v>
      </c>
      <c r="AX60" s="2505"/>
      <c r="AY60" s="2506">
        <f t="shared" si="14"/>
        <v>0</v>
      </c>
      <c r="AZ60" s="2505"/>
      <c r="BA60" s="2506">
        <f t="shared" si="15"/>
        <v>0</v>
      </c>
      <c r="BB60" s="2505"/>
      <c r="BC60" s="2506">
        <f t="shared" si="16"/>
        <v>0</v>
      </c>
      <c r="BD60" s="2505"/>
      <c r="BE60" s="2506">
        <f t="shared" si="17"/>
        <v>0</v>
      </c>
      <c r="BF60" s="2505"/>
      <c r="BG60" s="2508" t="s">
        <v>1239</v>
      </c>
      <c r="BH60" s="2148">
        <f t="shared" si="23"/>
        <v>0</v>
      </c>
      <c r="BI60" s="2149"/>
      <c r="BJ60" s="1679"/>
      <c r="BK60" s="2045" t="e">
        <f t="shared" si="24"/>
        <v>#VALUE!</v>
      </c>
      <c r="BL60" s="2048"/>
      <c r="BM60" s="2042"/>
      <c r="BN60" s="2043"/>
    </row>
    <row r="61" spans="1:66" ht="16.2">
      <c r="A61" s="2509" t="s">
        <v>1370</v>
      </c>
      <c r="B61" s="2510"/>
      <c r="C61" s="2511">
        <f>C62+2</f>
        <v>30</v>
      </c>
      <c r="D61" s="2511">
        <f>D62</f>
        <v>14.42</v>
      </c>
      <c r="E61" s="2511">
        <f t="shared" si="18"/>
        <v>0</v>
      </c>
      <c r="F61" s="2511">
        <f t="shared" si="19"/>
        <v>44.42</v>
      </c>
      <c r="G61" s="2511"/>
      <c r="H61" s="2511">
        <f t="shared" si="25"/>
        <v>3.9082903333333339</v>
      </c>
      <c r="I61" s="2511">
        <f t="shared" ref="I61:I62" si="36">((C61)*$F$136/100)</f>
        <v>3.0834000000000001</v>
      </c>
      <c r="J61" s="2511">
        <f t="shared" si="21"/>
        <v>51.411690333333333</v>
      </c>
      <c r="K61" s="2512"/>
      <c r="L61" s="2139"/>
      <c r="M61" s="716"/>
      <c r="N61" s="716"/>
      <c r="O61" s="716"/>
      <c r="P61" s="2513"/>
      <c r="Q61" s="2514">
        <f t="shared" si="35"/>
        <v>0</v>
      </c>
      <c r="R61" s="2515"/>
      <c r="S61" s="2514">
        <f t="shared" si="35"/>
        <v>0</v>
      </c>
      <c r="T61" s="2515"/>
      <c r="U61" s="2514">
        <f t="shared" si="0"/>
        <v>0</v>
      </c>
      <c r="V61" s="2516"/>
      <c r="W61" s="2517">
        <f t="shared" si="1"/>
        <v>0</v>
      </c>
      <c r="X61" s="2516"/>
      <c r="Y61" s="2517">
        <f t="shared" si="2"/>
        <v>0</v>
      </c>
      <c r="Z61" s="2516"/>
      <c r="AA61" s="2517">
        <f t="shared" si="3"/>
        <v>0</v>
      </c>
      <c r="AB61" s="2516">
        <v>1</v>
      </c>
      <c r="AC61" s="2517">
        <f t="shared" si="4"/>
        <v>51.411690333333333</v>
      </c>
      <c r="AD61" s="2516">
        <v>1</v>
      </c>
      <c r="AE61" s="2517">
        <f t="shared" si="5"/>
        <v>51.411690333333333</v>
      </c>
      <c r="AF61" s="2518"/>
      <c r="AG61" s="2517">
        <f t="shared" si="6"/>
        <v>0</v>
      </c>
      <c r="AH61" s="2516"/>
      <c r="AI61" s="2517">
        <f t="shared" si="7"/>
        <v>0</v>
      </c>
      <c r="AJ61" s="2516"/>
      <c r="AK61" s="2517">
        <f t="shared" si="33"/>
        <v>0</v>
      </c>
      <c r="AL61" s="2516"/>
      <c r="AM61" s="2517">
        <f t="shared" si="33"/>
        <v>0</v>
      </c>
      <c r="AN61" s="2516"/>
      <c r="AO61" s="2517">
        <f t="shared" si="9"/>
        <v>0</v>
      </c>
      <c r="AP61" s="2516">
        <v>1</v>
      </c>
      <c r="AQ61" s="2517">
        <f t="shared" si="10"/>
        <v>51.411690333333333</v>
      </c>
      <c r="AR61" s="2516"/>
      <c r="AS61" s="2517">
        <f t="shared" si="11"/>
        <v>0</v>
      </c>
      <c r="AT61" s="2516"/>
      <c r="AU61" s="2517">
        <f t="shared" si="12"/>
        <v>0</v>
      </c>
      <c r="AV61" s="2516"/>
      <c r="AW61" s="2517">
        <f t="shared" si="13"/>
        <v>0</v>
      </c>
      <c r="AX61" s="2516">
        <v>1</v>
      </c>
      <c r="AY61" s="2517">
        <f t="shared" si="14"/>
        <v>51.411690333333333</v>
      </c>
      <c r="AZ61" s="2516"/>
      <c r="BA61" s="2517">
        <f t="shared" si="15"/>
        <v>0</v>
      </c>
      <c r="BB61" s="2516"/>
      <c r="BC61" s="2517">
        <f t="shared" si="16"/>
        <v>0</v>
      </c>
      <c r="BD61" s="2516"/>
      <c r="BE61" s="2517">
        <f t="shared" si="17"/>
        <v>0</v>
      </c>
      <c r="BF61" s="2516"/>
      <c r="BG61" s="2519" t="s">
        <v>1370</v>
      </c>
      <c r="BH61" s="2148">
        <f t="shared" si="23"/>
        <v>4</v>
      </c>
      <c r="BI61" s="2160">
        <f>SUM(BH60:BH62)/BH$65</f>
        <v>3.7037037037037035E-2</v>
      </c>
      <c r="BJ61" s="1679"/>
      <c r="BK61" s="2045" t="e">
        <f t="shared" si="24"/>
        <v>#VALUE!</v>
      </c>
      <c r="BL61" s="2046"/>
      <c r="BM61" s="2042"/>
      <c r="BN61" s="2043"/>
    </row>
    <row r="62" spans="1:66" ht="16.2">
      <c r="A62" s="2520" t="s">
        <v>1371</v>
      </c>
      <c r="B62" s="2521">
        <v>110</v>
      </c>
      <c r="C62" s="2522">
        <v>28</v>
      </c>
      <c r="D62" s="2522">
        <v>14.42</v>
      </c>
      <c r="E62" s="2522">
        <f t="shared" si="18"/>
        <v>0</v>
      </c>
      <c r="F62" s="2522">
        <f t="shared" si="19"/>
        <v>42.42</v>
      </c>
      <c r="G62" s="2522"/>
      <c r="H62" s="2522">
        <f t="shared" si="25"/>
        <v>3.6982236666666668</v>
      </c>
      <c r="I62" s="2522">
        <f t="shared" si="36"/>
        <v>2.87784</v>
      </c>
      <c r="J62" s="2522">
        <f t="shared" si="21"/>
        <v>48.996063666666664</v>
      </c>
      <c r="K62" s="2523"/>
      <c r="L62" s="2139"/>
      <c r="M62" s="716"/>
      <c r="N62" s="716"/>
      <c r="O62" s="716"/>
      <c r="P62" s="2524"/>
      <c r="Q62" s="2525">
        <f t="shared" si="35"/>
        <v>0</v>
      </c>
      <c r="R62" s="2526"/>
      <c r="S62" s="2525">
        <f t="shared" si="35"/>
        <v>0</v>
      </c>
      <c r="T62" s="2526"/>
      <c r="U62" s="2525">
        <f t="shared" si="0"/>
        <v>0</v>
      </c>
      <c r="V62" s="2527"/>
      <c r="W62" s="2528">
        <f t="shared" si="1"/>
        <v>0</v>
      </c>
      <c r="X62" s="2527"/>
      <c r="Y62" s="2528">
        <f t="shared" si="2"/>
        <v>0</v>
      </c>
      <c r="Z62" s="2527"/>
      <c r="AA62" s="2528">
        <f t="shared" si="3"/>
        <v>0</v>
      </c>
      <c r="AB62" s="2527">
        <v>2</v>
      </c>
      <c r="AC62" s="2528">
        <f t="shared" si="4"/>
        <v>97.992127333333329</v>
      </c>
      <c r="AD62" s="2527">
        <v>2</v>
      </c>
      <c r="AE62" s="2528">
        <f t="shared" si="5"/>
        <v>97.992127333333329</v>
      </c>
      <c r="AF62" s="2529"/>
      <c r="AG62" s="2528">
        <f t="shared" si="6"/>
        <v>0</v>
      </c>
      <c r="AH62" s="2527"/>
      <c r="AI62" s="2528">
        <f t="shared" si="7"/>
        <v>0</v>
      </c>
      <c r="AJ62" s="2527"/>
      <c r="AK62" s="2528">
        <f t="shared" si="33"/>
        <v>0</v>
      </c>
      <c r="AL62" s="2527"/>
      <c r="AM62" s="2528">
        <f t="shared" si="33"/>
        <v>0</v>
      </c>
      <c r="AN62" s="2527"/>
      <c r="AO62" s="2528">
        <f t="shared" si="9"/>
        <v>0</v>
      </c>
      <c r="AP62" s="2527">
        <v>2</v>
      </c>
      <c r="AQ62" s="2528">
        <f t="shared" si="10"/>
        <v>97.992127333333329</v>
      </c>
      <c r="AR62" s="2527"/>
      <c r="AS62" s="2528">
        <f t="shared" si="11"/>
        <v>0</v>
      </c>
      <c r="AT62" s="2527"/>
      <c r="AU62" s="2528">
        <f t="shared" si="12"/>
        <v>0</v>
      </c>
      <c r="AV62" s="2527"/>
      <c r="AW62" s="2528">
        <f t="shared" si="13"/>
        <v>0</v>
      </c>
      <c r="AX62" s="2527">
        <v>4</v>
      </c>
      <c r="AY62" s="2528">
        <f t="shared" si="14"/>
        <v>195.98425466666666</v>
      </c>
      <c r="AZ62" s="2527"/>
      <c r="BA62" s="2528">
        <f t="shared" si="15"/>
        <v>0</v>
      </c>
      <c r="BB62" s="2527"/>
      <c r="BC62" s="2528">
        <f t="shared" si="16"/>
        <v>0</v>
      </c>
      <c r="BD62" s="2527"/>
      <c r="BE62" s="2528">
        <f t="shared" si="17"/>
        <v>0</v>
      </c>
      <c r="BF62" s="2527"/>
      <c r="BG62" s="2530" t="s">
        <v>1371</v>
      </c>
      <c r="BH62" s="2148">
        <f t="shared" si="23"/>
        <v>10</v>
      </c>
      <c r="BI62" s="2172"/>
      <c r="BJ62" s="1679"/>
      <c r="BK62" s="2045" t="e">
        <f t="shared" si="24"/>
        <v>#VALUE!</v>
      </c>
      <c r="BL62" s="2047" t="e">
        <f>SUM(BK61:BK63)/BK$66</f>
        <v>#VALUE!</v>
      </c>
      <c r="BM62" s="2042"/>
      <c r="BN62" s="2043"/>
    </row>
    <row r="63" spans="1:66" ht="16.2">
      <c r="A63" s="2531" t="s">
        <v>2259</v>
      </c>
      <c r="B63" s="2532">
        <v>89</v>
      </c>
      <c r="C63" s="2533">
        <v>19.850000000000001</v>
      </c>
      <c r="D63" s="2533">
        <v>12.17</v>
      </c>
      <c r="E63" s="2533">
        <f t="shared" si="18"/>
        <v>0</v>
      </c>
      <c r="F63" s="2533">
        <f t="shared" si="19"/>
        <v>32.020000000000003</v>
      </c>
      <c r="G63" s="2533"/>
      <c r="H63" s="2533">
        <f t="shared" si="25"/>
        <v>2.7240395000000004</v>
      </c>
      <c r="I63" s="2533">
        <f>((C63)*$F$139/100)</f>
        <v>3.1871160000000005</v>
      </c>
      <c r="J63" s="2533">
        <f t="shared" si="21"/>
        <v>37.93115550000001</v>
      </c>
      <c r="K63" s="2534"/>
      <c r="L63" s="2139"/>
      <c r="M63" s="716"/>
      <c r="N63" s="716"/>
      <c r="O63" s="716"/>
      <c r="P63" s="2535"/>
      <c r="Q63" s="2525">
        <f t="shared" si="35"/>
        <v>0</v>
      </c>
      <c r="R63" s="2526"/>
      <c r="S63" s="2525">
        <f t="shared" si="35"/>
        <v>0</v>
      </c>
      <c r="T63" s="2526"/>
      <c r="U63" s="2525">
        <f t="shared" si="0"/>
        <v>0</v>
      </c>
      <c r="V63" s="2527">
        <v>1</v>
      </c>
      <c r="W63" s="2528">
        <f t="shared" si="1"/>
        <v>37.93115550000001</v>
      </c>
      <c r="X63" s="2527">
        <v>0.5</v>
      </c>
      <c r="Y63" s="2528">
        <f t="shared" si="2"/>
        <v>18.965577750000005</v>
      </c>
      <c r="Z63" s="2527"/>
      <c r="AA63" s="2528">
        <f t="shared" si="3"/>
        <v>0</v>
      </c>
      <c r="AB63" s="2527"/>
      <c r="AC63" s="2528">
        <f t="shared" si="4"/>
        <v>0</v>
      </c>
      <c r="AD63" s="2527"/>
      <c r="AE63" s="2528">
        <f t="shared" si="5"/>
        <v>0</v>
      </c>
      <c r="AF63" s="2529"/>
      <c r="AG63" s="2528">
        <f t="shared" si="6"/>
        <v>0</v>
      </c>
      <c r="AH63" s="2527">
        <v>0.5</v>
      </c>
      <c r="AI63" s="2528">
        <f t="shared" si="7"/>
        <v>18.965577750000005</v>
      </c>
      <c r="AJ63" s="2527"/>
      <c r="AK63" s="2528">
        <f t="shared" si="33"/>
        <v>0</v>
      </c>
      <c r="AL63" s="2527"/>
      <c r="AM63" s="2528">
        <f t="shared" si="33"/>
        <v>0</v>
      </c>
      <c r="AN63" s="2527"/>
      <c r="AO63" s="2528">
        <f t="shared" si="9"/>
        <v>0</v>
      </c>
      <c r="AP63" s="2527">
        <v>0.5</v>
      </c>
      <c r="AQ63" s="2528">
        <f t="shared" si="10"/>
        <v>18.965577750000005</v>
      </c>
      <c r="AR63" s="2527"/>
      <c r="AS63" s="2528">
        <f t="shared" si="11"/>
        <v>0</v>
      </c>
      <c r="AT63" s="2527"/>
      <c r="AU63" s="2528">
        <f t="shared" si="12"/>
        <v>0</v>
      </c>
      <c r="AV63" s="2527"/>
      <c r="AW63" s="2528">
        <f t="shared" si="13"/>
        <v>0</v>
      </c>
      <c r="AX63" s="2527"/>
      <c r="AY63" s="2528">
        <f t="shared" si="14"/>
        <v>0</v>
      </c>
      <c r="AZ63" s="2527"/>
      <c r="BA63" s="2528">
        <f t="shared" si="15"/>
        <v>0</v>
      </c>
      <c r="BB63" s="2527"/>
      <c r="BC63" s="2528">
        <f t="shared" si="16"/>
        <v>0</v>
      </c>
      <c r="BD63" s="2527">
        <v>0.5</v>
      </c>
      <c r="BE63" s="2528">
        <f t="shared" si="17"/>
        <v>18.965577750000005</v>
      </c>
      <c r="BF63" s="2527"/>
      <c r="BG63" s="2536" t="s">
        <v>2259</v>
      </c>
      <c r="BH63" s="2537">
        <f t="shared" si="23"/>
        <v>3</v>
      </c>
      <c r="BI63" s="2538">
        <f>BH63/BH$65</f>
        <v>7.9365079365079361E-3</v>
      </c>
      <c r="BJ63" s="1679"/>
      <c r="BK63" s="2045" t="e">
        <f t="shared" si="24"/>
        <v>#VALUE!</v>
      </c>
      <c r="BL63" s="2048"/>
      <c r="BM63" s="2042"/>
      <c r="BN63" s="2043"/>
    </row>
    <row r="64" spans="1:66" ht="16.2">
      <c r="A64" s="716"/>
      <c r="B64" s="716"/>
      <c r="C64" s="2539">
        <v>0</v>
      </c>
      <c r="D64" s="1101"/>
      <c r="E64" s="1101"/>
      <c r="F64" s="1101"/>
      <c r="G64" s="716"/>
      <c r="H64" s="1101"/>
      <c r="I64" s="1101"/>
      <c r="J64" s="1101"/>
      <c r="K64" s="1099"/>
      <c r="L64" s="1100"/>
      <c r="M64" s="716"/>
      <c r="N64" s="716"/>
      <c r="O64" s="716"/>
      <c r="P64" s="2540"/>
      <c r="Q64" s="2541"/>
      <c r="R64" s="2541"/>
      <c r="S64" s="2541"/>
      <c r="T64" s="2541"/>
      <c r="U64" s="2541"/>
      <c r="V64" s="2542"/>
      <c r="W64" s="2542"/>
      <c r="X64" s="2542"/>
      <c r="Y64" s="2542"/>
      <c r="Z64" s="2542"/>
      <c r="AA64" s="2542"/>
      <c r="AB64" s="2542"/>
      <c r="AC64" s="2542"/>
      <c r="AD64" s="2542"/>
      <c r="AE64" s="2542"/>
      <c r="AF64" s="2542"/>
      <c r="AG64" s="2542"/>
      <c r="AH64" s="2542"/>
      <c r="AI64" s="2542"/>
      <c r="AJ64" s="2542"/>
      <c r="AK64" s="2542"/>
      <c r="AL64" s="2542"/>
      <c r="AM64" s="2542"/>
      <c r="AN64" s="2542"/>
      <c r="AO64" s="2542"/>
      <c r="AP64" s="2542"/>
      <c r="AQ64" s="2542"/>
      <c r="AR64" s="2542"/>
      <c r="AS64" s="2542"/>
      <c r="AT64" s="2542"/>
      <c r="AU64" s="2542"/>
      <c r="AV64" s="2542"/>
      <c r="AW64" s="2542"/>
      <c r="AX64" s="2542"/>
      <c r="AY64" s="2542"/>
      <c r="AZ64" s="2542"/>
      <c r="BA64" s="2542"/>
      <c r="BB64" s="2542"/>
      <c r="BC64" s="2542"/>
      <c r="BD64" s="2542"/>
      <c r="BE64" s="2542"/>
      <c r="BF64" s="1679"/>
      <c r="BG64" s="1679"/>
      <c r="BH64" s="1679"/>
      <c r="BI64" s="1679"/>
      <c r="BJ64" s="1679"/>
      <c r="BK64" s="2049">
        <f t="shared" si="24"/>
        <v>0</v>
      </c>
      <c r="BL64" s="2050" t="e">
        <f>BK64/BK$66</f>
        <v>#VALUE!</v>
      </c>
      <c r="BM64" s="2042"/>
      <c r="BN64" s="2043"/>
    </row>
    <row r="65" spans="1:66" ht="16.2">
      <c r="A65" s="716"/>
      <c r="B65" s="716"/>
      <c r="C65" s="2543" t="s">
        <v>2321</v>
      </c>
      <c r="D65" s="2543"/>
      <c r="E65" s="2544"/>
      <c r="F65" s="2543"/>
      <c r="G65" s="2544"/>
      <c r="H65" s="716"/>
      <c r="I65" s="716"/>
      <c r="J65" s="1101"/>
      <c r="K65" s="1099"/>
      <c r="L65" s="716"/>
      <c r="M65" s="716"/>
      <c r="N65" s="716"/>
      <c r="O65" s="716"/>
      <c r="P65" s="2545">
        <f>SUM(P25:P63)</f>
        <v>14</v>
      </c>
      <c r="Q65" s="2546">
        <f>IF(P65=0,0,SUM(Q25:Q63)/P65)</f>
        <v>41.536495426190477</v>
      </c>
      <c r="R65" s="2547">
        <f>SUM(R25:R63)</f>
        <v>9</v>
      </c>
      <c r="S65" s="2546">
        <f>IF(R65=0,0,SUM(S25:S63)/R65)</f>
        <v>36.903645911111113</v>
      </c>
      <c r="T65" s="2547">
        <f>SUM(T25:T63)</f>
        <v>7</v>
      </c>
      <c r="U65" s="2546">
        <f>IF(T65=0,0,SUM(U25:U63)/T65)</f>
        <v>35.532284306095235</v>
      </c>
      <c r="V65" s="2548">
        <f>SUM(V25:V63)</f>
        <v>11</v>
      </c>
      <c r="W65" s="2546">
        <f>IF(V65=0,0,SUM(W25:W63)/V65)</f>
        <v>37.808432366666672</v>
      </c>
      <c r="X65" s="2548">
        <f>SUM(X25:X63)</f>
        <v>22.5</v>
      </c>
      <c r="Y65" s="2546">
        <f>IF(X65=0,0,SUM(Y25:Y63)/X65)</f>
        <v>36.139081235229625</v>
      </c>
      <c r="Z65" s="2548">
        <f>SUM(Z25:Z63)</f>
        <v>23</v>
      </c>
      <c r="AA65" s="2546">
        <f>IF(Z65=0,0,SUM(AA25:AA63)/Z65)</f>
        <v>57.625326324637676</v>
      </c>
      <c r="AB65" s="2549">
        <f>SUM(AB25:AB63)</f>
        <v>8</v>
      </c>
      <c r="AC65" s="2546">
        <f>IF(AB65=0,0,SUM(AC25:AC63)/AB65)</f>
        <v>56.607755958333328</v>
      </c>
      <c r="AD65" s="2548">
        <f>SUM(AD25:AD63)</f>
        <v>7</v>
      </c>
      <c r="AE65" s="2546">
        <f>IF(AD65=0,0,SUM(AE25:AE63)/AD65)</f>
        <v>53.327917390476195</v>
      </c>
      <c r="AF65" s="2548">
        <f>SUM(AF25:AF63)</f>
        <v>7</v>
      </c>
      <c r="AG65" s="2546">
        <f>IF(AF65=0,0,SUM(AG25:AG63)/AF65)</f>
        <v>30.58384732857143</v>
      </c>
      <c r="AH65" s="2548">
        <f>SUM(AH25:AH63)</f>
        <v>8.5</v>
      </c>
      <c r="AI65" s="2546">
        <f>IF(AH65=0,0,SUM(AI25:AI63)/AH65)</f>
        <v>14.786932170588235</v>
      </c>
      <c r="AJ65" s="2548">
        <f>SUM(AJ25:AJ63)</f>
        <v>8</v>
      </c>
      <c r="AK65" s="2546">
        <f>IF(AJ65=0,0,SUM(AK25:AK63)/AJ65)</f>
        <v>36.230635334500001</v>
      </c>
      <c r="AL65" s="2548">
        <f>SUM(AL25:AL63)</f>
        <v>7</v>
      </c>
      <c r="AM65" s="2546">
        <f>IF(AL65=0,0,SUM(AM25:AM63)/AL65)</f>
        <v>36.46197411561905</v>
      </c>
      <c r="AN65" s="2548">
        <f>SUM(AN25:AN63)</f>
        <v>47</v>
      </c>
      <c r="AO65" s="2546">
        <f>IF(AN65=0,0,SUM(AO25:AO63)/AN65)</f>
        <v>65.58581850780142</v>
      </c>
      <c r="AP65" s="2548">
        <f>SUM(AP25:AP63)</f>
        <v>25.5</v>
      </c>
      <c r="AQ65" s="2546">
        <f>IF(AP65=0,0,SUM(AQ25:AQ63)/AP65)</f>
        <v>62.159202293464055</v>
      </c>
      <c r="AR65" s="2548">
        <f>SUM(AR25:AR63)</f>
        <v>55</v>
      </c>
      <c r="AS65" s="2546">
        <f>IF(AR65=0,0,SUM(AS25:AS63)/AR65)</f>
        <v>51.873701075757587</v>
      </c>
      <c r="AT65" s="2548">
        <f>SUM(AT25:AT63)</f>
        <v>6</v>
      </c>
      <c r="AU65" s="2546">
        <f>IF(AT65=0,0,SUM(AU25:AU63)/AT65)</f>
        <v>52.807417333333341</v>
      </c>
      <c r="AV65" s="2548">
        <f>SUM(AV25:AV63)</f>
        <v>26</v>
      </c>
      <c r="AW65" s="2546">
        <f>IF(AV65=0,0,SUM(AW25:AW63)/AV65)</f>
        <v>50.41611478728975</v>
      </c>
      <c r="AX65" s="2548">
        <f>SUM(AX25:AX63)</f>
        <v>21</v>
      </c>
      <c r="AY65" s="2546">
        <f>IF(AX65=0,0,SUM(AY25:AY63)/AX65)</f>
        <v>43.383434942857143</v>
      </c>
      <c r="AZ65" s="2548">
        <f>SUM(AZ25:AZ63)</f>
        <v>55</v>
      </c>
      <c r="BA65" s="2546">
        <f>IF(AZ65=0,0,SUM(BA25:BA63)/AZ65)</f>
        <v>46.351119318787873</v>
      </c>
      <c r="BB65" s="2548">
        <f>SUM(BB25:BB63)</f>
        <v>5</v>
      </c>
      <c r="BC65" s="2546">
        <f>IF(BB65=0,0,SUM(BC25:BC63)/BB65)</f>
        <v>47.478601266666672</v>
      </c>
      <c r="BD65" s="2548">
        <f>SUM(BD25:BD63)</f>
        <v>5.5</v>
      </c>
      <c r="BE65" s="2546">
        <f>IF(BD65=0,0,SUM(BE25:BE63)/BD65)</f>
        <v>36.771886493939398</v>
      </c>
      <c r="BF65" s="1679"/>
      <c r="BG65" s="2127" t="s">
        <v>1372</v>
      </c>
      <c r="BH65" s="2550">
        <f>SUM(BH25:BH63)</f>
        <v>378</v>
      </c>
      <c r="BI65" s="2551">
        <f>SUM(BI25:BI63)</f>
        <v>0.99999999999999978</v>
      </c>
      <c r="BJ65" s="1679"/>
      <c r="BK65" s="2041"/>
      <c r="BL65" s="2041"/>
      <c r="BM65" s="2042"/>
      <c r="BN65" s="2043"/>
    </row>
    <row r="66" spans="1:66" ht="16.2">
      <c r="A66" s="716"/>
      <c r="B66" s="716"/>
      <c r="C66" s="716"/>
      <c r="D66" s="2117"/>
      <c r="E66" s="729"/>
      <c r="F66" s="2552"/>
      <c r="G66" s="729"/>
      <c r="H66" s="729"/>
      <c r="I66" s="729"/>
      <c r="J66" s="729"/>
      <c r="K66" s="2553"/>
      <c r="L66" s="716"/>
      <c r="M66" s="716"/>
      <c r="N66" s="716"/>
      <c r="O66" s="716"/>
      <c r="P66" s="716"/>
      <c r="Q66" s="2114"/>
      <c r="R66" s="2114"/>
      <c r="S66" s="2114"/>
      <c r="T66" s="2114"/>
      <c r="U66" s="2114"/>
      <c r="V66" s="2064"/>
      <c r="W66" s="2064"/>
      <c r="X66" s="2064"/>
      <c r="Y66" s="2064"/>
      <c r="Z66" s="2064"/>
      <c r="AA66" s="2064"/>
      <c r="AB66" s="2064"/>
      <c r="AC66" s="2064"/>
      <c r="AD66" s="2064"/>
      <c r="AE66" s="2064"/>
      <c r="AF66" s="2064"/>
      <c r="AG66" s="2064"/>
      <c r="AH66" s="2064"/>
      <c r="AI66" s="2064"/>
      <c r="AJ66" s="2064"/>
      <c r="AK66" s="2064"/>
      <c r="AL66" s="2064"/>
      <c r="AM66" s="2064"/>
      <c r="AN66" s="2064"/>
      <c r="AO66" s="2064"/>
      <c r="AP66" s="2064"/>
      <c r="AQ66" s="2064"/>
      <c r="AR66" s="2064"/>
      <c r="AS66" s="2064"/>
      <c r="AT66" s="2064"/>
      <c r="AU66" s="2064"/>
      <c r="AV66" s="2064"/>
      <c r="AW66" s="2064"/>
      <c r="AX66" s="2064"/>
      <c r="AY66" s="2064"/>
      <c r="AZ66" s="2064"/>
      <c r="BA66" s="2064"/>
      <c r="BB66" s="2064"/>
      <c r="BC66" s="2064"/>
      <c r="BD66" s="2064"/>
      <c r="BE66" s="2064"/>
      <c r="BF66" s="1679"/>
      <c r="BG66" s="1679"/>
      <c r="BH66" s="1679"/>
      <c r="BI66" s="1679"/>
      <c r="BJ66" s="1679"/>
      <c r="BK66" s="2051" t="e">
        <f>SUM(BK26:BK64)</f>
        <v>#VALUE!</v>
      </c>
      <c r="BL66" s="2052" t="e">
        <f>SUM(BL26:BL64)</f>
        <v>#VALUE!</v>
      </c>
      <c r="BM66" s="2042"/>
      <c r="BN66" s="2043"/>
    </row>
    <row r="67" spans="1:66" ht="16.2">
      <c r="A67" s="716"/>
      <c r="B67" s="716"/>
      <c r="C67" s="716"/>
      <c r="D67" s="2117"/>
      <c r="E67" s="729"/>
      <c r="F67" s="2552"/>
      <c r="G67" s="729"/>
      <c r="H67" s="729"/>
      <c r="I67" s="729"/>
      <c r="J67" s="729"/>
      <c r="K67" s="2553"/>
      <c r="L67" s="716"/>
      <c r="M67" s="716"/>
      <c r="N67" s="716"/>
      <c r="O67" s="716"/>
      <c r="P67" s="716"/>
      <c r="Q67" s="2114"/>
      <c r="R67" s="2114"/>
      <c r="S67" s="2114"/>
      <c r="T67" s="2114"/>
      <c r="U67" s="2114"/>
      <c r="V67" s="2064"/>
      <c r="W67" s="2064"/>
      <c r="X67" s="2064"/>
      <c r="Y67" s="2064"/>
      <c r="Z67" s="2064"/>
      <c r="AA67" s="2064"/>
      <c r="AB67" s="2064"/>
      <c r="AC67" s="2064"/>
      <c r="AD67" s="2064"/>
      <c r="AE67" s="2064"/>
      <c r="AF67" s="2064"/>
      <c r="AG67" s="2064"/>
      <c r="AH67" s="2064"/>
      <c r="AI67" s="2064"/>
      <c r="AJ67" s="2064"/>
      <c r="AK67" s="2064"/>
      <c r="AL67" s="2064"/>
      <c r="AM67" s="2064"/>
      <c r="AN67" s="2064"/>
      <c r="AO67" s="2064"/>
      <c r="AP67" s="2064"/>
      <c r="AQ67" s="2064"/>
      <c r="AR67" s="2064"/>
      <c r="AS67" s="2064"/>
      <c r="AT67" s="2064"/>
      <c r="AU67" s="2064"/>
      <c r="AV67" s="2064"/>
      <c r="AW67" s="2064"/>
      <c r="AX67" s="2064"/>
      <c r="AY67" s="2064"/>
      <c r="AZ67" s="2064"/>
      <c r="BA67" s="2064"/>
      <c r="BB67" s="2064"/>
      <c r="BC67" s="2064"/>
      <c r="BD67" s="2064"/>
      <c r="BE67" s="2064"/>
      <c r="BF67" s="1679"/>
      <c r="BG67" s="1679"/>
      <c r="BH67" s="1679"/>
      <c r="BI67" s="1679"/>
      <c r="BJ67" s="1679"/>
      <c r="BK67" s="2041"/>
      <c r="BL67" s="2041"/>
      <c r="BM67" s="2042"/>
      <c r="BN67" s="2043"/>
    </row>
    <row r="68" spans="1:66" ht="16.2">
      <c r="A68" s="716"/>
      <c r="B68" s="716"/>
      <c r="C68" s="716"/>
      <c r="D68" s="2116"/>
      <c r="E68" s="729"/>
      <c r="F68" s="2116"/>
      <c r="G68" s="2117"/>
      <c r="H68" s="2116"/>
      <c r="I68" s="2554"/>
      <c r="J68" s="2554"/>
      <c r="K68" s="2554"/>
      <c r="L68" s="710"/>
      <c r="M68" s="716"/>
      <c r="N68" s="716"/>
      <c r="O68" s="716"/>
      <c r="P68" s="716"/>
      <c r="Q68" s="2114"/>
      <c r="R68" s="2114"/>
      <c r="S68" s="2114"/>
      <c r="T68" s="2114"/>
      <c r="U68" s="2114"/>
      <c r="V68" s="2064"/>
      <c r="W68" s="2064"/>
      <c r="X68" s="2064"/>
      <c r="Y68" s="2064"/>
      <c r="Z68" s="2064"/>
      <c r="AA68" s="2064"/>
      <c r="AB68" s="2064"/>
      <c r="AC68" s="2064"/>
      <c r="AD68" s="2064"/>
      <c r="AE68" s="2064"/>
      <c r="AF68" s="2064"/>
      <c r="AG68" s="2064"/>
      <c r="AH68" s="2064"/>
      <c r="AI68" s="2064"/>
      <c r="AJ68" s="2064"/>
      <c r="AK68" s="2064"/>
      <c r="AL68" s="2064"/>
      <c r="AM68" s="2064"/>
      <c r="AN68" s="2064"/>
      <c r="AO68" s="2064"/>
      <c r="AP68" s="2064"/>
      <c r="AQ68" s="2064"/>
      <c r="AR68" s="2064"/>
      <c r="AS68" s="2064"/>
      <c r="AT68" s="2064"/>
      <c r="AU68" s="2064"/>
      <c r="AV68" s="2064"/>
      <c r="AW68" s="2064"/>
      <c r="AX68" s="2064"/>
      <c r="AY68" s="2064"/>
      <c r="AZ68" s="2064"/>
      <c r="BA68" s="2064"/>
      <c r="BB68" s="2064"/>
      <c r="BC68" s="2064"/>
      <c r="BD68" s="2064"/>
      <c r="BE68" s="2064"/>
      <c r="BF68" s="1679"/>
      <c r="BG68" s="1679"/>
      <c r="BH68" s="1679"/>
      <c r="BI68" s="1679"/>
      <c r="BJ68" s="1679"/>
      <c r="BK68" s="2041"/>
      <c r="BL68" s="2041"/>
      <c r="BM68" s="2042"/>
      <c r="BN68" s="2043"/>
    </row>
    <row r="69" spans="1:66" ht="32.4">
      <c r="A69" s="2555" t="s">
        <v>2260</v>
      </c>
      <c r="B69" s="2556" t="s">
        <v>2261</v>
      </c>
      <c r="C69" s="2557" t="s">
        <v>2262</v>
      </c>
      <c r="D69" s="2129"/>
      <c r="E69" s="2118"/>
      <c r="F69" s="2116"/>
      <c r="G69" s="2129"/>
      <c r="H69" s="2116"/>
      <c r="I69" s="2554"/>
      <c r="J69" s="2554"/>
      <c r="K69" s="2554"/>
      <c r="L69" s="1679"/>
      <c r="M69" s="1679"/>
      <c r="N69" s="1679"/>
      <c r="O69" s="1679"/>
      <c r="P69" s="716"/>
      <c r="Q69" s="2118"/>
      <c r="R69" s="2114"/>
      <c r="S69" s="2114"/>
      <c r="T69" s="2114"/>
      <c r="U69" s="2114"/>
      <c r="V69" s="2064"/>
      <c r="W69" s="2064"/>
      <c r="X69" s="2064"/>
      <c r="Y69" s="2064"/>
      <c r="Z69" s="2064"/>
      <c r="AA69" s="2064"/>
      <c r="AB69" s="2064"/>
      <c r="AC69" s="2064"/>
      <c r="AD69" s="2064"/>
      <c r="AE69" s="2064"/>
      <c r="AF69" s="2064"/>
      <c r="AG69" s="2064"/>
      <c r="AH69" s="2064"/>
      <c r="AI69" s="2064"/>
      <c r="AJ69" s="2064"/>
      <c r="AK69" s="2064"/>
      <c r="AL69" s="2064"/>
      <c r="AM69" s="2064"/>
      <c r="AN69" s="2064"/>
      <c r="AO69" s="2064"/>
      <c r="AP69" s="2064"/>
      <c r="AQ69" s="2064"/>
      <c r="AR69" s="2064"/>
      <c r="AS69" s="2064"/>
      <c r="AT69" s="2064"/>
      <c r="AU69" s="2064"/>
      <c r="AV69" s="2064"/>
      <c r="AW69" s="2064"/>
      <c r="AX69" s="2064"/>
      <c r="AY69" s="2064"/>
      <c r="AZ69" s="2064"/>
      <c r="BA69" s="2064"/>
      <c r="BB69" s="2064"/>
      <c r="BC69" s="2064"/>
      <c r="BD69" s="2064"/>
      <c r="BE69" s="2064"/>
      <c r="BF69" s="1679"/>
      <c r="BG69" s="1679"/>
      <c r="BH69" s="1679"/>
      <c r="BI69" s="1679"/>
      <c r="BJ69" s="1679"/>
      <c r="BK69" s="2041"/>
      <c r="BL69" s="2041"/>
      <c r="BM69" s="2042"/>
      <c r="BN69" s="2043"/>
    </row>
    <row r="70" spans="1:66" ht="16.2">
      <c r="A70" s="2558"/>
      <c r="B70" s="2559"/>
      <c r="C70" s="2560"/>
      <c r="D70" s="729"/>
      <c r="E70" s="729"/>
      <c r="F70" s="729"/>
      <c r="G70" s="729"/>
      <c r="H70" s="729"/>
      <c r="I70" s="729"/>
      <c r="J70" s="729"/>
      <c r="K70" s="916"/>
      <c r="L70" s="1679"/>
      <c r="M70" s="1679"/>
      <c r="N70" s="1679"/>
      <c r="O70" s="1679"/>
      <c r="P70" s="716"/>
      <c r="Q70" s="1910"/>
      <c r="R70" s="2114"/>
      <c r="S70" s="2114"/>
      <c r="T70" s="2114"/>
      <c r="U70" s="2114"/>
      <c r="V70" s="2064"/>
      <c r="W70" s="2064"/>
      <c r="X70" s="2064"/>
      <c r="Y70" s="2064"/>
      <c r="Z70" s="2064"/>
      <c r="AA70" s="2064"/>
      <c r="AB70" s="2064"/>
      <c r="AC70" s="2064"/>
      <c r="AD70" s="2064"/>
      <c r="AE70" s="2064"/>
      <c r="AF70" s="2064"/>
      <c r="AG70" s="2064"/>
      <c r="AH70" s="2064"/>
      <c r="AI70" s="2064"/>
      <c r="AJ70" s="2064"/>
      <c r="AK70" s="2064"/>
      <c r="AL70" s="2064"/>
      <c r="AM70" s="2064"/>
      <c r="AN70" s="2064"/>
      <c r="AO70" s="2064"/>
      <c r="AP70" s="2064"/>
      <c r="AQ70" s="2064"/>
      <c r="AR70" s="2064"/>
      <c r="AS70" s="2064"/>
      <c r="AT70" s="2064"/>
      <c r="AU70" s="2064"/>
      <c r="AV70" s="2064"/>
      <c r="AW70" s="2064"/>
      <c r="AX70" s="2064"/>
      <c r="AY70" s="2064"/>
      <c r="AZ70" s="2064"/>
      <c r="BA70" s="2064"/>
      <c r="BB70" s="2064"/>
      <c r="BC70" s="2064"/>
      <c r="BD70" s="2064"/>
      <c r="BE70" s="2064"/>
      <c r="BF70" s="1679"/>
      <c r="BG70" s="1679"/>
      <c r="BH70" s="1679"/>
      <c r="BI70" s="1679"/>
      <c r="BJ70" s="1679"/>
      <c r="BK70" s="2041"/>
      <c r="BL70" s="2041"/>
      <c r="BM70" s="2042"/>
      <c r="BN70" s="2043"/>
    </row>
    <row r="71" spans="1:66" ht="16.2">
      <c r="A71" s="2561" t="s">
        <v>2263</v>
      </c>
      <c r="B71" s="2562" t="s">
        <v>2222</v>
      </c>
      <c r="C71" s="2563">
        <f>$Q65</f>
        <v>41.536495426190477</v>
      </c>
      <c r="D71" s="2117"/>
      <c r="E71" s="2564"/>
      <c r="F71" s="2564"/>
      <c r="G71" s="2564"/>
      <c r="H71" s="2118"/>
      <c r="I71" s="2118"/>
      <c r="J71" s="2118"/>
      <c r="K71" s="2553"/>
      <c r="L71" s="1679"/>
      <c r="M71" s="1679"/>
      <c r="N71" s="1679"/>
      <c r="O71" s="1679"/>
      <c r="P71" s="716"/>
      <c r="Q71" s="2118"/>
      <c r="R71" s="2114"/>
      <c r="S71" s="2114"/>
      <c r="T71" s="2114"/>
      <c r="U71" s="2114"/>
      <c r="V71" s="2064"/>
      <c r="W71" s="2064"/>
      <c r="X71" s="2064"/>
      <c r="Y71" s="2064"/>
      <c r="Z71" s="2064"/>
      <c r="AA71" s="2064"/>
      <c r="AB71" s="2064"/>
      <c r="AC71" s="2064"/>
      <c r="AD71" s="2064"/>
      <c r="AE71" s="2064"/>
      <c r="AF71" s="2064"/>
      <c r="AG71" s="2064"/>
      <c r="AH71" s="2064"/>
      <c r="AI71" s="2064"/>
      <c r="AJ71" s="2064"/>
      <c r="AK71" s="2064"/>
      <c r="AL71" s="2064"/>
      <c r="AM71" s="2064"/>
      <c r="AN71" s="2064"/>
      <c r="AO71" s="2064"/>
      <c r="AP71" s="2064"/>
      <c r="AQ71" s="2064"/>
      <c r="AR71" s="2064"/>
      <c r="AS71" s="2064"/>
      <c r="AT71" s="2064"/>
      <c r="AU71" s="2064"/>
      <c r="AV71" s="2064"/>
      <c r="AW71" s="2064"/>
      <c r="AX71" s="2064"/>
      <c r="AY71" s="2064"/>
      <c r="AZ71" s="2064"/>
      <c r="BA71" s="2064"/>
      <c r="BB71" s="2064"/>
      <c r="BC71" s="2064"/>
      <c r="BD71" s="2064"/>
      <c r="BE71" s="2064"/>
      <c r="BF71" s="1679"/>
      <c r="BG71" s="1679"/>
      <c r="BH71" s="1679"/>
      <c r="BI71" s="1679"/>
      <c r="BJ71" s="1679"/>
      <c r="BK71" s="2041"/>
      <c r="BL71" s="2041"/>
      <c r="BM71" s="2042"/>
      <c r="BN71" s="2043"/>
    </row>
    <row r="72" spans="1:66" ht="16.2">
      <c r="A72" s="2565"/>
      <c r="B72" s="2566"/>
      <c r="C72" s="2567"/>
      <c r="D72" s="2568"/>
      <c r="E72" s="2568"/>
      <c r="F72" s="729"/>
      <c r="G72" s="2115"/>
      <c r="H72" s="2115"/>
      <c r="I72" s="2118"/>
      <c r="J72" s="2118"/>
      <c r="K72" s="2553"/>
      <c r="L72" s="1679"/>
      <c r="M72" s="1679"/>
      <c r="N72" s="1679"/>
      <c r="O72" s="1679"/>
      <c r="P72" s="716"/>
      <c r="Q72" s="1910"/>
      <c r="R72" s="2114"/>
      <c r="S72" s="2114"/>
      <c r="T72" s="2114"/>
      <c r="U72" s="2114"/>
      <c r="V72" s="2064"/>
      <c r="W72" s="2064"/>
      <c r="X72" s="2064"/>
      <c r="Y72" s="2064"/>
      <c r="Z72" s="2064"/>
      <c r="AA72" s="2064"/>
      <c r="AB72" s="2064"/>
      <c r="AC72" s="2064"/>
      <c r="AD72" s="2064"/>
      <c r="AE72" s="2064"/>
      <c r="AF72" s="2064"/>
      <c r="AG72" s="2064"/>
      <c r="AH72" s="2064"/>
      <c r="AI72" s="2064"/>
      <c r="AJ72" s="2064"/>
      <c r="AK72" s="2064"/>
      <c r="AL72" s="2064"/>
      <c r="AM72" s="2064"/>
      <c r="AN72" s="2064"/>
      <c r="AO72" s="2064"/>
      <c r="AP72" s="2064"/>
      <c r="AQ72" s="2064"/>
      <c r="AR72" s="2064"/>
      <c r="AS72" s="2064"/>
      <c r="AT72" s="2064"/>
      <c r="AU72" s="2064"/>
      <c r="AV72" s="2064"/>
      <c r="AW72" s="2064"/>
      <c r="AX72" s="2064"/>
      <c r="AY72" s="2064"/>
      <c r="AZ72" s="2064"/>
      <c r="BA72" s="2064"/>
      <c r="BB72" s="2064"/>
      <c r="BC72" s="2064"/>
      <c r="BD72" s="2064"/>
      <c r="BE72" s="2064"/>
      <c r="BF72" s="1679"/>
      <c r="BG72" s="1679"/>
      <c r="BH72" s="1679"/>
      <c r="BI72" s="1679"/>
      <c r="BJ72" s="1679"/>
      <c r="BK72" s="2041"/>
      <c r="BL72" s="2041"/>
      <c r="BM72" s="2042"/>
      <c r="BN72" s="2043"/>
    </row>
    <row r="73" spans="1:66" ht="16.2">
      <c r="A73" s="2561" t="s">
        <v>2264</v>
      </c>
      <c r="B73" s="2562" t="s">
        <v>2223</v>
      </c>
      <c r="C73" s="2569">
        <f>$S65</f>
        <v>36.903645911111113</v>
      </c>
      <c r="D73" s="2568"/>
      <c r="E73" s="2568"/>
      <c r="F73" s="729"/>
      <c r="G73" s="729"/>
      <c r="H73" s="729"/>
      <c r="I73" s="2118"/>
      <c r="J73" s="2118"/>
      <c r="K73" s="2553"/>
      <c r="L73" s="1679"/>
      <c r="M73" s="1679"/>
      <c r="N73" s="1679"/>
      <c r="O73" s="1679"/>
      <c r="P73" s="716"/>
      <c r="Q73" s="2118"/>
      <c r="R73" s="2114"/>
      <c r="S73" s="2114"/>
      <c r="T73" s="2114"/>
      <c r="U73" s="2114"/>
      <c r="V73" s="2064"/>
      <c r="W73" s="2064"/>
      <c r="X73" s="2064"/>
      <c r="Y73" s="2064"/>
      <c r="Z73" s="2064"/>
      <c r="AA73" s="2064"/>
      <c r="AB73" s="2064"/>
      <c r="AC73" s="2064"/>
      <c r="AD73" s="2064"/>
      <c r="AE73" s="2064"/>
      <c r="AF73" s="2064"/>
      <c r="AG73" s="2064"/>
      <c r="AH73" s="2064"/>
      <c r="AI73" s="2064"/>
      <c r="AJ73" s="2064"/>
      <c r="AK73" s="2064"/>
      <c r="AL73" s="2064"/>
      <c r="AM73" s="2064"/>
      <c r="AN73" s="2064"/>
      <c r="AO73" s="2064"/>
      <c r="AP73" s="2064"/>
      <c r="AQ73" s="2064"/>
      <c r="AR73" s="2064"/>
      <c r="AS73" s="2064"/>
      <c r="AT73" s="2064"/>
      <c r="AU73" s="2064"/>
      <c r="AV73" s="2064"/>
      <c r="AW73" s="2064"/>
      <c r="AX73" s="2064"/>
      <c r="AY73" s="2064"/>
      <c r="AZ73" s="2064"/>
      <c r="BA73" s="2064"/>
      <c r="BB73" s="2064"/>
      <c r="BC73" s="2064"/>
      <c r="BD73" s="2064"/>
      <c r="BE73" s="2064"/>
      <c r="BF73" s="1679"/>
      <c r="BG73" s="1679"/>
      <c r="BH73" s="1679"/>
      <c r="BI73" s="1679"/>
      <c r="BJ73" s="1679"/>
      <c r="BK73" s="2041"/>
      <c r="BL73" s="2041"/>
      <c r="BM73" s="2042"/>
      <c r="BN73" s="2043"/>
    </row>
    <row r="74" spans="1:66" ht="16.2">
      <c r="A74" s="2565"/>
      <c r="B74" s="2566"/>
      <c r="C74" s="2567"/>
      <c r="D74" s="2568"/>
      <c r="E74" s="2568"/>
      <c r="F74" s="2568"/>
      <c r="G74" s="2570"/>
      <c r="H74" s="2570"/>
      <c r="I74" s="2118"/>
      <c r="J74" s="2118"/>
      <c r="K74" s="2553"/>
      <c r="L74" s="1679"/>
      <c r="M74" s="1679"/>
      <c r="N74" s="1679"/>
      <c r="O74" s="1679"/>
      <c r="P74" s="716"/>
      <c r="Q74" s="1910"/>
      <c r="R74" s="2114"/>
      <c r="S74" s="2114"/>
      <c r="T74" s="2114"/>
      <c r="U74" s="2114"/>
      <c r="V74" s="2064"/>
      <c r="W74" s="2064"/>
      <c r="X74" s="2064"/>
      <c r="Y74" s="2064"/>
      <c r="Z74" s="2064"/>
      <c r="AA74" s="2064"/>
      <c r="AB74" s="2064"/>
      <c r="AC74" s="2064"/>
      <c r="AD74" s="2064"/>
      <c r="AE74" s="2064"/>
      <c r="AF74" s="2064"/>
      <c r="AG74" s="2064"/>
      <c r="AH74" s="2064"/>
      <c r="AI74" s="2064"/>
      <c r="AJ74" s="2064"/>
      <c r="AK74" s="2064"/>
      <c r="AL74" s="2064"/>
      <c r="AM74" s="2064"/>
      <c r="AN74" s="2064"/>
      <c r="AO74" s="2064"/>
      <c r="AP74" s="2064"/>
      <c r="AQ74" s="2064"/>
      <c r="AR74" s="2064"/>
      <c r="AS74" s="2064"/>
      <c r="AT74" s="2064"/>
      <c r="AU74" s="2064"/>
      <c r="AV74" s="2064"/>
      <c r="AW74" s="2064"/>
      <c r="AX74" s="2064"/>
      <c r="AY74" s="2064"/>
      <c r="AZ74" s="2064"/>
      <c r="BA74" s="2064"/>
      <c r="BB74" s="2064"/>
      <c r="BC74" s="2064"/>
      <c r="BD74" s="2064"/>
      <c r="BE74" s="2064"/>
      <c r="BF74" s="1679"/>
      <c r="BG74" s="1679"/>
      <c r="BH74" s="1679"/>
      <c r="BI74" s="1679"/>
      <c r="BJ74" s="1679"/>
      <c r="BK74" s="2041"/>
      <c r="BL74" s="2041"/>
      <c r="BM74" s="2042"/>
      <c r="BN74" s="2043"/>
    </row>
    <row r="75" spans="1:66" ht="16.2">
      <c r="A75" s="2561" t="s">
        <v>2265</v>
      </c>
      <c r="B75" s="2562" t="s">
        <v>2224</v>
      </c>
      <c r="C75" s="2569">
        <f>$U65</f>
        <v>35.532284306095235</v>
      </c>
      <c r="D75" s="2568"/>
      <c r="E75" s="2568"/>
      <c r="F75" s="2568"/>
      <c r="G75" s="2570"/>
      <c r="H75" s="2570"/>
      <c r="I75" s="2118"/>
      <c r="J75" s="2118"/>
      <c r="K75" s="2553"/>
      <c r="L75" s="1679"/>
      <c r="M75" s="1679"/>
      <c r="N75" s="1679"/>
      <c r="O75" s="1679"/>
      <c r="P75" s="716"/>
      <c r="Q75" s="2118"/>
      <c r="R75" s="2114"/>
      <c r="S75" s="2114"/>
      <c r="T75" s="2114"/>
      <c r="U75" s="2114"/>
      <c r="V75" s="2064"/>
      <c r="W75" s="2064"/>
      <c r="X75" s="2064"/>
      <c r="Y75" s="2064"/>
      <c r="Z75" s="2064"/>
      <c r="AA75" s="2064"/>
      <c r="AB75" s="2064"/>
      <c r="AC75" s="2064"/>
      <c r="AD75" s="2064"/>
      <c r="AE75" s="2064"/>
      <c r="AF75" s="2064"/>
      <c r="AG75" s="2064"/>
      <c r="AH75" s="2064"/>
      <c r="AI75" s="2064"/>
      <c r="AJ75" s="2064"/>
      <c r="AK75" s="2064"/>
      <c r="AL75" s="2064"/>
      <c r="AM75" s="2064"/>
      <c r="AN75" s="2064"/>
      <c r="AO75" s="2064"/>
      <c r="AP75" s="2064"/>
      <c r="AQ75" s="2064"/>
      <c r="AR75" s="2064"/>
      <c r="AS75" s="2064"/>
      <c r="AT75" s="2064"/>
      <c r="AU75" s="2064"/>
      <c r="AV75" s="2064"/>
      <c r="AW75" s="2064"/>
      <c r="AX75" s="2064"/>
      <c r="AY75" s="2064"/>
      <c r="AZ75" s="2064"/>
      <c r="BA75" s="2064"/>
      <c r="BB75" s="2064"/>
      <c r="BC75" s="2064"/>
      <c r="BD75" s="2064"/>
      <c r="BE75" s="2064"/>
      <c r="BF75" s="1679"/>
      <c r="BG75" s="1679"/>
      <c r="BH75" s="1679"/>
      <c r="BI75" s="1679"/>
      <c r="BJ75" s="1679"/>
      <c r="BK75" s="2041"/>
      <c r="BL75" s="2041"/>
      <c r="BM75" s="2042"/>
      <c r="BN75" s="2043"/>
    </row>
    <row r="76" spans="1:66" ht="16.2">
      <c r="A76" s="2565"/>
      <c r="B76" s="2566"/>
      <c r="C76" s="2569"/>
      <c r="D76" s="2568"/>
      <c r="E76" s="2568"/>
      <c r="F76" s="2568"/>
      <c r="G76" s="2570"/>
      <c r="H76" s="2570"/>
      <c r="I76" s="2118"/>
      <c r="J76" s="2118"/>
      <c r="K76" s="2553"/>
      <c r="L76" s="1679"/>
      <c r="M76" s="1679"/>
      <c r="N76" s="1679"/>
      <c r="O76" s="1679"/>
      <c r="P76" s="716"/>
      <c r="Q76" s="2118"/>
      <c r="R76" s="2114"/>
      <c r="S76" s="2114"/>
      <c r="T76" s="2114"/>
      <c r="U76" s="2114"/>
      <c r="V76" s="2064"/>
      <c r="W76" s="2064"/>
      <c r="X76" s="2064"/>
      <c r="Y76" s="2064"/>
      <c r="Z76" s="2064"/>
      <c r="AA76" s="2064"/>
      <c r="AB76" s="2064"/>
      <c r="AC76" s="2064"/>
      <c r="AD76" s="2064"/>
      <c r="AE76" s="2064"/>
      <c r="AF76" s="2064"/>
      <c r="AG76" s="2064"/>
      <c r="AH76" s="2064"/>
      <c r="AI76" s="2064"/>
      <c r="AJ76" s="2064"/>
      <c r="AK76" s="2064"/>
      <c r="AL76" s="2064"/>
      <c r="AM76" s="2064"/>
      <c r="AN76" s="2064"/>
      <c r="AO76" s="2064"/>
      <c r="AP76" s="2064"/>
      <c r="AQ76" s="2064"/>
      <c r="AR76" s="2064"/>
      <c r="AS76" s="2064"/>
      <c r="AT76" s="2064"/>
      <c r="AU76" s="2064"/>
      <c r="AV76" s="2064"/>
      <c r="AW76" s="2064"/>
      <c r="AX76" s="2064"/>
      <c r="AY76" s="2064"/>
      <c r="AZ76" s="2064"/>
      <c r="BA76" s="2064"/>
      <c r="BB76" s="2064"/>
      <c r="BC76" s="2064"/>
      <c r="BD76" s="2064"/>
      <c r="BE76" s="2064"/>
      <c r="BF76" s="1679"/>
      <c r="BG76" s="1679"/>
      <c r="BH76" s="1679"/>
      <c r="BI76" s="1679"/>
      <c r="BJ76" s="1679"/>
      <c r="BK76" s="2041"/>
      <c r="BL76" s="2041"/>
      <c r="BM76" s="2042"/>
      <c r="BN76" s="2043"/>
    </row>
    <row r="77" spans="1:66" ht="16.2">
      <c r="A77" s="2561" t="s">
        <v>2266</v>
      </c>
      <c r="B77" s="2562" t="s">
        <v>2225</v>
      </c>
      <c r="C77" s="2569">
        <f>$W65</f>
        <v>37.808432366666672</v>
      </c>
      <c r="D77" s="2568"/>
      <c r="E77" s="2568"/>
      <c r="F77" s="2568"/>
      <c r="G77" s="2570"/>
      <c r="H77" s="2570"/>
      <c r="I77" s="2118"/>
      <c r="J77" s="2118"/>
      <c r="K77" s="2553"/>
      <c r="L77" s="1679"/>
      <c r="M77" s="1679"/>
      <c r="N77" s="1679"/>
      <c r="O77" s="1679"/>
      <c r="P77" s="716"/>
      <c r="Q77" s="2118"/>
      <c r="R77" s="2114"/>
      <c r="S77" s="2114"/>
      <c r="T77" s="2114"/>
      <c r="U77" s="2114"/>
      <c r="V77" s="2064"/>
      <c r="W77" s="2064"/>
      <c r="X77" s="2064"/>
      <c r="Y77" s="2064"/>
      <c r="Z77" s="2064"/>
      <c r="AA77" s="2064"/>
      <c r="AB77" s="2064"/>
      <c r="AC77" s="2064"/>
      <c r="AD77" s="2064"/>
      <c r="AE77" s="2064"/>
      <c r="AF77" s="2064"/>
      <c r="AG77" s="2064"/>
      <c r="AH77" s="2064"/>
      <c r="AI77" s="2064"/>
      <c r="AJ77" s="2064"/>
      <c r="AK77" s="2064"/>
      <c r="AL77" s="2064"/>
      <c r="AM77" s="2064"/>
      <c r="AN77" s="2064"/>
      <c r="AO77" s="2064"/>
      <c r="AP77" s="2064"/>
      <c r="AQ77" s="2064"/>
      <c r="AR77" s="2064"/>
      <c r="AS77" s="2064"/>
      <c r="AT77" s="2064"/>
      <c r="AU77" s="2064"/>
      <c r="AV77" s="2064"/>
      <c r="AW77" s="2064"/>
      <c r="AX77" s="2064"/>
      <c r="AY77" s="2064"/>
      <c r="AZ77" s="2064"/>
      <c r="BA77" s="2064"/>
      <c r="BB77" s="2064"/>
      <c r="BC77" s="2064"/>
      <c r="BD77" s="2064"/>
      <c r="BE77" s="2064"/>
      <c r="BF77" s="1679"/>
      <c r="BG77" s="1679"/>
      <c r="BH77" s="1679"/>
      <c r="BI77" s="1679"/>
      <c r="BJ77" s="1679"/>
      <c r="BK77" s="2041"/>
      <c r="BL77" s="2041"/>
      <c r="BM77" s="2042"/>
      <c r="BN77" s="2043"/>
    </row>
    <row r="78" spans="1:66" ht="16.2">
      <c r="A78" s="2565"/>
      <c r="B78" s="2566"/>
      <c r="C78" s="2567"/>
      <c r="D78" s="2568"/>
      <c r="E78" s="2568"/>
      <c r="F78" s="2568"/>
      <c r="G78" s="2570"/>
      <c r="H78" s="2570"/>
      <c r="I78" s="2118"/>
      <c r="J78" s="2118"/>
      <c r="K78" s="2553"/>
      <c r="L78" s="1679"/>
      <c r="M78" s="1679"/>
      <c r="N78" s="1679"/>
      <c r="O78" s="1679"/>
      <c r="P78" s="716"/>
      <c r="Q78" s="1910"/>
      <c r="R78" s="2114"/>
      <c r="S78" s="2114"/>
      <c r="T78" s="2114"/>
      <c r="U78" s="2114"/>
      <c r="V78" s="2064"/>
      <c r="W78" s="2064"/>
      <c r="X78" s="2064"/>
      <c r="Y78" s="2064"/>
      <c r="Z78" s="2064"/>
      <c r="AA78" s="2064"/>
      <c r="AB78" s="2064"/>
      <c r="AC78" s="2064"/>
      <c r="AD78" s="2064"/>
      <c r="AE78" s="2064"/>
      <c r="AF78" s="2064"/>
      <c r="AG78" s="2064"/>
      <c r="AH78" s="2064"/>
      <c r="AI78" s="2064"/>
      <c r="AJ78" s="2064"/>
      <c r="AK78" s="2064"/>
      <c r="AL78" s="2064"/>
      <c r="AM78" s="2064"/>
      <c r="AN78" s="2064"/>
      <c r="AO78" s="2064"/>
      <c r="AP78" s="2064"/>
      <c r="AQ78" s="2064"/>
      <c r="AR78" s="2064"/>
      <c r="AS78" s="2064"/>
      <c r="AT78" s="2064"/>
      <c r="AU78" s="2064"/>
      <c r="AV78" s="2064"/>
      <c r="AW78" s="2064"/>
      <c r="AX78" s="2064"/>
      <c r="AY78" s="2064"/>
      <c r="AZ78" s="2064"/>
      <c r="BA78" s="2064"/>
      <c r="BB78" s="2064"/>
      <c r="BC78" s="2064"/>
      <c r="BD78" s="2064"/>
      <c r="BE78" s="2064"/>
      <c r="BF78" s="1679"/>
      <c r="BG78" s="1679"/>
      <c r="BH78" s="1679"/>
      <c r="BI78" s="1679"/>
      <c r="BJ78" s="1679"/>
      <c r="BK78" s="2041"/>
      <c r="BL78" s="2041"/>
      <c r="BM78" s="2042"/>
      <c r="BN78" s="2043"/>
    </row>
    <row r="79" spans="1:66" ht="16.2">
      <c r="A79" s="2561" t="s">
        <v>2056</v>
      </c>
      <c r="B79" s="2562" t="s">
        <v>2226</v>
      </c>
      <c r="C79" s="2569">
        <f>$Y65</f>
        <v>36.139081235229625</v>
      </c>
      <c r="D79" s="2568"/>
      <c r="E79" s="2568"/>
      <c r="F79" s="2568"/>
      <c r="G79" s="2570"/>
      <c r="H79" s="2570"/>
      <c r="I79" s="2118"/>
      <c r="J79" s="2118"/>
      <c r="K79" s="2553"/>
      <c r="L79" s="1679"/>
      <c r="M79" s="1679"/>
      <c r="N79" s="1679"/>
      <c r="O79" s="1679"/>
      <c r="P79" s="716"/>
      <c r="Q79" s="2118"/>
      <c r="R79" s="2114"/>
      <c r="S79" s="2114"/>
      <c r="T79" s="2114"/>
      <c r="U79" s="2114"/>
      <c r="V79" s="2064"/>
      <c r="W79" s="2064"/>
      <c r="X79" s="2064"/>
      <c r="Y79" s="2064"/>
      <c r="Z79" s="2064"/>
      <c r="AA79" s="2064"/>
      <c r="AB79" s="2064"/>
      <c r="AC79" s="2064"/>
      <c r="AD79" s="2064"/>
      <c r="AE79" s="2064"/>
      <c r="AF79" s="2064"/>
      <c r="AG79" s="2064"/>
      <c r="AH79" s="2064"/>
      <c r="AI79" s="2064"/>
      <c r="AJ79" s="2064"/>
      <c r="AK79" s="2064"/>
      <c r="AL79" s="2064"/>
      <c r="AM79" s="2064"/>
      <c r="AN79" s="2064"/>
      <c r="AO79" s="2064"/>
      <c r="AP79" s="2064"/>
      <c r="AQ79" s="2064"/>
      <c r="AR79" s="2064"/>
      <c r="AS79" s="2064"/>
      <c r="AT79" s="2064"/>
      <c r="AU79" s="2064"/>
      <c r="AV79" s="2064"/>
      <c r="AW79" s="2064"/>
      <c r="AX79" s="2064"/>
      <c r="AY79" s="2064"/>
      <c r="AZ79" s="2064"/>
      <c r="BA79" s="2064"/>
      <c r="BB79" s="2064"/>
      <c r="BC79" s="2064"/>
      <c r="BD79" s="2064"/>
      <c r="BE79" s="2064"/>
      <c r="BF79" s="1679"/>
      <c r="BG79" s="1679"/>
      <c r="BH79" s="1679"/>
      <c r="BI79" s="1679"/>
      <c r="BJ79" s="1679"/>
      <c r="BK79" s="2041"/>
      <c r="BL79" s="2041"/>
      <c r="BM79" s="2042"/>
      <c r="BN79" s="2043"/>
    </row>
    <row r="80" spans="1:66" ht="16.2">
      <c r="A80" s="2565"/>
      <c r="B80" s="2566"/>
      <c r="C80" s="2567"/>
      <c r="D80" s="2568"/>
      <c r="E80" s="2568"/>
      <c r="F80" s="2568"/>
      <c r="G80" s="2570"/>
      <c r="H80" s="2570"/>
      <c r="I80" s="2118"/>
      <c r="J80" s="2118"/>
      <c r="K80" s="2553"/>
      <c r="L80" s="1679"/>
      <c r="M80" s="1679"/>
      <c r="N80" s="1679"/>
      <c r="O80" s="1679"/>
      <c r="P80" s="716"/>
      <c r="Q80" s="1910"/>
      <c r="R80" s="2114"/>
      <c r="S80" s="2114"/>
      <c r="T80" s="2114"/>
      <c r="U80" s="2114"/>
      <c r="V80" s="2064"/>
      <c r="W80" s="2064"/>
      <c r="X80" s="2064"/>
      <c r="Y80" s="2064"/>
      <c r="Z80" s="2064"/>
      <c r="AA80" s="2064"/>
      <c r="AB80" s="2064"/>
      <c r="AC80" s="2064"/>
      <c r="AD80" s="2064"/>
      <c r="AE80" s="2064"/>
      <c r="AF80" s="2064"/>
      <c r="AG80" s="2064"/>
      <c r="AH80" s="2064"/>
      <c r="AI80" s="2064"/>
      <c r="AJ80" s="2064"/>
      <c r="AK80" s="2064"/>
      <c r="AL80" s="2064"/>
      <c r="AM80" s="2064"/>
      <c r="AN80" s="2064"/>
      <c r="AO80" s="2064"/>
      <c r="AP80" s="2064"/>
      <c r="AQ80" s="2064"/>
      <c r="AR80" s="2064"/>
      <c r="AS80" s="2064"/>
      <c r="AT80" s="2064"/>
      <c r="AU80" s="2064"/>
      <c r="AV80" s="2064"/>
      <c r="AW80" s="2064"/>
      <c r="AX80" s="2064"/>
      <c r="AY80" s="2064"/>
      <c r="AZ80" s="2064"/>
      <c r="BA80" s="2064"/>
      <c r="BB80" s="2064"/>
      <c r="BC80" s="2064"/>
      <c r="BD80" s="2064"/>
      <c r="BE80" s="2064"/>
      <c r="BF80" s="1679"/>
      <c r="BG80" s="1679"/>
      <c r="BH80" s="1679"/>
      <c r="BI80" s="1679"/>
      <c r="BJ80" s="1679"/>
      <c r="BK80" s="2041"/>
      <c r="BL80" s="2041"/>
      <c r="BM80" s="2042"/>
      <c r="BN80" s="2043"/>
    </row>
    <row r="81" spans="1:66" ht="16.2">
      <c r="A81" s="2561" t="s">
        <v>1912</v>
      </c>
      <c r="B81" s="2562" t="s">
        <v>2227</v>
      </c>
      <c r="C81" s="2569">
        <f>$AA65</f>
        <v>57.625326324637676</v>
      </c>
      <c r="D81" s="2568"/>
      <c r="E81" s="2568"/>
      <c r="F81" s="2568"/>
      <c r="G81" s="2570"/>
      <c r="H81" s="2570"/>
      <c r="I81" s="2118"/>
      <c r="J81" s="2118"/>
      <c r="K81" s="2553"/>
      <c r="L81" s="1679"/>
      <c r="M81" s="1679"/>
      <c r="N81" s="1679"/>
      <c r="O81" s="1679"/>
      <c r="P81" s="716"/>
      <c r="Q81" s="2118"/>
      <c r="R81" s="2114"/>
      <c r="S81" s="2114"/>
      <c r="T81" s="2114"/>
      <c r="U81" s="2114"/>
      <c r="V81" s="2064"/>
      <c r="W81" s="2064"/>
      <c r="X81" s="2064"/>
      <c r="Y81" s="2064"/>
      <c r="Z81" s="2064"/>
      <c r="AA81" s="2064"/>
      <c r="AB81" s="2064"/>
      <c r="AC81" s="2064"/>
      <c r="AD81" s="2064"/>
      <c r="AE81" s="2064"/>
      <c r="AF81" s="2064"/>
      <c r="AG81" s="2064"/>
      <c r="AH81" s="2064"/>
      <c r="AI81" s="2064"/>
      <c r="AJ81" s="2064"/>
      <c r="AK81" s="2064"/>
      <c r="AL81" s="2064"/>
      <c r="AM81" s="2064"/>
      <c r="AN81" s="2064"/>
      <c r="AO81" s="2064"/>
      <c r="AP81" s="2064"/>
      <c r="AQ81" s="2064"/>
      <c r="AR81" s="2064"/>
      <c r="AS81" s="2064"/>
      <c r="AT81" s="2064"/>
      <c r="AU81" s="2064"/>
      <c r="AV81" s="2064"/>
      <c r="AW81" s="2064"/>
      <c r="AX81" s="2064"/>
      <c r="AY81" s="2064"/>
      <c r="AZ81" s="2064"/>
      <c r="BA81" s="2064"/>
      <c r="BB81" s="2064"/>
      <c r="BC81" s="2064"/>
      <c r="BD81" s="2064"/>
      <c r="BE81" s="2064"/>
      <c r="BF81" s="1679"/>
      <c r="BG81" s="1679"/>
      <c r="BH81" s="1679"/>
      <c r="BI81" s="1679"/>
      <c r="BJ81" s="1679"/>
      <c r="BK81" s="2041"/>
      <c r="BL81" s="2041"/>
      <c r="BM81" s="2042"/>
      <c r="BN81" s="2043"/>
    </row>
    <row r="82" spans="1:66" ht="16.2">
      <c r="A82" s="2565"/>
      <c r="B82" s="2566"/>
      <c r="C82" s="2567"/>
      <c r="D82" s="2568"/>
      <c r="E82" s="2568"/>
      <c r="F82" s="2568"/>
      <c r="G82" s="2570"/>
      <c r="H82" s="2570"/>
      <c r="I82" s="2118"/>
      <c r="J82" s="2118"/>
      <c r="K82" s="2553"/>
      <c r="L82" s="1679"/>
      <c r="M82" s="1679"/>
      <c r="N82" s="1679"/>
      <c r="O82" s="1679"/>
      <c r="P82" s="716"/>
      <c r="Q82" s="1910"/>
      <c r="R82" s="2114"/>
      <c r="S82" s="2114"/>
      <c r="T82" s="2114"/>
      <c r="U82" s="2114"/>
      <c r="V82" s="2064"/>
      <c r="W82" s="2064"/>
      <c r="X82" s="2064"/>
      <c r="Y82" s="2064"/>
      <c r="Z82" s="2064"/>
      <c r="AA82" s="2064"/>
      <c r="AB82" s="2064"/>
      <c r="AC82" s="2064"/>
      <c r="AD82" s="2064"/>
      <c r="AE82" s="2064"/>
      <c r="AF82" s="2064"/>
      <c r="AG82" s="2064"/>
      <c r="AH82" s="2064"/>
      <c r="AI82" s="2064"/>
      <c r="AJ82" s="2064"/>
      <c r="AK82" s="2064"/>
      <c r="AL82" s="2064"/>
      <c r="AM82" s="2064"/>
      <c r="AN82" s="2064"/>
      <c r="AO82" s="2064"/>
      <c r="AP82" s="2064"/>
      <c r="AQ82" s="2064"/>
      <c r="AR82" s="2064"/>
      <c r="AS82" s="2064"/>
      <c r="AT82" s="2064"/>
      <c r="AU82" s="2064"/>
      <c r="AV82" s="2064"/>
      <c r="AW82" s="2064"/>
      <c r="AX82" s="2064"/>
      <c r="AY82" s="2064"/>
      <c r="AZ82" s="2064"/>
      <c r="BA82" s="2064"/>
      <c r="BB82" s="2064"/>
      <c r="BC82" s="2064"/>
      <c r="BD82" s="2064"/>
      <c r="BE82" s="2064"/>
      <c r="BF82" s="1679"/>
      <c r="BG82" s="1679"/>
      <c r="BH82" s="1679"/>
      <c r="BI82" s="1679"/>
      <c r="BJ82" s="1679"/>
      <c r="BK82" s="2041"/>
      <c r="BL82" s="2041"/>
      <c r="BM82" s="2042"/>
      <c r="BN82" s="2043"/>
    </row>
    <row r="83" spans="1:66" ht="16.2">
      <c r="A83" s="2561" t="s">
        <v>2267</v>
      </c>
      <c r="B83" s="2562" t="s">
        <v>2268</v>
      </c>
      <c r="C83" s="2569">
        <f>$AC65</f>
        <v>56.607755958333328</v>
      </c>
      <c r="D83" s="2568"/>
      <c r="E83" s="2568"/>
      <c r="F83" s="2568"/>
      <c r="G83" s="2570"/>
      <c r="H83" s="2570"/>
      <c r="I83" s="2118"/>
      <c r="J83" s="2118"/>
      <c r="K83" s="2553"/>
      <c r="L83" s="1679"/>
      <c r="M83" s="1679"/>
      <c r="N83" s="1679"/>
      <c r="O83" s="1679"/>
      <c r="P83" s="716"/>
      <c r="Q83" s="2118"/>
      <c r="R83" s="2114"/>
      <c r="S83" s="2114"/>
      <c r="T83" s="2114"/>
      <c r="U83" s="2114"/>
      <c r="V83" s="2064"/>
      <c r="W83" s="2064"/>
      <c r="X83" s="2064"/>
      <c r="Y83" s="2064"/>
      <c r="Z83" s="2064"/>
      <c r="AA83" s="2064"/>
      <c r="AB83" s="2064"/>
      <c r="AC83" s="2064"/>
      <c r="AD83" s="2064"/>
      <c r="AE83" s="2064"/>
      <c r="AF83" s="2064"/>
      <c r="AG83" s="2064"/>
      <c r="AH83" s="2064"/>
      <c r="AI83" s="2064"/>
      <c r="AJ83" s="2064"/>
      <c r="AK83" s="2064"/>
      <c r="AL83" s="2064"/>
      <c r="AM83" s="2064"/>
      <c r="AN83" s="2064"/>
      <c r="AO83" s="2064"/>
      <c r="AP83" s="2064"/>
      <c r="AQ83" s="2064"/>
      <c r="AR83" s="2064"/>
      <c r="AS83" s="2064"/>
      <c r="AT83" s="2064"/>
      <c r="AU83" s="2064"/>
      <c r="AV83" s="2064"/>
      <c r="AW83" s="2064"/>
      <c r="AX83" s="2064"/>
      <c r="AY83" s="2064"/>
      <c r="AZ83" s="2064"/>
      <c r="BA83" s="2064"/>
      <c r="BB83" s="2064"/>
      <c r="BC83" s="2064"/>
      <c r="BD83" s="2064"/>
      <c r="BE83" s="2064"/>
      <c r="BF83" s="1679"/>
      <c r="BG83" s="1679"/>
      <c r="BH83" s="1679"/>
      <c r="BI83" s="1679"/>
      <c r="BJ83" s="1679"/>
      <c r="BK83" s="2041"/>
      <c r="BL83" s="2041"/>
      <c r="BM83" s="2042"/>
      <c r="BN83" s="2043"/>
    </row>
    <row r="84" spans="1:66" ht="16.2">
      <c r="A84" s="2565"/>
      <c r="B84" s="2566"/>
      <c r="C84" s="2567"/>
      <c r="D84" s="2568"/>
      <c r="E84" s="2568"/>
      <c r="F84" s="2568"/>
      <c r="G84" s="2570"/>
      <c r="H84" s="2570"/>
      <c r="I84" s="2118"/>
      <c r="J84" s="2118"/>
      <c r="K84" s="2553"/>
      <c r="L84" s="1679"/>
      <c r="M84" s="1679"/>
      <c r="N84" s="1679"/>
      <c r="O84" s="1679"/>
      <c r="P84" s="716"/>
      <c r="Q84" s="1910"/>
      <c r="R84" s="2114"/>
      <c r="S84" s="2114"/>
      <c r="T84" s="2114"/>
      <c r="U84" s="2114"/>
      <c r="V84" s="2064"/>
      <c r="W84" s="2064"/>
      <c r="X84" s="2064"/>
      <c r="Y84" s="2064"/>
      <c r="Z84" s="2064"/>
      <c r="AA84" s="2064"/>
      <c r="AB84" s="2064"/>
      <c r="AC84" s="2064"/>
      <c r="AD84" s="2064"/>
      <c r="AE84" s="2064"/>
      <c r="AF84" s="2064"/>
      <c r="AG84" s="2064"/>
      <c r="AH84" s="2064"/>
      <c r="AI84" s="2064"/>
      <c r="AJ84" s="2064"/>
      <c r="AK84" s="2064"/>
      <c r="AL84" s="2064"/>
      <c r="AM84" s="2064"/>
      <c r="AN84" s="2064"/>
      <c r="AO84" s="2064"/>
      <c r="AP84" s="2064"/>
      <c r="AQ84" s="2064"/>
      <c r="AR84" s="2064"/>
      <c r="AS84" s="2064"/>
      <c r="AT84" s="2064"/>
      <c r="AU84" s="2064"/>
      <c r="AV84" s="2064"/>
      <c r="AW84" s="2064"/>
      <c r="AX84" s="2064"/>
      <c r="AY84" s="2064"/>
      <c r="AZ84" s="2064"/>
      <c r="BA84" s="2064"/>
      <c r="BB84" s="2064"/>
      <c r="BC84" s="2064"/>
      <c r="BD84" s="2064"/>
      <c r="BE84" s="2064"/>
      <c r="BF84" s="1679"/>
      <c r="BG84" s="1679"/>
      <c r="BH84" s="1679"/>
      <c r="BI84" s="1679"/>
      <c r="BJ84" s="1679"/>
      <c r="BK84" s="2041"/>
      <c r="BL84" s="2041"/>
      <c r="BM84" s="2042"/>
      <c r="BN84" s="2043"/>
    </row>
    <row r="85" spans="1:66" ht="16.2">
      <c r="A85" s="2561" t="s">
        <v>552</v>
      </c>
      <c r="B85" s="2562" t="s">
        <v>2229</v>
      </c>
      <c r="C85" s="2569">
        <f>$AE65</f>
        <v>53.327917390476195</v>
      </c>
      <c r="D85" s="2568"/>
      <c r="E85" s="2568"/>
      <c r="F85" s="2564"/>
      <c r="G85" s="2564"/>
      <c r="H85" s="2118"/>
      <c r="I85" s="2118"/>
      <c r="J85" s="2118"/>
      <c r="K85" s="2553"/>
      <c r="L85" s="1679"/>
      <c r="M85" s="1679"/>
      <c r="N85" s="1679"/>
      <c r="O85" s="1679"/>
      <c r="P85" s="716"/>
      <c r="Q85" s="2118"/>
      <c r="R85" s="2114"/>
      <c r="S85" s="2114"/>
      <c r="T85" s="2114"/>
      <c r="U85" s="2114"/>
      <c r="V85" s="2064"/>
      <c r="W85" s="2064"/>
      <c r="X85" s="2064"/>
      <c r="Y85" s="2064"/>
      <c r="Z85" s="2064"/>
      <c r="AA85" s="2064"/>
      <c r="AB85" s="2064"/>
      <c r="AC85" s="2064"/>
      <c r="AD85" s="2064"/>
      <c r="AE85" s="2064"/>
      <c r="AF85" s="2064"/>
      <c r="AG85" s="2064"/>
      <c r="AH85" s="2064"/>
      <c r="AI85" s="2064"/>
      <c r="AJ85" s="2064"/>
      <c r="AK85" s="2064"/>
      <c r="AL85" s="2064"/>
      <c r="AM85" s="2064"/>
      <c r="AN85" s="2064"/>
      <c r="AO85" s="2064"/>
      <c r="AP85" s="2064"/>
      <c r="AQ85" s="2064"/>
      <c r="AR85" s="2064"/>
      <c r="AS85" s="2064"/>
      <c r="AT85" s="2064"/>
      <c r="AU85" s="2064"/>
      <c r="AV85" s="2064"/>
      <c r="AW85" s="2064"/>
      <c r="AX85" s="2064"/>
      <c r="AY85" s="2064"/>
      <c r="AZ85" s="2064"/>
      <c r="BA85" s="2064"/>
      <c r="BB85" s="2064"/>
      <c r="BC85" s="2064"/>
      <c r="BD85" s="2064"/>
      <c r="BE85" s="2064"/>
      <c r="BF85" s="1679"/>
      <c r="BG85" s="1679"/>
      <c r="BH85" s="1679"/>
      <c r="BI85" s="1679"/>
      <c r="BJ85" s="1679"/>
      <c r="BK85" s="2041"/>
      <c r="BL85" s="2041"/>
      <c r="BM85" s="2042"/>
      <c r="BN85" s="2043"/>
    </row>
    <row r="86" spans="1:66" ht="16.2">
      <c r="A86" s="2565"/>
      <c r="B86" s="2566"/>
      <c r="C86" s="2567"/>
      <c r="D86" s="2568"/>
      <c r="E86" s="2568"/>
      <c r="F86" s="2564"/>
      <c r="G86" s="2564"/>
      <c r="H86" s="2118"/>
      <c r="I86" s="2118"/>
      <c r="J86" s="2118"/>
      <c r="K86" s="2553"/>
      <c r="L86" s="1679"/>
      <c r="M86" s="1679"/>
      <c r="N86" s="1679"/>
      <c r="O86" s="1679"/>
      <c r="P86" s="716"/>
      <c r="Q86" s="1910"/>
      <c r="R86" s="2114"/>
      <c r="S86" s="2114"/>
      <c r="T86" s="2114"/>
      <c r="U86" s="2114"/>
      <c r="V86" s="2064"/>
      <c r="W86" s="2064"/>
      <c r="X86" s="2064"/>
      <c r="Y86" s="2064"/>
      <c r="Z86" s="2064"/>
      <c r="AA86" s="2064"/>
      <c r="AB86" s="2064"/>
      <c r="AC86" s="2064"/>
      <c r="AD86" s="2064"/>
      <c r="AE86" s="2064"/>
      <c r="AF86" s="2064"/>
      <c r="AG86" s="2064"/>
      <c r="AH86" s="2064"/>
      <c r="AI86" s="2064"/>
      <c r="AJ86" s="2064"/>
      <c r="AK86" s="2064"/>
      <c r="AL86" s="2064"/>
      <c r="AM86" s="2064"/>
      <c r="AN86" s="2064"/>
      <c r="AO86" s="2064"/>
      <c r="AP86" s="2064"/>
      <c r="AQ86" s="2064"/>
      <c r="AR86" s="2064"/>
      <c r="AS86" s="2064"/>
      <c r="AT86" s="2064"/>
      <c r="AU86" s="2064"/>
      <c r="AV86" s="2064"/>
      <c r="AW86" s="2064"/>
      <c r="AX86" s="2064"/>
      <c r="AY86" s="2064"/>
      <c r="AZ86" s="2064"/>
      <c r="BA86" s="2064"/>
      <c r="BB86" s="2064"/>
      <c r="BC86" s="2064"/>
      <c r="BD86" s="2064"/>
      <c r="BE86" s="2064"/>
      <c r="BF86" s="1679"/>
      <c r="BG86" s="1679"/>
      <c r="BH86" s="1679"/>
      <c r="BI86" s="1679"/>
      <c r="BJ86" s="1679"/>
      <c r="BK86" s="2041"/>
      <c r="BL86" s="2041"/>
      <c r="BM86" s="2042"/>
      <c r="BN86" s="2043"/>
    </row>
    <row r="87" spans="1:66" ht="16.2">
      <c r="A87" s="2561" t="s">
        <v>553</v>
      </c>
      <c r="B87" s="2562" t="s">
        <v>2230</v>
      </c>
      <c r="C87" s="2569">
        <f>$AG65</f>
        <v>30.58384732857143</v>
      </c>
      <c r="D87" s="2568"/>
      <c r="E87" s="2568"/>
      <c r="F87" s="2564"/>
      <c r="G87" s="2564"/>
      <c r="H87" s="2118"/>
      <c r="I87" s="2118"/>
      <c r="J87" s="2118"/>
      <c r="K87" s="2553"/>
      <c r="L87" s="1679"/>
      <c r="M87" s="1679"/>
      <c r="N87" s="1679"/>
      <c r="O87" s="1679"/>
      <c r="P87" s="716"/>
      <c r="Q87" s="2118"/>
      <c r="R87" s="2114"/>
      <c r="S87" s="2114"/>
      <c r="T87" s="2114"/>
      <c r="U87" s="2114"/>
      <c r="V87" s="2064"/>
      <c r="W87" s="2064"/>
      <c r="X87" s="2064"/>
      <c r="Y87" s="2064"/>
      <c r="Z87" s="2064"/>
      <c r="AA87" s="2064"/>
      <c r="AB87" s="2064"/>
      <c r="AC87" s="2064"/>
      <c r="AD87" s="2064"/>
      <c r="AE87" s="2064"/>
      <c r="AF87" s="2064"/>
      <c r="AG87" s="2064"/>
      <c r="AH87" s="2064"/>
      <c r="AI87" s="2064"/>
      <c r="AJ87" s="2064"/>
      <c r="AK87" s="2064"/>
      <c r="AL87" s="2064"/>
      <c r="AM87" s="2064"/>
      <c r="AN87" s="2064"/>
      <c r="AO87" s="2064"/>
      <c r="AP87" s="2064"/>
      <c r="AQ87" s="2064"/>
      <c r="AR87" s="2064"/>
      <c r="AS87" s="2064"/>
      <c r="AT87" s="2064"/>
      <c r="AU87" s="2064"/>
      <c r="AV87" s="2064"/>
      <c r="AW87" s="2064"/>
      <c r="AX87" s="2064"/>
      <c r="AY87" s="2064"/>
      <c r="AZ87" s="2064"/>
      <c r="BA87" s="2064"/>
      <c r="BB87" s="2064"/>
      <c r="BC87" s="2064"/>
      <c r="BD87" s="2064"/>
      <c r="BE87" s="2064"/>
      <c r="BF87" s="1679"/>
      <c r="BG87" s="1679"/>
      <c r="BH87" s="1679"/>
      <c r="BI87" s="1679"/>
      <c r="BJ87" s="1679"/>
      <c r="BK87" s="2041"/>
      <c r="BL87" s="2041"/>
      <c r="BM87" s="2042"/>
      <c r="BN87" s="2043"/>
    </row>
    <row r="88" spans="1:66" ht="16.2">
      <c r="A88" s="2565"/>
      <c r="B88" s="2566"/>
      <c r="C88" s="2567"/>
      <c r="D88" s="2568"/>
      <c r="E88" s="2568"/>
      <c r="F88" s="2564"/>
      <c r="G88" s="2564"/>
      <c r="H88" s="2118"/>
      <c r="I88" s="2118"/>
      <c r="J88" s="2118"/>
      <c r="K88" s="2553"/>
      <c r="L88" s="1679"/>
      <c r="M88" s="1679"/>
      <c r="N88" s="1679"/>
      <c r="O88" s="1679"/>
      <c r="P88" s="716"/>
      <c r="Q88" s="1910"/>
      <c r="R88" s="2114"/>
      <c r="S88" s="2114"/>
      <c r="T88" s="2114"/>
      <c r="U88" s="2114"/>
      <c r="V88" s="2064"/>
      <c r="W88" s="2064"/>
      <c r="X88" s="2064"/>
      <c r="Y88" s="2064"/>
      <c r="Z88" s="2064"/>
      <c r="AA88" s="2064"/>
      <c r="AB88" s="2064"/>
      <c r="AC88" s="2064"/>
      <c r="AD88" s="2064"/>
      <c r="AE88" s="2064"/>
      <c r="AF88" s="2064"/>
      <c r="AG88" s="2064"/>
      <c r="AH88" s="2064"/>
      <c r="AI88" s="2064"/>
      <c r="AJ88" s="2064"/>
      <c r="AK88" s="2064"/>
      <c r="AL88" s="2064"/>
      <c r="AM88" s="2064"/>
      <c r="AN88" s="2064"/>
      <c r="AO88" s="2064"/>
      <c r="AP88" s="2064"/>
      <c r="AQ88" s="2064"/>
      <c r="AR88" s="2064"/>
      <c r="AS88" s="2064"/>
      <c r="AT88" s="2064"/>
      <c r="AU88" s="2064"/>
      <c r="AV88" s="2064"/>
      <c r="AW88" s="2064"/>
      <c r="AX88" s="2064"/>
      <c r="AY88" s="2064"/>
      <c r="AZ88" s="2064"/>
      <c r="BA88" s="2064"/>
      <c r="BB88" s="2064"/>
      <c r="BC88" s="2064"/>
      <c r="BD88" s="2064"/>
      <c r="BE88" s="2064"/>
      <c r="BF88" s="1679"/>
      <c r="BG88" s="1679"/>
      <c r="BH88" s="1679"/>
      <c r="BI88" s="1679"/>
      <c r="BJ88" s="1679"/>
      <c r="BK88" s="2041"/>
      <c r="BL88" s="2041"/>
      <c r="BM88" s="2042"/>
      <c r="BN88" s="2043"/>
    </row>
    <row r="89" spans="1:66" ht="16.2">
      <c r="A89" s="2561" t="s">
        <v>2210</v>
      </c>
      <c r="B89" s="2562" t="s">
        <v>2231</v>
      </c>
      <c r="C89" s="2569">
        <f>$AI65</f>
        <v>14.786932170588235</v>
      </c>
      <c r="D89" s="2568"/>
      <c r="E89" s="2568"/>
      <c r="F89" s="2564"/>
      <c r="G89" s="2564"/>
      <c r="H89" s="2118"/>
      <c r="I89" s="2118"/>
      <c r="J89" s="2118"/>
      <c r="K89" s="2553"/>
      <c r="L89" s="1679"/>
      <c r="M89" s="1679"/>
      <c r="N89" s="1679"/>
      <c r="O89" s="1679"/>
      <c r="P89" s="716"/>
      <c r="Q89" s="2118"/>
      <c r="R89" s="2114"/>
      <c r="S89" s="2114"/>
      <c r="T89" s="2114"/>
      <c r="U89" s="2114"/>
      <c r="V89" s="2064"/>
      <c r="W89" s="2064"/>
      <c r="X89" s="2064"/>
      <c r="Y89" s="2064"/>
      <c r="Z89" s="2064"/>
      <c r="AA89" s="2064"/>
      <c r="AB89" s="2064"/>
      <c r="AC89" s="2064"/>
      <c r="AD89" s="2064"/>
      <c r="AE89" s="2064"/>
      <c r="AF89" s="2064"/>
      <c r="AG89" s="2064"/>
      <c r="AH89" s="2064"/>
      <c r="AI89" s="2064"/>
      <c r="AJ89" s="2064"/>
      <c r="AK89" s="2064"/>
      <c r="AL89" s="2064"/>
      <c r="AM89" s="2064"/>
      <c r="AN89" s="2064"/>
      <c r="AO89" s="2064"/>
      <c r="AP89" s="2064"/>
      <c r="AQ89" s="2064"/>
      <c r="AR89" s="2064"/>
      <c r="AS89" s="2064"/>
      <c r="AT89" s="2064"/>
      <c r="AU89" s="2064"/>
      <c r="AV89" s="2064"/>
      <c r="AW89" s="2064"/>
      <c r="AX89" s="2064"/>
      <c r="AY89" s="2064"/>
      <c r="AZ89" s="2064"/>
      <c r="BA89" s="2064"/>
      <c r="BB89" s="2064"/>
      <c r="BC89" s="2064"/>
      <c r="BD89" s="2064"/>
      <c r="BE89" s="2064"/>
      <c r="BF89" s="1679"/>
      <c r="BG89" s="1679"/>
      <c r="BH89" s="1679"/>
      <c r="BI89" s="1679"/>
      <c r="BJ89" s="1679"/>
      <c r="BK89" s="2041"/>
      <c r="BL89" s="2041"/>
      <c r="BM89" s="2042"/>
      <c r="BN89" s="2043"/>
    </row>
    <row r="90" spans="1:66" ht="16.2">
      <c r="A90" s="2565"/>
      <c r="B90" s="2566"/>
      <c r="C90" s="2567"/>
      <c r="D90" s="716"/>
      <c r="E90" s="716"/>
      <c r="F90" s="2564"/>
      <c r="G90" s="2564"/>
      <c r="H90" s="2118"/>
      <c r="I90" s="2118"/>
      <c r="J90" s="2118"/>
      <c r="K90" s="2553"/>
      <c r="L90" s="1679"/>
      <c r="M90" s="1679"/>
      <c r="N90" s="1679"/>
      <c r="O90" s="1679"/>
      <c r="P90" s="716"/>
      <c r="Q90" s="1910"/>
      <c r="R90" s="2114"/>
      <c r="S90" s="2114"/>
      <c r="T90" s="2114"/>
      <c r="U90" s="2114"/>
      <c r="V90" s="2064"/>
      <c r="W90" s="2064"/>
      <c r="X90" s="2064"/>
      <c r="Y90" s="2064"/>
      <c r="Z90" s="2064"/>
      <c r="AA90" s="2064"/>
      <c r="AB90" s="2064"/>
      <c r="AC90" s="2064"/>
      <c r="AD90" s="2064"/>
      <c r="AE90" s="2064"/>
      <c r="AF90" s="2064"/>
      <c r="AG90" s="2064"/>
      <c r="AH90" s="2064"/>
      <c r="AI90" s="2064"/>
      <c r="AJ90" s="2064"/>
      <c r="AK90" s="2064"/>
      <c r="AL90" s="2064"/>
      <c r="AM90" s="2064"/>
      <c r="AN90" s="2064"/>
      <c r="AO90" s="2064"/>
      <c r="AP90" s="2064"/>
      <c r="AQ90" s="2064"/>
      <c r="AR90" s="2064"/>
      <c r="AS90" s="2064"/>
      <c r="AT90" s="2064"/>
      <c r="AU90" s="2064"/>
      <c r="AV90" s="2064"/>
      <c r="AW90" s="2064"/>
      <c r="AX90" s="2064"/>
      <c r="AY90" s="2064"/>
      <c r="AZ90" s="2064"/>
      <c r="BA90" s="2064"/>
      <c r="BB90" s="2064"/>
      <c r="BC90" s="2064"/>
      <c r="BD90" s="2064"/>
      <c r="BE90" s="2064"/>
      <c r="BF90" s="1679"/>
      <c r="BG90" s="1679"/>
      <c r="BH90" s="1679"/>
      <c r="BI90" s="1679"/>
      <c r="BJ90" s="1679"/>
      <c r="BK90" s="2041"/>
      <c r="BL90" s="2041"/>
      <c r="BM90" s="2042"/>
      <c r="BN90" s="2043"/>
    </row>
    <row r="91" spans="1:66" ht="16.2">
      <c r="A91" s="2561" t="s">
        <v>2269</v>
      </c>
      <c r="B91" s="2562" t="s">
        <v>2232</v>
      </c>
      <c r="C91" s="2569">
        <f>$AK65</f>
        <v>36.230635334500001</v>
      </c>
      <c r="D91" s="716"/>
      <c r="E91" s="716"/>
      <c r="F91" s="2564"/>
      <c r="G91" s="2564"/>
      <c r="H91" s="2118"/>
      <c r="I91" s="2118"/>
      <c r="J91" s="2118"/>
      <c r="K91" s="2553"/>
      <c r="L91" s="1679"/>
      <c r="M91" s="1679"/>
      <c r="N91" s="1679"/>
      <c r="O91" s="1679"/>
      <c r="P91" s="716"/>
      <c r="Q91" s="2118"/>
      <c r="R91" s="2114"/>
      <c r="S91" s="2114"/>
      <c r="T91" s="2114"/>
      <c r="U91" s="2114"/>
      <c r="V91" s="2064"/>
      <c r="W91" s="2064"/>
      <c r="X91" s="2064"/>
      <c r="Y91" s="2064"/>
      <c r="Z91" s="2064"/>
      <c r="AA91" s="2064"/>
      <c r="AB91" s="2064"/>
      <c r="AC91" s="2064"/>
      <c r="AD91" s="2064"/>
      <c r="AE91" s="2064"/>
      <c r="AF91" s="2064"/>
      <c r="AG91" s="2064"/>
      <c r="AH91" s="2064"/>
      <c r="AI91" s="2064"/>
      <c r="AJ91" s="2064"/>
      <c r="AK91" s="2064"/>
      <c r="AL91" s="2064"/>
      <c r="AM91" s="2064"/>
      <c r="AN91" s="2064"/>
      <c r="AO91" s="2064"/>
      <c r="AP91" s="2064"/>
      <c r="AQ91" s="2064"/>
      <c r="AR91" s="2064"/>
      <c r="AS91" s="2064"/>
      <c r="AT91" s="2064"/>
      <c r="AU91" s="2064"/>
      <c r="AV91" s="2064"/>
      <c r="AW91" s="2064"/>
      <c r="AX91" s="2064"/>
      <c r="AY91" s="2064"/>
      <c r="AZ91" s="2064"/>
      <c r="BA91" s="2064"/>
      <c r="BB91" s="2064"/>
      <c r="BC91" s="2064"/>
      <c r="BD91" s="2064"/>
      <c r="BE91" s="2064"/>
      <c r="BF91" s="1679"/>
      <c r="BG91" s="1679"/>
      <c r="BH91" s="1679"/>
      <c r="BI91" s="1679"/>
      <c r="BJ91" s="1679"/>
      <c r="BK91" s="2041"/>
      <c r="BL91" s="2041"/>
      <c r="BM91" s="2042"/>
      <c r="BN91" s="2043"/>
    </row>
    <row r="92" spans="1:66" ht="16.2">
      <c r="A92" s="2565"/>
      <c r="B92" s="2566"/>
      <c r="C92" s="2567"/>
      <c r="D92" s="716"/>
      <c r="E92" s="716"/>
      <c r="F92" s="2564"/>
      <c r="G92" s="2564"/>
      <c r="H92" s="2118"/>
      <c r="I92" s="2118"/>
      <c r="J92" s="2118"/>
      <c r="K92" s="2553"/>
      <c r="L92" s="1679"/>
      <c r="M92" s="1679"/>
      <c r="N92" s="1679"/>
      <c r="O92" s="1679"/>
      <c r="P92" s="716"/>
      <c r="Q92" s="1910"/>
      <c r="R92" s="2114"/>
      <c r="S92" s="2114"/>
      <c r="T92" s="2114"/>
      <c r="U92" s="2114"/>
      <c r="V92" s="2064"/>
      <c r="W92" s="2064"/>
      <c r="X92" s="2064"/>
      <c r="Y92" s="2064"/>
      <c r="Z92" s="2064"/>
      <c r="AA92" s="2064"/>
      <c r="AB92" s="2064"/>
      <c r="AC92" s="2064"/>
      <c r="AD92" s="2064"/>
      <c r="AE92" s="2064"/>
      <c r="AF92" s="2064"/>
      <c r="AG92" s="2064"/>
      <c r="AH92" s="2064"/>
      <c r="AI92" s="2064"/>
      <c r="AJ92" s="2064"/>
      <c r="AK92" s="2064"/>
      <c r="AL92" s="2064"/>
      <c r="AM92" s="2064"/>
      <c r="AN92" s="2064"/>
      <c r="AO92" s="2064"/>
      <c r="AP92" s="2064"/>
      <c r="AQ92" s="2064"/>
      <c r="AR92" s="2064"/>
      <c r="AS92" s="2064"/>
      <c r="AT92" s="2064"/>
      <c r="AU92" s="2064"/>
      <c r="AV92" s="2064"/>
      <c r="AW92" s="2064"/>
      <c r="AX92" s="2064"/>
      <c r="AY92" s="2064"/>
      <c r="AZ92" s="2064"/>
      <c r="BA92" s="2064"/>
      <c r="BB92" s="2064"/>
      <c r="BC92" s="2064"/>
      <c r="BD92" s="2064"/>
      <c r="BE92" s="2064"/>
      <c r="BF92" s="1679"/>
      <c r="BG92" s="1679"/>
      <c r="BH92" s="1679"/>
      <c r="BI92" s="1679"/>
      <c r="BJ92" s="1679"/>
      <c r="BK92" s="2041"/>
      <c r="BL92" s="2041"/>
      <c r="BM92" s="2042"/>
      <c r="BN92" s="2043"/>
    </row>
    <row r="93" spans="1:66" ht="15" customHeight="1">
      <c r="A93" s="2561" t="s">
        <v>2212</v>
      </c>
      <c r="B93" s="2562" t="s">
        <v>2271</v>
      </c>
      <c r="C93" s="2569">
        <f>$AM65</f>
        <v>36.46197411561905</v>
      </c>
      <c r="D93" s="716"/>
      <c r="E93" s="716"/>
      <c r="F93" s="2564"/>
      <c r="G93" s="2564"/>
      <c r="H93" s="2118"/>
      <c r="I93" s="2118"/>
      <c r="J93" s="2118"/>
      <c r="K93" s="2553"/>
      <c r="L93" s="1679"/>
      <c r="M93" s="1679"/>
      <c r="N93" s="1679"/>
      <c r="O93" s="1679"/>
      <c r="P93" s="716"/>
      <c r="Q93" s="2118"/>
      <c r="R93" s="2114"/>
      <c r="S93" s="2114"/>
      <c r="T93" s="2114"/>
      <c r="U93" s="2114"/>
      <c r="V93" s="2064"/>
      <c r="W93" s="2064"/>
      <c r="X93" s="2064"/>
      <c r="Y93" s="2064"/>
      <c r="Z93" s="2064"/>
      <c r="AA93" s="2064"/>
      <c r="AB93" s="2064"/>
      <c r="AC93" s="2064"/>
      <c r="AD93" s="2064"/>
      <c r="AE93" s="2064"/>
      <c r="AF93" s="2064"/>
      <c r="AG93" s="2064"/>
      <c r="AH93" s="2064"/>
      <c r="AI93" s="2064"/>
      <c r="AJ93" s="2064"/>
      <c r="AK93" s="2064"/>
      <c r="AL93" s="2064"/>
      <c r="AM93" s="2064"/>
      <c r="AN93" s="2064"/>
      <c r="AO93" s="2064"/>
      <c r="AP93" s="2064"/>
      <c r="AQ93" s="2064"/>
      <c r="AR93" s="2064"/>
      <c r="AS93" s="2064"/>
      <c r="AT93" s="2064"/>
      <c r="AU93" s="2064"/>
      <c r="AV93" s="2064"/>
      <c r="AW93" s="2064"/>
      <c r="AX93" s="2064"/>
      <c r="AY93" s="2064"/>
      <c r="AZ93" s="2064"/>
      <c r="BA93" s="2064"/>
      <c r="BB93" s="2064"/>
      <c r="BC93" s="2064"/>
      <c r="BD93" s="2064"/>
      <c r="BE93" s="2064"/>
      <c r="BF93" s="1679"/>
      <c r="BG93" s="1679"/>
      <c r="BH93" s="1679"/>
      <c r="BI93" s="1679"/>
      <c r="BJ93" s="1679"/>
      <c r="BK93" s="2041"/>
      <c r="BL93" s="2041"/>
      <c r="BM93" s="2042"/>
      <c r="BN93" s="2043"/>
    </row>
    <row r="94" spans="1:66" ht="15" customHeight="1">
      <c r="A94" s="2565"/>
      <c r="B94" s="2566"/>
      <c r="C94" s="2567"/>
      <c r="D94" s="716"/>
      <c r="E94" s="716"/>
      <c r="F94" s="2564"/>
      <c r="G94" s="2564"/>
      <c r="H94" s="2118"/>
      <c r="I94" s="2118"/>
      <c r="J94" s="2118"/>
      <c r="K94" s="2553"/>
      <c r="L94" s="1679"/>
      <c r="M94" s="1679"/>
      <c r="N94" s="1679"/>
      <c r="O94" s="1679"/>
      <c r="P94" s="716"/>
      <c r="Q94" s="1910"/>
      <c r="R94" s="2114"/>
      <c r="S94" s="2114"/>
      <c r="T94" s="2114"/>
      <c r="U94" s="2114"/>
      <c r="V94" s="2064"/>
      <c r="W94" s="2064"/>
      <c r="X94" s="2064"/>
      <c r="Y94" s="2064"/>
      <c r="Z94" s="2064"/>
      <c r="AA94" s="2064"/>
      <c r="AB94" s="2064"/>
      <c r="AC94" s="2064"/>
      <c r="AD94" s="2064"/>
      <c r="AE94" s="2064"/>
      <c r="AF94" s="2064"/>
      <c r="AG94" s="2064"/>
      <c r="AH94" s="2064"/>
      <c r="AI94" s="2064"/>
      <c r="AJ94" s="2064"/>
      <c r="AK94" s="2064"/>
      <c r="AL94" s="2064"/>
      <c r="AM94" s="2064"/>
      <c r="AN94" s="2064"/>
      <c r="AO94" s="2064"/>
      <c r="AP94" s="2064"/>
      <c r="AQ94" s="2064"/>
      <c r="AR94" s="2064"/>
      <c r="AS94" s="2064"/>
      <c r="AT94" s="2064"/>
      <c r="AU94" s="2064"/>
      <c r="AV94" s="2064"/>
      <c r="AW94" s="2064"/>
      <c r="AX94" s="2064"/>
      <c r="AY94" s="2064"/>
      <c r="AZ94" s="2064"/>
      <c r="BA94" s="2064"/>
      <c r="BB94" s="2064"/>
      <c r="BC94" s="2064"/>
      <c r="BD94" s="2064"/>
      <c r="BE94" s="2064"/>
      <c r="BF94" s="1679"/>
      <c r="BG94" s="1679"/>
      <c r="BH94" s="1679"/>
      <c r="BI94" s="1679"/>
      <c r="BJ94" s="1679"/>
      <c r="BK94" s="2041"/>
      <c r="BL94" s="2041"/>
      <c r="BM94" s="2042"/>
      <c r="BN94" s="2043"/>
    </row>
    <row r="95" spans="1:66" ht="15" customHeight="1">
      <c r="A95" s="2561" t="s">
        <v>828</v>
      </c>
      <c r="B95" s="2562" t="s">
        <v>2234</v>
      </c>
      <c r="C95" s="2569">
        <f>$AO65</f>
        <v>65.58581850780142</v>
      </c>
      <c r="D95" s="716"/>
      <c r="E95" s="716"/>
      <c r="F95" s="2564"/>
      <c r="G95" s="2564"/>
      <c r="H95" s="2118"/>
      <c r="I95" s="2118"/>
      <c r="J95" s="2118"/>
      <c r="K95" s="2553"/>
      <c r="L95" s="1679"/>
      <c r="M95" s="1679"/>
      <c r="N95" s="1679"/>
      <c r="O95" s="1679"/>
      <c r="P95" s="716"/>
      <c r="Q95" s="2118"/>
      <c r="R95" s="2114"/>
      <c r="S95" s="2114"/>
      <c r="T95" s="2114"/>
      <c r="U95" s="2114"/>
      <c r="V95" s="2064"/>
      <c r="W95" s="2064"/>
      <c r="X95" s="2064"/>
      <c r="Y95" s="2064"/>
      <c r="Z95" s="2064"/>
      <c r="AA95" s="2064"/>
      <c r="AB95" s="2064"/>
      <c r="AC95" s="2064"/>
      <c r="AD95" s="2064"/>
      <c r="AE95" s="2064"/>
      <c r="AF95" s="2064"/>
      <c r="AG95" s="2064"/>
      <c r="AH95" s="2064"/>
      <c r="AI95" s="2064"/>
      <c r="AJ95" s="2064"/>
      <c r="AK95" s="2064"/>
      <c r="AL95" s="2064"/>
      <c r="AM95" s="2064"/>
      <c r="AN95" s="2064"/>
      <c r="AO95" s="2064"/>
      <c r="AP95" s="2064"/>
      <c r="AQ95" s="2064"/>
      <c r="AR95" s="2064"/>
      <c r="AS95" s="2064"/>
      <c r="AT95" s="2064"/>
      <c r="AU95" s="2064"/>
      <c r="AV95" s="2064"/>
      <c r="AW95" s="2064"/>
      <c r="AX95" s="2064"/>
      <c r="AY95" s="2064"/>
      <c r="AZ95" s="2064"/>
      <c r="BA95" s="2064"/>
      <c r="BB95" s="2064"/>
      <c r="BC95" s="2064"/>
      <c r="BD95" s="2064"/>
      <c r="BE95" s="2064"/>
      <c r="BF95" s="1679"/>
      <c r="BG95" s="1679"/>
      <c r="BH95" s="1679"/>
      <c r="BI95" s="1679"/>
      <c r="BJ95" s="1679"/>
      <c r="BK95" s="2041"/>
      <c r="BL95" s="2041"/>
      <c r="BM95" s="2042"/>
      <c r="BN95" s="2043"/>
    </row>
    <row r="96" spans="1:66" ht="16.2">
      <c r="A96" s="2565"/>
      <c r="B96" s="2566"/>
      <c r="C96" s="2567"/>
      <c r="D96" s="716"/>
      <c r="E96" s="716"/>
      <c r="F96" s="2564"/>
      <c r="G96" s="2564"/>
      <c r="H96" s="2118"/>
      <c r="I96" s="2118"/>
      <c r="J96" s="2118"/>
      <c r="K96" s="2553"/>
      <c r="L96" s="1679"/>
      <c r="M96" s="1679"/>
      <c r="N96" s="1679"/>
      <c r="O96" s="1679"/>
      <c r="P96" s="716"/>
      <c r="Q96" s="1910"/>
      <c r="R96" s="2114"/>
      <c r="S96" s="2114"/>
      <c r="T96" s="2114"/>
      <c r="U96" s="2114"/>
      <c r="V96" s="2064"/>
      <c r="W96" s="2064"/>
      <c r="X96" s="2064"/>
      <c r="Y96" s="2064"/>
      <c r="Z96" s="2064"/>
      <c r="AA96" s="2064"/>
      <c r="AB96" s="2064"/>
      <c r="AC96" s="2064"/>
      <c r="AD96" s="2064"/>
      <c r="AE96" s="2064"/>
      <c r="AF96" s="2064"/>
      <c r="AG96" s="2064"/>
      <c r="AH96" s="2064"/>
      <c r="AI96" s="2064"/>
      <c r="AJ96" s="2064"/>
      <c r="AK96" s="2064"/>
      <c r="AL96" s="2064"/>
      <c r="AM96" s="2064"/>
      <c r="AN96" s="2064"/>
      <c r="AO96" s="2064"/>
      <c r="AP96" s="2064"/>
      <c r="AQ96" s="2064"/>
      <c r="AR96" s="2064"/>
      <c r="AS96" s="2064"/>
      <c r="AT96" s="2064"/>
      <c r="AU96" s="2064"/>
      <c r="AV96" s="2064"/>
      <c r="AW96" s="2064"/>
      <c r="AX96" s="2064"/>
      <c r="AY96" s="2064"/>
      <c r="AZ96" s="2064"/>
      <c r="BA96" s="2064"/>
      <c r="BB96" s="2064"/>
      <c r="BC96" s="2064"/>
      <c r="BD96" s="2064"/>
      <c r="BE96" s="2064"/>
      <c r="BF96" s="1679"/>
      <c r="BG96" s="1679"/>
      <c r="BH96" s="1679"/>
      <c r="BI96" s="1679"/>
      <c r="BJ96" s="1679"/>
      <c r="BK96" s="2041"/>
      <c r="BL96" s="2041"/>
      <c r="BM96" s="2042"/>
      <c r="BN96" s="2043"/>
    </row>
    <row r="97" spans="1:66" ht="16.2">
      <c r="A97" s="2561" t="s">
        <v>2213</v>
      </c>
      <c r="B97" s="2562" t="s">
        <v>2235</v>
      </c>
      <c r="C97" s="2569">
        <f>$AQ65</f>
        <v>62.159202293464055</v>
      </c>
      <c r="D97" s="716"/>
      <c r="E97" s="716"/>
      <c r="F97" s="2564"/>
      <c r="G97" s="2564"/>
      <c r="H97" s="2118"/>
      <c r="I97" s="2118"/>
      <c r="J97" s="2118"/>
      <c r="K97" s="2553"/>
      <c r="L97" s="1679"/>
      <c r="M97" s="1679"/>
      <c r="N97" s="1679"/>
      <c r="O97" s="1679"/>
      <c r="P97" s="716"/>
      <c r="Q97" s="2118"/>
      <c r="R97" s="2114"/>
      <c r="S97" s="2114"/>
      <c r="T97" s="2114"/>
      <c r="U97" s="2114"/>
      <c r="V97" s="2064"/>
      <c r="W97" s="2064"/>
      <c r="X97" s="2064"/>
      <c r="Y97" s="2064"/>
      <c r="Z97" s="2064"/>
      <c r="AA97" s="2064"/>
      <c r="AB97" s="2064"/>
      <c r="AC97" s="2064"/>
      <c r="AD97" s="2064"/>
      <c r="AE97" s="2064"/>
      <c r="AF97" s="2064"/>
      <c r="AG97" s="2064"/>
      <c r="AH97" s="2064"/>
      <c r="AI97" s="2064"/>
      <c r="AJ97" s="2064"/>
      <c r="AK97" s="2064"/>
      <c r="AL97" s="2064"/>
      <c r="AM97" s="2064"/>
      <c r="AN97" s="2064"/>
      <c r="AO97" s="2064"/>
      <c r="AP97" s="2064"/>
      <c r="AQ97" s="2064"/>
      <c r="AR97" s="2064"/>
      <c r="AS97" s="2064"/>
      <c r="AT97" s="2064"/>
      <c r="AU97" s="2064"/>
      <c r="AV97" s="2064"/>
      <c r="AW97" s="2064"/>
      <c r="AX97" s="2064"/>
      <c r="AY97" s="2064"/>
      <c r="AZ97" s="2064"/>
      <c r="BA97" s="2064"/>
      <c r="BB97" s="2064"/>
      <c r="BC97" s="2064"/>
      <c r="BD97" s="2064"/>
      <c r="BE97" s="2064"/>
      <c r="BF97" s="1679"/>
      <c r="BG97" s="1679"/>
      <c r="BH97" s="1679"/>
      <c r="BI97" s="1679"/>
      <c r="BJ97" s="1679"/>
      <c r="BK97" s="2041"/>
      <c r="BL97" s="2041"/>
      <c r="BM97" s="2042"/>
      <c r="BN97" s="2043"/>
    </row>
    <row r="98" spans="1:66" ht="16.2">
      <c r="A98" s="2565"/>
      <c r="B98" s="2566"/>
      <c r="C98" s="2567"/>
      <c r="D98" s="716"/>
      <c r="E98" s="716"/>
      <c r="F98" s="2564"/>
      <c r="G98" s="2564"/>
      <c r="H98" s="2118"/>
      <c r="I98" s="2118"/>
      <c r="J98" s="2118"/>
      <c r="K98" s="2553"/>
      <c r="L98" s="1679"/>
      <c r="M98" s="1679"/>
      <c r="N98" s="1679"/>
      <c r="O98" s="1679"/>
      <c r="P98" s="716"/>
      <c r="Q98" s="1910"/>
      <c r="R98" s="2114"/>
      <c r="S98" s="2114"/>
      <c r="T98" s="2114"/>
      <c r="U98" s="2114"/>
      <c r="V98" s="2064"/>
      <c r="W98" s="2064"/>
      <c r="X98" s="2064"/>
      <c r="Y98" s="2064"/>
      <c r="Z98" s="2064"/>
      <c r="AA98" s="2064"/>
      <c r="AB98" s="2064"/>
      <c r="AC98" s="2064"/>
      <c r="AD98" s="2064"/>
      <c r="AE98" s="2064"/>
      <c r="AF98" s="2064"/>
      <c r="AG98" s="2064"/>
      <c r="AH98" s="2064"/>
      <c r="AI98" s="2064"/>
      <c r="AJ98" s="2064"/>
      <c r="AK98" s="2064"/>
      <c r="AL98" s="2064"/>
      <c r="AM98" s="2064"/>
      <c r="AN98" s="2064"/>
      <c r="AO98" s="2064"/>
      <c r="AP98" s="2064"/>
      <c r="AQ98" s="2064"/>
      <c r="AR98" s="2064"/>
      <c r="AS98" s="2064"/>
      <c r="AT98" s="2064"/>
      <c r="AU98" s="2064"/>
      <c r="AV98" s="2064"/>
      <c r="AW98" s="2064"/>
      <c r="AX98" s="2064"/>
      <c r="AY98" s="2064"/>
      <c r="AZ98" s="2064"/>
      <c r="BA98" s="2064"/>
      <c r="BB98" s="2064"/>
      <c r="BC98" s="2064"/>
      <c r="BD98" s="2064"/>
      <c r="BE98" s="2064"/>
      <c r="BF98" s="1679"/>
      <c r="BG98" s="1679"/>
      <c r="BH98" s="1679"/>
      <c r="BI98" s="1679"/>
      <c r="BJ98" s="1679"/>
      <c r="BK98" s="2041"/>
      <c r="BL98" s="2041"/>
      <c r="BM98" s="2042"/>
      <c r="BN98" s="2043"/>
    </row>
    <row r="99" spans="1:66" ht="16.2">
      <c r="A99" s="2561" t="s">
        <v>560</v>
      </c>
      <c r="B99" s="2562" t="s">
        <v>2236</v>
      </c>
      <c r="C99" s="2569">
        <f>$AS65</f>
        <v>51.873701075757587</v>
      </c>
      <c r="D99" s="716"/>
      <c r="E99" s="716"/>
      <c r="F99" s="2564"/>
      <c r="G99" s="2564"/>
      <c r="H99" s="2118"/>
      <c r="I99" s="2118"/>
      <c r="J99" s="2118"/>
      <c r="K99" s="2553"/>
      <c r="L99" s="1679"/>
      <c r="M99" s="1679"/>
      <c r="N99" s="1679"/>
      <c r="O99" s="1679"/>
      <c r="P99" s="716"/>
      <c r="Q99" s="2118"/>
      <c r="R99" s="2114"/>
      <c r="S99" s="2114"/>
      <c r="T99" s="2114"/>
      <c r="U99" s="2114"/>
      <c r="V99" s="2064"/>
      <c r="W99" s="2064"/>
      <c r="X99" s="2064"/>
      <c r="Y99" s="2064"/>
      <c r="Z99" s="2064"/>
      <c r="AA99" s="2064"/>
      <c r="AB99" s="2064"/>
      <c r="AC99" s="2064"/>
      <c r="AD99" s="2064"/>
      <c r="AE99" s="2064"/>
      <c r="AF99" s="2064"/>
      <c r="AG99" s="2064"/>
      <c r="AH99" s="2064"/>
      <c r="AI99" s="2064"/>
      <c r="AJ99" s="2064"/>
      <c r="AK99" s="2064"/>
      <c r="AL99" s="2064"/>
      <c r="AM99" s="2064"/>
      <c r="AN99" s="2064"/>
      <c r="AO99" s="2064"/>
      <c r="AP99" s="2064"/>
      <c r="AQ99" s="2064"/>
      <c r="AR99" s="2064"/>
      <c r="AS99" s="2064"/>
      <c r="AT99" s="2064"/>
      <c r="AU99" s="2064"/>
      <c r="AV99" s="2064"/>
      <c r="AW99" s="2064"/>
      <c r="AX99" s="2064"/>
      <c r="AY99" s="2064"/>
      <c r="AZ99" s="2064"/>
      <c r="BA99" s="2064"/>
      <c r="BB99" s="2064"/>
      <c r="BC99" s="2064"/>
      <c r="BD99" s="2064"/>
      <c r="BE99" s="2064"/>
      <c r="BF99" s="1679"/>
      <c r="BG99" s="1679"/>
      <c r="BH99" s="1679"/>
      <c r="BI99" s="1679"/>
      <c r="BJ99" s="1679"/>
      <c r="BK99" s="2041"/>
      <c r="BL99" s="2041"/>
      <c r="BM99" s="2042"/>
      <c r="BN99" s="2043"/>
    </row>
    <row r="100" spans="1:66" ht="16.2">
      <c r="A100" s="2565"/>
      <c r="B100" s="2566"/>
      <c r="C100" s="2567"/>
      <c r="D100" s="716"/>
      <c r="E100" s="716"/>
      <c r="F100" s="2564"/>
      <c r="G100" s="2564"/>
      <c r="H100" s="2118"/>
      <c r="I100" s="2118"/>
      <c r="J100" s="2118"/>
      <c r="K100" s="2553"/>
      <c r="L100" s="1679"/>
      <c r="M100" s="1679"/>
      <c r="N100" s="1679"/>
      <c r="O100" s="1679"/>
      <c r="P100" s="716"/>
      <c r="Q100" s="1910"/>
      <c r="R100" s="2114"/>
      <c r="S100" s="2114"/>
      <c r="T100" s="2114"/>
      <c r="U100" s="2114"/>
      <c r="V100" s="2064"/>
      <c r="W100" s="2064"/>
      <c r="X100" s="2064"/>
      <c r="Y100" s="2064"/>
      <c r="Z100" s="2064"/>
      <c r="AA100" s="2064"/>
      <c r="AB100" s="2064"/>
      <c r="AC100" s="2064"/>
      <c r="AD100" s="2064"/>
      <c r="AE100" s="2064"/>
      <c r="AF100" s="2064"/>
      <c r="AG100" s="2064"/>
      <c r="AH100" s="2064"/>
      <c r="AI100" s="2064"/>
      <c r="AJ100" s="2064"/>
      <c r="AK100" s="2064"/>
      <c r="AL100" s="2064"/>
      <c r="AM100" s="2064"/>
      <c r="AN100" s="2064"/>
      <c r="AO100" s="2064"/>
      <c r="AP100" s="2064"/>
      <c r="AQ100" s="2064"/>
      <c r="AR100" s="2064"/>
      <c r="AS100" s="2064"/>
      <c r="AT100" s="2064"/>
      <c r="AU100" s="2064"/>
      <c r="AV100" s="2064"/>
      <c r="AW100" s="2064"/>
      <c r="AX100" s="2064"/>
      <c r="AY100" s="2064"/>
      <c r="AZ100" s="2064"/>
      <c r="BA100" s="2064"/>
      <c r="BB100" s="2064"/>
      <c r="BC100" s="2064"/>
      <c r="BD100" s="2064"/>
      <c r="BE100" s="2064"/>
      <c r="BF100" s="1679"/>
      <c r="BG100" s="1679"/>
      <c r="BH100" s="1679"/>
      <c r="BI100" s="1679"/>
      <c r="BJ100" s="1679"/>
      <c r="BK100" s="2041"/>
      <c r="BL100" s="2041"/>
      <c r="BM100" s="2042"/>
      <c r="BN100" s="2043"/>
    </row>
    <row r="101" spans="1:66" ht="16.2">
      <c r="A101" s="2561" t="s">
        <v>2214</v>
      </c>
      <c r="B101" s="2562" t="s">
        <v>2237</v>
      </c>
      <c r="C101" s="2569">
        <f>$AU65</f>
        <v>52.807417333333341</v>
      </c>
      <c r="D101" s="716"/>
      <c r="E101" s="716"/>
      <c r="F101" s="2564"/>
      <c r="G101" s="2564"/>
      <c r="H101" s="2118"/>
      <c r="I101" s="2118"/>
      <c r="J101" s="2118"/>
      <c r="K101" s="2553"/>
      <c r="L101" s="1679"/>
      <c r="M101" s="1679"/>
      <c r="N101" s="1679"/>
      <c r="O101" s="1679"/>
      <c r="P101" s="716"/>
      <c r="Q101" s="2118"/>
      <c r="R101" s="2114"/>
      <c r="S101" s="2114"/>
      <c r="T101" s="2114"/>
      <c r="U101" s="2114"/>
      <c r="V101" s="2064"/>
      <c r="W101" s="2064"/>
      <c r="X101" s="2064"/>
      <c r="Y101" s="2064"/>
      <c r="Z101" s="2064"/>
      <c r="AA101" s="2064"/>
      <c r="AB101" s="2064"/>
      <c r="AC101" s="2064"/>
      <c r="AD101" s="2064"/>
      <c r="AE101" s="2064"/>
      <c r="AF101" s="2064"/>
      <c r="AG101" s="2064"/>
      <c r="AH101" s="2064"/>
      <c r="AI101" s="2064"/>
      <c r="AJ101" s="2064"/>
      <c r="AK101" s="2064"/>
      <c r="AL101" s="2064"/>
      <c r="AM101" s="2064"/>
      <c r="AN101" s="2064"/>
      <c r="AO101" s="2064"/>
      <c r="AP101" s="2064"/>
      <c r="AQ101" s="2064"/>
      <c r="AR101" s="2064"/>
      <c r="AS101" s="2064"/>
      <c r="AT101" s="2064"/>
      <c r="AU101" s="2064"/>
      <c r="AV101" s="2064"/>
      <c r="AW101" s="2064"/>
      <c r="AX101" s="2064"/>
      <c r="AY101" s="2064"/>
      <c r="AZ101" s="2064"/>
      <c r="BA101" s="2064"/>
      <c r="BB101" s="2064"/>
      <c r="BC101" s="2064"/>
      <c r="BD101" s="2064"/>
      <c r="BE101" s="2064"/>
      <c r="BF101" s="1679"/>
      <c r="BG101" s="1679"/>
      <c r="BH101" s="1679"/>
      <c r="BI101" s="1679"/>
      <c r="BJ101" s="1679"/>
      <c r="BK101" s="2041"/>
      <c r="BL101" s="2041"/>
      <c r="BM101" s="2042"/>
      <c r="BN101" s="2043"/>
    </row>
    <row r="102" spans="1:66" ht="16.2">
      <c r="A102" s="2565"/>
      <c r="B102" s="2566"/>
      <c r="C102" s="2567"/>
      <c r="D102" s="716"/>
      <c r="E102" s="716"/>
      <c r="F102" s="2564"/>
      <c r="G102" s="2564"/>
      <c r="H102" s="2118"/>
      <c r="I102" s="2118"/>
      <c r="J102" s="2118"/>
      <c r="K102" s="2553"/>
      <c r="L102" s="1679"/>
      <c r="M102" s="1679"/>
      <c r="N102" s="1679"/>
      <c r="O102" s="1679"/>
      <c r="P102" s="716"/>
      <c r="Q102" s="1910"/>
      <c r="R102" s="2114"/>
      <c r="S102" s="2114"/>
      <c r="T102" s="2114"/>
      <c r="U102" s="2114"/>
      <c r="V102" s="2064"/>
      <c r="W102" s="2064"/>
      <c r="X102" s="2064"/>
      <c r="Y102" s="2064"/>
      <c r="Z102" s="2064"/>
      <c r="AA102" s="2064"/>
      <c r="AB102" s="2064"/>
      <c r="AC102" s="2064"/>
      <c r="AD102" s="2064"/>
      <c r="AE102" s="2064"/>
      <c r="AF102" s="2064"/>
      <c r="AG102" s="2064"/>
      <c r="AH102" s="2064"/>
      <c r="AI102" s="2064"/>
      <c r="AJ102" s="2064"/>
      <c r="AK102" s="2064"/>
      <c r="AL102" s="2064"/>
      <c r="AM102" s="2064"/>
      <c r="AN102" s="2064"/>
      <c r="AO102" s="2064"/>
      <c r="AP102" s="2064"/>
      <c r="AQ102" s="2064"/>
      <c r="AR102" s="2064"/>
      <c r="AS102" s="2064"/>
      <c r="AT102" s="2064"/>
      <c r="AU102" s="2064"/>
      <c r="AV102" s="2064"/>
      <c r="AW102" s="2064"/>
      <c r="AX102" s="2064"/>
      <c r="AY102" s="2064"/>
      <c r="AZ102" s="2064"/>
      <c r="BA102" s="2064"/>
      <c r="BB102" s="2064"/>
      <c r="BC102" s="2064"/>
      <c r="BD102" s="2064"/>
      <c r="BE102" s="2064"/>
      <c r="BF102" s="1679"/>
      <c r="BG102" s="1679"/>
      <c r="BH102" s="1679"/>
      <c r="BI102" s="1679"/>
      <c r="BJ102" s="1679"/>
      <c r="BK102" s="2041"/>
      <c r="BL102" s="2041"/>
      <c r="BM102" s="2042"/>
      <c r="BN102" s="2043"/>
    </row>
    <row r="103" spans="1:66" ht="16.2">
      <c r="A103" s="2561" t="s">
        <v>1748</v>
      </c>
      <c r="B103" s="2562" t="s">
        <v>2238</v>
      </c>
      <c r="C103" s="2569">
        <f>$AW65</f>
        <v>50.41611478728975</v>
      </c>
      <c r="D103" s="716"/>
      <c r="E103" s="716"/>
      <c r="F103" s="2564"/>
      <c r="G103" s="2564"/>
      <c r="H103" s="2118"/>
      <c r="I103" s="2118"/>
      <c r="J103" s="2118"/>
      <c r="K103" s="2553"/>
      <c r="L103" s="1679"/>
      <c r="M103" s="1679"/>
      <c r="N103" s="1679"/>
      <c r="O103" s="1679"/>
      <c r="P103" s="716"/>
      <c r="Q103" s="2118"/>
      <c r="R103" s="2114"/>
      <c r="S103" s="2114"/>
      <c r="T103" s="2114"/>
      <c r="U103" s="2114"/>
      <c r="V103" s="2064"/>
      <c r="W103" s="2064"/>
      <c r="X103" s="2064"/>
      <c r="Y103" s="2064"/>
      <c r="Z103" s="2064"/>
      <c r="AA103" s="2064"/>
      <c r="AB103" s="2064"/>
      <c r="AC103" s="2064"/>
      <c r="AD103" s="2064"/>
      <c r="AE103" s="2064"/>
      <c r="AF103" s="2064"/>
      <c r="AG103" s="2064"/>
      <c r="AH103" s="2064"/>
      <c r="AI103" s="2064"/>
      <c r="AJ103" s="2064"/>
      <c r="AK103" s="2064"/>
      <c r="AL103" s="2064"/>
      <c r="AM103" s="2064"/>
      <c r="AN103" s="2064"/>
      <c r="AO103" s="2064"/>
      <c r="AP103" s="2064"/>
      <c r="AQ103" s="2064"/>
      <c r="AR103" s="2064"/>
      <c r="AS103" s="2064"/>
      <c r="AT103" s="2064"/>
      <c r="AU103" s="2064"/>
      <c r="AV103" s="2064"/>
      <c r="AW103" s="2064"/>
      <c r="AX103" s="2064"/>
      <c r="AY103" s="2064"/>
      <c r="AZ103" s="2064"/>
      <c r="BA103" s="2064"/>
      <c r="BB103" s="2064"/>
      <c r="BC103" s="2064"/>
      <c r="BD103" s="2064"/>
      <c r="BE103" s="2064"/>
      <c r="BF103" s="1679"/>
      <c r="BG103" s="1679"/>
      <c r="BH103" s="1679"/>
      <c r="BI103" s="1679"/>
      <c r="BJ103" s="1679"/>
      <c r="BK103" s="2041"/>
      <c r="BL103" s="2041"/>
      <c r="BM103" s="2042"/>
      <c r="BN103" s="2043"/>
    </row>
    <row r="104" spans="1:66" ht="16.2">
      <c r="A104" s="2565"/>
      <c r="B104" s="2566"/>
      <c r="C104" s="2567"/>
      <c r="D104" s="716"/>
      <c r="E104" s="716"/>
      <c r="F104" s="2564"/>
      <c r="G104" s="2564"/>
      <c r="H104" s="2118"/>
      <c r="I104" s="2118"/>
      <c r="J104" s="2118"/>
      <c r="K104" s="2553"/>
      <c r="L104" s="1679"/>
      <c r="M104" s="1679"/>
      <c r="N104" s="1679"/>
      <c r="O104" s="1679"/>
      <c r="P104" s="716"/>
      <c r="Q104" s="1910"/>
      <c r="R104" s="2114"/>
      <c r="S104" s="2114"/>
      <c r="T104" s="2114"/>
      <c r="U104" s="2114"/>
      <c r="V104" s="2064"/>
      <c r="W104" s="2064"/>
      <c r="X104" s="2064"/>
      <c r="Y104" s="2064"/>
      <c r="Z104" s="2064"/>
      <c r="AA104" s="2064"/>
      <c r="AB104" s="2064"/>
      <c r="AC104" s="2064"/>
      <c r="AD104" s="2064"/>
      <c r="AE104" s="2064"/>
      <c r="AF104" s="2064"/>
      <c r="AG104" s="2064"/>
      <c r="AH104" s="2064"/>
      <c r="AI104" s="2064"/>
      <c r="AJ104" s="2064"/>
      <c r="AK104" s="2064"/>
      <c r="AL104" s="2064"/>
      <c r="AM104" s="2064"/>
      <c r="AN104" s="2064"/>
      <c r="AO104" s="2064"/>
      <c r="AP104" s="2064"/>
      <c r="AQ104" s="2064"/>
      <c r="AR104" s="2064"/>
      <c r="AS104" s="2064"/>
      <c r="AT104" s="2064"/>
      <c r="AU104" s="2064"/>
      <c r="AV104" s="2064"/>
      <c r="AW104" s="2064"/>
      <c r="AX104" s="2064"/>
      <c r="AY104" s="2064"/>
      <c r="AZ104" s="2064"/>
      <c r="BA104" s="2064"/>
      <c r="BB104" s="2064"/>
      <c r="BC104" s="2064"/>
      <c r="BD104" s="2064"/>
      <c r="BE104" s="2064"/>
      <c r="BF104" s="1679"/>
      <c r="BG104" s="1679"/>
      <c r="BH104" s="1679"/>
      <c r="BI104" s="1679"/>
      <c r="BJ104" s="1679"/>
      <c r="BK104" s="2041"/>
      <c r="BL104" s="2041"/>
      <c r="BM104" s="2042"/>
      <c r="BN104" s="2043"/>
    </row>
    <row r="105" spans="1:66" ht="16.2">
      <c r="A105" s="2561" t="s">
        <v>1749</v>
      </c>
      <c r="B105" s="2562" t="s">
        <v>2239</v>
      </c>
      <c r="C105" s="2569">
        <f>$AY65</f>
        <v>43.383434942857143</v>
      </c>
      <c r="D105" s="716"/>
      <c r="E105" s="716"/>
      <c r="F105" s="2564"/>
      <c r="G105" s="2564"/>
      <c r="H105" s="2118"/>
      <c r="I105" s="2118"/>
      <c r="J105" s="2118"/>
      <c r="K105" s="2553"/>
      <c r="L105" s="1679"/>
      <c r="M105" s="1679"/>
      <c r="N105" s="1679"/>
      <c r="O105" s="1679"/>
      <c r="P105" s="716"/>
      <c r="Q105" s="2118"/>
      <c r="R105" s="2114"/>
      <c r="S105" s="2114"/>
      <c r="T105" s="2114"/>
      <c r="U105" s="2114"/>
      <c r="V105" s="2064"/>
      <c r="W105" s="2064"/>
      <c r="X105" s="2064"/>
      <c r="Y105" s="2064"/>
      <c r="Z105" s="2064"/>
      <c r="AA105" s="2064"/>
      <c r="AB105" s="2064"/>
      <c r="AC105" s="2064"/>
      <c r="AD105" s="2064"/>
      <c r="AE105" s="2064"/>
      <c r="AF105" s="2064"/>
      <c r="AG105" s="2064"/>
      <c r="AH105" s="2064"/>
      <c r="AI105" s="2064"/>
      <c r="AJ105" s="2064"/>
      <c r="AK105" s="2064"/>
      <c r="AL105" s="2064"/>
      <c r="AM105" s="2064"/>
      <c r="AN105" s="2064"/>
      <c r="AO105" s="2064"/>
      <c r="AP105" s="2064"/>
      <c r="AQ105" s="2064"/>
      <c r="AR105" s="2064"/>
      <c r="AS105" s="2064"/>
      <c r="AT105" s="2064"/>
      <c r="AU105" s="2064"/>
      <c r="AV105" s="2064"/>
      <c r="AW105" s="2064"/>
      <c r="AX105" s="2064"/>
      <c r="AY105" s="2064"/>
      <c r="AZ105" s="2064"/>
      <c r="BA105" s="2064"/>
      <c r="BB105" s="2064"/>
      <c r="BC105" s="2064"/>
      <c r="BD105" s="2064"/>
      <c r="BE105" s="2064"/>
      <c r="BF105" s="1679"/>
      <c r="BG105" s="1679"/>
      <c r="BH105" s="1679"/>
      <c r="BI105" s="1679"/>
      <c r="BJ105" s="1679"/>
      <c r="BK105" s="2041"/>
      <c r="BL105" s="2041"/>
      <c r="BM105" s="2042"/>
      <c r="BN105" s="2043"/>
    </row>
    <row r="106" spans="1:66" ht="16.2">
      <c r="A106" s="2565"/>
      <c r="B106" s="2566"/>
      <c r="C106" s="2567"/>
      <c r="D106" s="716"/>
      <c r="E106" s="716"/>
      <c r="F106" s="2564"/>
      <c r="G106" s="2564"/>
      <c r="H106" s="2118"/>
      <c r="I106" s="2118"/>
      <c r="J106" s="2118"/>
      <c r="K106" s="2553"/>
      <c r="L106" s="1679"/>
      <c r="M106" s="1679"/>
      <c r="N106" s="1679"/>
      <c r="O106" s="1679"/>
      <c r="P106" s="716"/>
      <c r="Q106" s="1910"/>
      <c r="R106" s="2114"/>
      <c r="S106" s="2114"/>
      <c r="T106" s="2114"/>
      <c r="U106" s="2114"/>
      <c r="V106" s="2064"/>
      <c r="W106" s="2064"/>
      <c r="X106" s="2064"/>
      <c r="Y106" s="2064"/>
      <c r="Z106" s="2064"/>
      <c r="AA106" s="2064"/>
      <c r="AB106" s="2064"/>
      <c r="AC106" s="2064"/>
      <c r="AD106" s="2064"/>
      <c r="AE106" s="2064"/>
      <c r="AF106" s="2064"/>
      <c r="AG106" s="2064"/>
      <c r="AH106" s="2064"/>
      <c r="AI106" s="2064"/>
      <c r="AJ106" s="2064"/>
      <c r="AK106" s="2064"/>
      <c r="AL106" s="2064"/>
      <c r="AM106" s="2064"/>
      <c r="AN106" s="2064"/>
      <c r="AO106" s="2064"/>
      <c r="AP106" s="2064"/>
      <c r="AQ106" s="2064"/>
      <c r="AR106" s="2064"/>
      <c r="AS106" s="2064"/>
      <c r="AT106" s="2064"/>
      <c r="AU106" s="2064"/>
      <c r="AV106" s="2064"/>
      <c r="AW106" s="2064"/>
      <c r="AX106" s="2064"/>
      <c r="AY106" s="2064"/>
      <c r="AZ106" s="2064"/>
      <c r="BA106" s="2064"/>
      <c r="BB106" s="2064"/>
      <c r="BC106" s="2064"/>
      <c r="BD106" s="2064"/>
      <c r="BE106" s="2064"/>
      <c r="BF106" s="1679"/>
      <c r="BG106" s="1679"/>
      <c r="BH106" s="1679"/>
      <c r="BI106" s="1679"/>
      <c r="BJ106" s="1679"/>
      <c r="BK106" s="2041"/>
      <c r="BL106" s="2041"/>
      <c r="BM106" s="2042"/>
      <c r="BN106" s="2043"/>
    </row>
    <row r="107" spans="1:66" ht="16.2">
      <c r="A107" s="2561" t="s">
        <v>2283</v>
      </c>
      <c r="B107" s="2562" t="s">
        <v>2240</v>
      </c>
      <c r="C107" s="2569">
        <f>$BA65</f>
        <v>46.351119318787873</v>
      </c>
      <c r="D107" s="716"/>
      <c r="E107" s="716"/>
      <c r="F107" s="2564"/>
      <c r="G107" s="2564"/>
      <c r="H107" s="2118"/>
      <c r="I107" s="2118"/>
      <c r="J107" s="2118"/>
      <c r="K107" s="2553"/>
      <c r="L107" s="1679"/>
      <c r="M107" s="1679"/>
      <c r="N107" s="1679"/>
      <c r="O107" s="1679"/>
      <c r="P107" s="716"/>
      <c r="Q107" s="2118"/>
      <c r="R107" s="2114"/>
      <c r="S107" s="2114"/>
      <c r="T107" s="2114"/>
      <c r="U107" s="2114"/>
      <c r="V107" s="2064"/>
      <c r="W107" s="2064"/>
      <c r="X107" s="2064"/>
      <c r="Y107" s="2064"/>
      <c r="Z107" s="2064"/>
      <c r="AA107" s="2064"/>
      <c r="AB107" s="2064"/>
      <c r="AC107" s="2064"/>
      <c r="AD107" s="2064"/>
      <c r="AE107" s="2064"/>
      <c r="AF107" s="2064"/>
      <c r="AG107" s="2064"/>
      <c r="AH107" s="2064"/>
      <c r="AI107" s="2064"/>
      <c r="AJ107" s="2064"/>
      <c r="AK107" s="2064"/>
      <c r="AL107" s="2064"/>
      <c r="AM107" s="2064"/>
      <c r="AN107" s="2064"/>
      <c r="AO107" s="2064"/>
      <c r="AP107" s="2064"/>
      <c r="AQ107" s="2064"/>
      <c r="AR107" s="2064"/>
      <c r="AS107" s="2064"/>
      <c r="AT107" s="2064"/>
      <c r="AU107" s="2064"/>
      <c r="AV107" s="2064"/>
      <c r="AW107" s="2064"/>
      <c r="AX107" s="2064"/>
      <c r="AY107" s="2064"/>
      <c r="AZ107" s="2064"/>
      <c r="BA107" s="2064"/>
      <c r="BB107" s="2064"/>
      <c r="BC107" s="2064"/>
      <c r="BD107" s="2064"/>
      <c r="BE107" s="2064"/>
      <c r="BF107" s="1679"/>
      <c r="BG107" s="1679"/>
      <c r="BH107" s="1679"/>
      <c r="BI107" s="1679"/>
      <c r="BJ107" s="1679"/>
      <c r="BK107" s="2041"/>
      <c r="BL107" s="2041"/>
      <c r="BM107" s="2042"/>
      <c r="BN107" s="2043"/>
    </row>
    <row r="108" spans="1:66" ht="16.2">
      <c r="A108" s="2565"/>
      <c r="B108" s="2566"/>
      <c r="C108" s="2567"/>
      <c r="D108" s="716"/>
      <c r="E108" s="716"/>
      <c r="F108" s="2564"/>
      <c r="G108" s="2564"/>
      <c r="H108" s="2118"/>
      <c r="I108" s="2118"/>
      <c r="J108" s="2118"/>
      <c r="K108" s="2553"/>
      <c r="L108" s="1679"/>
      <c r="M108" s="1679"/>
      <c r="N108" s="1679"/>
      <c r="O108" s="1679"/>
      <c r="P108" s="716"/>
      <c r="Q108" s="1910"/>
      <c r="R108" s="2114"/>
      <c r="S108" s="2114"/>
      <c r="T108" s="2114"/>
      <c r="U108" s="2114"/>
      <c r="V108" s="2064"/>
      <c r="W108" s="2064"/>
      <c r="X108" s="2064"/>
      <c r="Y108" s="2064"/>
      <c r="Z108" s="2064"/>
      <c r="AA108" s="2064"/>
      <c r="AB108" s="2064"/>
      <c r="AC108" s="2064"/>
      <c r="AD108" s="2064"/>
      <c r="AE108" s="2064"/>
      <c r="AF108" s="2064"/>
      <c r="AG108" s="2064"/>
      <c r="AH108" s="2064"/>
      <c r="AI108" s="2064"/>
      <c r="AJ108" s="2064"/>
      <c r="AK108" s="2064"/>
      <c r="AL108" s="2064"/>
      <c r="AM108" s="2064"/>
      <c r="AN108" s="2064"/>
      <c r="AO108" s="2064"/>
      <c r="AP108" s="2064"/>
      <c r="AQ108" s="2064"/>
      <c r="AR108" s="2064"/>
      <c r="AS108" s="2064"/>
      <c r="AT108" s="2064"/>
      <c r="AU108" s="2064"/>
      <c r="AV108" s="2064"/>
      <c r="AW108" s="2064"/>
      <c r="AX108" s="2064"/>
      <c r="AY108" s="2064"/>
      <c r="AZ108" s="2064"/>
      <c r="BA108" s="2064"/>
      <c r="BB108" s="2064"/>
      <c r="BC108" s="2064"/>
      <c r="BD108" s="2064"/>
      <c r="BE108" s="2064"/>
      <c r="BF108" s="1679"/>
      <c r="BG108" s="1679"/>
      <c r="BH108" s="1679"/>
      <c r="BI108" s="1679"/>
      <c r="BJ108" s="1679"/>
      <c r="BK108" s="2041"/>
      <c r="BL108" s="2041"/>
      <c r="BM108" s="2042"/>
      <c r="BN108" s="2043"/>
    </row>
    <row r="109" spans="1:66" ht="16.2">
      <c r="A109" s="2561" t="s">
        <v>2217</v>
      </c>
      <c r="B109" s="2562" t="s">
        <v>2241</v>
      </c>
      <c r="C109" s="2569">
        <f>$BC65</f>
        <v>47.478601266666672</v>
      </c>
      <c r="D109" s="716"/>
      <c r="E109" s="716"/>
      <c r="F109" s="2564"/>
      <c r="G109" s="2564"/>
      <c r="H109" s="2118"/>
      <c r="I109" s="2118"/>
      <c r="J109" s="2118"/>
      <c r="K109" s="2553"/>
      <c r="L109" s="1679"/>
      <c r="M109" s="1679"/>
      <c r="N109" s="1679"/>
      <c r="O109" s="1679"/>
      <c r="P109" s="716"/>
      <c r="Q109" s="2118"/>
      <c r="R109" s="2114"/>
      <c r="S109" s="2114"/>
      <c r="T109" s="2114"/>
      <c r="U109" s="2114"/>
      <c r="V109" s="2064"/>
      <c r="W109" s="2064"/>
      <c r="X109" s="2064"/>
      <c r="Y109" s="2064"/>
      <c r="Z109" s="2064"/>
      <c r="AA109" s="2064"/>
      <c r="AB109" s="2064"/>
      <c r="AC109" s="2064"/>
      <c r="AD109" s="2064"/>
      <c r="AE109" s="2064"/>
      <c r="AF109" s="2064"/>
      <c r="AG109" s="2064"/>
      <c r="AH109" s="2064"/>
      <c r="AI109" s="2064"/>
      <c r="AJ109" s="2064"/>
      <c r="AK109" s="2064"/>
      <c r="AL109" s="2064"/>
      <c r="AM109" s="2064"/>
      <c r="AN109" s="2064"/>
      <c r="AO109" s="2064"/>
      <c r="AP109" s="2064"/>
      <c r="AQ109" s="2064"/>
      <c r="AR109" s="2064"/>
      <c r="AS109" s="2064"/>
      <c r="AT109" s="2064"/>
      <c r="AU109" s="2064"/>
      <c r="AV109" s="2064"/>
      <c r="AW109" s="2064"/>
      <c r="AX109" s="2064"/>
      <c r="AY109" s="2064"/>
      <c r="AZ109" s="2064"/>
      <c r="BA109" s="2064"/>
      <c r="BB109" s="2064"/>
      <c r="BC109" s="2064"/>
      <c r="BD109" s="2064"/>
      <c r="BE109" s="2064"/>
      <c r="BF109" s="1679"/>
      <c r="BG109" s="1679"/>
      <c r="BH109" s="1679"/>
      <c r="BI109" s="1679"/>
      <c r="BJ109" s="1679"/>
      <c r="BK109" s="2041"/>
      <c r="BL109" s="2041"/>
      <c r="BM109" s="2042"/>
      <c r="BN109" s="2043"/>
    </row>
    <row r="110" spans="1:66" ht="16.2">
      <c r="A110" s="2565"/>
      <c r="B110" s="2566"/>
      <c r="C110" s="2567"/>
      <c r="D110" s="716"/>
      <c r="E110" s="716"/>
      <c r="F110" s="2564"/>
      <c r="G110" s="2564"/>
      <c r="H110" s="2118"/>
      <c r="I110" s="2118"/>
      <c r="J110" s="2118"/>
      <c r="K110" s="2553"/>
      <c r="L110" s="1679"/>
      <c r="M110" s="1679"/>
      <c r="N110" s="1679"/>
      <c r="O110" s="1679"/>
      <c r="P110" s="716"/>
      <c r="Q110" s="1910"/>
      <c r="R110" s="2114"/>
      <c r="S110" s="2114"/>
      <c r="T110" s="2114"/>
      <c r="U110" s="2114"/>
      <c r="V110" s="2064"/>
      <c r="W110" s="2064"/>
      <c r="X110" s="2064"/>
      <c r="Y110" s="2064"/>
      <c r="Z110" s="2064"/>
      <c r="AA110" s="2064"/>
      <c r="AB110" s="2064"/>
      <c r="AC110" s="2064"/>
      <c r="AD110" s="2064"/>
      <c r="AE110" s="2064"/>
      <c r="AF110" s="2064"/>
      <c r="AG110" s="2064"/>
      <c r="AH110" s="2064"/>
      <c r="AI110" s="2064"/>
      <c r="AJ110" s="2064"/>
      <c r="AK110" s="2064"/>
      <c r="AL110" s="2064"/>
      <c r="AM110" s="2064"/>
      <c r="AN110" s="2064"/>
      <c r="AO110" s="2064"/>
      <c r="AP110" s="2064"/>
      <c r="AQ110" s="2064"/>
      <c r="AR110" s="2064"/>
      <c r="AS110" s="2064"/>
      <c r="AT110" s="2064"/>
      <c r="AU110" s="2064"/>
      <c r="AV110" s="2064"/>
      <c r="AW110" s="2064"/>
      <c r="AX110" s="2064"/>
      <c r="AY110" s="2064"/>
      <c r="AZ110" s="2064"/>
      <c r="BA110" s="2064"/>
      <c r="BB110" s="2064"/>
      <c r="BC110" s="2064"/>
      <c r="BD110" s="2064"/>
      <c r="BE110" s="2064"/>
      <c r="BF110" s="1679"/>
      <c r="BG110" s="1679"/>
      <c r="BH110" s="1679"/>
      <c r="BI110" s="1679"/>
      <c r="BJ110" s="1679"/>
      <c r="BK110" s="2041"/>
      <c r="BL110" s="2041"/>
      <c r="BM110" s="2042"/>
      <c r="BN110" s="2043"/>
    </row>
    <row r="111" spans="1:66" ht="16.2">
      <c r="A111" s="2561" t="s">
        <v>2218</v>
      </c>
      <c r="B111" s="2562" t="s">
        <v>2242</v>
      </c>
      <c r="C111" s="2569">
        <f>$BE65</f>
        <v>36.771886493939398</v>
      </c>
      <c r="D111" s="716"/>
      <c r="E111" s="716"/>
      <c r="F111" s="2564"/>
      <c r="G111" s="2564"/>
      <c r="H111" s="2118"/>
      <c r="I111" s="2118"/>
      <c r="J111" s="2118"/>
      <c r="K111" s="2553"/>
      <c r="L111" s="1679"/>
      <c r="M111" s="1679"/>
      <c r="N111" s="1679"/>
      <c r="O111" s="1679"/>
      <c r="P111" s="716"/>
      <c r="Q111" s="2118"/>
      <c r="R111" s="2114"/>
      <c r="S111" s="2114"/>
      <c r="T111" s="2114"/>
      <c r="U111" s="2114"/>
      <c r="V111" s="2064"/>
      <c r="W111" s="2064"/>
      <c r="X111" s="2064"/>
      <c r="Y111" s="2064"/>
      <c r="Z111" s="2064"/>
      <c r="AA111" s="2064"/>
      <c r="AB111" s="2064"/>
      <c r="AC111" s="2064"/>
      <c r="AD111" s="2064"/>
      <c r="AE111" s="2064"/>
      <c r="AF111" s="2064"/>
      <c r="AG111" s="2064"/>
      <c r="AH111" s="2064"/>
      <c r="AI111" s="2064"/>
      <c r="AJ111" s="2064"/>
      <c r="AK111" s="2064"/>
      <c r="AL111" s="2064"/>
      <c r="AM111" s="2064"/>
      <c r="AN111" s="2064"/>
      <c r="AO111" s="2064"/>
      <c r="AP111" s="2064"/>
      <c r="AQ111" s="2064"/>
      <c r="AR111" s="2064"/>
      <c r="AS111" s="2064"/>
      <c r="AT111" s="2064"/>
      <c r="AU111" s="2064"/>
      <c r="AV111" s="2064"/>
      <c r="AW111" s="2064"/>
      <c r="AX111" s="2064"/>
      <c r="AY111" s="2064"/>
      <c r="AZ111" s="2064"/>
      <c r="BA111" s="2064"/>
      <c r="BB111" s="2064"/>
      <c r="BC111" s="2064"/>
      <c r="BD111" s="2064"/>
      <c r="BE111" s="2064"/>
      <c r="BF111" s="1679"/>
      <c r="BG111" s="1679"/>
      <c r="BH111" s="1679"/>
      <c r="BI111" s="1679"/>
      <c r="BJ111" s="1679"/>
      <c r="BK111" s="2041"/>
      <c r="BL111" s="2041"/>
      <c r="BM111" s="2042"/>
      <c r="BN111" s="2043"/>
    </row>
    <row r="112" spans="1:66" ht="16.2">
      <c r="A112" s="2565" t="s">
        <v>2290</v>
      </c>
      <c r="B112" s="2566"/>
      <c r="C112" s="2567"/>
      <c r="D112" s="716"/>
      <c r="E112" s="716"/>
      <c r="F112" s="2564"/>
      <c r="G112" s="2564"/>
      <c r="H112" s="2118"/>
      <c r="I112" s="2118"/>
      <c r="J112" s="2118"/>
      <c r="K112" s="2553"/>
      <c r="L112" s="1679"/>
      <c r="M112" s="1679"/>
      <c r="N112" s="1679"/>
      <c r="O112" s="1679"/>
      <c r="P112" s="716"/>
      <c r="Q112" s="1910"/>
      <c r="R112" s="2114"/>
      <c r="S112" s="2114"/>
      <c r="T112" s="2114"/>
      <c r="U112" s="2114"/>
      <c r="V112" s="2064"/>
      <c r="W112" s="2064"/>
      <c r="X112" s="2064"/>
      <c r="Y112" s="2064"/>
      <c r="Z112" s="2064"/>
      <c r="AA112" s="2064"/>
      <c r="AB112" s="2064"/>
      <c r="AC112" s="2064"/>
      <c r="AD112" s="2064"/>
      <c r="AE112" s="2064"/>
      <c r="AF112" s="2064"/>
      <c r="AG112" s="2064"/>
      <c r="AH112" s="2064"/>
      <c r="AI112" s="2064"/>
      <c r="AJ112" s="2064"/>
      <c r="AK112" s="2064"/>
      <c r="AL112" s="2064"/>
      <c r="AM112" s="2064"/>
      <c r="AN112" s="2064"/>
      <c r="AO112" s="2064"/>
      <c r="AP112" s="2064"/>
      <c r="AQ112" s="2064"/>
      <c r="AR112" s="2064"/>
      <c r="AS112" s="2064"/>
      <c r="AT112" s="2064"/>
      <c r="AU112" s="2064"/>
      <c r="AV112" s="2064"/>
      <c r="AW112" s="2064"/>
      <c r="AX112" s="2064"/>
      <c r="AY112" s="2064"/>
      <c r="AZ112" s="2064"/>
      <c r="BA112" s="2064"/>
      <c r="BB112" s="2064"/>
      <c r="BC112" s="2064"/>
      <c r="BD112" s="2064"/>
      <c r="BE112" s="2064"/>
      <c r="BF112" s="1679"/>
      <c r="BG112" s="1679"/>
      <c r="BH112" s="1679"/>
      <c r="BI112" s="1679"/>
      <c r="BJ112" s="1679"/>
      <c r="BK112" s="2041"/>
      <c r="BL112" s="2041"/>
      <c r="BM112" s="2042"/>
      <c r="BN112" s="2043"/>
    </row>
    <row r="113" spans="1:66" ht="16.2">
      <c r="A113" s="2571" t="s">
        <v>835</v>
      </c>
      <c r="B113" s="2572" t="s">
        <v>2243</v>
      </c>
      <c r="C113" s="2573">
        <f>J56</f>
        <v>33.835414</v>
      </c>
      <c r="D113" s="716"/>
      <c r="E113" s="716"/>
      <c r="F113" s="2564"/>
      <c r="G113" s="2564"/>
      <c r="H113" s="2118"/>
      <c r="I113" s="2118"/>
      <c r="J113" s="2118"/>
      <c r="K113" s="2553"/>
      <c r="L113" s="1679"/>
      <c r="M113" s="1679"/>
      <c r="N113" s="1679"/>
      <c r="O113" s="1679"/>
      <c r="P113" s="716"/>
      <c r="Q113" s="2118"/>
      <c r="R113" s="2114"/>
      <c r="S113" s="2114"/>
      <c r="T113" s="2114"/>
      <c r="U113" s="2114"/>
      <c r="V113" s="2064"/>
      <c r="W113" s="2064"/>
      <c r="X113" s="2064"/>
      <c r="Y113" s="2064"/>
      <c r="Z113" s="2064"/>
      <c r="AA113" s="2064"/>
      <c r="AB113" s="2064"/>
      <c r="AC113" s="2064"/>
      <c r="AD113" s="2064"/>
      <c r="AE113" s="2064"/>
      <c r="AF113" s="2064"/>
      <c r="AG113" s="2064"/>
      <c r="AH113" s="2064"/>
      <c r="AI113" s="2064"/>
      <c r="AJ113" s="2064"/>
      <c r="AK113" s="2064"/>
      <c r="AL113" s="2064"/>
      <c r="AM113" s="2064"/>
      <c r="AN113" s="2064"/>
      <c r="AO113" s="2064"/>
      <c r="AP113" s="2064"/>
      <c r="AQ113" s="2064"/>
      <c r="AR113" s="2064"/>
      <c r="AS113" s="2064"/>
      <c r="AT113" s="2064"/>
      <c r="AU113" s="2064"/>
      <c r="AV113" s="2064"/>
      <c r="AW113" s="2064"/>
      <c r="AX113" s="2064"/>
      <c r="AY113" s="2064"/>
      <c r="AZ113" s="2064"/>
      <c r="BA113" s="2064"/>
      <c r="BB113" s="2064"/>
      <c r="BC113" s="2064"/>
      <c r="BD113" s="2064"/>
      <c r="BE113" s="2064"/>
      <c r="BF113" s="1679"/>
      <c r="BG113" s="1679"/>
      <c r="BH113" s="1679"/>
      <c r="BI113" s="1679"/>
      <c r="BJ113" s="1679"/>
      <c r="BK113" s="2041"/>
      <c r="BL113" s="2041"/>
      <c r="BM113" s="2042"/>
      <c r="BN113" s="2043"/>
    </row>
    <row r="114" spans="1:66" ht="16.2">
      <c r="A114" s="2565"/>
      <c r="B114" s="2574"/>
      <c r="C114" s="2575"/>
      <c r="D114" s="716"/>
      <c r="E114" s="716"/>
      <c r="F114" s="2564"/>
      <c r="G114" s="729"/>
      <c r="H114" s="729"/>
      <c r="I114" s="729"/>
      <c r="J114" s="729"/>
      <c r="K114" s="2553"/>
      <c r="L114" s="1679"/>
      <c r="M114" s="1679"/>
      <c r="N114" s="1679"/>
      <c r="O114" s="1679"/>
      <c r="P114" s="2576"/>
      <c r="Q114" s="1910"/>
      <c r="R114" s="2114"/>
      <c r="S114" s="2114"/>
      <c r="T114" s="2114"/>
      <c r="U114" s="2114"/>
      <c r="V114" s="2064"/>
      <c r="W114" s="2064"/>
      <c r="X114" s="2064"/>
      <c r="Y114" s="2064"/>
      <c r="Z114" s="2064"/>
      <c r="AA114" s="2064"/>
      <c r="AB114" s="2064"/>
      <c r="AC114" s="2064"/>
      <c r="AD114" s="2064"/>
      <c r="AE114" s="2064"/>
      <c r="AF114" s="2064"/>
      <c r="AG114" s="2064"/>
      <c r="AH114" s="2064"/>
      <c r="AI114" s="2064"/>
      <c r="AJ114" s="2064"/>
      <c r="AK114" s="2064"/>
      <c r="AL114" s="2064"/>
      <c r="AM114" s="2064"/>
      <c r="AN114" s="2064"/>
      <c r="AO114" s="2064"/>
      <c r="AP114" s="2064"/>
      <c r="AQ114" s="2064"/>
      <c r="AR114" s="2064"/>
      <c r="AS114" s="2064"/>
      <c r="AT114" s="2064"/>
      <c r="AU114" s="2064"/>
      <c r="AV114" s="2064"/>
      <c r="AW114" s="2064"/>
      <c r="AX114" s="2064"/>
      <c r="AY114" s="2064"/>
      <c r="AZ114" s="2064"/>
      <c r="BA114" s="2064"/>
      <c r="BB114" s="2064"/>
      <c r="BC114" s="2064"/>
      <c r="BD114" s="2064"/>
      <c r="BE114" s="2064"/>
      <c r="BF114" s="1679"/>
      <c r="BG114" s="1679"/>
      <c r="BH114" s="1679"/>
      <c r="BI114" s="1679"/>
      <c r="BJ114" s="1679"/>
      <c r="BK114" s="2041"/>
      <c r="BL114" s="2041"/>
      <c r="BM114" s="2042"/>
      <c r="BN114" s="2043"/>
    </row>
    <row r="115" spans="1:66" ht="16.2">
      <c r="A115" s="2565" t="s">
        <v>2219</v>
      </c>
      <c r="B115" s="2577" t="s">
        <v>2244</v>
      </c>
      <c r="C115" s="2569">
        <f>J47</f>
        <v>30.611353150000003</v>
      </c>
      <c r="D115" s="716"/>
      <c r="E115" s="716"/>
      <c r="F115" s="2564"/>
      <c r="G115" s="716"/>
      <c r="H115" s="716"/>
      <c r="I115" s="716"/>
      <c r="J115" s="716"/>
      <c r="K115" s="2578"/>
      <c r="L115" s="1679"/>
      <c r="M115" s="1679"/>
      <c r="N115" s="1679"/>
      <c r="O115" s="1679"/>
      <c r="P115" s="716"/>
      <c r="Q115" s="1910"/>
      <c r="R115" s="2114"/>
      <c r="S115" s="2114"/>
      <c r="T115" s="2114"/>
      <c r="U115" s="2114"/>
      <c r="V115" s="2064"/>
      <c r="W115" s="2064"/>
      <c r="X115" s="2064"/>
      <c r="Y115" s="2064"/>
      <c r="Z115" s="2064"/>
      <c r="AA115" s="2064"/>
      <c r="AB115" s="2064"/>
      <c r="AC115" s="2064"/>
      <c r="AD115" s="2064"/>
      <c r="AE115" s="2064"/>
      <c r="AF115" s="2064"/>
      <c r="AG115" s="2064"/>
      <c r="AH115" s="2064"/>
      <c r="AI115" s="2064"/>
      <c r="AJ115" s="2064"/>
      <c r="AK115" s="2064"/>
      <c r="AL115" s="2064"/>
      <c r="AM115" s="2064"/>
      <c r="AN115" s="2064"/>
      <c r="AO115" s="2064"/>
      <c r="AP115" s="2064"/>
      <c r="AQ115" s="2064"/>
      <c r="AR115" s="2064"/>
      <c r="AS115" s="2064"/>
      <c r="AT115" s="2064"/>
      <c r="AU115" s="2064"/>
      <c r="AV115" s="2064"/>
      <c r="AW115" s="2064"/>
      <c r="AX115" s="2064"/>
      <c r="AY115" s="2064"/>
      <c r="AZ115" s="2064"/>
      <c r="BA115" s="2064"/>
      <c r="BB115" s="2064"/>
      <c r="BC115" s="2064"/>
      <c r="BD115" s="2064"/>
      <c r="BE115" s="2064"/>
      <c r="BF115" s="1679"/>
      <c r="BG115" s="1679"/>
      <c r="BH115" s="1679"/>
      <c r="BI115" s="1679"/>
      <c r="BJ115" s="1679"/>
      <c r="BK115" s="2041"/>
      <c r="BL115" s="2041"/>
      <c r="BM115" s="2042"/>
      <c r="BN115" s="2043"/>
    </row>
    <row r="116" spans="1:66" ht="16.2">
      <c r="A116" s="2579"/>
      <c r="B116" s="2580"/>
      <c r="C116" s="2581"/>
      <c r="D116" s="716"/>
      <c r="E116" s="729"/>
      <c r="F116" s="2564"/>
      <c r="G116" s="729"/>
      <c r="H116" s="729"/>
      <c r="I116" s="729"/>
      <c r="J116" s="729"/>
      <c r="K116" s="916"/>
      <c r="L116" s="1679"/>
      <c r="M116" s="1679"/>
      <c r="N116" s="1679"/>
      <c r="O116" s="1679"/>
      <c r="P116" s="729"/>
      <c r="Q116" s="1910"/>
      <c r="R116" s="1910"/>
      <c r="S116" s="1910"/>
      <c r="T116" s="1910"/>
      <c r="U116" s="1910"/>
      <c r="V116" s="2582"/>
      <c r="W116" s="2582"/>
      <c r="X116" s="2582"/>
      <c r="Y116" s="2582"/>
      <c r="Z116" s="2582"/>
      <c r="AA116" s="2582"/>
      <c r="AB116" s="2583"/>
      <c r="AC116" s="2584"/>
      <c r="AD116" s="2584"/>
      <c r="AE116" s="2584"/>
      <c r="AF116" s="2584"/>
      <c r="AG116" s="2584"/>
      <c r="AH116" s="2584"/>
      <c r="AI116" s="2584"/>
      <c r="AJ116" s="2584"/>
      <c r="AK116" s="2584"/>
      <c r="AL116" s="2584"/>
      <c r="AM116" s="2584"/>
      <c r="AN116" s="2584"/>
      <c r="AO116" s="2584"/>
      <c r="AP116" s="2584"/>
      <c r="AQ116" s="2584"/>
      <c r="AR116" s="2584"/>
      <c r="AS116" s="2584"/>
      <c r="AT116" s="2584"/>
      <c r="AU116" s="2584"/>
      <c r="AV116" s="2584"/>
      <c r="AW116" s="2584"/>
      <c r="AX116" s="2584"/>
      <c r="AY116" s="2584"/>
      <c r="AZ116" s="2584"/>
      <c r="BA116" s="2584"/>
      <c r="BB116" s="2584"/>
      <c r="BC116" s="2064"/>
      <c r="BD116" s="2064"/>
      <c r="BE116" s="2064"/>
      <c r="BF116" s="1679"/>
      <c r="BG116" s="1679"/>
      <c r="BH116" s="1679"/>
      <c r="BI116" s="1679"/>
      <c r="BJ116" s="1679"/>
      <c r="BK116" s="2041"/>
      <c r="BL116" s="2041"/>
      <c r="BM116" s="2042"/>
      <c r="BN116" s="2043"/>
    </row>
    <row r="117" spans="1:66" ht="16.2">
      <c r="A117" s="2585"/>
      <c r="B117" s="2586"/>
      <c r="C117" s="2587"/>
      <c r="D117" s="729"/>
      <c r="E117" s="729"/>
      <c r="F117" s="2564"/>
      <c r="G117" s="729"/>
      <c r="H117" s="729"/>
      <c r="I117" s="729"/>
      <c r="J117" s="729"/>
      <c r="K117" s="916"/>
      <c r="L117" s="1679"/>
      <c r="M117" s="1679"/>
      <c r="N117" s="1679"/>
      <c r="O117" s="1679"/>
      <c r="P117" s="729"/>
      <c r="Q117" s="1910"/>
      <c r="R117" s="1910"/>
      <c r="S117" s="1910"/>
      <c r="T117" s="1910"/>
      <c r="U117" s="1910"/>
      <c r="V117" s="2582"/>
      <c r="W117" s="2582"/>
      <c r="X117" s="2582"/>
      <c r="Y117" s="2582"/>
      <c r="Z117" s="2582"/>
      <c r="AA117" s="2582"/>
      <c r="AB117" s="2583"/>
      <c r="AC117" s="2584"/>
      <c r="AD117" s="2584"/>
      <c r="AE117" s="2584"/>
      <c r="AF117" s="2584"/>
      <c r="AG117" s="2584"/>
      <c r="AH117" s="2584"/>
      <c r="AI117" s="2584"/>
      <c r="AJ117" s="2584"/>
      <c r="AK117" s="2584"/>
      <c r="AL117" s="2584"/>
      <c r="AM117" s="2584"/>
      <c r="AN117" s="2584"/>
      <c r="AO117" s="2584"/>
      <c r="AP117" s="2584"/>
      <c r="AQ117" s="2584"/>
      <c r="AR117" s="2584"/>
      <c r="AS117" s="2584"/>
      <c r="AT117" s="2584"/>
      <c r="AU117" s="2584"/>
      <c r="AV117" s="2584"/>
      <c r="AW117" s="2584"/>
      <c r="AX117" s="2584"/>
      <c r="AY117" s="2584"/>
      <c r="AZ117" s="2584"/>
      <c r="BA117" s="2584"/>
      <c r="BB117" s="2584"/>
      <c r="BC117" s="2064"/>
      <c r="BD117" s="2064"/>
      <c r="BE117" s="2064"/>
      <c r="BF117" s="1679"/>
      <c r="BG117" s="1679"/>
      <c r="BH117" s="1679"/>
      <c r="BI117" s="1679"/>
      <c r="BJ117" s="1679"/>
      <c r="BK117" s="2041"/>
      <c r="BL117" s="2041"/>
      <c r="BM117" s="2042"/>
      <c r="BN117" s="2043"/>
    </row>
    <row r="118" spans="1:66" ht="16.2">
      <c r="A118" s="2579" t="s">
        <v>2293</v>
      </c>
      <c r="B118" s="2588">
        <f>COUNTIF(C71:C115,"&gt;0")</f>
        <v>23</v>
      </c>
      <c r="C118" s="2589">
        <f>SUM(C71:C116)/B118</f>
        <v>43.252973523387666</v>
      </c>
      <c r="D118" s="729"/>
      <c r="E118" s="729"/>
      <c r="F118" s="2564"/>
      <c r="G118" s="729"/>
      <c r="H118" s="729"/>
      <c r="I118" s="729"/>
      <c r="J118" s="729"/>
      <c r="K118" s="916"/>
      <c r="L118" s="1679"/>
      <c r="M118" s="1679"/>
      <c r="N118" s="1679"/>
      <c r="O118" s="1679"/>
      <c r="P118" s="729"/>
      <c r="Q118" s="2118"/>
      <c r="R118" s="1910"/>
      <c r="S118" s="1910"/>
      <c r="T118" s="1910"/>
      <c r="U118" s="1910"/>
      <c r="V118" s="2582"/>
      <c r="W118" s="2582"/>
      <c r="X118" s="2582"/>
      <c r="Y118" s="2582"/>
      <c r="Z118" s="2582"/>
      <c r="AA118" s="2582"/>
      <c r="AB118" s="2583"/>
      <c r="AC118" s="2584"/>
      <c r="AD118" s="2584"/>
      <c r="AE118" s="2584"/>
      <c r="AF118" s="2584"/>
      <c r="AG118" s="2584"/>
      <c r="AH118" s="2584"/>
      <c r="AI118" s="2584"/>
      <c r="AJ118" s="2584"/>
      <c r="AK118" s="2584"/>
      <c r="AL118" s="2584"/>
      <c r="AM118" s="2584"/>
      <c r="AN118" s="2584"/>
      <c r="AO118" s="2584"/>
      <c r="AP118" s="2584"/>
      <c r="AQ118" s="2584"/>
      <c r="AR118" s="2584"/>
      <c r="AS118" s="2584"/>
      <c r="AT118" s="2584"/>
      <c r="AU118" s="2584"/>
      <c r="AV118" s="2584"/>
      <c r="AW118" s="2584"/>
      <c r="AX118" s="2584"/>
      <c r="AY118" s="2584"/>
      <c r="AZ118" s="2584"/>
      <c r="BA118" s="2584"/>
      <c r="BB118" s="2584"/>
      <c r="BC118" s="2064"/>
      <c r="BD118" s="2064"/>
      <c r="BE118" s="2064"/>
      <c r="BF118" s="1679"/>
      <c r="BG118" s="1679"/>
      <c r="BH118" s="1679"/>
      <c r="BI118" s="1679"/>
      <c r="BJ118" s="1679"/>
      <c r="BK118" s="2041"/>
      <c r="BL118" s="2041"/>
      <c r="BM118" s="2042"/>
      <c r="BN118" s="2043"/>
    </row>
    <row r="119" spans="1:66" ht="16.2">
      <c r="A119" s="729"/>
      <c r="B119" s="729"/>
      <c r="C119" s="2590"/>
      <c r="D119" s="729"/>
      <c r="E119" s="729"/>
      <c r="F119" s="729"/>
      <c r="G119" s="729"/>
      <c r="H119" s="729"/>
      <c r="I119" s="729"/>
      <c r="J119" s="729"/>
      <c r="K119" s="916"/>
      <c r="L119" s="729"/>
      <c r="M119" s="729"/>
      <c r="N119" s="729"/>
      <c r="O119" s="729"/>
      <c r="P119" s="729"/>
      <c r="Q119" s="1910"/>
      <c r="R119" s="1910"/>
      <c r="S119" s="1910"/>
      <c r="T119" s="1910"/>
      <c r="U119" s="1910"/>
      <c r="V119" s="2582"/>
      <c r="W119" s="2582"/>
      <c r="X119" s="2582"/>
      <c r="Y119" s="2582"/>
      <c r="Z119" s="2582"/>
      <c r="AA119" s="2582"/>
      <c r="AB119" s="2583"/>
      <c r="AC119" s="2584"/>
      <c r="AD119" s="2584"/>
      <c r="AE119" s="2584"/>
      <c r="AF119" s="2584"/>
      <c r="AG119" s="2584"/>
      <c r="AH119" s="2584"/>
      <c r="AI119" s="2584"/>
      <c r="AJ119" s="2584"/>
      <c r="AK119" s="2584"/>
      <c r="AL119" s="2584"/>
      <c r="AM119" s="2584"/>
      <c r="AN119" s="2584"/>
      <c r="AO119" s="2584"/>
      <c r="AP119" s="2584"/>
      <c r="AQ119" s="2584"/>
      <c r="AR119" s="2584"/>
      <c r="AS119" s="2584"/>
      <c r="AT119" s="2584"/>
      <c r="AU119" s="2584"/>
      <c r="AV119" s="2584"/>
      <c r="AW119" s="2584"/>
      <c r="AX119" s="2584"/>
      <c r="AY119" s="2584"/>
      <c r="AZ119" s="2584"/>
      <c r="BA119" s="2584"/>
      <c r="BB119" s="2584"/>
      <c r="BC119" s="2064"/>
      <c r="BD119" s="2064"/>
      <c r="BE119" s="2064"/>
      <c r="BF119" s="1679"/>
      <c r="BG119" s="1679"/>
      <c r="BH119" s="1679"/>
      <c r="BI119" s="1679"/>
      <c r="BJ119" s="1679"/>
      <c r="BK119" s="2041"/>
      <c r="BL119" s="2041"/>
      <c r="BM119" s="2042"/>
      <c r="BN119" s="2043"/>
    </row>
    <row r="120" spans="1:66" ht="16.2">
      <c r="A120" s="729"/>
      <c r="B120" s="729"/>
      <c r="C120" s="2590"/>
      <c r="D120" s="729"/>
      <c r="E120" s="729"/>
      <c r="F120" s="729"/>
      <c r="G120" s="729"/>
      <c r="H120" s="729"/>
      <c r="I120" s="729"/>
      <c r="J120" s="729"/>
      <c r="K120" s="916"/>
      <c r="L120" s="729"/>
      <c r="M120" s="729"/>
      <c r="N120" s="729"/>
      <c r="O120" s="729"/>
      <c r="P120" s="729"/>
      <c r="Q120" s="1910"/>
      <c r="R120" s="1910"/>
      <c r="S120" s="1910"/>
      <c r="T120" s="1910"/>
      <c r="U120" s="1910"/>
      <c r="V120" s="2582"/>
      <c r="W120" s="2582"/>
      <c r="X120" s="2582"/>
      <c r="Y120" s="2582"/>
      <c r="Z120" s="2582"/>
      <c r="AA120" s="2582"/>
      <c r="AB120" s="2583"/>
      <c r="AC120" s="2584"/>
      <c r="AD120" s="2584"/>
      <c r="AE120" s="2584"/>
      <c r="AF120" s="2584"/>
      <c r="AG120" s="2584"/>
      <c r="AH120" s="2584"/>
      <c r="AI120" s="2584"/>
      <c r="AJ120" s="2584"/>
      <c r="AK120" s="2584"/>
      <c r="AL120" s="2584"/>
      <c r="AM120" s="2584"/>
      <c r="AN120" s="2584"/>
      <c r="AO120" s="2584"/>
      <c r="AP120" s="2584"/>
      <c r="AQ120" s="2584"/>
      <c r="AR120" s="2584"/>
      <c r="AS120" s="2584"/>
      <c r="AT120" s="2584"/>
      <c r="AU120" s="2584"/>
      <c r="AV120" s="2584"/>
      <c r="AW120" s="2584"/>
      <c r="AX120" s="2584"/>
      <c r="AY120" s="2584"/>
      <c r="AZ120" s="2584"/>
      <c r="BA120" s="2584"/>
      <c r="BB120" s="2584"/>
      <c r="BC120" s="2064"/>
      <c r="BD120" s="2064"/>
      <c r="BE120" s="2064"/>
      <c r="BF120" s="1679"/>
      <c r="BG120" s="1679"/>
      <c r="BH120" s="1679"/>
      <c r="BI120" s="1679"/>
      <c r="BJ120" s="1679"/>
      <c r="BK120" s="2041"/>
      <c r="BL120" s="2041"/>
      <c r="BM120" s="2042"/>
      <c r="BN120" s="2043"/>
    </row>
    <row r="121" spans="1:66" ht="16.2">
      <c r="A121" s="3237" t="s">
        <v>2270</v>
      </c>
      <c r="B121" s="3238"/>
      <c r="C121" s="3238"/>
      <c r="D121" s="3238"/>
      <c r="E121" s="3238"/>
      <c r="F121" s="3239"/>
      <c r="G121" s="729"/>
      <c r="H121" s="729"/>
      <c r="I121" s="729"/>
      <c r="J121" s="729"/>
      <c r="K121" s="916"/>
      <c r="L121" s="729"/>
      <c r="M121" s="729"/>
      <c r="N121" s="729"/>
      <c r="O121" s="729"/>
      <c r="P121" s="729"/>
      <c r="Q121" s="1910"/>
      <c r="R121" s="1910"/>
      <c r="S121" s="1910"/>
      <c r="T121" s="1910"/>
      <c r="U121" s="1910"/>
      <c r="V121" s="2582"/>
      <c r="W121" s="2582"/>
      <c r="X121" s="2582"/>
      <c r="Y121" s="2582"/>
      <c r="Z121" s="2582"/>
      <c r="AA121" s="2582"/>
      <c r="AB121" s="2583"/>
      <c r="AC121" s="2584"/>
      <c r="AD121" s="2584"/>
      <c r="AE121" s="2584"/>
      <c r="AF121" s="2584"/>
      <c r="AG121" s="2584"/>
      <c r="AH121" s="2584"/>
      <c r="AI121" s="2584"/>
      <c r="AJ121" s="2584"/>
      <c r="AK121" s="2584"/>
      <c r="AL121" s="2584"/>
      <c r="AM121" s="2584"/>
      <c r="AN121" s="2584"/>
      <c r="AO121" s="2584"/>
      <c r="AP121" s="2584"/>
      <c r="AQ121" s="2584"/>
      <c r="AR121" s="2584"/>
      <c r="AS121" s="2584"/>
      <c r="AT121" s="2584"/>
      <c r="AU121" s="2584"/>
      <c r="AV121" s="2584"/>
      <c r="AW121" s="2584"/>
      <c r="AX121" s="2584"/>
      <c r="AY121" s="2584"/>
      <c r="AZ121" s="2584"/>
      <c r="BA121" s="2584"/>
      <c r="BB121" s="2584"/>
      <c r="BC121" s="2064"/>
      <c r="BD121" s="2064"/>
      <c r="BE121" s="2064"/>
      <c r="BF121" s="1679"/>
      <c r="BG121" s="1679"/>
      <c r="BH121" s="1679"/>
      <c r="BI121" s="1679"/>
      <c r="BJ121" s="1679"/>
      <c r="BK121" s="2041"/>
      <c r="BL121" s="2041"/>
      <c r="BM121" s="2042"/>
      <c r="BN121" s="2043"/>
    </row>
    <row r="122" spans="1:66" ht="16.2">
      <c r="A122" s="3240"/>
      <c r="B122" s="3241"/>
      <c r="C122" s="3241"/>
      <c r="D122" s="3241"/>
      <c r="E122" s="3241"/>
      <c r="F122" s="3242"/>
      <c r="G122" s="729"/>
      <c r="H122" s="729"/>
      <c r="I122" s="729"/>
      <c r="J122" s="729"/>
      <c r="K122" s="916"/>
      <c r="L122" s="729"/>
      <c r="M122" s="729"/>
      <c r="N122" s="729"/>
      <c r="O122" s="729"/>
      <c r="P122" s="729"/>
      <c r="Q122" s="1910"/>
      <c r="R122" s="1910"/>
      <c r="S122" s="1910"/>
      <c r="T122" s="1910"/>
      <c r="U122" s="1910"/>
      <c r="V122" s="2582"/>
      <c r="W122" s="2582"/>
      <c r="X122" s="2582"/>
      <c r="Y122" s="2582"/>
      <c r="Z122" s="2582"/>
      <c r="AA122" s="2582"/>
      <c r="AB122" s="2583"/>
      <c r="AC122" s="2584"/>
      <c r="AD122" s="2584"/>
      <c r="AE122" s="2584"/>
      <c r="AF122" s="2584"/>
      <c r="AG122" s="2584"/>
      <c r="AH122" s="2584"/>
      <c r="AI122" s="2584"/>
      <c r="AJ122" s="2584"/>
      <c r="AK122" s="2584"/>
      <c r="AL122" s="2584"/>
      <c r="AM122" s="2584"/>
      <c r="AN122" s="2584"/>
      <c r="AO122" s="2584"/>
      <c r="AP122" s="2584"/>
      <c r="AQ122" s="2584"/>
      <c r="AR122" s="2584"/>
      <c r="AS122" s="2584"/>
      <c r="AT122" s="2584"/>
      <c r="AU122" s="2584"/>
      <c r="AV122" s="2584"/>
      <c r="AW122" s="2584"/>
      <c r="AX122" s="2584"/>
      <c r="AY122" s="2584"/>
      <c r="AZ122" s="2584"/>
      <c r="BA122" s="2584"/>
      <c r="BB122" s="2584"/>
      <c r="BC122" s="2064"/>
      <c r="BD122" s="2064"/>
      <c r="BE122" s="2064"/>
      <c r="BF122" s="1679"/>
      <c r="BG122" s="1679"/>
      <c r="BH122" s="1679"/>
      <c r="BI122" s="1679"/>
      <c r="BJ122" s="1679"/>
      <c r="BK122" s="2043"/>
      <c r="BL122" s="2043"/>
      <c r="BM122" s="2043"/>
      <c r="BN122" s="2043"/>
    </row>
    <row r="123" spans="1:66" ht="16.2">
      <c r="A123" s="3243" t="s">
        <v>2272</v>
      </c>
      <c r="B123" s="2591"/>
      <c r="C123" s="3245" t="s">
        <v>2273</v>
      </c>
      <c r="D123" s="3247" t="s">
        <v>2274</v>
      </c>
      <c r="E123" s="3249" t="s">
        <v>2275</v>
      </c>
      <c r="F123" s="3251" t="s">
        <v>2322</v>
      </c>
      <c r="G123" s="729"/>
      <c r="H123" s="729"/>
      <c r="I123" s="729"/>
      <c r="J123" s="729"/>
      <c r="K123" s="916"/>
      <c r="L123" s="729"/>
      <c r="M123" s="729"/>
      <c r="N123" s="729"/>
      <c r="O123" s="729"/>
      <c r="P123" s="729"/>
      <c r="Q123" s="1910"/>
      <c r="R123" s="1910"/>
      <c r="S123" s="1910"/>
      <c r="T123" s="1910"/>
      <c r="U123" s="1910"/>
      <c r="V123" s="2582"/>
      <c r="W123" s="2582"/>
      <c r="X123" s="2582"/>
      <c r="Y123" s="2582"/>
      <c r="Z123" s="2582"/>
      <c r="AA123" s="2582"/>
      <c r="AB123" s="2583"/>
      <c r="AC123" s="2584"/>
      <c r="AD123" s="2584"/>
      <c r="AE123" s="2584"/>
      <c r="AF123" s="2584"/>
      <c r="AG123" s="2584"/>
      <c r="AH123" s="2584"/>
      <c r="AI123" s="2584"/>
      <c r="AJ123" s="2592"/>
      <c r="AK123" s="2592"/>
      <c r="AL123" s="2592"/>
      <c r="AM123" s="2592"/>
      <c r="AN123" s="2592"/>
      <c r="AO123" s="2592"/>
      <c r="AP123" s="2592"/>
      <c r="AQ123" s="2592"/>
      <c r="AR123" s="2592"/>
      <c r="AS123" s="2592"/>
      <c r="AT123" s="2592"/>
      <c r="AU123" s="2592"/>
      <c r="AV123" s="2592"/>
      <c r="AW123" s="2592"/>
      <c r="AX123" s="2592"/>
      <c r="AY123" s="2592"/>
      <c r="AZ123" s="2584"/>
      <c r="BA123" s="2584"/>
      <c r="BB123" s="2584"/>
      <c r="BC123" s="2064"/>
      <c r="BD123" s="2064"/>
      <c r="BE123" s="2064"/>
      <c r="BF123" s="1679"/>
      <c r="BG123" s="1679"/>
      <c r="BH123" s="1679"/>
      <c r="BI123" s="1679"/>
      <c r="BJ123" s="1679"/>
      <c r="BK123" s="2043"/>
      <c r="BL123" s="2043"/>
      <c r="BM123" s="2043"/>
      <c r="BN123" s="2043"/>
    </row>
    <row r="124" spans="1:66" ht="16.2">
      <c r="A124" s="3244"/>
      <c r="B124" s="2593"/>
      <c r="C124" s="3246"/>
      <c r="D124" s="3248"/>
      <c r="E124" s="3250"/>
      <c r="F124" s="3252"/>
      <c r="G124" s="2594"/>
      <c r="H124" s="729"/>
      <c r="I124" s="2594"/>
      <c r="J124" s="729"/>
      <c r="K124" s="2594"/>
      <c r="L124" s="729"/>
      <c r="M124" s="2594"/>
      <c r="N124" s="729"/>
      <c r="O124" s="729"/>
      <c r="P124" s="2594"/>
      <c r="Q124" s="1910"/>
      <c r="R124" s="2594"/>
      <c r="S124" s="1910"/>
      <c r="T124" s="2594"/>
      <c r="U124" s="2594"/>
      <c r="V124" s="2582"/>
      <c r="W124" s="2595"/>
      <c r="X124" s="2582"/>
      <c r="Y124" s="2582"/>
      <c r="Z124" s="2595"/>
      <c r="AA124" s="2582"/>
      <c r="AB124" s="2596"/>
      <c r="AC124" s="2592"/>
      <c r="AD124" s="2584"/>
      <c r="AE124" s="2584"/>
      <c r="AF124" s="2592"/>
      <c r="AG124" s="2592"/>
      <c r="AH124" s="2584"/>
      <c r="AI124" s="2584"/>
      <c r="AJ124" s="2584"/>
      <c r="AK124" s="2584"/>
      <c r="AL124" s="2584"/>
      <c r="AM124" s="2584"/>
      <c r="AN124" s="2584"/>
      <c r="AO124" s="2584"/>
      <c r="AP124" s="2584"/>
      <c r="AQ124" s="2584"/>
      <c r="AR124" s="2584"/>
      <c r="AS124" s="2584"/>
      <c r="AT124" s="2584"/>
      <c r="AU124" s="2584"/>
      <c r="AV124" s="2584"/>
      <c r="AW124" s="2584"/>
      <c r="AX124" s="2584"/>
      <c r="AY124" s="2584"/>
      <c r="AZ124" s="2584"/>
      <c r="BA124" s="2584"/>
      <c r="BB124" s="2584"/>
      <c r="BC124" s="2064"/>
      <c r="BD124" s="2064"/>
      <c r="BE124" s="2064"/>
      <c r="BF124" s="1679"/>
      <c r="BG124" s="1679"/>
      <c r="BH124" s="1679"/>
      <c r="BI124" s="1679"/>
      <c r="BJ124" s="1679"/>
      <c r="BK124" s="2043"/>
      <c r="BL124" s="2043"/>
      <c r="BM124" s="2043"/>
      <c r="BN124" s="2043"/>
    </row>
    <row r="125" spans="1:66" ht="16.2">
      <c r="A125" s="2585" t="s">
        <v>2276</v>
      </c>
      <c r="B125" s="2597" t="s">
        <v>2323</v>
      </c>
      <c r="C125" s="2598">
        <v>24.88</v>
      </c>
      <c r="D125" s="1978">
        <f>40/$K$13</f>
        <v>1</v>
      </c>
      <c r="E125" s="1979">
        <f>$K$12</f>
        <v>0.9</v>
      </c>
      <c r="F125" s="2599">
        <f>C125*D125*E125</f>
        <v>22.391999999999999</v>
      </c>
      <c r="G125" s="1679"/>
      <c r="H125" s="1679"/>
      <c r="I125" s="1679"/>
      <c r="J125" s="1679"/>
      <c r="K125" s="1679"/>
      <c r="L125" s="1679"/>
      <c r="M125" s="1679"/>
      <c r="N125" s="1679"/>
      <c r="O125" s="1679"/>
      <c r="P125" s="1679"/>
      <c r="Q125" s="1679"/>
      <c r="R125" s="1679"/>
      <c r="S125" s="1679"/>
      <c r="T125" s="1679"/>
      <c r="U125" s="1679"/>
      <c r="V125" s="1679"/>
      <c r="W125" s="1679"/>
      <c r="X125" s="1679"/>
      <c r="Y125" s="1679"/>
      <c r="Z125" s="1679"/>
      <c r="AA125" s="1679"/>
      <c r="AB125" s="1679"/>
      <c r="AC125" s="1679"/>
      <c r="AD125" s="1679"/>
      <c r="AE125" s="1679"/>
      <c r="AF125" s="1679"/>
      <c r="AG125" s="1679"/>
      <c r="AH125" s="1679"/>
      <c r="AI125" s="1679"/>
      <c r="AJ125" s="1679"/>
      <c r="AK125" s="1679"/>
      <c r="AL125" s="1679"/>
      <c r="AM125" s="1679"/>
      <c r="AN125" s="1679"/>
      <c r="AO125" s="1679"/>
      <c r="AP125" s="1679"/>
      <c r="AQ125" s="1679"/>
      <c r="AR125" s="1679"/>
      <c r="AS125" s="1679"/>
      <c r="AT125" s="1679"/>
      <c r="AU125" s="1679"/>
      <c r="AV125" s="1679"/>
      <c r="AW125" s="1679"/>
      <c r="AX125" s="1679"/>
      <c r="AY125" s="1679"/>
      <c r="AZ125" s="1679"/>
      <c r="BA125" s="1679"/>
      <c r="BB125" s="1679"/>
      <c r="BC125" s="1679"/>
      <c r="BD125" s="1679"/>
      <c r="BE125" s="1679"/>
      <c r="BF125" s="1679"/>
      <c r="BG125" s="1679"/>
      <c r="BH125" s="1679"/>
      <c r="BI125" s="1679"/>
      <c r="BJ125" s="1679"/>
      <c r="BK125" s="2043"/>
      <c r="BL125" s="2043"/>
      <c r="BM125" s="2043"/>
      <c r="BN125" s="2043"/>
    </row>
    <row r="126" spans="1:66" ht="16.2">
      <c r="A126" s="2565" t="s">
        <v>2110</v>
      </c>
      <c r="B126" s="2597" t="s">
        <v>2323</v>
      </c>
      <c r="C126" s="2598">
        <v>12.96</v>
      </c>
      <c r="D126" s="1978">
        <f t="shared" ref="D126:D143" si="37">40/$K$13</f>
        <v>1</v>
      </c>
      <c r="E126" s="1979">
        <f t="shared" ref="E126:E143" si="38">$K$12</f>
        <v>0.9</v>
      </c>
      <c r="F126" s="2600">
        <f t="shared" ref="F126:F142" si="39">C126*D126*E126</f>
        <v>11.664000000000001</v>
      </c>
      <c r="G126" s="1679"/>
      <c r="H126" s="1679"/>
      <c r="I126" s="1679"/>
      <c r="J126" s="1679"/>
      <c r="K126" s="1679"/>
      <c r="L126" s="1679"/>
      <c r="M126" s="1679"/>
      <c r="N126" s="1679"/>
      <c r="O126" s="1679"/>
      <c r="P126" s="1679"/>
      <c r="Q126" s="1679"/>
      <c r="R126" s="1679"/>
      <c r="S126" s="1679"/>
      <c r="T126" s="1679"/>
      <c r="U126" s="1679"/>
      <c r="V126" s="1679"/>
      <c r="W126" s="1679"/>
      <c r="X126" s="1679"/>
      <c r="Y126" s="1679"/>
      <c r="Z126" s="1679"/>
      <c r="AA126" s="1679"/>
      <c r="AB126" s="1679"/>
      <c r="AC126" s="1679"/>
      <c r="AD126" s="1679"/>
      <c r="AE126" s="1679"/>
      <c r="AF126" s="1679"/>
      <c r="AG126" s="1679"/>
      <c r="AH126" s="1679"/>
      <c r="AI126" s="1679"/>
      <c r="AJ126" s="1679"/>
      <c r="AK126" s="1679"/>
      <c r="AL126" s="1679"/>
      <c r="AM126" s="1679"/>
      <c r="AN126" s="1679"/>
      <c r="AO126" s="1679"/>
      <c r="AP126" s="1679"/>
      <c r="AQ126" s="1679"/>
      <c r="AR126" s="1679"/>
      <c r="AS126" s="1679"/>
      <c r="AT126" s="1679"/>
      <c r="AU126" s="1679"/>
      <c r="AV126" s="1679"/>
      <c r="AW126" s="1679"/>
      <c r="AX126" s="1679"/>
      <c r="AY126" s="1679"/>
      <c r="AZ126" s="1679"/>
      <c r="BA126" s="1679"/>
      <c r="BB126" s="1679"/>
      <c r="BC126" s="1679"/>
      <c r="BD126" s="1679"/>
      <c r="BE126" s="1679"/>
      <c r="BF126" s="1679"/>
      <c r="BG126" s="1679"/>
      <c r="BH126" s="1679"/>
      <c r="BI126" s="1679"/>
      <c r="BJ126" s="1679"/>
      <c r="BK126" s="2043"/>
      <c r="BL126" s="2043"/>
      <c r="BM126" s="2043"/>
      <c r="BN126" s="2043"/>
    </row>
    <row r="127" spans="1:66" ht="16.2">
      <c r="A127" s="2565" t="s">
        <v>2277</v>
      </c>
      <c r="B127" s="2597" t="s">
        <v>2323</v>
      </c>
      <c r="C127" s="2598">
        <v>5.36</v>
      </c>
      <c r="D127" s="1978">
        <f t="shared" si="37"/>
        <v>1</v>
      </c>
      <c r="E127" s="1979">
        <f t="shared" si="38"/>
        <v>0.9</v>
      </c>
      <c r="F127" s="2600">
        <f t="shared" si="39"/>
        <v>4.8240000000000007</v>
      </c>
      <c r="G127" s="1679"/>
      <c r="H127" s="1679"/>
      <c r="I127" s="1679"/>
      <c r="J127" s="1679"/>
      <c r="K127" s="1679"/>
      <c r="L127" s="1679"/>
      <c r="M127" s="1679"/>
      <c r="N127" s="1679"/>
      <c r="O127" s="1679"/>
      <c r="P127" s="1679"/>
      <c r="Q127" s="1679"/>
      <c r="R127" s="1679"/>
      <c r="S127" s="1679"/>
      <c r="T127" s="1679"/>
      <c r="U127" s="1679"/>
      <c r="V127" s="1679"/>
      <c r="W127" s="1679"/>
      <c r="X127" s="1679"/>
      <c r="Y127" s="1679"/>
      <c r="Z127" s="1679"/>
      <c r="AA127" s="1679"/>
      <c r="AB127" s="1679"/>
      <c r="AC127" s="1679"/>
      <c r="AD127" s="1679"/>
      <c r="AE127" s="1679"/>
      <c r="AF127" s="1679"/>
      <c r="AG127" s="1679"/>
      <c r="AH127" s="1679"/>
      <c r="AI127" s="1679"/>
      <c r="AJ127" s="1679"/>
      <c r="AK127" s="1679"/>
      <c r="AL127" s="1679"/>
      <c r="AM127" s="1679"/>
      <c r="AN127" s="1679"/>
      <c r="AO127" s="1679"/>
      <c r="AP127" s="1679"/>
      <c r="AQ127" s="1679"/>
      <c r="AR127" s="1679"/>
      <c r="AS127" s="1679"/>
      <c r="AT127" s="1679"/>
      <c r="AU127" s="1679"/>
      <c r="AV127" s="1679"/>
      <c r="AW127" s="1679"/>
      <c r="AX127" s="1679"/>
      <c r="AY127" s="1679"/>
      <c r="AZ127" s="1679"/>
      <c r="BA127" s="1679"/>
      <c r="BB127" s="1679"/>
      <c r="BC127" s="1679"/>
      <c r="BD127" s="1679"/>
      <c r="BE127" s="1679"/>
      <c r="BF127" s="1679"/>
      <c r="BG127" s="1679"/>
      <c r="BH127" s="1679"/>
      <c r="BI127" s="1679"/>
      <c r="BJ127" s="1679"/>
      <c r="BK127" s="2043"/>
      <c r="BL127" s="2043"/>
      <c r="BM127" s="2043"/>
      <c r="BN127" s="2043"/>
    </row>
    <row r="128" spans="1:66" ht="16.2">
      <c r="A128" s="2565" t="s">
        <v>2278</v>
      </c>
      <c r="B128" s="2597" t="s">
        <v>2323</v>
      </c>
      <c r="C128" s="2598">
        <v>11.65</v>
      </c>
      <c r="D128" s="1978">
        <f t="shared" si="37"/>
        <v>1</v>
      </c>
      <c r="E128" s="1979">
        <f t="shared" si="38"/>
        <v>0.9</v>
      </c>
      <c r="F128" s="2600">
        <f t="shared" si="39"/>
        <v>10.485000000000001</v>
      </c>
      <c r="G128" s="1679"/>
      <c r="H128" s="1679"/>
      <c r="I128" s="1679"/>
      <c r="J128" s="1679"/>
      <c r="K128" s="1679"/>
      <c r="L128" s="1679"/>
      <c r="M128" s="1679"/>
      <c r="N128" s="1679"/>
      <c r="O128" s="1679"/>
      <c r="P128" s="1679"/>
      <c r="Q128" s="1679"/>
      <c r="R128" s="1679"/>
      <c r="S128" s="1679"/>
      <c r="T128" s="1679"/>
      <c r="U128" s="1679"/>
      <c r="V128" s="1679"/>
      <c r="W128" s="1679"/>
      <c r="X128" s="1679"/>
      <c r="Y128" s="1679"/>
      <c r="Z128" s="1679"/>
      <c r="AA128" s="1679"/>
      <c r="AB128" s="1679"/>
      <c r="AC128" s="1679"/>
      <c r="AD128" s="1679"/>
      <c r="AE128" s="1679"/>
      <c r="AF128" s="1679"/>
      <c r="AG128" s="1679"/>
      <c r="AH128" s="1679"/>
      <c r="AI128" s="1679"/>
      <c r="AJ128" s="1679"/>
      <c r="AK128" s="1679"/>
      <c r="AL128" s="1679"/>
      <c r="AM128" s="1679"/>
      <c r="AN128" s="1679"/>
      <c r="AO128" s="1679"/>
      <c r="AP128" s="1679"/>
      <c r="AQ128" s="1679"/>
      <c r="AR128" s="1679"/>
      <c r="AS128" s="1679"/>
      <c r="AT128" s="1679"/>
      <c r="AU128" s="1679"/>
      <c r="AV128" s="1679"/>
      <c r="AW128" s="1679"/>
      <c r="AX128" s="1679"/>
      <c r="AY128" s="1679"/>
      <c r="AZ128" s="1679"/>
      <c r="BA128" s="1679"/>
      <c r="BB128" s="1679"/>
      <c r="BC128" s="1679"/>
      <c r="BD128" s="1679"/>
      <c r="BE128" s="1679"/>
      <c r="BF128" s="1679"/>
      <c r="BG128" s="1679"/>
      <c r="BH128" s="1679"/>
      <c r="BI128" s="1679"/>
      <c r="BJ128" s="1679"/>
    </row>
    <row r="129" spans="1:62" ht="16.2">
      <c r="A129" s="2565" t="s">
        <v>2279</v>
      </c>
      <c r="B129" s="2597" t="s">
        <v>2323</v>
      </c>
      <c r="C129" s="2598">
        <v>11.65</v>
      </c>
      <c r="D129" s="1978">
        <f t="shared" si="37"/>
        <v>1</v>
      </c>
      <c r="E129" s="1979">
        <f t="shared" si="38"/>
        <v>0.9</v>
      </c>
      <c r="F129" s="2600">
        <f t="shared" si="39"/>
        <v>10.485000000000001</v>
      </c>
      <c r="G129" s="1679"/>
      <c r="H129" s="1679"/>
      <c r="I129" s="1679"/>
      <c r="J129" s="1679"/>
      <c r="K129" s="1679"/>
      <c r="L129" s="1679"/>
      <c r="M129" s="1679"/>
      <c r="N129" s="1679"/>
      <c r="O129" s="1679"/>
      <c r="P129" s="1679"/>
      <c r="Q129" s="1679"/>
      <c r="R129" s="1679"/>
      <c r="S129" s="1679"/>
      <c r="T129" s="1679"/>
      <c r="U129" s="1679"/>
      <c r="V129" s="1679"/>
      <c r="W129" s="1679"/>
      <c r="X129" s="1679"/>
      <c r="Y129" s="1679"/>
      <c r="Z129" s="1679"/>
      <c r="AA129" s="1679"/>
      <c r="AB129" s="1679"/>
      <c r="AC129" s="1679"/>
      <c r="AD129" s="1679"/>
      <c r="AE129" s="1679"/>
      <c r="AF129" s="1679"/>
      <c r="AG129" s="1679"/>
      <c r="AH129" s="1679"/>
      <c r="AI129" s="1679"/>
      <c r="AJ129" s="1679"/>
      <c r="AK129" s="1679"/>
      <c r="AL129" s="1679"/>
      <c r="AM129" s="1679"/>
      <c r="AN129" s="1679"/>
      <c r="AO129" s="1679"/>
      <c r="AP129" s="1679"/>
      <c r="AQ129" s="1679"/>
      <c r="AR129" s="1679"/>
      <c r="AS129" s="1679"/>
      <c r="AT129" s="1679"/>
      <c r="AU129" s="1679"/>
      <c r="AV129" s="1679"/>
      <c r="AW129" s="1679"/>
      <c r="AX129" s="1679"/>
      <c r="AY129" s="1679"/>
      <c r="AZ129" s="1679"/>
      <c r="BA129" s="1679"/>
      <c r="BB129" s="1679"/>
      <c r="BC129" s="1679"/>
      <c r="BD129" s="1679"/>
      <c r="BE129" s="1679"/>
      <c r="BF129" s="1679"/>
      <c r="BG129" s="1679"/>
      <c r="BH129" s="1679"/>
      <c r="BI129" s="1679"/>
      <c r="BJ129" s="1679"/>
    </row>
    <row r="130" spans="1:62" ht="16.2">
      <c r="A130" s="2565" t="s">
        <v>1749</v>
      </c>
      <c r="B130" s="2597" t="s">
        <v>2323</v>
      </c>
      <c r="C130" s="2598">
        <v>13.04</v>
      </c>
      <c r="D130" s="1978">
        <f t="shared" si="37"/>
        <v>1</v>
      </c>
      <c r="E130" s="1979">
        <f t="shared" si="38"/>
        <v>0.9</v>
      </c>
      <c r="F130" s="2600">
        <f t="shared" si="39"/>
        <v>11.735999999999999</v>
      </c>
      <c r="G130" s="1679"/>
      <c r="H130" s="1679"/>
      <c r="I130" s="1679"/>
      <c r="J130" s="1679"/>
      <c r="K130" s="1679"/>
      <c r="L130" s="1679"/>
      <c r="M130" s="1679"/>
      <c r="N130" s="1679"/>
      <c r="O130" s="1679"/>
      <c r="P130" s="1679"/>
      <c r="Q130" s="1679"/>
      <c r="R130" s="1679"/>
      <c r="S130" s="1679"/>
      <c r="T130" s="1679"/>
      <c r="U130" s="1679"/>
      <c r="V130" s="1679"/>
      <c r="W130" s="1679"/>
      <c r="X130" s="1679"/>
      <c r="Y130" s="1679"/>
      <c r="Z130" s="1679"/>
      <c r="AA130" s="1679"/>
      <c r="AB130" s="1679"/>
      <c r="AC130" s="1679"/>
      <c r="AD130" s="1679"/>
      <c r="AE130" s="1679"/>
      <c r="AF130" s="1679"/>
      <c r="AG130" s="1679"/>
      <c r="AH130" s="1679"/>
      <c r="AI130" s="1679"/>
      <c r="AJ130" s="1679"/>
      <c r="AK130" s="1679"/>
      <c r="AL130" s="1679"/>
      <c r="AM130" s="1679"/>
      <c r="AN130" s="1679"/>
      <c r="AO130" s="1679"/>
      <c r="AP130" s="1679"/>
      <c r="AQ130" s="1679"/>
      <c r="AR130" s="1679"/>
      <c r="AS130" s="1679"/>
      <c r="AT130" s="1679"/>
      <c r="AU130" s="1679"/>
      <c r="AV130" s="1679"/>
      <c r="AW130" s="1679"/>
      <c r="AX130" s="1679"/>
      <c r="AY130" s="1679"/>
      <c r="AZ130" s="1679"/>
      <c r="BA130" s="1679"/>
      <c r="BB130" s="1679"/>
      <c r="BC130" s="1679"/>
      <c r="BD130" s="1679"/>
      <c r="BE130" s="1679"/>
      <c r="BF130" s="1679"/>
      <c r="BG130" s="1679"/>
      <c r="BH130" s="1679"/>
      <c r="BI130" s="1679"/>
      <c r="BJ130" s="1679"/>
    </row>
    <row r="131" spans="1:62" ht="16.2">
      <c r="A131" s="2565" t="s">
        <v>553</v>
      </c>
      <c r="B131" s="2597" t="s">
        <v>2323</v>
      </c>
      <c r="C131" s="2598">
        <v>7.7</v>
      </c>
      <c r="D131" s="1978">
        <f t="shared" si="37"/>
        <v>1</v>
      </c>
      <c r="E131" s="1979">
        <f t="shared" si="38"/>
        <v>0.9</v>
      </c>
      <c r="F131" s="2600">
        <f t="shared" si="39"/>
        <v>6.9300000000000006</v>
      </c>
      <c r="G131" s="1679"/>
      <c r="H131" s="1679"/>
      <c r="I131" s="1679"/>
      <c r="J131" s="1679"/>
      <c r="K131" s="1679"/>
      <c r="L131" s="1679"/>
      <c r="M131" s="1679"/>
      <c r="N131" s="1679"/>
      <c r="O131" s="1679"/>
      <c r="P131" s="1679"/>
      <c r="Q131" s="1679"/>
      <c r="R131" s="1679"/>
      <c r="S131" s="1679"/>
      <c r="T131" s="1679"/>
      <c r="U131" s="1679"/>
      <c r="V131" s="1679"/>
      <c r="W131" s="1679"/>
      <c r="X131" s="1679"/>
      <c r="Y131" s="1679"/>
      <c r="Z131" s="1679"/>
      <c r="AA131" s="1679"/>
      <c r="AB131" s="1679"/>
      <c r="AC131" s="1679"/>
      <c r="AD131" s="1679"/>
      <c r="AE131" s="1679"/>
      <c r="AF131" s="1679"/>
      <c r="AG131" s="1679"/>
      <c r="AH131" s="1679"/>
      <c r="AI131" s="1679"/>
      <c r="AJ131" s="1679"/>
      <c r="AK131" s="1679"/>
      <c r="AL131" s="1679"/>
      <c r="AM131" s="1679"/>
      <c r="AN131" s="1679"/>
      <c r="AO131" s="1679"/>
      <c r="AP131" s="1679"/>
      <c r="AQ131" s="1679"/>
      <c r="AR131" s="1679"/>
      <c r="AS131" s="1679"/>
      <c r="AT131" s="1679"/>
      <c r="AU131" s="1679"/>
      <c r="AV131" s="1679"/>
      <c r="AW131" s="1679"/>
      <c r="AX131" s="1679"/>
      <c r="AY131" s="1679"/>
      <c r="AZ131" s="1679"/>
      <c r="BA131" s="1679"/>
      <c r="BB131" s="1679"/>
      <c r="BC131" s="1679"/>
      <c r="BD131" s="1679"/>
      <c r="BE131" s="1679"/>
      <c r="BF131" s="1679"/>
      <c r="BG131" s="1679"/>
      <c r="BH131" s="1679"/>
      <c r="BI131" s="1679"/>
      <c r="BJ131" s="1679"/>
    </row>
    <row r="132" spans="1:62" ht="16.2">
      <c r="A132" s="2565" t="s">
        <v>835</v>
      </c>
      <c r="B132" s="2597" t="s">
        <v>2323</v>
      </c>
      <c r="C132" s="2598">
        <v>11</v>
      </c>
      <c r="D132" s="1978">
        <f t="shared" si="37"/>
        <v>1</v>
      </c>
      <c r="E132" s="1979">
        <f t="shared" si="38"/>
        <v>0.9</v>
      </c>
      <c r="F132" s="2600">
        <f t="shared" si="39"/>
        <v>9.9</v>
      </c>
      <c r="G132" s="1679"/>
      <c r="H132" s="1679"/>
      <c r="I132" s="1679"/>
      <c r="J132" s="1679"/>
      <c r="K132" s="1679"/>
      <c r="L132" s="1679"/>
      <c r="M132" s="1679"/>
      <c r="N132" s="1679"/>
      <c r="O132" s="1679"/>
      <c r="P132" s="1679"/>
      <c r="Q132" s="1679"/>
      <c r="R132" s="1679"/>
      <c r="S132" s="1679"/>
      <c r="T132" s="1679"/>
      <c r="U132" s="1679"/>
      <c r="V132" s="1679"/>
      <c r="W132" s="1679"/>
      <c r="X132" s="1679"/>
      <c r="Y132" s="1679"/>
      <c r="Z132" s="1679"/>
      <c r="AA132" s="1679"/>
      <c r="AB132" s="1679"/>
      <c r="AC132" s="1679"/>
      <c r="AD132" s="1679"/>
      <c r="AE132" s="1679"/>
      <c r="AF132" s="1679"/>
      <c r="AG132" s="1679"/>
      <c r="AH132" s="1679"/>
      <c r="AI132" s="1679"/>
      <c r="AJ132" s="1679"/>
      <c r="AK132" s="1679"/>
      <c r="AL132" s="1679"/>
      <c r="AM132" s="1679"/>
      <c r="AN132" s="1679"/>
      <c r="AO132" s="1679"/>
      <c r="AP132" s="1679"/>
      <c r="AQ132" s="1679"/>
      <c r="AR132" s="1679"/>
      <c r="AS132" s="1679"/>
      <c r="AT132" s="1679"/>
      <c r="AU132" s="1679"/>
      <c r="AV132" s="1679"/>
      <c r="AW132" s="1679"/>
      <c r="AX132" s="1679"/>
      <c r="AY132" s="1679"/>
      <c r="AZ132" s="1679"/>
      <c r="BA132" s="1679"/>
      <c r="BB132" s="1679"/>
      <c r="BC132" s="1679"/>
      <c r="BD132" s="1679"/>
      <c r="BE132" s="1679"/>
      <c r="BF132" s="1679"/>
      <c r="BG132" s="1679"/>
      <c r="BH132" s="1679"/>
      <c r="BI132" s="1679"/>
      <c r="BJ132" s="1679"/>
    </row>
    <row r="133" spans="1:62" ht="16.2">
      <c r="A133" s="2565" t="s">
        <v>2280</v>
      </c>
      <c r="B133" s="2597" t="s">
        <v>2323</v>
      </c>
      <c r="C133" s="2598">
        <v>21.98</v>
      </c>
      <c r="D133" s="1978">
        <f t="shared" si="37"/>
        <v>1</v>
      </c>
      <c r="E133" s="1979">
        <f t="shared" si="38"/>
        <v>0.9</v>
      </c>
      <c r="F133" s="2600">
        <f t="shared" si="39"/>
        <v>19.782</v>
      </c>
      <c r="G133" s="1679"/>
      <c r="H133" s="1679"/>
      <c r="I133" s="1679"/>
      <c r="J133" s="1679"/>
      <c r="K133" s="1679"/>
      <c r="L133" s="1679"/>
      <c r="M133" s="1679"/>
      <c r="N133" s="1679"/>
      <c r="O133" s="1679"/>
      <c r="P133" s="1679"/>
      <c r="Q133" s="1679"/>
      <c r="R133" s="1679"/>
      <c r="S133" s="1679"/>
      <c r="T133" s="1679"/>
      <c r="U133" s="1679"/>
      <c r="V133" s="1679"/>
      <c r="W133" s="1679"/>
      <c r="X133" s="1679"/>
      <c r="Y133" s="1679"/>
      <c r="Z133" s="1679"/>
      <c r="AA133" s="1679"/>
      <c r="AB133" s="1679"/>
      <c r="AC133" s="1679"/>
      <c r="AD133" s="1679"/>
      <c r="AE133" s="1679"/>
      <c r="AF133" s="1679"/>
      <c r="AG133" s="1679"/>
      <c r="AH133" s="1679"/>
      <c r="AI133" s="1679"/>
      <c r="AJ133" s="1679"/>
      <c r="AK133" s="1679"/>
      <c r="AL133" s="1679"/>
      <c r="AM133" s="1679"/>
      <c r="AN133" s="1679"/>
      <c r="AO133" s="1679"/>
      <c r="AP133" s="1679"/>
      <c r="AQ133" s="1679"/>
      <c r="AR133" s="1679"/>
      <c r="AS133" s="1679"/>
      <c r="AT133" s="1679"/>
      <c r="AU133" s="1679"/>
      <c r="AV133" s="1679"/>
      <c r="AW133" s="1679"/>
      <c r="AX133" s="1679"/>
      <c r="AY133" s="1679"/>
      <c r="AZ133" s="1679"/>
      <c r="BA133" s="1679"/>
      <c r="BB133" s="1679"/>
      <c r="BC133" s="1679"/>
      <c r="BD133" s="1679"/>
      <c r="BE133" s="1679"/>
      <c r="BF133" s="1679"/>
      <c r="BG133" s="1679"/>
      <c r="BH133" s="1679"/>
      <c r="BI133" s="1679"/>
      <c r="BJ133" s="1679"/>
    </row>
    <row r="134" spans="1:62" ht="16.2">
      <c r="A134" s="2565" t="s">
        <v>2281</v>
      </c>
      <c r="B134" s="2597" t="s">
        <v>2323</v>
      </c>
      <c r="C134" s="2598">
        <v>5.87</v>
      </c>
      <c r="D134" s="1978">
        <f t="shared" si="37"/>
        <v>1</v>
      </c>
      <c r="E134" s="1979">
        <f t="shared" si="38"/>
        <v>0.9</v>
      </c>
      <c r="F134" s="2600">
        <f t="shared" si="39"/>
        <v>5.2830000000000004</v>
      </c>
      <c r="G134" s="1679"/>
      <c r="H134" s="1679"/>
      <c r="I134" s="1679"/>
      <c r="J134" s="1679"/>
      <c r="K134" s="1679"/>
      <c r="L134" s="1679"/>
      <c r="M134" s="1679"/>
      <c r="N134" s="1679"/>
      <c r="O134" s="1679"/>
      <c r="P134" s="1679"/>
      <c r="Q134" s="1679"/>
      <c r="R134" s="1679"/>
      <c r="S134" s="1679"/>
      <c r="T134" s="1679"/>
      <c r="U134" s="1679"/>
      <c r="V134" s="1679"/>
      <c r="W134" s="1679"/>
      <c r="X134" s="1679"/>
      <c r="Y134" s="1679"/>
      <c r="Z134" s="1679"/>
      <c r="AA134" s="1679"/>
      <c r="AB134" s="1679"/>
      <c r="AC134" s="1679"/>
      <c r="AD134" s="1679"/>
      <c r="AE134" s="1679"/>
      <c r="AF134" s="1679"/>
      <c r="AG134" s="1679"/>
      <c r="AH134" s="1679"/>
      <c r="AI134" s="1679"/>
      <c r="AJ134" s="1679"/>
      <c r="AK134" s="1679"/>
      <c r="AL134" s="1679"/>
      <c r="AM134" s="1679"/>
      <c r="AN134" s="1679"/>
      <c r="AO134" s="1679"/>
      <c r="AP134" s="1679"/>
      <c r="AQ134" s="1679"/>
      <c r="AR134" s="1679"/>
      <c r="AS134" s="1679"/>
      <c r="AT134" s="1679"/>
      <c r="AU134" s="1679"/>
      <c r="AV134" s="1679"/>
      <c r="AW134" s="1679"/>
      <c r="AX134" s="1679"/>
      <c r="AY134" s="1679"/>
      <c r="AZ134" s="1679"/>
      <c r="BA134" s="1679"/>
      <c r="BB134" s="1679"/>
      <c r="BC134" s="1679"/>
      <c r="BD134" s="1679"/>
      <c r="BE134" s="1679"/>
      <c r="BF134" s="1679"/>
      <c r="BG134" s="1679"/>
      <c r="BH134" s="1679"/>
      <c r="BI134" s="1679"/>
      <c r="BJ134" s="1679"/>
    </row>
    <row r="135" spans="1:62" ht="16.2">
      <c r="A135" s="2565" t="s">
        <v>2219</v>
      </c>
      <c r="B135" s="2597" t="s">
        <v>2323</v>
      </c>
      <c r="C135" s="2598">
        <v>34.409999999999997</v>
      </c>
      <c r="D135" s="1978">
        <f t="shared" si="37"/>
        <v>1</v>
      </c>
      <c r="E135" s="1979">
        <f t="shared" si="38"/>
        <v>0.9</v>
      </c>
      <c r="F135" s="2600">
        <f t="shared" si="39"/>
        <v>30.968999999999998</v>
      </c>
      <c r="G135" s="1679"/>
      <c r="H135" s="1679"/>
      <c r="I135" s="1679"/>
      <c r="J135" s="1679"/>
      <c r="K135" s="1679"/>
      <c r="L135" s="1679"/>
      <c r="M135" s="1679"/>
      <c r="N135" s="1679"/>
      <c r="O135" s="1679"/>
      <c r="P135" s="1679"/>
      <c r="Q135" s="1679"/>
      <c r="R135" s="1679"/>
      <c r="S135" s="1679"/>
      <c r="T135" s="1679"/>
      <c r="U135" s="1679"/>
      <c r="V135" s="1679"/>
      <c r="W135" s="1679"/>
      <c r="X135" s="1679"/>
      <c r="Y135" s="1679"/>
      <c r="Z135" s="1679"/>
      <c r="AA135" s="1679"/>
      <c r="AB135" s="1679"/>
      <c r="AC135" s="1679"/>
      <c r="AD135" s="1679"/>
      <c r="AE135" s="1679"/>
      <c r="AF135" s="1679"/>
      <c r="AG135" s="1679"/>
      <c r="AH135" s="1679"/>
      <c r="AI135" s="1679"/>
      <c r="AJ135" s="1679"/>
      <c r="AK135" s="1679"/>
      <c r="AL135" s="1679"/>
      <c r="AM135" s="1679"/>
      <c r="AN135" s="1679"/>
      <c r="AO135" s="1679"/>
      <c r="AP135" s="1679"/>
      <c r="AQ135" s="1679"/>
      <c r="AR135" s="1679"/>
      <c r="AS135" s="1679"/>
      <c r="AT135" s="1679"/>
      <c r="AU135" s="1679"/>
      <c r="AV135" s="1679"/>
      <c r="AW135" s="1679"/>
      <c r="AX135" s="1679"/>
      <c r="AY135" s="1679"/>
      <c r="AZ135" s="1679"/>
      <c r="BA135" s="1679"/>
      <c r="BB135" s="1679"/>
      <c r="BC135" s="1679"/>
      <c r="BD135" s="1679"/>
      <c r="BE135" s="1679"/>
      <c r="BF135" s="1679"/>
      <c r="BG135" s="1679"/>
      <c r="BH135" s="1679"/>
      <c r="BI135" s="1679"/>
      <c r="BJ135" s="1679"/>
    </row>
    <row r="136" spans="1:62" ht="16.2">
      <c r="A136" s="2565" t="s">
        <v>2282</v>
      </c>
      <c r="B136" s="2597" t="s">
        <v>2323</v>
      </c>
      <c r="C136" s="2598">
        <v>11.42</v>
      </c>
      <c r="D136" s="1978">
        <f t="shared" si="37"/>
        <v>1</v>
      </c>
      <c r="E136" s="1979">
        <f t="shared" si="38"/>
        <v>0.9</v>
      </c>
      <c r="F136" s="2600">
        <f t="shared" si="39"/>
        <v>10.278</v>
      </c>
      <c r="G136" s="1679"/>
      <c r="H136" s="1679"/>
      <c r="I136" s="1679"/>
      <c r="J136" s="1679"/>
      <c r="K136" s="1679"/>
      <c r="L136" s="1679"/>
      <c r="M136" s="1679"/>
      <c r="N136" s="1679"/>
      <c r="O136" s="1679"/>
      <c r="P136" s="1679"/>
      <c r="Q136" s="1679"/>
      <c r="R136" s="1679"/>
      <c r="S136" s="1679"/>
      <c r="T136" s="1679"/>
      <c r="U136" s="1679"/>
      <c r="V136" s="1679"/>
      <c r="W136" s="1679"/>
      <c r="X136" s="1679"/>
      <c r="Y136" s="1679"/>
      <c r="Z136" s="1679"/>
      <c r="AA136" s="1679"/>
      <c r="AB136" s="1679"/>
      <c r="AC136" s="1679"/>
      <c r="AD136" s="1679"/>
      <c r="AE136" s="1679"/>
      <c r="AF136" s="1679"/>
      <c r="AG136" s="1679"/>
      <c r="AH136" s="1679"/>
      <c r="AI136" s="1679"/>
      <c r="AJ136" s="1679"/>
      <c r="AK136" s="1679"/>
      <c r="AL136" s="1679"/>
      <c r="AM136" s="1679"/>
      <c r="AN136" s="1679"/>
      <c r="AO136" s="1679"/>
      <c r="AP136" s="1679"/>
      <c r="AQ136" s="1679"/>
      <c r="AR136" s="1679"/>
      <c r="AS136" s="1679"/>
      <c r="AT136" s="1679"/>
      <c r="AU136" s="1679"/>
      <c r="AV136" s="1679"/>
      <c r="AW136" s="1679"/>
      <c r="AX136" s="1679"/>
      <c r="AY136" s="1679"/>
      <c r="AZ136" s="1679"/>
      <c r="BA136" s="1679"/>
      <c r="BB136" s="1679"/>
      <c r="BC136" s="1679"/>
      <c r="BD136" s="1679"/>
      <c r="BE136" s="1679"/>
      <c r="BF136" s="1679"/>
      <c r="BG136" s="1679"/>
      <c r="BH136" s="1679"/>
      <c r="BI136" s="1679"/>
      <c r="BJ136" s="1679"/>
    </row>
    <row r="137" spans="1:62" ht="16.2">
      <c r="A137" s="2565" t="s">
        <v>2284</v>
      </c>
      <c r="B137" s="2597" t="s">
        <v>2323</v>
      </c>
      <c r="C137" s="2598">
        <v>60</v>
      </c>
      <c r="D137" s="1978">
        <f t="shared" si="37"/>
        <v>1</v>
      </c>
      <c r="E137" s="1979">
        <f t="shared" si="38"/>
        <v>0.9</v>
      </c>
      <c r="F137" s="2600">
        <f t="shared" si="39"/>
        <v>54</v>
      </c>
      <c r="G137" s="1679"/>
      <c r="H137" s="1679"/>
      <c r="I137" s="1679"/>
      <c r="J137" s="1679"/>
      <c r="K137" s="1679"/>
      <c r="L137" s="1679"/>
      <c r="M137" s="1679"/>
      <c r="N137" s="1679"/>
      <c r="O137" s="1679"/>
      <c r="P137" s="1679"/>
      <c r="Q137" s="1679"/>
      <c r="R137" s="1679"/>
      <c r="S137" s="1679"/>
      <c r="T137" s="1679"/>
      <c r="U137" s="1679"/>
      <c r="V137" s="1679"/>
      <c r="W137" s="1679"/>
      <c r="X137" s="1679"/>
      <c r="Y137" s="1679"/>
      <c r="Z137" s="1679"/>
      <c r="AA137" s="1679"/>
      <c r="AB137" s="1679"/>
      <c r="AC137" s="1679"/>
      <c r="AD137" s="1679"/>
      <c r="AE137" s="1679"/>
      <c r="AF137" s="1679"/>
      <c r="AG137" s="1679"/>
      <c r="AH137" s="1679"/>
      <c r="AI137" s="1679"/>
      <c r="AJ137" s="1679"/>
      <c r="AK137" s="1679"/>
      <c r="AL137" s="1679"/>
      <c r="AM137" s="1679"/>
      <c r="AN137" s="1679"/>
      <c r="AO137" s="1679"/>
      <c r="AP137" s="1679"/>
      <c r="AQ137" s="1679"/>
      <c r="AR137" s="1679"/>
      <c r="AS137" s="1679"/>
      <c r="AT137" s="1679"/>
      <c r="AU137" s="1679"/>
      <c r="AV137" s="1679"/>
      <c r="AW137" s="1679"/>
      <c r="AX137" s="1679"/>
      <c r="AY137" s="1679"/>
      <c r="AZ137" s="1679"/>
      <c r="BA137" s="1679"/>
      <c r="BB137" s="1679"/>
      <c r="BC137" s="1679"/>
      <c r="BD137" s="1679"/>
      <c r="BE137" s="1679"/>
      <c r="BF137" s="1679"/>
      <c r="BG137" s="1679"/>
      <c r="BH137" s="1679"/>
      <c r="BI137" s="1679"/>
      <c r="BJ137" s="1679"/>
    </row>
    <row r="138" spans="1:62" ht="16.2">
      <c r="A138" s="2565" t="s">
        <v>2285</v>
      </c>
      <c r="B138" s="2597" t="s">
        <v>2323</v>
      </c>
      <c r="C138" s="2598">
        <v>60</v>
      </c>
      <c r="D138" s="1978">
        <f t="shared" si="37"/>
        <v>1</v>
      </c>
      <c r="E138" s="1979">
        <f t="shared" si="38"/>
        <v>0.9</v>
      </c>
      <c r="F138" s="2600">
        <f t="shared" si="39"/>
        <v>54</v>
      </c>
      <c r="G138" s="1679"/>
      <c r="H138" s="1679"/>
      <c r="I138" s="1679"/>
      <c r="J138" s="1679"/>
      <c r="K138" s="1679"/>
      <c r="L138" s="1679"/>
      <c r="M138" s="1679"/>
      <c r="N138" s="1679"/>
      <c r="O138" s="1679"/>
      <c r="P138" s="1679"/>
      <c r="Q138" s="1679"/>
      <c r="R138" s="1679"/>
      <c r="S138" s="1679"/>
      <c r="T138" s="1679"/>
      <c r="U138" s="1679"/>
      <c r="V138" s="1679"/>
      <c r="W138" s="1679"/>
      <c r="X138" s="1679"/>
      <c r="Y138" s="1679"/>
      <c r="Z138" s="1679"/>
      <c r="AA138" s="1679"/>
      <c r="AB138" s="1679"/>
      <c r="AC138" s="1679"/>
      <c r="AD138" s="1679"/>
      <c r="AE138" s="1679"/>
      <c r="AF138" s="1679"/>
      <c r="AG138" s="1679"/>
      <c r="AH138" s="1679"/>
      <c r="AI138" s="1679"/>
      <c r="AJ138" s="1679"/>
      <c r="AK138" s="1679"/>
      <c r="AL138" s="1679"/>
      <c r="AM138" s="1679"/>
      <c r="AN138" s="1679"/>
      <c r="AO138" s="1679"/>
      <c r="AP138" s="1679"/>
      <c r="AQ138" s="1679"/>
      <c r="AR138" s="1679"/>
      <c r="AS138" s="1679"/>
      <c r="AT138" s="1679"/>
      <c r="AU138" s="1679"/>
      <c r="AV138" s="1679"/>
      <c r="AW138" s="1679"/>
      <c r="AX138" s="1679"/>
      <c r="AY138" s="1679"/>
      <c r="AZ138" s="1679"/>
      <c r="BA138" s="1679"/>
      <c r="BB138" s="1679"/>
      <c r="BC138" s="1679"/>
      <c r="BD138" s="1679"/>
      <c r="BE138" s="1679"/>
      <c r="BF138" s="1679"/>
      <c r="BG138" s="1679"/>
      <c r="BH138" s="1679"/>
      <c r="BI138" s="1679"/>
      <c r="BJ138" s="1679"/>
    </row>
    <row r="139" spans="1:62" ht="16.2">
      <c r="A139" s="2565" t="s">
        <v>2286</v>
      </c>
      <c r="B139" s="2601" t="s">
        <v>2287</v>
      </c>
      <c r="C139" s="2598">
        <f>AVERAGE(C125:C137)</f>
        <v>17.84</v>
      </c>
      <c r="D139" s="1978">
        <f t="shared" si="37"/>
        <v>1</v>
      </c>
      <c r="E139" s="1979">
        <f t="shared" si="38"/>
        <v>0.9</v>
      </c>
      <c r="F139" s="2600">
        <f>C139*D139*E139</f>
        <v>16.056000000000001</v>
      </c>
      <c r="G139" s="1679"/>
      <c r="H139" s="1679"/>
      <c r="I139" s="1679"/>
      <c r="J139" s="1679"/>
      <c r="K139" s="1679"/>
      <c r="L139" s="1679"/>
      <c r="M139" s="1679"/>
      <c r="N139" s="1679"/>
      <c r="O139" s="1679"/>
      <c r="P139" s="1679"/>
      <c r="Q139" s="1679"/>
      <c r="R139" s="1679"/>
      <c r="S139" s="1679"/>
      <c r="T139" s="1679"/>
      <c r="U139" s="1679"/>
      <c r="V139" s="1679"/>
      <c r="W139" s="1679"/>
      <c r="X139" s="1679"/>
      <c r="Y139" s="1679"/>
      <c r="Z139" s="1679"/>
      <c r="AA139" s="1679"/>
      <c r="AB139" s="1679"/>
      <c r="AC139" s="1679"/>
      <c r="AD139" s="1679"/>
      <c r="AE139" s="1679"/>
      <c r="AF139" s="1679"/>
      <c r="AG139" s="1679"/>
      <c r="AH139" s="1679"/>
      <c r="AI139" s="1679"/>
      <c r="AJ139" s="1679"/>
      <c r="AK139" s="1679"/>
      <c r="AL139" s="1679"/>
      <c r="AM139" s="1679"/>
      <c r="AN139" s="1679"/>
      <c r="AO139" s="1679"/>
      <c r="AP139" s="1679"/>
      <c r="AQ139" s="1679"/>
      <c r="AR139" s="1679"/>
      <c r="AS139" s="1679"/>
      <c r="AT139" s="1679"/>
      <c r="AU139" s="1679"/>
      <c r="AV139" s="1679"/>
      <c r="AW139" s="1679"/>
      <c r="AX139" s="1679"/>
      <c r="AY139" s="1679"/>
      <c r="AZ139" s="1679"/>
      <c r="BA139" s="1679"/>
      <c r="BB139" s="1679"/>
      <c r="BC139" s="1679"/>
      <c r="BD139" s="1679"/>
      <c r="BE139" s="1679"/>
      <c r="BF139" s="1679"/>
      <c r="BG139" s="1679"/>
      <c r="BH139" s="1679"/>
      <c r="BI139" s="1679"/>
      <c r="BJ139" s="1679"/>
    </row>
    <row r="140" spans="1:62" ht="16.2">
      <c r="A140" s="2565" t="s">
        <v>2058</v>
      </c>
      <c r="B140" s="2601" t="s">
        <v>2288</v>
      </c>
      <c r="C140" s="2598">
        <f>C125</f>
        <v>24.88</v>
      </c>
      <c r="D140" s="1978">
        <f t="shared" si="37"/>
        <v>1</v>
      </c>
      <c r="E140" s="1979">
        <f t="shared" si="38"/>
        <v>0.9</v>
      </c>
      <c r="F140" s="2600">
        <f t="shared" si="39"/>
        <v>22.391999999999999</v>
      </c>
      <c r="G140" s="1679"/>
      <c r="H140" s="1679"/>
      <c r="I140" s="1679"/>
      <c r="J140" s="1679"/>
      <c r="K140" s="1679"/>
      <c r="L140" s="1679"/>
      <c r="M140" s="1679"/>
      <c r="N140" s="1679"/>
      <c r="O140" s="1679"/>
      <c r="P140" s="1679"/>
      <c r="Q140" s="1679"/>
      <c r="R140" s="1679"/>
      <c r="S140" s="1679"/>
      <c r="T140" s="1679"/>
      <c r="U140" s="1679"/>
      <c r="V140" s="1679"/>
      <c r="W140" s="1679"/>
      <c r="X140" s="1679"/>
      <c r="Y140" s="1679"/>
      <c r="Z140" s="1679"/>
      <c r="AA140" s="1679"/>
      <c r="AB140" s="1679"/>
      <c r="AC140" s="1679"/>
      <c r="AD140" s="1679"/>
      <c r="AE140" s="1679"/>
      <c r="AF140" s="1679"/>
      <c r="AG140" s="1679"/>
      <c r="AH140" s="1679"/>
      <c r="AI140" s="1679"/>
      <c r="AJ140" s="1679"/>
      <c r="AK140" s="1679"/>
      <c r="AL140" s="1679"/>
      <c r="AM140" s="1679"/>
      <c r="AN140" s="1679"/>
      <c r="AO140" s="1679"/>
      <c r="AP140" s="1679"/>
      <c r="AQ140" s="1679"/>
      <c r="AR140" s="1679"/>
      <c r="AS140" s="1679"/>
      <c r="AT140" s="1679"/>
      <c r="AU140" s="1679"/>
      <c r="AV140" s="1679"/>
      <c r="AW140" s="1679"/>
      <c r="AX140" s="1679"/>
      <c r="AY140" s="1679"/>
      <c r="AZ140" s="1679"/>
      <c r="BA140" s="1679"/>
      <c r="BB140" s="1679"/>
      <c r="BC140" s="1679"/>
      <c r="BD140" s="1679"/>
      <c r="BE140" s="1679"/>
      <c r="BF140" s="1679"/>
      <c r="BG140" s="1679"/>
      <c r="BH140" s="1679"/>
      <c r="BI140" s="1679"/>
      <c r="BJ140" s="1679"/>
    </row>
    <row r="141" spans="1:62" ht="16.2">
      <c r="A141" s="2565" t="s">
        <v>2289</v>
      </c>
      <c r="B141" s="2601" t="s">
        <v>2287</v>
      </c>
      <c r="C141" s="2598">
        <f>0.75*C137</f>
        <v>45</v>
      </c>
      <c r="D141" s="1978">
        <f t="shared" si="37"/>
        <v>1</v>
      </c>
      <c r="E141" s="1979">
        <f t="shared" si="38"/>
        <v>0.9</v>
      </c>
      <c r="F141" s="2600">
        <f t="shared" si="39"/>
        <v>40.5</v>
      </c>
      <c r="G141" s="1679"/>
      <c r="H141" s="1679"/>
      <c r="I141" s="1679"/>
      <c r="J141" s="1679"/>
      <c r="K141" s="1679"/>
      <c r="L141" s="1679"/>
      <c r="M141" s="1679"/>
      <c r="N141" s="1679"/>
      <c r="O141" s="1679"/>
      <c r="P141" s="1679"/>
      <c r="Q141" s="1679"/>
      <c r="R141" s="1679"/>
      <c r="S141" s="1679"/>
      <c r="T141" s="1679"/>
      <c r="U141" s="1679"/>
      <c r="V141" s="1679"/>
      <c r="W141" s="1679"/>
      <c r="X141" s="1679"/>
      <c r="Y141" s="1679"/>
      <c r="Z141" s="1679"/>
      <c r="AA141" s="1679"/>
      <c r="AB141" s="1679"/>
      <c r="AC141" s="1679"/>
      <c r="AD141" s="1679"/>
      <c r="AE141" s="1679"/>
      <c r="AF141" s="1679"/>
      <c r="AG141" s="1679"/>
      <c r="AH141" s="1679"/>
      <c r="AI141" s="1679"/>
      <c r="AJ141" s="1679"/>
      <c r="AK141" s="1679"/>
      <c r="AL141" s="1679"/>
      <c r="AM141" s="1679"/>
      <c r="AN141" s="1679"/>
      <c r="AO141" s="1679"/>
      <c r="AP141" s="1679"/>
      <c r="AQ141" s="1679"/>
      <c r="AR141" s="1679"/>
      <c r="AS141" s="1679"/>
      <c r="AT141" s="1679"/>
      <c r="AU141" s="1679"/>
      <c r="AV141" s="1679"/>
      <c r="AW141" s="1679"/>
      <c r="AX141" s="1679"/>
      <c r="AY141" s="1679"/>
      <c r="AZ141" s="1679"/>
      <c r="BA141" s="1679"/>
      <c r="BB141" s="1679"/>
      <c r="BC141" s="1679"/>
      <c r="BD141" s="1679"/>
      <c r="BE141" s="1679"/>
      <c r="BF141" s="1679"/>
      <c r="BG141" s="1679"/>
      <c r="BH141" s="1679"/>
      <c r="BI141" s="1679"/>
      <c r="BJ141" s="1679"/>
    </row>
    <row r="142" spans="1:62" ht="16.2">
      <c r="A142" s="2602" t="s">
        <v>2291</v>
      </c>
      <c r="B142" s="2601" t="s">
        <v>2287</v>
      </c>
      <c r="C142" s="2598">
        <f>0.5*C137</f>
        <v>30</v>
      </c>
      <c r="D142" s="1978">
        <f t="shared" si="37"/>
        <v>1</v>
      </c>
      <c r="E142" s="1979">
        <f t="shared" si="38"/>
        <v>0.9</v>
      </c>
      <c r="F142" s="2603">
        <f t="shared" si="39"/>
        <v>27</v>
      </c>
      <c r="G142" s="1679"/>
      <c r="H142" s="1679"/>
      <c r="I142" s="1679"/>
      <c r="J142" s="1679"/>
      <c r="K142" s="1679"/>
      <c r="L142" s="1679"/>
      <c r="M142" s="1679"/>
      <c r="N142" s="1679"/>
      <c r="O142" s="1679"/>
      <c r="P142" s="1679"/>
      <c r="Q142" s="1679"/>
      <c r="R142" s="1679"/>
      <c r="S142" s="1679"/>
      <c r="T142" s="1679"/>
      <c r="U142" s="1679"/>
      <c r="V142" s="1679"/>
      <c r="W142" s="1679"/>
      <c r="X142" s="1679"/>
      <c r="Y142" s="1679"/>
      <c r="Z142" s="1679"/>
      <c r="AA142" s="1679"/>
      <c r="AB142" s="1679"/>
      <c r="AC142" s="1679"/>
      <c r="AD142" s="1679"/>
      <c r="AE142" s="1679"/>
      <c r="AF142" s="1679"/>
      <c r="AG142" s="1679"/>
      <c r="AH142" s="1679"/>
      <c r="AI142" s="1679"/>
      <c r="AJ142" s="1679"/>
      <c r="AK142" s="1679"/>
      <c r="AL142" s="1679"/>
      <c r="AM142" s="1679"/>
      <c r="AN142" s="1679"/>
      <c r="AO142" s="1679"/>
      <c r="AP142" s="1679"/>
      <c r="AQ142" s="1679"/>
      <c r="AR142" s="1679"/>
      <c r="AS142" s="1679"/>
      <c r="AT142" s="1679"/>
      <c r="AU142" s="1679"/>
      <c r="AV142" s="1679"/>
      <c r="AW142" s="1679"/>
      <c r="AX142" s="1679"/>
      <c r="AY142" s="1679"/>
      <c r="AZ142" s="1679"/>
      <c r="BA142" s="1679"/>
      <c r="BB142" s="1679"/>
      <c r="BC142" s="1679"/>
      <c r="BD142" s="1679"/>
      <c r="BE142" s="1679"/>
      <c r="BF142" s="1679"/>
      <c r="BG142" s="1679"/>
      <c r="BH142" s="1679"/>
      <c r="BI142" s="1679"/>
      <c r="BJ142" s="1679"/>
    </row>
    <row r="143" spans="1:62" ht="16.2">
      <c r="A143" s="2579" t="s">
        <v>2292</v>
      </c>
      <c r="B143" s="2604" t="s">
        <v>2287</v>
      </c>
      <c r="C143" s="2598">
        <f>(C126+C128)/2</f>
        <v>12.305</v>
      </c>
      <c r="D143" s="2605">
        <f t="shared" si="37"/>
        <v>1</v>
      </c>
      <c r="E143" s="2606">
        <f t="shared" si="38"/>
        <v>0.9</v>
      </c>
      <c r="F143" s="2607">
        <f>C143*D143*E143</f>
        <v>11.0745</v>
      </c>
      <c r="G143" s="1679"/>
      <c r="H143" s="1679"/>
      <c r="I143" s="1679"/>
      <c r="J143" s="1679"/>
      <c r="K143" s="1679"/>
      <c r="L143" s="1679"/>
      <c r="M143" s="1679"/>
      <c r="N143" s="1679"/>
      <c r="O143" s="1679"/>
      <c r="P143" s="1679"/>
      <c r="Q143" s="1679"/>
      <c r="R143" s="1679"/>
      <c r="S143" s="1679"/>
      <c r="T143" s="1679"/>
      <c r="U143" s="1679"/>
      <c r="V143" s="1679"/>
      <c r="W143" s="1679"/>
      <c r="X143" s="1679"/>
      <c r="Y143" s="1679"/>
      <c r="Z143" s="1679"/>
      <c r="AA143" s="1679"/>
      <c r="AB143" s="1679"/>
      <c r="AC143" s="1679"/>
      <c r="AD143" s="1679"/>
      <c r="AE143" s="1679"/>
      <c r="AF143" s="1679"/>
      <c r="AG143" s="1679"/>
      <c r="AH143" s="1679"/>
      <c r="AI143" s="1679"/>
      <c r="AJ143" s="1679"/>
      <c r="AK143" s="1679"/>
      <c r="AL143" s="1679"/>
      <c r="AM143" s="1679"/>
      <c r="AN143" s="1679"/>
      <c r="AO143" s="1679"/>
      <c r="AP143" s="1679"/>
      <c r="AQ143" s="1679"/>
      <c r="AR143" s="1679"/>
      <c r="AS143" s="1679"/>
      <c r="AT143" s="1679"/>
      <c r="AU143" s="1679"/>
      <c r="AV143" s="1679"/>
      <c r="AW143" s="1679"/>
      <c r="AX143" s="1679"/>
      <c r="AY143" s="1679"/>
      <c r="AZ143" s="1679"/>
      <c r="BA143" s="1679"/>
      <c r="BB143" s="1679"/>
      <c r="BC143" s="1679"/>
      <c r="BD143" s="1679"/>
      <c r="BE143" s="1679"/>
      <c r="BF143" s="1679"/>
      <c r="BG143" s="1679"/>
      <c r="BH143" s="1679"/>
      <c r="BI143" s="1679"/>
      <c r="BJ143" s="1679"/>
    </row>
    <row r="144" spans="1:62">
      <c r="A144" s="1679"/>
      <c r="B144" s="1679"/>
      <c r="C144" s="1679"/>
      <c r="D144" s="1679"/>
      <c r="E144" s="1679"/>
      <c r="F144" s="1679"/>
      <c r="G144" s="1679"/>
      <c r="H144" s="1679"/>
      <c r="I144" s="1679"/>
      <c r="J144" s="1679"/>
      <c r="K144" s="1679"/>
      <c r="L144" s="1679"/>
      <c r="M144" s="1679"/>
      <c r="N144" s="1679"/>
      <c r="O144" s="1679"/>
      <c r="P144" s="1679"/>
      <c r="Q144" s="1679"/>
      <c r="R144" s="1679"/>
      <c r="S144" s="1679"/>
      <c r="T144" s="1679"/>
      <c r="U144" s="1679"/>
      <c r="V144" s="1679"/>
      <c r="W144" s="1679"/>
      <c r="X144" s="1679"/>
      <c r="Y144" s="1679"/>
      <c r="Z144" s="1679"/>
      <c r="AA144" s="1679"/>
      <c r="AB144" s="1679"/>
      <c r="AC144" s="1679"/>
      <c r="AD144" s="1679"/>
      <c r="AE144" s="1679"/>
      <c r="AF144" s="1679"/>
      <c r="AG144" s="1679"/>
      <c r="AH144" s="1679"/>
      <c r="AI144" s="1679"/>
      <c r="AJ144" s="1679"/>
      <c r="AK144" s="1679"/>
      <c r="AL144" s="1679"/>
      <c r="AM144" s="1679"/>
      <c r="AN144" s="1679"/>
      <c r="AO144" s="1679"/>
      <c r="AP144" s="1679"/>
      <c r="AQ144" s="1679"/>
      <c r="AR144" s="1679"/>
      <c r="AS144" s="1679"/>
      <c r="AT144" s="1679"/>
      <c r="AU144" s="1679"/>
      <c r="AV144" s="1679"/>
      <c r="AW144" s="1679"/>
      <c r="AX144" s="1679"/>
      <c r="AY144" s="1679"/>
      <c r="AZ144" s="1679"/>
      <c r="BA144" s="1679"/>
      <c r="BB144" s="1679"/>
      <c r="BC144" s="1679"/>
      <c r="BD144" s="1679"/>
      <c r="BE144" s="1679"/>
      <c r="BF144" s="1679"/>
      <c r="BG144" s="1679"/>
      <c r="BH144" s="1679"/>
      <c r="BI144" s="1679"/>
      <c r="BJ144" s="1679"/>
    </row>
    <row r="145" spans="1:62">
      <c r="A145" s="1679"/>
      <c r="B145" s="1679"/>
      <c r="C145" s="1679"/>
      <c r="D145" s="1679"/>
      <c r="E145" s="1679"/>
      <c r="F145" s="1679"/>
      <c r="G145" s="1679"/>
      <c r="H145" s="1679"/>
      <c r="I145" s="1679"/>
      <c r="J145" s="1679"/>
      <c r="K145" s="1679"/>
      <c r="L145" s="1679"/>
      <c r="M145" s="1679"/>
      <c r="N145" s="1679"/>
      <c r="O145" s="1679"/>
      <c r="P145" s="1679"/>
      <c r="Q145" s="1679"/>
      <c r="R145" s="1679"/>
      <c r="S145" s="1679"/>
      <c r="T145" s="1679"/>
      <c r="U145" s="1679"/>
      <c r="V145" s="1679"/>
      <c r="W145" s="1679"/>
      <c r="X145" s="1679"/>
      <c r="Y145" s="1679"/>
      <c r="Z145" s="1679"/>
      <c r="AA145" s="1679"/>
      <c r="AB145" s="1679"/>
      <c r="AC145" s="1679"/>
      <c r="AD145" s="1679"/>
      <c r="AE145" s="1679"/>
      <c r="AF145" s="1679"/>
      <c r="AG145" s="1679"/>
      <c r="AH145" s="1679"/>
      <c r="AI145" s="1679"/>
      <c r="AJ145" s="1679"/>
      <c r="AK145" s="1679"/>
      <c r="AL145" s="1679"/>
      <c r="AM145" s="1679"/>
      <c r="AN145" s="1679"/>
      <c r="AO145" s="1679"/>
      <c r="AP145" s="1679"/>
      <c r="AQ145" s="1679"/>
      <c r="AR145" s="1679"/>
      <c r="AS145" s="1679"/>
      <c r="AT145" s="1679"/>
      <c r="AU145" s="1679"/>
      <c r="AV145" s="1679"/>
      <c r="AW145" s="1679"/>
      <c r="AX145" s="1679"/>
      <c r="AY145" s="1679"/>
      <c r="AZ145" s="1679"/>
      <c r="BA145" s="1679"/>
      <c r="BB145" s="1679"/>
      <c r="BC145" s="1679"/>
      <c r="BD145" s="1679"/>
      <c r="BE145" s="1679"/>
      <c r="BF145" s="1679"/>
      <c r="BG145" s="1679"/>
      <c r="BH145" s="1679"/>
      <c r="BI145" s="1679"/>
      <c r="BJ145" s="1679"/>
    </row>
    <row r="146" spans="1:62">
      <c r="A146" s="1679"/>
      <c r="B146" s="1679"/>
      <c r="C146" s="1679"/>
      <c r="D146" s="1679"/>
      <c r="E146" s="1679"/>
      <c r="F146" s="1679"/>
      <c r="G146" s="1679"/>
      <c r="H146" s="1679"/>
      <c r="I146" s="1679"/>
      <c r="J146" s="1679"/>
      <c r="K146" s="1679"/>
      <c r="L146" s="1679"/>
      <c r="M146" s="1679"/>
      <c r="N146" s="1679"/>
      <c r="O146" s="1679"/>
      <c r="P146" s="1679"/>
      <c r="Q146" s="1679"/>
      <c r="R146" s="1679"/>
      <c r="S146" s="1679"/>
      <c r="T146" s="1679"/>
      <c r="U146" s="1679"/>
      <c r="V146" s="1679"/>
      <c r="W146" s="1679"/>
      <c r="X146" s="1679"/>
      <c r="Y146" s="1679"/>
      <c r="Z146" s="1679"/>
      <c r="AA146" s="1679"/>
      <c r="AB146" s="1679"/>
      <c r="AC146" s="1679"/>
      <c r="AD146" s="1679"/>
      <c r="AE146" s="1679"/>
      <c r="AF146" s="1679"/>
      <c r="AG146" s="1679"/>
      <c r="AH146" s="1679"/>
      <c r="AI146" s="1679"/>
      <c r="AJ146" s="1679"/>
      <c r="AK146" s="1679"/>
      <c r="AL146" s="1679"/>
      <c r="AM146" s="1679"/>
      <c r="AN146" s="1679"/>
      <c r="AO146" s="1679"/>
      <c r="AP146" s="1679"/>
      <c r="AQ146" s="1679"/>
      <c r="AR146" s="1679"/>
      <c r="AS146" s="1679"/>
      <c r="AT146" s="1679"/>
      <c r="AU146" s="1679"/>
      <c r="AV146" s="1679"/>
      <c r="AW146" s="1679"/>
      <c r="AX146" s="1679"/>
      <c r="AY146" s="1679"/>
      <c r="AZ146" s="1679"/>
      <c r="BA146" s="1679"/>
      <c r="BB146" s="1679"/>
      <c r="BC146" s="1679"/>
      <c r="BD146" s="1679"/>
      <c r="BE146" s="1679"/>
      <c r="BF146" s="1679"/>
      <c r="BG146" s="1679"/>
      <c r="BH146" s="1679"/>
      <c r="BI146" s="1679"/>
      <c r="BJ146" s="1679"/>
    </row>
    <row r="147" spans="1:62">
      <c r="A147" s="1679"/>
      <c r="B147" s="1679"/>
      <c r="C147" s="1679"/>
      <c r="D147" s="1679"/>
      <c r="E147" s="1679"/>
      <c r="F147" s="1679"/>
      <c r="G147" s="1679"/>
      <c r="H147" s="1679"/>
      <c r="I147" s="1679"/>
      <c r="J147" s="1679"/>
      <c r="K147" s="1679"/>
      <c r="L147" s="1679"/>
      <c r="M147" s="1679"/>
      <c r="N147" s="1679"/>
      <c r="O147" s="1679"/>
      <c r="P147" s="1679"/>
      <c r="Q147" s="1679"/>
      <c r="R147" s="1679"/>
      <c r="S147" s="1679"/>
      <c r="T147" s="1679"/>
      <c r="U147" s="1679"/>
      <c r="V147" s="1679"/>
      <c r="W147" s="1679"/>
      <c r="X147" s="1679"/>
      <c r="Y147" s="1679"/>
      <c r="Z147" s="1679"/>
      <c r="AA147" s="1679"/>
      <c r="AB147" s="1679"/>
      <c r="AC147" s="1679"/>
      <c r="AD147" s="1679"/>
      <c r="AE147" s="1679"/>
      <c r="AF147" s="1679"/>
      <c r="AG147" s="1679"/>
      <c r="AH147" s="1679"/>
      <c r="AI147" s="1679"/>
      <c r="AJ147" s="1679"/>
      <c r="AK147" s="1679"/>
      <c r="AL147" s="1679"/>
      <c r="AM147" s="1679"/>
      <c r="AN147" s="1679"/>
      <c r="AO147" s="1679"/>
      <c r="AP147" s="1679"/>
      <c r="AQ147" s="1679"/>
      <c r="AR147" s="1679"/>
      <c r="AS147" s="1679"/>
      <c r="AT147" s="1679"/>
      <c r="AU147" s="1679"/>
      <c r="AV147" s="1679"/>
      <c r="AW147" s="1679"/>
      <c r="AX147" s="1679"/>
      <c r="AY147" s="1679"/>
      <c r="AZ147" s="1679"/>
      <c r="BA147" s="1679"/>
      <c r="BB147" s="1679"/>
      <c r="BC147" s="1679"/>
      <c r="BD147" s="1679"/>
      <c r="BE147" s="1679"/>
      <c r="BF147" s="1679"/>
      <c r="BG147" s="1679"/>
      <c r="BH147" s="1679"/>
      <c r="BI147" s="1679"/>
      <c r="BJ147" s="1679"/>
    </row>
    <row r="148" spans="1:62">
      <c r="A148" s="1679"/>
      <c r="B148" s="1679"/>
      <c r="C148" s="1679"/>
      <c r="D148" s="1679"/>
      <c r="E148" s="1679"/>
      <c r="F148" s="1679"/>
      <c r="G148" s="1679"/>
      <c r="H148" s="1679"/>
      <c r="I148" s="1679"/>
      <c r="J148" s="1679"/>
      <c r="K148" s="1679"/>
      <c r="L148" s="1679"/>
      <c r="M148" s="1679"/>
      <c r="N148" s="1679"/>
      <c r="O148" s="1679"/>
      <c r="P148" s="1679"/>
      <c r="Q148" s="1679"/>
      <c r="R148" s="1679"/>
      <c r="S148" s="1679"/>
      <c r="T148" s="1679"/>
      <c r="U148" s="1679"/>
      <c r="V148" s="1679"/>
      <c r="W148" s="1679"/>
      <c r="X148" s="1679"/>
      <c r="Y148" s="1679"/>
      <c r="Z148" s="1679"/>
      <c r="AA148" s="1679"/>
      <c r="AB148" s="1679"/>
      <c r="AC148" s="1679"/>
      <c r="AD148" s="1679"/>
      <c r="AE148" s="1679"/>
      <c r="AF148" s="1679"/>
      <c r="AG148" s="1679"/>
      <c r="AH148" s="1679"/>
      <c r="AI148" s="1679"/>
      <c r="AJ148" s="1679"/>
      <c r="AK148" s="1679"/>
      <c r="AL148" s="1679"/>
      <c r="AM148" s="1679"/>
      <c r="AN148" s="1679"/>
      <c r="AO148" s="1679"/>
      <c r="AP148" s="1679"/>
      <c r="AQ148" s="1679"/>
      <c r="AR148" s="1679"/>
      <c r="AS148" s="1679"/>
      <c r="AT148" s="1679"/>
      <c r="AU148" s="1679"/>
      <c r="AV148" s="1679"/>
      <c r="AW148" s="1679"/>
      <c r="AX148" s="1679"/>
      <c r="AY148" s="1679"/>
      <c r="AZ148" s="1679"/>
      <c r="BA148" s="1679"/>
      <c r="BB148" s="1679"/>
      <c r="BC148" s="1679"/>
      <c r="BD148" s="1679"/>
      <c r="BE148" s="1679"/>
      <c r="BF148" s="1679"/>
      <c r="BG148" s="1679"/>
      <c r="BH148" s="1679"/>
      <c r="BI148" s="1679"/>
      <c r="BJ148" s="1679"/>
    </row>
    <row r="149" spans="1:62">
      <c r="A149" s="1679"/>
      <c r="B149" s="1679"/>
      <c r="C149" s="1679"/>
      <c r="D149" s="1679"/>
      <c r="E149" s="1679"/>
      <c r="F149" s="1679"/>
      <c r="G149" s="1679"/>
      <c r="H149" s="1679"/>
      <c r="I149" s="1679"/>
      <c r="J149" s="1679"/>
      <c r="K149" s="1679"/>
      <c r="L149" s="1679"/>
      <c r="M149" s="1679"/>
      <c r="N149" s="1679"/>
      <c r="O149" s="1679"/>
      <c r="P149" s="1679"/>
      <c r="Q149" s="1679"/>
      <c r="R149" s="1679"/>
      <c r="S149" s="1679"/>
      <c r="T149" s="1679"/>
      <c r="U149" s="1679"/>
      <c r="V149" s="1679"/>
      <c r="W149" s="1679"/>
      <c r="X149" s="1679"/>
      <c r="Y149" s="1679"/>
      <c r="Z149" s="1679"/>
      <c r="AA149" s="1679"/>
      <c r="AB149" s="1679"/>
      <c r="AC149" s="1679"/>
      <c r="AD149" s="1679"/>
      <c r="AE149" s="1679"/>
      <c r="AF149" s="1679"/>
      <c r="AG149" s="1679"/>
      <c r="AH149" s="1679"/>
      <c r="AI149" s="1679"/>
      <c r="AJ149" s="1679"/>
      <c r="AK149" s="1679"/>
      <c r="AL149" s="1679"/>
      <c r="AM149" s="1679"/>
      <c r="AN149" s="1679"/>
      <c r="AO149" s="1679"/>
      <c r="AP149" s="1679"/>
      <c r="AQ149" s="1679"/>
      <c r="AR149" s="1679"/>
      <c r="AS149" s="1679"/>
      <c r="AT149" s="1679"/>
      <c r="AU149" s="1679"/>
      <c r="AV149" s="1679"/>
      <c r="AW149" s="1679"/>
      <c r="AX149" s="1679"/>
      <c r="AY149" s="1679"/>
      <c r="AZ149" s="1679"/>
      <c r="BA149" s="1679"/>
      <c r="BB149" s="1679"/>
      <c r="BC149" s="1679"/>
      <c r="BD149" s="1679"/>
      <c r="BE149" s="1679"/>
      <c r="BF149" s="1679"/>
      <c r="BG149" s="1679"/>
      <c r="BH149" s="1679"/>
      <c r="BI149" s="1679"/>
      <c r="BJ149" s="1679"/>
    </row>
    <row r="150" spans="1:62">
      <c r="A150" s="1679"/>
      <c r="B150" s="1679"/>
      <c r="C150" s="1679"/>
      <c r="D150" s="1679"/>
      <c r="E150" s="1679"/>
      <c r="F150" s="1679"/>
      <c r="G150" s="1679"/>
      <c r="H150" s="1679"/>
      <c r="I150" s="1679"/>
      <c r="J150" s="1679"/>
      <c r="K150" s="1679"/>
      <c r="L150" s="1679"/>
      <c r="M150" s="1679"/>
      <c r="N150" s="1679"/>
      <c r="O150" s="1679"/>
      <c r="P150" s="1679"/>
      <c r="Q150" s="1679"/>
      <c r="R150" s="1679"/>
      <c r="S150" s="1679"/>
      <c r="T150" s="1679"/>
      <c r="U150" s="1679"/>
      <c r="V150" s="1679"/>
      <c r="W150" s="1679"/>
      <c r="X150" s="1679"/>
      <c r="Y150" s="1679"/>
      <c r="Z150" s="1679"/>
      <c r="AA150" s="1679"/>
      <c r="AB150" s="1679"/>
      <c r="AC150" s="1679"/>
      <c r="AD150" s="1679"/>
      <c r="AE150" s="1679"/>
      <c r="AF150" s="1679"/>
      <c r="AG150" s="1679"/>
      <c r="AH150" s="1679"/>
      <c r="AI150" s="1679"/>
      <c r="AJ150" s="1679"/>
      <c r="AK150" s="1679"/>
      <c r="AL150" s="1679"/>
      <c r="AM150" s="1679"/>
      <c r="AN150" s="1679"/>
      <c r="AO150" s="1679"/>
      <c r="AP150" s="1679"/>
      <c r="AQ150" s="1679"/>
      <c r="AR150" s="1679"/>
      <c r="AS150" s="1679"/>
      <c r="AT150" s="1679"/>
      <c r="AU150" s="1679"/>
      <c r="AV150" s="1679"/>
      <c r="AW150" s="1679"/>
      <c r="AX150" s="1679"/>
      <c r="AY150" s="1679"/>
      <c r="AZ150" s="1679"/>
      <c r="BA150" s="1679"/>
      <c r="BB150" s="1679"/>
      <c r="BC150" s="1679"/>
      <c r="BD150" s="1679"/>
      <c r="BE150" s="1679"/>
      <c r="BF150" s="1679"/>
      <c r="BG150" s="1679"/>
      <c r="BH150" s="1679"/>
      <c r="BI150" s="1679"/>
      <c r="BJ150" s="1679"/>
    </row>
    <row r="151" spans="1:62">
      <c r="A151" s="1679"/>
      <c r="B151" s="1679"/>
      <c r="C151" s="1679"/>
      <c r="D151" s="1679"/>
      <c r="E151" s="1679"/>
      <c r="F151" s="1679"/>
      <c r="G151" s="1679"/>
      <c r="H151" s="1679"/>
      <c r="I151" s="1679"/>
      <c r="J151" s="1679"/>
      <c r="K151" s="1679"/>
      <c r="L151" s="1679"/>
      <c r="M151" s="1679"/>
      <c r="N151" s="1679"/>
      <c r="O151" s="1679"/>
      <c r="P151" s="1679"/>
      <c r="Q151" s="1679"/>
      <c r="R151" s="1679"/>
      <c r="S151" s="1679"/>
      <c r="T151" s="1679"/>
      <c r="U151" s="1679"/>
      <c r="V151" s="1679"/>
      <c r="W151" s="1679"/>
      <c r="X151" s="1679"/>
      <c r="Y151" s="1679"/>
      <c r="Z151" s="1679"/>
      <c r="AA151" s="1679"/>
      <c r="AB151" s="1679"/>
      <c r="AC151" s="1679"/>
      <c r="AD151" s="1679"/>
      <c r="AE151" s="1679"/>
      <c r="AF151" s="1679"/>
      <c r="AG151" s="1679"/>
      <c r="AH151" s="1679"/>
      <c r="AI151" s="1679"/>
      <c r="AJ151" s="1679"/>
      <c r="AK151" s="1679"/>
      <c r="AL151" s="1679"/>
      <c r="AM151" s="1679"/>
      <c r="AN151" s="1679"/>
      <c r="AO151" s="1679"/>
      <c r="AP151" s="1679"/>
      <c r="AQ151" s="1679"/>
      <c r="AR151" s="1679"/>
      <c r="AS151" s="1679"/>
      <c r="AT151" s="1679"/>
      <c r="AU151" s="1679"/>
      <c r="AV151" s="1679"/>
      <c r="AW151" s="1679"/>
      <c r="AX151" s="1679"/>
      <c r="AY151" s="1679"/>
      <c r="AZ151" s="1679"/>
      <c r="BA151" s="1679"/>
      <c r="BB151" s="1679"/>
      <c r="BC151" s="1679"/>
      <c r="BD151" s="1679"/>
      <c r="BE151" s="1679"/>
      <c r="BF151" s="1679"/>
      <c r="BG151" s="1679"/>
      <c r="BH151" s="1679"/>
      <c r="BI151" s="1679"/>
      <c r="BJ151" s="1679"/>
    </row>
    <row r="152" spans="1:62">
      <c r="A152" s="1679"/>
      <c r="B152" s="1679"/>
      <c r="C152" s="1679"/>
      <c r="D152" s="1679"/>
      <c r="E152" s="1679"/>
      <c r="F152" s="1679"/>
      <c r="G152" s="1679"/>
      <c r="H152" s="1679"/>
      <c r="I152" s="1679"/>
      <c r="J152" s="1679"/>
      <c r="K152" s="1679"/>
      <c r="L152" s="1679"/>
      <c r="M152" s="1679"/>
      <c r="N152" s="1679"/>
      <c r="O152" s="1679"/>
      <c r="P152" s="1679"/>
      <c r="Q152" s="1679"/>
      <c r="R152" s="1679"/>
      <c r="S152" s="1679"/>
      <c r="T152" s="1679"/>
      <c r="U152" s="1679"/>
      <c r="V152" s="1679"/>
      <c r="W152" s="1679"/>
      <c r="X152" s="1679"/>
      <c r="Y152" s="1679"/>
      <c r="Z152" s="1679"/>
      <c r="AA152" s="1679"/>
      <c r="AB152" s="1679"/>
      <c r="AC152" s="1679"/>
      <c r="AD152" s="1679"/>
      <c r="AE152" s="1679"/>
      <c r="AF152" s="1679"/>
      <c r="AG152" s="1679"/>
      <c r="AH152" s="1679"/>
      <c r="AI152" s="1679"/>
      <c r="AJ152" s="1679"/>
      <c r="AK152" s="1679"/>
      <c r="AL152" s="1679"/>
      <c r="AM152" s="1679"/>
      <c r="AN152" s="1679"/>
      <c r="AO152" s="1679"/>
      <c r="AP152" s="1679"/>
      <c r="AQ152" s="1679"/>
      <c r="AR152" s="1679"/>
      <c r="AS152" s="1679"/>
      <c r="AT152" s="1679"/>
      <c r="AU152" s="1679"/>
      <c r="AV152" s="1679"/>
      <c r="AW152" s="1679"/>
      <c r="AX152" s="1679"/>
      <c r="AY152" s="1679"/>
      <c r="AZ152" s="1679"/>
      <c r="BA152" s="1679"/>
      <c r="BB152" s="1679"/>
      <c r="BC152" s="1679"/>
      <c r="BD152" s="1679"/>
      <c r="BE152" s="1679"/>
      <c r="BF152" s="1679"/>
      <c r="BG152" s="1679"/>
      <c r="BH152" s="1679"/>
      <c r="BI152" s="1679"/>
      <c r="BJ152" s="1679"/>
    </row>
    <row r="153" spans="1:62">
      <c r="A153" s="1679"/>
      <c r="B153" s="1679"/>
      <c r="C153" s="1679"/>
      <c r="D153" s="1679"/>
      <c r="E153" s="1679"/>
      <c r="F153" s="1679"/>
      <c r="G153" s="1679"/>
      <c r="H153" s="1679"/>
      <c r="I153" s="1679"/>
      <c r="J153" s="1679"/>
      <c r="K153" s="1679"/>
      <c r="L153" s="1679"/>
      <c r="M153" s="1679"/>
      <c r="N153" s="1679"/>
      <c r="O153" s="1679"/>
      <c r="P153" s="1679"/>
      <c r="Q153" s="1679"/>
      <c r="R153" s="1679"/>
      <c r="S153" s="1679"/>
      <c r="T153" s="1679"/>
      <c r="U153" s="1679"/>
      <c r="V153" s="1679"/>
      <c r="W153" s="1679"/>
      <c r="X153" s="1679"/>
      <c r="Y153" s="1679"/>
      <c r="Z153" s="1679"/>
      <c r="AA153" s="1679"/>
      <c r="AB153" s="1679"/>
      <c r="AC153" s="1679"/>
      <c r="AD153" s="1679"/>
      <c r="AE153" s="1679"/>
      <c r="AF153" s="1679"/>
      <c r="AG153" s="1679"/>
      <c r="AH153" s="1679"/>
      <c r="AI153" s="1679"/>
      <c r="AJ153" s="1679"/>
      <c r="AK153" s="1679"/>
      <c r="AL153" s="1679"/>
      <c r="AM153" s="1679"/>
      <c r="AN153" s="1679"/>
      <c r="AO153" s="1679"/>
      <c r="AP153" s="1679"/>
      <c r="AQ153" s="1679"/>
      <c r="AR153" s="1679"/>
      <c r="AS153" s="1679"/>
      <c r="AT153" s="1679"/>
      <c r="AU153" s="1679"/>
      <c r="AV153" s="1679"/>
      <c r="AW153" s="1679"/>
      <c r="AX153" s="1679"/>
      <c r="AY153" s="1679"/>
      <c r="AZ153" s="1679"/>
      <c r="BA153" s="1679"/>
      <c r="BB153" s="1679"/>
      <c r="BC153" s="1679"/>
      <c r="BD153" s="1679"/>
      <c r="BE153" s="1679"/>
      <c r="BF153" s="1679"/>
      <c r="BG153" s="1679"/>
      <c r="BH153" s="1679"/>
      <c r="BI153" s="1679"/>
      <c r="BJ153" s="1679"/>
    </row>
    <row r="154" spans="1:62">
      <c r="A154" s="1679"/>
      <c r="B154" s="1679"/>
      <c r="C154" s="1679"/>
      <c r="D154" s="1679"/>
      <c r="E154" s="1679"/>
      <c r="F154" s="1679"/>
      <c r="G154" s="1679"/>
      <c r="H154" s="1679"/>
      <c r="I154" s="1679"/>
      <c r="J154" s="1679"/>
      <c r="K154" s="1679"/>
      <c r="L154" s="1679"/>
      <c r="M154" s="1679"/>
      <c r="N154" s="1679"/>
      <c r="O154" s="1679"/>
      <c r="P154" s="1679"/>
      <c r="Q154" s="1679"/>
      <c r="R154" s="1679"/>
      <c r="S154" s="1679"/>
      <c r="T154" s="1679"/>
      <c r="U154" s="1679"/>
      <c r="V154" s="1679"/>
      <c r="W154" s="1679"/>
      <c r="X154" s="1679"/>
      <c r="Y154" s="1679"/>
      <c r="Z154" s="1679"/>
      <c r="AA154" s="1679"/>
      <c r="AB154" s="1679"/>
      <c r="AC154" s="1679"/>
      <c r="AD154" s="1679"/>
      <c r="AE154" s="1679"/>
      <c r="AF154" s="1679"/>
      <c r="AG154" s="1679"/>
      <c r="AH154" s="1679"/>
      <c r="AI154" s="1679"/>
      <c r="AJ154" s="1679"/>
      <c r="AK154" s="1679"/>
      <c r="AL154" s="1679"/>
      <c r="AM154" s="1679"/>
      <c r="AN154" s="1679"/>
      <c r="AO154" s="1679"/>
      <c r="AP154" s="1679"/>
      <c r="AQ154" s="1679"/>
      <c r="AR154" s="1679"/>
      <c r="AS154" s="1679"/>
      <c r="AT154" s="1679"/>
      <c r="AU154" s="1679"/>
      <c r="AV154" s="1679"/>
      <c r="AW154" s="1679"/>
      <c r="AX154" s="1679"/>
      <c r="AY154" s="1679"/>
      <c r="AZ154" s="1679"/>
      <c r="BA154" s="1679"/>
      <c r="BB154" s="1679"/>
      <c r="BC154" s="1679"/>
      <c r="BD154" s="1679"/>
      <c r="BE154" s="1679"/>
      <c r="BF154" s="1679"/>
      <c r="BG154" s="1679"/>
      <c r="BH154" s="1679"/>
      <c r="BI154" s="1679"/>
      <c r="BJ154" s="1679"/>
    </row>
  </sheetData>
  <mergeCells count="54">
    <mergeCell ref="AR23:AS23"/>
    <mergeCell ref="BH23:BI23"/>
    <mergeCell ref="A121:F122"/>
    <mergeCell ref="A123:A124"/>
    <mergeCell ref="C123:C124"/>
    <mergeCell ref="D123:D124"/>
    <mergeCell ref="E123:E124"/>
    <mergeCell ref="F123:F124"/>
    <mergeCell ref="AX23:AY23"/>
    <mergeCell ref="AZ23:BA23"/>
    <mergeCell ref="BB23:BC23"/>
    <mergeCell ref="BD23:BE23"/>
    <mergeCell ref="BB22:BC22"/>
    <mergeCell ref="BD22:BE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2:AS22"/>
    <mergeCell ref="AT22:AU22"/>
    <mergeCell ref="AV22:AW22"/>
    <mergeCell ref="AX22:AY22"/>
    <mergeCell ref="AZ22:BA22"/>
    <mergeCell ref="AH22:AI22"/>
    <mergeCell ref="AJ22:AK22"/>
    <mergeCell ref="AL22:AM22"/>
    <mergeCell ref="AN22:AO22"/>
    <mergeCell ref="AP22:AQ22"/>
    <mergeCell ref="BK24:BL24"/>
    <mergeCell ref="M2:N3"/>
    <mergeCell ref="M4:N4"/>
    <mergeCell ref="P20:U20"/>
    <mergeCell ref="AT23:AU23"/>
    <mergeCell ref="AV23:AW23"/>
    <mergeCell ref="BG21:BI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9"/>
  <sheetViews>
    <sheetView topLeftCell="C1" workbookViewId="0">
      <selection activeCell="A8" sqref="A8"/>
    </sheetView>
  </sheetViews>
  <sheetFormatPr defaultRowHeight="15"/>
  <cols>
    <col min="1" max="1" width="88.81640625" customWidth="1"/>
    <col min="2" max="2" width="5.1796875" customWidth="1"/>
    <col min="3" max="3" width="39.453125" customWidth="1"/>
    <col min="4" max="5" width="8.36328125" customWidth="1"/>
    <col min="6" max="6" width="9.90625" customWidth="1"/>
    <col min="7" max="7" width="10.6328125" customWidth="1"/>
  </cols>
  <sheetData>
    <row r="1" spans="2:7" ht="15.6">
      <c r="B1" s="3253" t="s">
        <v>962</v>
      </c>
      <c r="C1" s="3254"/>
      <c r="D1" s="3254"/>
      <c r="E1" s="3254"/>
      <c r="F1" s="3254"/>
      <c r="G1" s="3254"/>
    </row>
    <row r="2" spans="2:7" ht="15.6">
      <c r="B2" s="3253" t="s">
        <v>963</v>
      </c>
      <c r="C2" s="3254"/>
      <c r="D2" s="3254"/>
      <c r="E2" s="3254"/>
      <c r="F2" s="3254"/>
      <c r="G2" s="3254"/>
    </row>
    <row r="3" spans="2:7" ht="15.6">
      <c r="B3" s="1943"/>
      <c r="C3" s="1944"/>
      <c r="D3" s="1944"/>
      <c r="E3" s="1944"/>
      <c r="F3" s="1944"/>
      <c r="G3" s="1944"/>
    </row>
    <row r="4" spans="2:7" ht="15.6">
      <c r="B4" s="3253" t="s">
        <v>1405</v>
      </c>
      <c r="C4" s="3254"/>
      <c r="D4" s="3254"/>
      <c r="E4" s="3254"/>
      <c r="F4" s="3254"/>
      <c r="G4" s="3254"/>
    </row>
    <row r="5" spans="2:7" ht="15.6">
      <c r="B5" s="1943"/>
      <c r="C5" s="1944"/>
      <c r="D5" s="1944"/>
      <c r="E5" s="1944"/>
      <c r="F5" s="1944"/>
      <c r="G5" s="1944"/>
    </row>
    <row r="6" spans="2:7" ht="15.6">
      <c r="B6" s="3255" t="s">
        <v>964</v>
      </c>
      <c r="C6" s="3254"/>
      <c r="D6" s="3254"/>
      <c r="E6" s="3254"/>
      <c r="F6" s="3254"/>
      <c r="G6" s="3254"/>
    </row>
    <row r="7" spans="2:7" ht="16.2" thickBot="1">
      <c r="B7" s="3262"/>
      <c r="C7" s="3254"/>
      <c r="D7" s="3254"/>
      <c r="E7" s="3254"/>
      <c r="F7" s="3254"/>
      <c r="G7" s="3254"/>
    </row>
    <row r="8" spans="2:7">
      <c r="B8" s="1945" t="s">
        <v>965</v>
      </c>
      <c r="C8" s="1946"/>
      <c r="D8" s="1946"/>
      <c r="E8" s="1946" t="s">
        <v>305</v>
      </c>
      <c r="F8" s="1946" t="s">
        <v>966</v>
      </c>
      <c r="G8" s="1947" t="s">
        <v>967</v>
      </c>
    </row>
    <row r="9" spans="2:7" ht="15.6" thickBot="1">
      <c r="B9" s="1948" t="s">
        <v>968</v>
      </c>
      <c r="C9" s="1949" t="s">
        <v>969</v>
      </c>
      <c r="D9" s="1949" t="s">
        <v>970</v>
      </c>
      <c r="E9" s="1949" t="s">
        <v>1496</v>
      </c>
      <c r="F9" s="1949" t="s">
        <v>971</v>
      </c>
      <c r="G9" s="1950" t="s">
        <v>972</v>
      </c>
    </row>
    <row r="10" spans="2:7">
      <c r="B10" s="1951" t="s">
        <v>305</v>
      </c>
      <c r="C10" s="1952"/>
      <c r="D10" s="1952"/>
      <c r="E10" s="1952"/>
      <c r="F10" s="1952"/>
      <c r="G10" s="1953"/>
    </row>
    <row r="11" spans="2:7">
      <c r="B11" s="1954" t="s">
        <v>973</v>
      </c>
      <c r="C11" s="1955" t="s">
        <v>406</v>
      </c>
      <c r="D11" s="1952"/>
      <c r="E11" s="1952"/>
      <c r="F11" s="1952"/>
      <c r="G11" s="1953"/>
    </row>
    <row r="12" spans="2:7">
      <c r="B12" s="1954"/>
      <c r="C12" s="1952" t="s">
        <v>407</v>
      </c>
      <c r="D12" s="1956">
        <v>3000</v>
      </c>
      <c r="E12" s="1957" t="s">
        <v>811</v>
      </c>
      <c r="F12" s="1958">
        <v>20</v>
      </c>
      <c r="G12" s="1959">
        <f t="shared" ref="G12:G29" si="0">+D12*F12</f>
        <v>60000</v>
      </c>
    </row>
    <row r="13" spans="2:7">
      <c r="B13" s="1954"/>
      <c r="C13" s="1952" t="s">
        <v>408</v>
      </c>
      <c r="D13" s="1956">
        <v>1200</v>
      </c>
      <c r="E13" s="1957" t="s">
        <v>409</v>
      </c>
      <c r="F13" s="1958">
        <v>35</v>
      </c>
      <c r="G13" s="1959">
        <f t="shared" si="0"/>
        <v>42000</v>
      </c>
    </row>
    <row r="14" spans="2:7">
      <c r="B14" s="1954"/>
      <c r="C14" s="1952" t="s">
        <v>410</v>
      </c>
      <c r="D14" s="1956">
        <v>1</v>
      </c>
      <c r="E14" s="1957" t="s">
        <v>411</v>
      </c>
      <c r="F14" s="1958">
        <v>10000</v>
      </c>
      <c r="G14" s="1959">
        <f t="shared" si="0"/>
        <v>10000</v>
      </c>
    </row>
    <row r="15" spans="2:7">
      <c r="B15" s="1954"/>
      <c r="C15" s="1952" t="s">
        <v>412</v>
      </c>
      <c r="D15" s="1956">
        <v>250</v>
      </c>
      <c r="E15" s="1957" t="s">
        <v>1845</v>
      </c>
      <c r="F15" s="1958">
        <v>1000</v>
      </c>
      <c r="G15" s="1959">
        <f t="shared" si="0"/>
        <v>250000</v>
      </c>
    </row>
    <row r="16" spans="2:7">
      <c r="B16" s="1954"/>
      <c r="C16" s="1952" t="s">
        <v>413</v>
      </c>
      <c r="D16" s="1956">
        <v>475</v>
      </c>
      <c r="E16" s="1957" t="s">
        <v>811</v>
      </c>
      <c r="F16" s="1958">
        <v>500</v>
      </c>
      <c r="G16" s="1959">
        <f t="shared" si="0"/>
        <v>237500</v>
      </c>
    </row>
    <row r="17" spans="2:7">
      <c r="B17" s="1960"/>
      <c r="C17" s="1952" t="s">
        <v>414</v>
      </c>
      <c r="D17" s="1956">
        <v>2</v>
      </c>
      <c r="E17" s="1957" t="s">
        <v>415</v>
      </c>
      <c r="F17" s="1958">
        <v>175000</v>
      </c>
      <c r="G17" s="1959">
        <f t="shared" si="0"/>
        <v>350000</v>
      </c>
    </row>
    <row r="18" spans="2:7">
      <c r="B18" s="1960"/>
      <c r="C18" s="1952" t="s">
        <v>416</v>
      </c>
      <c r="D18" s="1956">
        <v>2</v>
      </c>
      <c r="E18" s="1957" t="s">
        <v>415</v>
      </c>
      <c r="F18" s="1958">
        <v>27000</v>
      </c>
      <c r="G18" s="1959">
        <f t="shared" si="0"/>
        <v>54000</v>
      </c>
    </row>
    <row r="19" spans="2:7">
      <c r="B19" s="1960"/>
      <c r="C19" s="1952" t="s">
        <v>417</v>
      </c>
      <c r="D19" s="1956">
        <v>2</v>
      </c>
      <c r="E19" s="1957" t="s">
        <v>415</v>
      </c>
      <c r="F19" s="1958">
        <v>22000</v>
      </c>
      <c r="G19" s="1959">
        <f t="shared" si="0"/>
        <v>44000</v>
      </c>
    </row>
    <row r="20" spans="2:7">
      <c r="B20" s="1960"/>
      <c r="C20" s="1952" t="s">
        <v>418</v>
      </c>
      <c r="D20" s="1956">
        <v>2</v>
      </c>
      <c r="E20" s="1957" t="s">
        <v>415</v>
      </c>
      <c r="F20" s="1958">
        <v>15000</v>
      </c>
      <c r="G20" s="1959">
        <f t="shared" si="0"/>
        <v>30000</v>
      </c>
    </row>
    <row r="21" spans="2:7">
      <c r="B21" s="1960"/>
      <c r="C21" s="1952" t="s">
        <v>419</v>
      </c>
      <c r="D21" s="1956">
        <v>1</v>
      </c>
      <c r="E21" s="1957" t="s">
        <v>411</v>
      </c>
      <c r="F21" s="1958">
        <v>10000</v>
      </c>
      <c r="G21" s="1959">
        <f t="shared" si="0"/>
        <v>10000</v>
      </c>
    </row>
    <row r="22" spans="2:7">
      <c r="B22" s="1960"/>
      <c r="C22" s="1952" t="s">
        <v>420</v>
      </c>
      <c r="D22" s="1956">
        <v>2</v>
      </c>
      <c r="E22" s="1957" t="s">
        <v>411</v>
      </c>
      <c r="F22" s="1958">
        <v>225000</v>
      </c>
      <c r="G22" s="1959">
        <f t="shared" si="0"/>
        <v>450000</v>
      </c>
    </row>
    <row r="23" spans="2:7">
      <c r="B23" s="1960"/>
      <c r="C23" s="1952" t="s">
        <v>421</v>
      </c>
      <c r="D23" s="1956">
        <v>2</v>
      </c>
      <c r="E23" s="1957" t="s">
        <v>415</v>
      </c>
      <c r="F23" s="1958">
        <v>15000</v>
      </c>
      <c r="G23" s="1959">
        <f t="shared" si="0"/>
        <v>30000</v>
      </c>
    </row>
    <row r="24" spans="2:7">
      <c r="B24" s="1960"/>
      <c r="C24" s="1952" t="s">
        <v>422</v>
      </c>
      <c r="D24" s="1956">
        <v>100</v>
      </c>
      <c r="E24" s="1957" t="s">
        <v>1845</v>
      </c>
      <c r="F24" s="1958">
        <v>300</v>
      </c>
      <c r="G24" s="1959">
        <f t="shared" si="0"/>
        <v>30000</v>
      </c>
    </row>
    <row r="25" spans="2:7">
      <c r="B25" s="1960"/>
      <c r="C25" s="1952" t="s">
        <v>423</v>
      </c>
      <c r="D25" s="1956">
        <v>2</v>
      </c>
      <c r="E25" s="1957" t="s">
        <v>411</v>
      </c>
      <c r="F25" s="1958">
        <v>12000</v>
      </c>
      <c r="G25" s="1959">
        <f t="shared" si="0"/>
        <v>24000</v>
      </c>
    </row>
    <row r="26" spans="2:7">
      <c r="B26" s="1960"/>
      <c r="C26" s="1952" t="s">
        <v>424</v>
      </c>
      <c r="D26" s="1956">
        <v>720</v>
      </c>
      <c r="E26" s="1957" t="s">
        <v>808</v>
      </c>
      <c r="F26" s="1958">
        <v>170</v>
      </c>
      <c r="G26" s="1959">
        <f t="shared" si="0"/>
        <v>122400</v>
      </c>
    </row>
    <row r="27" spans="2:7">
      <c r="B27" s="1960"/>
      <c r="C27" s="1952" t="s">
        <v>425</v>
      </c>
      <c r="D27" s="1956">
        <v>1</v>
      </c>
      <c r="E27" s="1957" t="s">
        <v>411</v>
      </c>
      <c r="F27" s="1958">
        <v>50000</v>
      </c>
      <c r="G27" s="1959">
        <f t="shared" si="0"/>
        <v>50000</v>
      </c>
    </row>
    <row r="28" spans="2:7">
      <c r="B28" s="1960"/>
      <c r="C28" s="1952" t="s">
        <v>426</v>
      </c>
      <c r="D28" s="1956">
        <v>1</v>
      </c>
      <c r="E28" s="1957" t="s">
        <v>411</v>
      </c>
      <c r="F28" s="1958">
        <v>300000</v>
      </c>
      <c r="G28" s="1959">
        <f t="shared" si="0"/>
        <v>300000</v>
      </c>
    </row>
    <row r="29" spans="2:7">
      <c r="B29" s="1960"/>
      <c r="C29" s="1952" t="s">
        <v>427</v>
      </c>
      <c r="D29" s="1956">
        <v>1</v>
      </c>
      <c r="E29" s="1957" t="s">
        <v>411</v>
      </c>
      <c r="F29" s="1958">
        <v>55000</v>
      </c>
      <c r="G29" s="1959">
        <f t="shared" si="0"/>
        <v>55000</v>
      </c>
    </row>
    <row r="30" spans="2:7">
      <c r="B30" s="3256" t="s">
        <v>428</v>
      </c>
      <c r="C30" s="3257"/>
      <c r="D30" s="3257"/>
      <c r="E30" s="3257"/>
      <c r="F30" s="3258"/>
      <c r="G30" s="1961">
        <f>SUM(G12:G29)</f>
        <v>2148900</v>
      </c>
    </row>
    <row r="31" spans="2:7">
      <c r="B31" s="1954" t="s">
        <v>429</v>
      </c>
      <c r="C31" s="1955" t="s">
        <v>430</v>
      </c>
      <c r="D31" s="1962"/>
      <c r="E31" s="1955"/>
      <c r="F31" s="1975"/>
      <c r="G31" s="1961"/>
    </row>
    <row r="32" spans="2:7">
      <c r="B32" s="1963" t="s">
        <v>305</v>
      </c>
      <c r="C32" s="1952" t="s">
        <v>431</v>
      </c>
      <c r="D32" s="1956">
        <v>9200</v>
      </c>
      <c r="E32" s="1957" t="s">
        <v>1845</v>
      </c>
      <c r="F32" s="1976">
        <v>250</v>
      </c>
      <c r="G32" s="1959">
        <f>+D32*F32</f>
        <v>2300000</v>
      </c>
    </row>
    <row r="33" spans="2:7">
      <c r="B33" s="1963"/>
      <c r="C33" s="1952" t="s">
        <v>418</v>
      </c>
      <c r="D33" s="1956">
        <v>4</v>
      </c>
      <c r="E33" s="1957" t="s">
        <v>415</v>
      </c>
      <c r="F33" s="1976">
        <v>22000</v>
      </c>
      <c r="G33" s="1959">
        <f>+D33*F33</f>
        <v>88000</v>
      </c>
    </row>
    <row r="34" spans="2:7">
      <c r="B34" s="1963"/>
      <c r="C34" s="1952" t="s">
        <v>432</v>
      </c>
      <c r="D34" s="1956">
        <v>1</v>
      </c>
      <c r="E34" s="1957" t="s">
        <v>415</v>
      </c>
      <c r="F34" s="1976">
        <v>18000</v>
      </c>
      <c r="G34" s="1959">
        <f>+D34*F34</f>
        <v>18000</v>
      </c>
    </row>
    <row r="35" spans="2:7">
      <c r="B35" s="3256" t="s">
        <v>433</v>
      </c>
      <c r="C35" s="3257"/>
      <c r="D35" s="3257"/>
      <c r="E35" s="3257"/>
      <c r="F35" s="3258"/>
      <c r="G35" s="1961">
        <f>SUM(G32:G34)</f>
        <v>2406000</v>
      </c>
    </row>
    <row r="36" spans="2:7">
      <c r="B36" s="1954">
        <v>3</v>
      </c>
      <c r="C36" s="1964" t="s">
        <v>434</v>
      </c>
      <c r="D36" s="1962"/>
      <c r="E36" s="1965"/>
      <c r="F36" s="1975"/>
      <c r="G36" s="1966"/>
    </row>
    <row r="37" spans="2:7">
      <c r="B37" s="1967"/>
      <c r="C37" s="1968" t="s">
        <v>407</v>
      </c>
      <c r="D37" s="1956">
        <v>2500</v>
      </c>
      <c r="E37" s="1957" t="s">
        <v>811</v>
      </c>
      <c r="F37" s="1976">
        <v>15</v>
      </c>
      <c r="G37" s="1959">
        <f t="shared" ref="G37:G44" si="1">+D37*F37</f>
        <v>37500</v>
      </c>
    </row>
    <row r="38" spans="2:7">
      <c r="B38" s="1967"/>
      <c r="C38" s="1968" t="s">
        <v>435</v>
      </c>
      <c r="D38" s="1956">
        <v>375</v>
      </c>
      <c r="E38" s="1957" t="s">
        <v>811</v>
      </c>
      <c r="F38" s="1976">
        <v>450</v>
      </c>
      <c r="G38" s="1959">
        <f t="shared" si="1"/>
        <v>168750</v>
      </c>
    </row>
    <row r="39" spans="2:7">
      <c r="B39" s="1963" t="s">
        <v>305</v>
      </c>
      <c r="C39" s="1968" t="s">
        <v>436</v>
      </c>
      <c r="D39" s="1956">
        <v>1000</v>
      </c>
      <c r="E39" s="1957" t="s">
        <v>808</v>
      </c>
      <c r="F39" s="1976">
        <v>15</v>
      </c>
      <c r="G39" s="1959">
        <f t="shared" si="1"/>
        <v>15000</v>
      </c>
    </row>
    <row r="40" spans="2:7">
      <c r="B40" s="1967"/>
      <c r="C40" s="1968" t="s">
        <v>437</v>
      </c>
      <c r="D40" s="1956">
        <v>1</v>
      </c>
      <c r="E40" s="1957" t="s">
        <v>411</v>
      </c>
      <c r="F40" s="1976">
        <v>100000</v>
      </c>
      <c r="G40" s="1959">
        <f t="shared" si="1"/>
        <v>100000</v>
      </c>
    </row>
    <row r="41" spans="2:7">
      <c r="B41" s="1967"/>
      <c r="C41" s="1968" t="s">
        <v>438</v>
      </c>
      <c r="D41" s="1956">
        <v>2</v>
      </c>
      <c r="E41" s="1957" t="s">
        <v>415</v>
      </c>
      <c r="F41" s="1976">
        <v>750000</v>
      </c>
      <c r="G41" s="1959">
        <f t="shared" si="1"/>
        <v>1500000</v>
      </c>
    </row>
    <row r="42" spans="2:7">
      <c r="B42" s="1967"/>
      <c r="C42" s="1968" t="s">
        <v>439</v>
      </c>
      <c r="D42" s="1956">
        <v>1</v>
      </c>
      <c r="E42" s="1957" t="s">
        <v>411</v>
      </c>
      <c r="F42" s="1976">
        <v>80000</v>
      </c>
      <c r="G42" s="1959">
        <f t="shared" si="1"/>
        <v>80000</v>
      </c>
    </row>
    <row r="43" spans="2:7">
      <c r="B43" s="1967"/>
      <c r="C43" s="1968" t="s">
        <v>440</v>
      </c>
      <c r="D43" s="1956">
        <v>4</v>
      </c>
      <c r="E43" s="1957" t="s">
        <v>415</v>
      </c>
      <c r="F43" s="1976">
        <v>25000</v>
      </c>
      <c r="G43" s="1959">
        <f t="shared" si="1"/>
        <v>100000</v>
      </c>
    </row>
    <row r="44" spans="2:7">
      <c r="B44" s="1967"/>
      <c r="C44" s="1968" t="s">
        <v>441</v>
      </c>
      <c r="D44" s="1956">
        <v>2</v>
      </c>
      <c r="E44" s="1957" t="s">
        <v>415</v>
      </c>
      <c r="F44" s="1976">
        <v>20000</v>
      </c>
      <c r="G44" s="1959">
        <f t="shared" si="1"/>
        <v>40000</v>
      </c>
    </row>
    <row r="45" spans="2:7">
      <c r="B45" s="3256" t="s">
        <v>442</v>
      </c>
      <c r="C45" s="3257"/>
      <c r="D45" s="3257"/>
      <c r="E45" s="3257"/>
      <c r="F45" s="3258"/>
      <c r="G45" s="1961">
        <f>SUM(G37:G44)</f>
        <v>2041250</v>
      </c>
    </row>
    <row r="46" spans="2:7">
      <c r="B46" s="1954">
        <v>4</v>
      </c>
      <c r="C46" s="1964" t="s">
        <v>443</v>
      </c>
      <c r="D46" s="1962"/>
      <c r="E46" s="1965"/>
      <c r="F46" s="1975"/>
      <c r="G46" s="1966"/>
    </row>
    <row r="47" spans="2:7">
      <c r="B47" s="1967"/>
      <c r="C47" s="1968" t="s">
        <v>444</v>
      </c>
      <c r="D47" s="1956">
        <v>1</v>
      </c>
      <c r="E47" s="1957" t="s">
        <v>411</v>
      </c>
      <c r="F47" s="1976">
        <v>75000</v>
      </c>
      <c r="G47" s="1959">
        <f>+D47*F47</f>
        <v>75000</v>
      </c>
    </row>
    <row r="48" spans="2:7">
      <c r="B48" s="1967"/>
      <c r="C48" s="1968" t="s">
        <v>445</v>
      </c>
      <c r="D48" s="1956">
        <v>1</v>
      </c>
      <c r="E48" s="1957" t="s">
        <v>411</v>
      </c>
      <c r="F48" s="1976">
        <v>65000</v>
      </c>
      <c r="G48" s="1959">
        <f t="shared" ref="G48:G54" si="2">+D48*F48</f>
        <v>65000</v>
      </c>
    </row>
    <row r="49" spans="2:8">
      <c r="B49" s="1967"/>
      <c r="C49" s="1968" t="s">
        <v>446</v>
      </c>
      <c r="D49" s="1956">
        <v>1</v>
      </c>
      <c r="E49" s="1957" t="s">
        <v>411</v>
      </c>
      <c r="F49" s="1976">
        <v>40000</v>
      </c>
      <c r="G49" s="1959">
        <f t="shared" si="2"/>
        <v>40000</v>
      </c>
    </row>
    <row r="50" spans="2:8">
      <c r="B50" s="1967"/>
      <c r="C50" s="1968" t="s">
        <v>447</v>
      </c>
      <c r="D50" s="1956">
        <v>1</v>
      </c>
      <c r="E50" s="1957" t="s">
        <v>411</v>
      </c>
      <c r="F50" s="1976">
        <v>65000</v>
      </c>
      <c r="G50" s="1959">
        <f t="shared" si="2"/>
        <v>65000</v>
      </c>
    </row>
    <row r="51" spans="2:8">
      <c r="B51" s="1967"/>
      <c r="C51" s="1968" t="s">
        <v>448</v>
      </c>
      <c r="D51" s="1956">
        <v>1</v>
      </c>
      <c r="E51" s="1957" t="s">
        <v>411</v>
      </c>
      <c r="F51" s="1976">
        <v>40000</v>
      </c>
      <c r="G51" s="1959">
        <f t="shared" si="2"/>
        <v>40000</v>
      </c>
    </row>
    <row r="52" spans="2:8">
      <c r="B52" s="1967"/>
      <c r="C52" s="1968" t="s">
        <v>449</v>
      </c>
      <c r="D52" s="1956">
        <v>1</v>
      </c>
      <c r="E52" s="1957" t="s">
        <v>411</v>
      </c>
      <c r="F52" s="1976">
        <v>10000</v>
      </c>
      <c r="G52" s="1959">
        <f t="shared" si="2"/>
        <v>10000</v>
      </c>
    </row>
    <row r="53" spans="2:8">
      <c r="B53" s="1967"/>
      <c r="C53" s="1968" t="s">
        <v>450</v>
      </c>
      <c r="D53" s="1956">
        <v>1</v>
      </c>
      <c r="E53" s="1957" t="s">
        <v>411</v>
      </c>
      <c r="F53" s="1976">
        <v>45000</v>
      </c>
      <c r="G53" s="1959">
        <f t="shared" si="2"/>
        <v>45000</v>
      </c>
    </row>
    <row r="54" spans="2:8">
      <c r="B54" s="1967"/>
      <c r="C54" s="1968" t="s">
        <v>451</v>
      </c>
      <c r="D54" s="1956">
        <v>1</v>
      </c>
      <c r="E54" s="1957" t="s">
        <v>411</v>
      </c>
      <c r="F54" s="1976">
        <v>20000</v>
      </c>
      <c r="G54" s="1959">
        <f t="shared" si="2"/>
        <v>20000</v>
      </c>
    </row>
    <row r="55" spans="2:8">
      <c r="B55" s="3256" t="s">
        <v>452</v>
      </c>
      <c r="C55" s="3257"/>
      <c r="D55" s="3257"/>
      <c r="E55" s="3257"/>
      <c r="F55" s="3258"/>
      <c r="G55" s="1961">
        <f>SUM(G47:G54)</f>
        <v>360000</v>
      </c>
    </row>
    <row r="56" spans="2:8">
      <c r="B56" s="1969">
        <v>5</v>
      </c>
      <c r="C56" s="1964" t="s">
        <v>453</v>
      </c>
      <c r="D56" s="1956"/>
      <c r="E56" s="1957"/>
      <c r="F56" s="1976"/>
      <c r="G56" s="1961"/>
    </row>
    <row r="57" spans="2:8">
      <c r="B57" s="1969"/>
      <c r="C57" s="1952" t="s">
        <v>454</v>
      </c>
      <c r="D57" s="1956">
        <v>6000</v>
      </c>
      <c r="E57" s="1957" t="s">
        <v>1845</v>
      </c>
      <c r="F57" s="1976">
        <v>220</v>
      </c>
      <c r="G57" s="1959">
        <f>+D57*F57</f>
        <v>1320000</v>
      </c>
    </row>
    <row r="58" spans="2:8">
      <c r="B58" s="1969"/>
      <c r="C58" s="1952" t="s">
        <v>455</v>
      </c>
      <c r="D58" s="1956">
        <v>4</v>
      </c>
      <c r="E58" s="1957" t="s">
        <v>415</v>
      </c>
      <c r="F58" s="1976">
        <v>7500</v>
      </c>
      <c r="G58" s="1959">
        <f>+D58*F58</f>
        <v>30000</v>
      </c>
    </row>
    <row r="59" spans="2:8">
      <c r="B59" s="1969"/>
      <c r="C59" s="1952" t="s">
        <v>456</v>
      </c>
      <c r="D59" s="1956">
        <v>1</v>
      </c>
      <c r="E59" s="1957" t="s">
        <v>411</v>
      </c>
      <c r="F59" s="1976">
        <v>35000</v>
      </c>
      <c r="G59" s="1959">
        <f>+D59*F59</f>
        <v>35000</v>
      </c>
    </row>
    <row r="60" spans="2:8">
      <c r="B60" s="1969"/>
      <c r="C60" s="1952" t="s">
        <v>457</v>
      </c>
      <c r="D60" s="1956">
        <v>1</v>
      </c>
      <c r="E60" s="1957" t="s">
        <v>411</v>
      </c>
      <c r="F60" s="1976">
        <v>15000</v>
      </c>
      <c r="G60" s="1959">
        <f>+D60*F60</f>
        <v>15000</v>
      </c>
    </row>
    <row r="61" spans="2:8">
      <c r="B61" s="3256" t="s">
        <v>458</v>
      </c>
      <c r="C61" s="3257"/>
      <c r="D61" s="3257"/>
      <c r="E61" s="3257"/>
      <c r="F61" s="3258"/>
      <c r="G61" s="1961">
        <f>SUM(G57:G60)</f>
        <v>1400000</v>
      </c>
      <c r="H61" s="1977">
        <f>+G30+G35+G45+G54+G61</f>
        <v>8016150</v>
      </c>
    </row>
    <row r="62" spans="2:8">
      <c r="B62" s="1954">
        <v>6</v>
      </c>
      <c r="C62" s="1955" t="s">
        <v>459</v>
      </c>
      <c r="D62" s="1956"/>
      <c r="E62" s="1957"/>
      <c r="F62" s="1958"/>
      <c r="G62" s="1959"/>
    </row>
    <row r="63" spans="2:8">
      <c r="B63" s="1969"/>
      <c r="C63" s="1952" t="s">
        <v>460</v>
      </c>
      <c r="D63" s="1956">
        <v>1</v>
      </c>
      <c r="E63" s="1957" t="s">
        <v>411</v>
      </c>
      <c r="F63" s="1958">
        <f>+H61*0.1</f>
        <v>801615</v>
      </c>
      <c r="G63" s="1959">
        <f>+D63*F63</f>
        <v>801615</v>
      </c>
    </row>
    <row r="64" spans="2:8">
      <c r="B64" s="1963"/>
      <c r="C64" s="1952" t="s">
        <v>461</v>
      </c>
      <c r="D64" s="1956">
        <v>1</v>
      </c>
      <c r="E64" s="1957" t="s">
        <v>411</v>
      </c>
      <c r="F64" s="1958">
        <f>+H61*0.15</f>
        <v>1202422.5</v>
      </c>
      <c r="G64" s="1959">
        <f>+D64*F64</f>
        <v>1202422.5</v>
      </c>
    </row>
    <row r="65" spans="2:7">
      <c r="B65" s="3256" t="s">
        <v>462</v>
      </c>
      <c r="C65" s="3257"/>
      <c r="D65" s="3257"/>
      <c r="E65" s="3257"/>
      <c r="F65" s="3258"/>
      <c r="G65" s="1970">
        <f>SUM(G63:G64)</f>
        <v>2004037.5</v>
      </c>
    </row>
    <row r="66" spans="2:7" ht="15.6" thickBot="1">
      <c r="B66" s="3259" t="s">
        <v>463</v>
      </c>
      <c r="C66" s="3260"/>
      <c r="D66" s="3260"/>
      <c r="E66" s="3260"/>
      <c r="F66" s="3261"/>
      <c r="G66" s="1971">
        <f>+H61+G65</f>
        <v>10020187.5</v>
      </c>
    </row>
    <row r="67" spans="2:7">
      <c r="B67" s="1972"/>
      <c r="C67" s="1972" t="s">
        <v>305</v>
      </c>
      <c r="D67" s="1972"/>
      <c r="E67" s="1972"/>
      <c r="F67" s="1972"/>
      <c r="G67" s="1973"/>
    </row>
    <row r="68" spans="2:7">
      <c r="B68" s="1974"/>
      <c r="C68" s="1974"/>
      <c r="D68" s="1974"/>
      <c r="E68" s="1974"/>
      <c r="F68" s="1974"/>
      <c r="G68" s="1974"/>
    </row>
    <row r="69" spans="2:7">
      <c r="B69" s="1679"/>
      <c r="C69" s="1679"/>
      <c r="D69" s="1679"/>
      <c r="E69" s="1679"/>
      <c r="F69" s="1679"/>
      <c r="G69" s="1679"/>
    </row>
  </sheetData>
  <mergeCells count="12">
    <mergeCell ref="B61:F61"/>
    <mergeCell ref="B65:F65"/>
    <mergeCell ref="B66:F66"/>
    <mergeCell ref="B7:G7"/>
    <mergeCell ref="B30:F30"/>
    <mergeCell ref="B35:F35"/>
    <mergeCell ref="B45:F45"/>
    <mergeCell ref="B1:G1"/>
    <mergeCell ref="B2:G2"/>
    <mergeCell ref="B4:G4"/>
    <mergeCell ref="B6:G6"/>
    <mergeCell ref="B55:F55"/>
  </mergeCells>
  <phoneticPr fontId="53" type="noConversion"/>
  <pageMargins left="0.75" right="0.75" top="1" bottom="1" header="0.5" footer="0.5"/>
  <pageSetup paperSize="3" scale="4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T101"/>
  <sheetViews>
    <sheetView showGridLines="0" showOutlineSymbols="0" topLeftCell="A46" zoomScale="70" zoomScaleNormal="75" workbookViewId="0">
      <selection activeCell="L1" sqref="L1"/>
    </sheetView>
  </sheetViews>
  <sheetFormatPr defaultColWidth="11.453125" defaultRowHeight="16.2"/>
  <cols>
    <col min="1" max="1" width="26.81640625" style="710" customWidth="1"/>
    <col min="2" max="2" width="11" style="710" bestFit="1" customWidth="1"/>
    <col min="3" max="9" width="11.453125" style="710" customWidth="1"/>
    <col min="10" max="10" width="14" style="710" customWidth="1"/>
    <col min="11" max="12" width="10.6328125" style="710" customWidth="1"/>
    <col min="13" max="16384" width="11.453125" style="710"/>
  </cols>
  <sheetData>
    <row r="1" spans="1:20" ht="27" customHeight="1">
      <c r="A1" s="3269" t="s">
        <v>778</v>
      </c>
      <c r="B1" s="3263"/>
      <c r="C1" s="3263"/>
      <c r="D1" s="3263"/>
      <c r="E1" s="3263"/>
      <c r="F1" s="3263"/>
      <c r="G1" s="3263"/>
      <c r="H1" s="3263"/>
      <c r="I1" s="3263"/>
      <c r="J1" s="3263"/>
      <c r="K1" s="1921"/>
      <c r="L1" s="1911"/>
    </row>
    <row r="2" spans="1:20" ht="24.75" customHeight="1" thickBot="1">
      <c r="A2" s="1510"/>
      <c r="C2" s="1511" t="s">
        <v>667</v>
      </c>
      <c r="D2" s="1511" t="s">
        <v>668</v>
      </c>
      <c r="E2" s="1511" t="s">
        <v>134</v>
      </c>
      <c r="G2" s="1511" t="s">
        <v>1372</v>
      </c>
      <c r="K2" s="1911"/>
      <c r="L2" s="1911"/>
    </row>
    <row r="3" spans="1:20" ht="16.8" thickBot="1">
      <c r="B3" s="1512" t="s">
        <v>206</v>
      </c>
      <c r="C3" s="1513">
        <v>0.8</v>
      </c>
      <c r="D3" s="1513">
        <v>7.65</v>
      </c>
      <c r="E3" s="1514">
        <v>5</v>
      </c>
      <c r="F3" s="714"/>
      <c r="G3" s="1515">
        <f>SUM(C3:E3)/100</f>
        <v>0.13450000000000001</v>
      </c>
      <c r="H3" s="1515"/>
      <c r="I3" s="714"/>
      <c r="J3" s="1908">
        <v>39427</v>
      </c>
      <c r="K3" s="1911"/>
      <c r="L3" s="1911"/>
      <c r="M3" s="714"/>
      <c r="N3" s="714"/>
      <c r="O3" s="1516" t="s">
        <v>207</v>
      </c>
      <c r="P3" s="714"/>
    </row>
    <row r="4" spans="1:20" ht="16.8" thickBot="1">
      <c r="A4" s="1101"/>
      <c r="B4" s="1512"/>
      <c r="C4" s="1513"/>
      <c r="D4" s="1517">
        <v>0.375</v>
      </c>
      <c r="E4" s="1518"/>
      <c r="F4" s="714"/>
      <c r="G4" s="1515"/>
      <c r="H4" s="1515"/>
      <c r="I4" s="714"/>
      <c r="J4" s="714"/>
      <c r="K4" s="1922"/>
      <c r="L4" s="1911"/>
      <c r="M4" s="714"/>
      <c r="N4" s="714"/>
      <c r="O4" s="714"/>
      <c r="P4" s="714"/>
    </row>
    <row r="5" spans="1:20" ht="16.8" thickBot="1">
      <c r="A5" s="1519"/>
      <c r="B5" s="1678"/>
      <c r="C5" s="1674"/>
      <c r="D5" s="1932">
        <v>0.13600000000000001</v>
      </c>
      <c r="E5" s="3264"/>
      <c r="F5" s="3265"/>
      <c r="G5" s="3266"/>
      <c r="H5" s="1675"/>
      <c r="I5" s="1678"/>
      <c r="J5" s="1678"/>
      <c r="K5" s="1922"/>
      <c r="L5" s="1911"/>
      <c r="M5" s="714"/>
      <c r="N5" s="714"/>
      <c r="O5" s="1513"/>
      <c r="P5" s="714"/>
      <c r="Q5" s="714"/>
    </row>
    <row r="6" spans="1:20">
      <c r="A6" s="1927" t="s">
        <v>208</v>
      </c>
      <c r="B6" s="1928" t="s">
        <v>1658</v>
      </c>
      <c r="C6" s="1929" t="s">
        <v>1998</v>
      </c>
      <c r="D6" s="1933" t="s">
        <v>1240</v>
      </c>
      <c r="E6" s="1934" t="s">
        <v>1242</v>
      </c>
      <c r="F6" s="1935" t="s">
        <v>1241</v>
      </c>
      <c r="G6" s="1933" t="s">
        <v>837</v>
      </c>
      <c r="H6" s="1938" t="s">
        <v>838</v>
      </c>
      <c r="I6" s="1935" t="s">
        <v>839</v>
      </c>
      <c r="J6" s="1939" t="s">
        <v>840</v>
      </c>
      <c r="K6" s="1912"/>
      <c r="L6" s="1911"/>
      <c r="M6" s="897"/>
      <c r="N6" s="897"/>
      <c r="O6" s="714"/>
      <c r="P6" s="1520"/>
      <c r="Q6" s="714"/>
      <c r="S6" s="1511"/>
      <c r="T6" s="1511"/>
    </row>
    <row r="7" spans="1:20" ht="16.8" thickBot="1">
      <c r="A7" s="1923"/>
      <c r="B7" s="1930" t="s">
        <v>1724</v>
      </c>
      <c r="C7" s="1931"/>
      <c r="D7" s="1685" t="s">
        <v>215</v>
      </c>
      <c r="E7" s="1685" t="s">
        <v>1999</v>
      </c>
      <c r="F7" s="1936" t="s">
        <v>2000</v>
      </c>
      <c r="G7" s="1937">
        <v>0.113</v>
      </c>
      <c r="H7" s="1940">
        <v>0.155</v>
      </c>
      <c r="I7" s="1936" t="s">
        <v>2001</v>
      </c>
      <c r="J7" s="1941" t="s">
        <v>2002</v>
      </c>
      <c r="K7" s="1913"/>
      <c r="L7" s="1910"/>
      <c r="M7" s="779"/>
      <c r="N7" s="779"/>
      <c r="O7" s="714"/>
      <c r="P7" s="1520"/>
      <c r="Q7" s="714"/>
    </row>
    <row r="8" spans="1:20">
      <c r="A8" s="1924" t="s">
        <v>1237</v>
      </c>
      <c r="B8" s="1883">
        <v>29.25</v>
      </c>
      <c r="C8" s="1676">
        <v>12.18</v>
      </c>
      <c r="D8" s="1676">
        <f>B8*$D$5</f>
        <v>3.9780000000000002</v>
      </c>
      <c r="E8" s="1676">
        <v>10</v>
      </c>
      <c r="F8" s="1676">
        <f>B8+D8+E8</f>
        <v>43.228000000000002</v>
      </c>
      <c r="G8" s="1676">
        <f>F8*$G$3</f>
        <v>5.8141660000000002</v>
      </c>
      <c r="H8" s="1676">
        <f>(F8-E8)*$H$7</f>
        <v>5.1503399999999999</v>
      </c>
      <c r="I8" s="1884">
        <f>C8+F8+G8+H8</f>
        <v>66.372506000000001</v>
      </c>
      <c r="J8" s="1885">
        <v>39404</v>
      </c>
      <c r="K8" s="1914"/>
      <c r="L8" s="1915"/>
      <c r="M8" s="714"/>
      <c r="N8" s="1521"/>
      <c r="O8" s="1522"/>
      <c r="P8" s="1511"/>
      <c r="Q8" s="1520" t="s">
        <v>1525</v>
      </c>
      <c r="R8" s="1523"/>
      <c r="S8" s="1524"/>
      <c r="T8" s="1524"/>
    </row>
    <row r="9" spans="1:20">
      <c r="A9" s="1924" t="s">
        <v>842</v>
      </c>
      <c r="B9" s="1886">
        <v>28.25</v>
      </c>
      <c r="C9" s="1677">
        <v>12.18</v>
      </c>
      <c r="D9" s="1676">
        <f t="shared" ref="D9:D51" si="0">B9*$D$5</f>
        <v>3.8420000000000001</v>
      </c>
      <c r="E9" s="1676">
        <v>8.5</v>
      </c>
      <c r="F9" s="1676">
        <f t="shared" ref="F9:F51" si="1">B9+D9+E9</f>
        <v>40.591999999999999</v>
      </c>
      <c r="G9" s="1677">
        <f t="shared" ref="G9:G51" si="2">F9*$G$3</f>
        <v>5.4596239999999998</v>
      </c>
      <c r="H9" s="1676">
        <f t="shared" ref="H9:H51" si="3">(F9-E9)*$H$7</f>
        <v>4.9742600000000001</v>
      </c>
      <c r="I9" s="1884">
        <f t="shared" ref="I9:I51" si="4">C9+F9+G9+H9</f>
        <v>63.205883999999998</v>
      </c>
      <c r="J9" s="1887">
        <v>39405</v>
      </c>
      <c r="K9" s="1914"/>
      <c r="L9" s="1915"/>
      <c r="M9" s="714"/>
      <c r="N9" s="1521" t="s">
        <v>74</v>
      </c>
      <c r="O9" s="1522" t="s">
        <v>76</v>
      </c>
      <c r="P9" s="1511"/>
      <c r="Q9" s="1520"/>
      <c r="R9" s="1523"/>
      <c r="S9" s="1524"/>
      <c r="T9" s="1524"/>
    </row>
    <row r="10" spans="1:20">
      <c r="A10" s="1924" t="s">
        <v>555</v>
      </c>
      <c r="B10" s="1886">
        <v>27</v>
      </c>
      <c r="C10" s="1677">
        <v>12.18</v>
      </c>
      <c r="D10" s="1676">
        <f t="shared" si="0"/>
        <v>3.6720000000000002</v>
      </c>
      <c r="E10" s="1676">
        <v>7.65</v>
      </c>
      <c r="F10" s="1676">
        <f t="shared" si="1"/>
        <v>38.322000000000003</v>
      </c>
      <c r="G10" s="1677">
        <f t="shared" si="2"/>
        <v>5.1543090000000005</v>
      </c>
      <c r="H10" s="1676">
        <f t="shared" si="3"/>
        <v>4.7541600000000006</v>
      </c>
      <c r="I10" s="1884">
        <f t="shared" si="4"/>
        <v>60.410468999999999</v>
      </c>
      <c r="J10" s="1887">
        <v>39406</v>
      </c>
      <c r="K10" s="1914"/>
      <c r="L10" s="1916"/>
      <c r="M10" s="714" t="s">
        <v>556</v>
      </c>
      <c r="N10" s="714">
        <f>Q10*0.6</f>
        <v>9.7799999999999994</v>
      </c>
      <c r="O10" s="1512"/>
      <c r="Q10" s="714">
        <v>16.3</v>
      </c>
      <c r="R10" s="1523"/>
      <c r="S10" s="1524"/>
      <c r="T10" s="1524"/>
    </row>
    <row r="11" spans="1:20">
      <c r="A11" s="1924" t="s">
        <v>557</v>
      </c>
      <c r="B11" s="1886">
        <v>26.9</v>
      </c>
      <c r="C11" s="1677">
        <v>12.94</v>
      </c>
      <c r="D11" s="1676">
        <f t="shared" si="0"/>
        <v>3.6583999999999999</v>
      </c>
      <c r="E11" s="1676">
        <v>10</v>
      </c>
      <c r="F11" s="1676">
        <f t="shared" si="1"/>
        <v>40.558399999999999</v>
      </c>
      <c r="G11" s="1677">
        <f t="shared" si="2"/>
        <v>5.4551048</v>
      </c>
      <c r="H11" s="1676">
        <f t="shared" si="3"/>
        <v>4.7365519999999997</v>
      </c>
      <c r="I11" s="1884">
        <f t="shared" si="4"/>
        <v>63.690056799999994</v>
      </c>
      <c r="J11" s="1887">
        <v>39407</v>
      </c>
      <c r="K11" s="1914"/>
      <c r="L11" s="1915"/>
      <c r="M11" s="714" t="s">
        <v>2058</v>
      </c>
      <c r="N11" s="714">
        <f t="shared" ref="N11:N17" si="5">Q11*0.6</f>
        <v>11.04</v>
      </c>
      <c r="O11" s="1512"/>
      <c r="Q11" s="714">
        <v>18.399999999999999</v>
      </c>
      <c r="R11" s="1523"/>
      <c r="S11" s="1524"/>
      <c r="T11" s="1524"/>
    </row>
    <row r="12" spans="1:20">
      <c r="A12" s="1924" t="s">
        <v>558</v>
      </c>
      <c r="B12" s="1886">
        <v>25.9</v>
      </c>
      <c r="C12" s="1677">
        <v>12.94</v>
      </c>
      <c r="D12" s="1676">
        <f t="shared" si="0"/>
        <v>3.5224000000000002</v>
      </c>
      <c r="E12" s="1676">
        <v>8.5</v>
      </c>
      <c r="F12" s="1676">
        <f t="shared" si="1"/>
        <v>37.922399999999996</v>
      </c>
      <c r="G12" s="1677">
        <f t="shared" si="2"/>
        <v>5.1005627999999996</v>
      </c>
      <c r="H12" s="1676">
        <f t="shared" si="3"/>
        <v>4.560471999999999</v>
      </c>
      <c r="I12" s="1884">
        <f t="shared" si="4"/>
        <v>60.52343479999999</v>
      </c>
      <c r="J12" s="1887">
        <v>39408</v>
      </c>
      <c r="K12" s="1914"/>
      <c r="L12" s="1915"/>
      <c r="M12" s="714" t="s">
        <v>551</v>
      </c>
      <c r="N12" s="714">
        <f t="shared" si="5"/>
        <v>24.479999999999997</v>
      </c>
      <c r="O12" s="1512"/>
      <c r="Q12" s="714">
        <v>40.799999999999997</v>
      </c>
      <c r="R12" s="1523"/>
      <c r="S12" s="1524"/>
      <c r="T12" s="1524"/>
    </row>
    <row r="13" spans="1:20">
      <c r="A13" s="1924" t="s">
        <v>559</v>
      </c>
      <c r="B13" s="1886">
        <v>24.65</v>
      </c>
      <c r="C13" s="1677">
        <v>12.94</v>
      </c>
      <c r="D13" s="1676">
        <f t="shared" si="0"/>
        <v>3.3524000000000003</v>
      </c>
      <c r="E13" s="1676">
        <v>7.65</v>
      </c>
      <c r="F13" s="1676">
        <f t="shared" si="1"/>
        <v>35.6524</v>
      </c>
      <c r="G13" s="1677">
        <f t="shared" si="2"/>
        <v>4.7952478000000003</v>
      </c>
      <c r="H13" s="1676">
        <f t="shared" si="3"/>
        <v>4.3403720000000003</v>
      </c>
      <c r="I13" s="1884">
        <f t="shared" si="4"/>
        <v>57.728019799999998</v>
      </c>
      <c r="J13" s="1887">
        <v>39409</v>
      </c>
      <c r="K13" s="1914"/>
      <c r="L13" s="1916"/>
      <c r="M13" s="714" t="s">
        <v>560</v>
      </c>
      <c r="N13" s="714">
        <f t="shared" si="5"/>
        <v>4.8599999999999994</v>
      </c>
      <c r="O13" s="1512"/>
      <c r="Q13" s="714">
        <v>8.1</v>
      </c>
      <c r="R13" s="1523"/>
      <c r="S13" s="1524"/>
      <c r="T13" s="1524"/>
    </row>
    <row r="14" spans="1:20">
      <c r="A14" s="1924" t="s">
        <v>561</v>
      </c>
      <c r="B14" s="1886">
        <v>23.25</v>
      </c>
      <c r="C14" s="1677">
        <v>11.01</v>
      </c>
      <c r="D14" s="1676">
        <f t="shared" si="0"/>
        <v>3.1620000000000004</v>
      </c>
      <c r="E14" s="1676">
        <v>8.5</v>
      </c>
      <c r="F14" s="1676">
        <f t="shared" si="1"/>
        <v>34.911999999999999</v>
      </c>
      <c r="G14" s="1677">
        <f t="shared" si="2"/>
        <v>4.6956639999999998</v>
      </c>
      <c r="H14" s="1676">
        <f t="shared" si="3"/>
        <v>4.0938599999999994</v>
      </c>
      <c r="I14" s="1884">
        <f t="shared" si="4"/>
        <v>54.711523999999997</v>
      </c>
      <c r="J14" s="1887">
        <v>39410</v>
      </c>
      <c r="K14" s="1914"/>
      <c r="L14" s="1915"/>
      <c r="M14" s="714" t="s">
        <v>87</v>
      </c>
      <c r="N14" s="714">
        <f t="shared" si="5"/>
        <v>3.9599999999999995</v>
      </c>
      <c r="O14" s="1512"/>
      <c r="Q14" s="714">
        <v>6.6</v>
      </c>
      <c r="R14" s="1523"/>
      <c r="S14" s="1524"/>
      <c r="T14" s="1524"/>
    </row>
    <row r="15" spans="1:20">
      <c r="A15" s="1924" t="s">
        <v>2003</v>
      </c>
      <c r="B15" s="1886">
        <v>22</v>
      </c>
      <c r="C15" s="1677">
        <v>11.01</v>
      </c>
      <c r="D15" s="1676">
        <f t="shared" si="0"/>
        <v>2.992</v>
      </c>
      <c r="E15" s="1676">
        <v>7.65</v>
      </c>
      <c r="F15" s="1676">
        <f t="shared" si="1"/>
        <v>32.642000000000003</v>
      </c>
      <c r="G15" s="1677">
        <f t="shared" si="2"/>
        <v>4.3903490000000005</v>
      </c>
      <c r="H15" s="1676">
        <f t="shared" si="3"/>
        <v>3.8737600000000008</v>
      </c>
      <c r="I15" s="1884">
        <f t="shared" si="4"/>
        <v>51.916109000000006</v>
      </c>
      <c r="J15" s="1887">
        <v>39411</v>
      </c>
      <c r="K15" s="1914"/>
      <c r="L15" s="1916"/>
      <c r="M15" s="714" t="s">
        <v>2056</v>
      </c>
      <c r="N15" s="714">
        <f t="shared" si="5"/>
        <v>9.2999999999999989</v>
      </c>
      <c r="O15" s="1512"/>
      <c r="Q15" s="714">
        <v>15.5</v>
      </c>
      <c r="R15" s="1523"/>
      <c r="S15" s="1524"/>
      <c r="T15" s="1524"/>
    </row>
    <row r="16" spans="1:20">
      <c r="A16" s="1924" t="s">
        <v>562</v>
      </c>
      <c r="B16" s="1886">
        <v>22.34</v>
      </c>
      <c r="C16" s="1677">
        <v>11.23</v>
      </c>
      <c r="D16" s="1676">
        <f t="shared" si="0"/>
        <v>3.0382400000000001</v>
      </c>
      <c r="E16" s="1676">
        <v>10</v>
      </c>
      <c r="F16" s="1676">
        <f t="shared" si="1"/>
        <v>35.378239999999998</v>
      </c>
      <c r="G16" s="1677">
        <f t="shared" si="2"/>
        <v>4.7583732799999998</v>
      </c>
      <c r="H16" s="1676">
        <f t="shared" si="3"/>
        <v>3.9336271999999997</v>
      </c>
      <c r="I16" s="1884">
        <f t="shared" si="4"/>
        <v>55.300240479999992</v>
      </c>
      <c r="J16" s="1887">
        <v>39412</v>
      </c>
      <c r="K16" s="1914"/>
      <c r="L16" s="1916"/>
      <c r="M16" s="714" t="s">
        <v>563</v>
      </c>
      <c r="N16" s="714">
        <f t="shared" si="5"/>
        <v>6.24</v>
      </c>
      <c r="O16" s="1512"/>
      <c r="Q16" s="714">
        <v>10.4</v>
      </c>
      <c r="R16" s="1523"/>
      <c r="S16" s="1524"/>
      <c r="T16" s="1524"/>
    </row>
    <row r="17" spans="1:20">
      <c r="A17" s="1924" t="s">
        <v>564</v>
      </c>
      <c r="B17" s="1886">
        <v>21.09</v>
      </c>
      <c r="C17" s="1677">
        <v>11.23</v>
      </c>
      <c r="D17" s="1676">
        <f t="shared" si="0"/>
        <v>2.8682400000000001</v>
      </c>
      <c r="E17" s="1676">
        <v>8.5</v>
      </c>
      <c r="F17" s="1676">
        <f t="shared" si="1"/>
        <v>32.458240000000004</v>
      </c>
      <c r="G17" s="1677">
        <f t="shared" si="2"/>
        <v>4.3656332800000008</v>
      </c>
      <c r="H17" s="1676">
        <f t="shared" si="3"/>
        <v>3.7135272000000006</v>
      </c>
      <c r="I17" s="1884">
        <f t="shared" si="4"/>
        <v>51.767400480000006</v>
      </c>
      <c r="J17" s="1887">
        <v>39413</v>
      </c>
      <c r="K17" s="1914"/>
      <c r="L17" s="1915"/>
      <c r="M17" s="714" t="s">
        <v>75</v>
      </c>
      <c r="N17" s="714">
        <f t="shared" si="5"/>
        <v>7.14</v>
      </c>
      <c r="O17" s="1512"/>
      <c r="Q17" s="714">
        <v>11.9</v>
      </c>
      <c r="R17" s="1523"/>
      <c r="S17" s="1524"/>
      <c r="T17" s="1524"/>
    </row>
    <row r="18" spans="1:20">
      <c r="A18" s="1924" t="s">
        <v>1238</v>
      </c>
      <c r="B18" s="1886">
        <v>18.5</v>
      </c>
      <c r="C18" s="1677">
        <v>8.0399999999999991</v>
      </c>
      <c r="D18" s="1676">
        <f t="shared" si="0"/>
        <v>2.516</v>
      </c>
      <c r="E18" s="1676">
        <v>7.65</v>
      </c>
      <c r="F18" s="1676">
        <f t="shared" si="1"/>
        <v>28.665999999999997</v>
      </c>
      <c r="G18" s="1677">
        <f t="shared" si="2"/>
        <v>3.8555769999999998</v>
      </c>
      <c r="H18" s="1676">
        <f t="shared" si="3"/>
        <v>3.2574799999999997</v>
      </c>
      <c r="I18" s="1884">
        <f t="shared" si="4"/>
        <v>43.819056999999994</v>
      </c>
      <c r="J18" s="1887">
        <v>39414</v>
      </c>
      <c r="K18" s="1914"/>
      <c r="L18" s="1916"/>
      <c r="M18" s="714"/>
      <c r="N18" s="714"/>
      <c r="O18" s="1512"/>
      <c r="Q18" s="1525"/>
      <c r="R18" s="1523"/>
      <c r="S18" s="1524"/>
      <c r="T18" s="1524"/>
    </row>
    <row r="19" spans="1:20">
      <c r="A19" s="1924" t="s">
        <v>2062</v>
      </c>
      <c r="B19" s="1886">
        <v>17.25</v>
      </c>
      <c r="C19" s="1677">
        <v>8.0399999999999991</v>
      </c>
      <c r="D19" s="1676">
        <f t="shared" si="0"/>
        <v>2.3460000000000001</v>
      </c>
      <c r="E19" s="1676">
        <v>8.5</v>
      </c>
      <c r="F19" s="1676">
        <f t="shared" si="1"/>
        <v>28.096</v>
      </c>
      <c r="G19" s="1677">
        <f t="shared" si="2"/>
        <v>3.778912</v>
      </c>
      <c r="H19" s="1676">
        <f t="shared" si="3"/>
        <v>3.0373800000000002</v>
      </c>
      <c r="I19" s="1884">
        <f t="shared" si="4"/>
        <v>42.952291999999993</v>
      </c>
      <c r="J19" s="1887">
        <v>39415</v>
      </c>
      <c r="K19" s="1914"/>
      <c r="L19" s="1915"/>
      <c r="M19" s="714"/>
      <c r="N19" s="714"/>
      <c r="O19" s="1512"/>
      <c r="Q19" s="1525"/>
      <c r="R19" s="1523"/>
      <c r="S19" s="1524"/>
      <c r="T19" s="1524"/>
    </row>
    <row r="20" spans="1:20">
      <c r="A20" s="1924" t="s">
        <v>565</v>
      </c>
      <c r="B20" s="1886">
        <v>28.07</v>
      </c>
      <c r="C20" s="1677">
        <v>12.43</v>
      </c>
      <c r="D20" s="1676">
        <f t="shared" si="0"/>
        <v>3.8175200000000005</v>
      </c>
      <c r="E20" s="1676">
        <v>7.65</v>
      </c>
      <c r="F20" s="1676">
        <f t="shared" si="1"/>
        <v>39.537520000000001</v>
      </c>
      <c r="G20" s="1677">
        <f t="shared" si="2"/>
        <v>5.3177964400000004</v>
      </c>
      <c r="H20" s="1676">
        <f t="shared" si="3"/>
        <v>4.9425656</v>
      </c>
      <c r="I20" s="1884">
        <f t="shared" si="4"/>
        <v>62.227882040000004</v>
      </c>
      <c r="J20" s="1887">
        <v>39416</v>
      </c>
      <c r="K20" s="1914"/>
      <c r="L20" s="1916"/>
      <c r="M20" s="714"/>
      <c r="N20" s="714"/>
      <c r="O20" s="1520"/>
      <c r="P20" s="1520"/>
      <c r="Q20" s="1520"/>
      <c r="R20" s="1523"/>
      <c r="S20" s="1524"/>
      <c r="T20" s="1524"/>
    </row>
    <row r="21" spans="1:20">
      <c r="A21" s="1924" t="s">
        <v>566</v>
      </c>
      <c r="B21" s="1886">
        <v>27.07</v>
      </c>
      <c r="C21" s="1677">
        <v>12.43</v>
      </c>
      <c r="D21" s="1676">
        <f t="shared" si="0"/>
        <v>3.6815200000000003</v>
      </c>
      <c r="E21" s="1676">
        <v>10</v>
      </c>
      <c r="F21" s="1676">
        <f t="shared" si="1"/>
        <v>40.751519999999999</v>
      </c>
      <c r="G21" s="1677">
        <f t="shared" si="2"/>
        <v>5.4810794400000002</v>
      </c>
      <c r="H21" s="1676">
        <f t="shared" si="3"/>
        <v>4.7664856000000002</v>
      </c>
      <c r="I21" s="1884">
        <f t="shared" si="4"/>
        <v>63.429085040000004</v>
      </c>
      <c r="J21" s="1887">
        <v>39417</v>
      </c>
      <c r="K21" s="1914"/>
      <c r="L21" s="1915"/>
      <c r="M21" s="714"/>
      <c r="N21" s="714"/>
      <c r="O21" s="1520"/>
      <c r="P21" s="1520"/>
      <c r="Q21" s="1520"/>
      <c r="R21" s="1523"/>
      <c r="S21" s="1524"/>
      <c r="T21" s="1524"/>
    </row>
    <row r="22" spans="1:20">
      <c r="A22" s="1924" t="s">
        <v>567</v>
      </c>
      <c r="B22" s="1886">
        <v>25.82</v>
      </c>
      <c r="C22" s="1677">
        <v>12.43</v>
      </c>
      <c r="D22" s="1676">
        <f t="shared" si="0"/>
        <v>3.5115200000000004</v>
      </c>
      <c r="E22" s="1676">
        <v>8.5</v>
      </c>
      <c r="F22" s="1676">
        <f t="shared" si="1"/>
        <v>37.831519999999998</v>
      </c>
      <c r="G22" s="1677">
        <f t="shared" si="2"/>
        <v>5.0883394400000004</v>
      </c>
      <c r="H22" s="1676">
        <f t="shared" si="3"/>
        <v>4.5463855999999998</v>
      </c>
      <c r="I22" s="1884">
        <f t="shared" si="4"/>
        <v>59.896245039999997</v>
      </c>
      <c r="J22" s="1887">
        <v>39418</v>
      </c>
      <c r="K22" s="1914"/>
      <c r="L22" s="1915"/>
      <c r="M22" s="714"/>
      <c r="N22" s="714"/>
      <c r="O22" s="1520"/>
      <c r="P22" s="1520"/>
      <c r="Q22" s="1520"/>
      <c r="R22" s="1523"/>
      <c r="S22" s="1524"/>
      <c r="T22" s="1524"/>
    </row>
    <row r="23" spans="1:20">
      <c r="A23" s="1924" t="s">
        <v>2004</v>
      </c>
      <c r="B23" s="1886">
        <v>26.25</v>
      </c>
      <c r="C23" s="1677">
        <v>14.24</v>
      </c>
      <c r="D23" s="1676">
        <f t="shared" si="0"/>
        <v>3.5700000000000003</v>
      </c>
      <c r="E23" s="1676">
        <v>7.65</v>
      </c>
      <c r="F23" s="1676">
        <f t="shared" si="1"/>
        <v>37.47</v>
      </c>
      <c r="G23" s="1677">
        <f t="shared" si="2"/>
        <v>5.0397150000000002</v>
      </c>
      <c r="H23" s="1676">
        <f t="shared" si="3"/>
        <v>4.6220999999999997</v>
      </c>
      <c r="I23" s="1884">
        <f t="shared" si="4"/>
        <v>61.371814999999998</v>
      </c>
      <c r="J23" s="1887">
        <v>39419</v>
      </c>
      <c r="K23" s="1914"/>
      <c r="L23" s="1916"/>
      <c r="M23" s="714"/>
      <c r="N23" s="714"/>
      <c r="O23" s="1520"/>
      <c r="P23" s="1520"/>
      <c r="Q23" s="1520"/>
      <c r="R23" s="1523"/>
      <c r="S23" s="1524"/>
      <c r="T23" s="1524"/>
    </row>
    <row r="24" spans="1:20">
      <c r="A24" s="1924" t="s">
        <v>2005</v>
      </c>
      <c r="B24" s="1886">
        <v>25.25</v>
      </c>
      <c r="C24" s="1677">
        <v>14.24</v>
      </c>
      <c r="D24" s="1676">
        <f t="shared" si="0"/>
        <v>3.4340000000000002</v>
      </c>
      <c r="E24" s="1676">
        <v>10</v>
      </c>
      <c r="F24" s="1676">
        <f t="shared" si="1"/>
        <v>38.683999999999997</v>
      </c>
      <c r="G24" s="1677">
        <f t="shared" si="2"/>
        <v>5.202998</v>
      </c>
      <c r="H24" s="1676">
        <f t="shared" si="3"/>
        <v>4.4460199999999999</v>
      </c>
      <c r="I24" s="1884">
        <f t="shared" si="4"/>
        <v>62.573017999999998</v>
      </c>
      <c r="J24" s="1887">
        <v>39420</v>
      </c>
      <c r="K24" s="1914"/>
      <c r="L24" s="1915"/>
      <c r="M24" s="714"/>
      <c r="N24" s="714"/>
      <c r="O24" s="1520"/>
      <c r="P24" s="1520"/>
      <c r="Q24" s="1520"/>
      <c r="R24" s="1523"/>
      <c r="S24" s="1524"/>
      <c r="T24" s="1524"/>
    </row>
    <row r="25" spans="1:20">
      <c r="A25" s="1924" t="s">
        <v>2006</v>
      </c>
      <c r="B25" s="1886">
        <v>24</v>
      </c>
      <c r="C25" s="1677">
        <v>14.24</v>
      </c>
      <c r="D25" s="1676">
        <f t="shared" si="0"/>
        <v>3.2640000000000002</v>
      </c>
      <c r="E25" s="1676">
        <v>8.5</v>
      </c>
      <c r="F25" s="1676">
        <f t="shared" si="1"/>
        <v>35.763999999999996</v>
      </c>
      <c r="G25" s="1677">
        <f t="shared" si="2"/>
        <v>4.8102580000000001</v>
      </c>
      <c r="H25" s="1676">
        <f t="shared" si="3"/>
        <v>4.2259199999999995</v>
      </c>
      <c r="I25" s="1884">
        <f t="shared" si="4"/>
        <v>59.040177999999997</v>
      </c>
      <c r="J25" s="1887">
        <v>39421</v>
      </c>
      <c r="K25" s="1914"/>
      <c r="L25" s="1915"/>
      <c r="M25" s="714"/>
      <c r="N25" s="714"/>
      <c r="O25" s="1520"/>
      <c r="P25" s="1520"/>
      <c r="Q25" s="1520"/>
      <c r="R25" s="1523"/>
      <c r="S25" s="1524"/>
      <c r="T25" s="1524"/>
    </row>
    <row r="26" spans="1:20">
      <c r="A26" s="1924" t="s">
        <v>698</v>
      </c>
      <c r="B26" s="1886">
        <v>25.25</v>
      </c>
      <c r="C26" s="1677">
        <v>14.24</v>
      </c>
      <c r="D26" s="1676">
        <f t="shared" si="0"/>
        <v>3.4340000000000002</v>
      </c>
      <c r="E26" s="1676">
        <v>7.65</v>
      </c>
      <c r="F26" s="1676">
        <f t="shared" si="1"/>
        <v>36.334000000000003</v>
      </c>
      <c r="G26" s="1677">
        <f t="shared" si="2"/>
        <v>4.8869230000000003</v>
      </c>
      <c r="H26" s="1676">
        <f t="shared" si="3"/>
        <v>4.4460200000000007</v>
      </c>
      <c r="I26" s="1884">
        <f t="shared" si="4"/>
        <v>59.906943000000012</v>
      </c>
      <c r="J26" s="1887">
        <v>39422</v>
      </c>
      <c r="K26" s="1914"/>
      <c r="L26" s="1916"/>
      <c r="M26" s="714"/>
      <c r="N26" s="714"/>
      <c r="O26" s="1520"/>
      <c r="P26" s="1520"/>
      <c r="Q26" s="1520"/>
      <c r="R26" s="1523"/>
      <c r="S26" s="1524"/>
      <c r="T26" s="1524"/>
    </row>
    <row r="27" spans="1:20">
      <c r="A27" s="1924" t="s">
        <v>699</v>
      </c>
      <c r="B27" s="1886">
        <v>24</v>
      </c>
      <c r="C27" s="1677">
        <v>14.24</v>
      </c>
      <c r="D27" s="1676">
        <f t="shared" si="0"/>
        <v>3.2640000000000002</v>
      </c>
      <c r="E27" s="1676">
        <v>8.5</v>
      </c>
      <c r="F27" s="1676">
        <f t="shared" si="1"/>
        <v>35.763999999999996</v>
      </c>
      <c r="G27" s="1677">
        <f t="shared" si="2"/>
        <v>4.8102580000000001</v>
      </c>
      <c r="H27" s="1676">
        <f t="shared" si="3"/>
        <v>4.2259199999999995</v>
      </c>
      <c r="I27" s="1884">
        <f t="shared" si="4"/>
        <v>59.040177999999997</v>
      </c>
      <c r="J27" s="1887">
        <v>39423</v>
      </c>
      <c r="K27" s="1914"/>
      <c r="L27" s="1915"/>
      <c r="M27" s="714"/>
      <c r="N27" s="714"/>
      <c r="O27" s="1520"/>
      <c r="P27" s="1520"/>
      <c r="Q27" s="1520"/>
      <c r="R27" s="1523"/>
      <c r="S27" s="1524"/>
      <c r="T27" s="1524"/>
    </row>
    <row r="28" spans="1:20">
      <c r="A28" s="1924" t="s">
        <v>216</v>
      </c>
      <c r="B28" s="1886">
        <v>20.22</v>
      </c>
      <c r="C28" s="1677">
        <v>8.59</v>
      </c>
      <c r="D28" s="1676">
        <f t="shared" si="0"/>
        <v>2.7499199999999999</v>
      </c>
      <c r="E28" s="1676">
        <v>7.65</v>
      </c>
      <c r="F28" s="1676">
        <f t="shared" si="1"/>
        <v>30.61992</v>
      </c>
      <c r="G28" s="1677">
        <f t="shared" si="2"/>
        <v>4.1183792400000003</v>
      </c>
      <c r="H28" s="1676">
        <f t="shared" si="3"/>
        <v>3.5603376000000004</v>
      </c>
      <c r="I28" s="1884">
        <f t="shared" si="4"/>
        <v>46.888636840000004</v>
      </c>
      <c r="J28" s="1887">
        <v>39424</v>
      </c>
      <c r="K28" s="1914"/>
      <c r="L28" s="1916"/>
      <c r="M28" s="714"/>
      <c r="N28" s="714"/>
      <c r="O28" s="1520"/>
      <c r="P28" s="1520"/>
      <c r="Q28" s="1520"/>
      <c r="R28" s="1523"/>
      <c r="S28" s="1524"/>
      <c r="T28" s="1524"/>
    </row>
    <row r="29" spans="1:20">
      <c r="A29" s="1924" t="s">
        <v>700</v>
      </c>
      <c r="B29" s="1886">
        <v>19.72</v>
      </c>
      <c r="C29" s="1677">
        <v>8.59</v>
      </c>
      <c r="D29" s="1676">
        <f t="shared" si="0"/>
        <v>2.6819199999999999</v>
      </c>
      <c r="E29" s="1676">
        <v>10</v>
      </c>
      <c r="F29" s="1676">
        <f t="shared" si="1"/>
        <v>32.401919999999997</v>
      </c>
      <c r="G29" s="1677">
        <f t="shared" si="2"/>
        <v>4.3580582400000001</v>
      </c>
      <c r="H29" s="1676">
        <f t="shared" si="3"/>
        <v>3.4722975999999997</v>
      </c>
      <c r="I29" s="1884">
        <f t="shared" si="4"/>
        <v>48.822275839999989</v>
      </c>
      <c r="J29" s="1887">
        <v>39425</v>
      </c>
      <c r="K29" s="1914"/>
      <c r="L29" s="1916"/>
      <c r="M29" s="714"/>
      <c r="N29" s="714"/>
      <c r="O29" s="1520"/>
      <c r="P29" s="1520"/>
      <c r="Q29" s="1520"/>
      <c r="R29" s="1523"/>
      <c r="S29" s="1524"/>
      <c r="T29" s="1524"/>
    </row>
    <row r="30" spans="1:20">
      <c r="A30" s="1924" t="s">
        <v>2060</v>
      </c>
      <c r="B30" s="1886">
        <v>18.72</v>
      </c>
      <c r="C30" s="1677">
        <v>8.59</v>
      </c>
      <c r="D30" s="1676">
        <f t="shared" si="0"/>
        <v>2.5459200000000002</v>
      </c>
      <c r="E30" s="1676">
        <v>8.5</v>
      </c>
      <c r="F30" s="1676">
        <f t="shared" si="1"/>
        <v>29.765919999999998</v>
      </c>
      <c r="G30" s="1677">
        <f t="shared" si="2"/>
        <v>4.0035162399999997</v>
      </c>
      <c r="H30" s="1676">
        <f t="shared" si="3"/>
        <v>3.2962175999999994</v>
      </c>
      <c r="I30" s="1884">
        <f t="shared" si="4"/>
        <v>45.655653839999992</v>
      </c>
      <c r="J30" s="1887">
        <v>39426</v>
      </c>
      <c r="K30" s="1914"/>
      <c r="L30" s="1915"/>
      <c r="M30" s="714"/>
      <c r="N30" s="714"/>
      <c r="O30" s="1520"/>
      <c r="P30" s="1520"/>
      <c r="Q30" s="1520"/>
      <c r="R30" s="1523"/>
      <c r="S30" s="1524"/>
      <c r="T30" s="1524"/>
    </row>
    <row r="31" spans="1:20">
      <c r="A31" s="1924" t="s">
        <v>701</v>
      </c>
      <c r="B31" s="1886">
        <v>25.05</v>
      </c>
      <c r="C31" s="1677">
        <v>13.12</v>
      </c>
      <c r="D31" s="1676">
        <f t="shared" si="0"/>
        <v>3.4068000000000005</v>
      </c>
      <c r="E31" s="1676">
        <v>7.65</v>
      </c>
      <c r="F31" s="1676">
        <f t="shared" si="1"/>
        <v>36.1068</v>
      </c>
      <c r="G31" s="1677">
        <f t="shared" si="2"/>
        <v>4.8563646</v>
      </c>
      <c r="H31" s="1676">
        <f t="shared" si="3"/>
        <v>4.4108039999999997</v>
      </c>
      <c r="I31" s="1884">
        <f t="shared" si="4"/>
        <v>58.493968599999995</v>
      </c>
      <c r="J31" s="1887">
        <v>39427</v>
      </c>
      <c r="K31" s="1914"/>
      <c r="L31" s="1916"/>
      <c r="M31" s="714"/>
      <c r="N31" s="714"/>
      <c r="O31" s="1520"/>
      <c r="P31" s="1520"/>
      <c r="Q31" s="1520"/>
      <c r="R31" s="1523"/>
      <c r="S31" s="1524"/>
      <c r="T31" s="1524"/>
    </row>
    <row r="32" spans="1:20">
      <c r="A32" s="1924" t="s">
        <v>702</v>
      </c>
      <c r="B32" s="1886">
        <v>24.05</v>
      </c>
      <c r="C32" s="1677">
        <v>13.12</v>
      </c>
      <c r="D32" s="1676">
        <f t="shared" si="0"/>
        <v>3.2708000000000004</v>
      </c>
      <c r="E32" s="1676">
        <v>10</v>
      </c>
      <c r="F32" s="1676">
        <f t="shared" si="1"/>
        <v>37.320800000000006</v>
      </c>
      <c r="G32" s="1677">
        <f t="shared" si="2"/>
        <v>5.0196476000000008</v>
      </c>
      <c r="H32" s="1676">
        <f t="shared" si="3"/>
        <v>4.2347240000000008</v>
      </c>
      <c r="I32" s="1884">
        <f t="shared" si="4"/>
        <v>59.695171600000002</v>
      </c>
      <c r="J32" s="1887">
        <v>39428</v>
      </c>
      <c r="K32" s="1914"/>
      <c r="L32" s="1915"/>
      <c r="M32" s="714"/>
      <c r="N32" s="714"/>
      <c r="O32" s="1520"/>
      <c r="P32" s="1520"/>
      <c r="Q32" s="1520"/>
      <c r="R32" s="1523"/>
      <c r="S32" s="1524"/>
      <c r="T32" s="1524"/>
    </row>
    <row r="33" spans="1:20">
      <c r="A33" s="1924" t="s">
        <v>703</v>
      </c>
      <c r="B33" s="1886">
        <v>22.8</v>
      </c>
      <c r="C33" s="1677">
        <v>13.12</v>
      </c>
      <c r="D33" s="1676">
        <f t="shared" si="0"/>
        <v>3.1008000000000004</v>
      </c>
      <c r="E33" s="1676">
        <v>8.5</v>
      </c>
      <c r="F33" s="1676">
        <f t="shared" si="1"/>
        <v>34.400800000000004</v>
      </c>
      <c r="G33" s="1677">
        <f t="shared" si="2"/>
        <v>4.6269076000000009</v>
      </c>
      <c r="H33" s="1676">
        <f t="shared" si="3"/>
        <v>4.0146240000000004</v>
      </c>
      <c r="I33" s="1884">
        <f t="shared" si="4"/>
        <v>56.162331600000002</v>
      </c>
      <c r="J33" s="1887">
        <v>39429</v>
      </c>
      <c r="K33" s="1914"/>
      <c r="L33" s="1915"/>
      <c r="M33" s="714"/>
      <c r="N33" s="714"/>
      <c r="O33" s="1520"/>
      <c r="P33" s="1520"/>
      <c r="Q33" s="1520"/>
      <c r="R33" s="1523"/>
      <c r="S33" s="1524"/>
      <c r="T33" s="1524"/>
    </row>
    <row r="34" spans="1:20">
      <c r="A34" s="1924" t="s">
        <v>217</v>
      </c>
      <c r="B34" s="1886">
        <v>26.2</v>
      </c>
      <c r="C34" s="1677">
        <v>11.9</v>
      </c>
      <c r="D34" s="1676">
        <f t="shared" si="0"/>
        <v>3.5632000000000001</v>
      </c>
      <c r="E34" s="1676">
        <v>7.65</v>
      </c>
      <c r="F34" s="1676">
        <f t="shared" si="1"/>
        <v>37.413199999999996</v>
      </c>
      <c r="G34" s="1677">
        <f t="shared" si="2"/>
        <v>5.0320754000000001</v>
      </c>
      <c r="H34" s="1676">
        <f t="shared" si="3"/>
        <v>4.6132959999999992</v>
      </c>
      <c r="I34" s="1884">
        <f t="shared" si="4"/>
        <v>58.95857139999999</v>
      </c>
      <c r="J34" s="1887">
        <v>39430</v>
      </c>
      <c r="K34" s="1914"/>
      <c r="L34" s="1916"/>
      <c r="M34" s="714"/>
      <c r="N34" s="714"/>
      <c r="O34" s="1520"/>
      <c r="P34" s="1520"/>
      <c r="Q34" s="1520"/>
      <c r="R34" s="1523"/>
      <c r="S34" s="1524"/>
      <c r="T34" s="1524"/>
    </row>
    <row r="35" spans="1:20">
      <c r="A35" s="1924" t="s">
        <v>704</v>
      </c>
      <c r="B35" s="1886">
        <v>24.95</v>
      </c>
      <c r="C35" s="1677">
        <v>11.9</v>
      </c>
      <c r="D35" s="1676">
        <f t="shared" si="0"/>
        <v>3.3932000000000002</v>
      </c>
      <c r="E35" s="1676">
        <v>10</v>
      </c>
      <c r="F35" s="1676">
        <f t="shared" si="1"/>
        <v>38.343199999999996</v>
      </c>
      <c r="G35" s="1677">
        <f t="shared" si="2"/>
        <v>5.1571603999999995</v>
      </c>
      <c r="H35" s="1676">
        <f t="shared" si="3"/>
        <v>4.3931959999999997</v>
      </c>
      <c r="I35" s="1884">
        <f t="shared" si="4"/>
        <v>59.7935564</v>
      </c>
      <c r="J35" s="1887">
        <v>39431</v>
      </c>
      <c r="K35" s="1914"/>
      <c r="L35" s="1916"/>
      <c r="M35" s="714"/>
      <c r="N35" s="714"/>
      <c r="O35" s="1520"/>
      <c r="P35" s="1520"/>
      <c r="Q35" s="1520"/>
      <c r="R35" s="1523"/>
      <c r="S35" s="1524"/>
      <c r="T35" s="1524"/>
    </row>
    <row r="36" spans="1:20">
      <c r="A36" s="1924" t="s">
        <v>705</v>
      </c>
      <c r="B36" s="1886">
        <v>23.95</v>
      </c>
      <c r="C36" s="1677">
        <v>11.9</v>
      </c>
      <c r="D36" s="1676">
        <f t="shared" si="0"/>
        <v>3.2572000000000001</v>
      </c>
      <c r="E36" s="1676">
        <v>8.5</v>
      </c>
      <c r="F36" s="1676">
        <f t="shared" si="1"/>
        <v>35.7072</v>
      </c>
      <c r="G36" s="1677">
        <f t="shared" si="2"/>
        <v>4.8026184000000001</v>
      </c>
      <c r="H36" s="1676">
        <f t="shared" si="3"/>
        <v>4.2171159999999999</v>
      </c>
      <c r="I36" s="1884">
        <f t="shared" si="4"/>
        <v>56.626934399999996</v>
      </c>
      <c r="J36" s="1887">
        <v>39432</v>
      </c>
      <c r="K36" s="1914"/>
      <c r="L36" s="1916"/>
      <c r="M36" s="714"/>
      <c r="N36" s="714"/>
      <c r="O36" s="1520"/>
      <c r="P36" s="1520"/>
      <c r="Q36" s="1520"/>
      <c r="R36" s="1523"/>
      <c r="S36" s="1524"/>
      <c r="T36" s="1524"/>
    </row>
    <row r="37" spans="1:20">
      <c r="A37" s="1924" t="s">
        <v>218</v>
      </c>
      <c r="B37" s="1886">
        <v>22.7</v>
      </c>
      <c r="C37" s="1677">
        <v>11.9</v>
      </c>
      <c r="D37" s="1676">
        <f t="shared" si="0"/>
        <v>3.0872000000000002</v>
      </c>
      <c r="E37" s="1676">
        <v>7.65</v>
      </c>
      <c r="F37" s="1676">
        <f t="shared" si="1"/>
        <v>33.437199999999997</v>
      </c>
      <c r="G37" s="1677">
        <f t="shared" si="2"/>
        <v>4.4973033999999998</v>
      </c>
      <c r="H37" s="1676">
        <f t="shared" si="3"/>
        <v>3.9970159999999999</v>
      </c>
      <c r="I37" s="1884">
        <f t="shared" si="4"/>
        <v>53.831519399999998</v>
      </c>
      <c r="J37" s="1887">
        <v>39433</v>
      </c>
      <c r="K37" s="1914"/>
      <c r="L37" s="1916"/>
      <c r="M37" s="714"/>
      <c r="N37" s="714"/>
      <c r="O37" s="1520"/>
      <c r="P37" s="1520"/>
      <c r="Q37" s="1520"/>
      <c r="R37" s="1523"/>
      <c r="S37" s="1524"/>
      <c r="T37" s="1524"/>
    </row>
    <row r="38" spans="1:20">
      <c r="A38" s="1924" t="s">
        <v>2061</v>
      </c>
      <c r="B38" s="1886">
        <v>19.96</v>
      </c>
      <c r="C38" s="1677">
        <v>11.9</v>
      </c>
      <c r="D38" s="1676">
        <f t="shared" si="0"/>
        <v>2.7145600000000005</v>
      </c>
      <c r="E38" s="1676">
        <v>7.65</v>
      </c>
      <c r="F38" s="1676">
        <f t="shared" si="1"/>
        <v>30.324559999999998</v>
      </c>
      <c r="G38" s="1677">
        <f t="shared" si="2"/>
        <v>4.0786533199999999</v>
      </c>
      <c r="H38" s="1676">
        <f t="shared" si="3"/>
        <v>3.5145567999999998</v>
      </c>
      <c r="I38" s="1884">
        <f t="shared" si="4"/>
        <v>49.817770119999999</v>
      </c>
      <c r="J38" s="1887">
        <v>39434</v>
      </c>
      <c r="K38" s="1914"/>
      <c r="L38" s="1916"/>
      <c r="M38" s="714"/>
      <c r="N38" s="714"/>
      <c r="O38" s="1520"/>
      <c r="P38" s="1520"/>
      <c r="Q38" s="1520"/>
      <c r="R38" s="1523"/>
      <c r="S38" s="1524"/>
      <c r="T38" s="1524"/>
    </row>
    <row r="39" spans="1:20">
      <c r="A39" s="1924" t="s">
        <v>706</v>
      </c>
      <c r="B39" s="1886">
        <v>19.190000000000001</v>
      </c>
      <c r="C39" s="1677">
        <v>11.9</v>
      </c>
      <c r="D39" s="1676">
        <f t="shared" si="0"/>
        <v>2.6098400000000002</v>
      </c>
      <c r="E39" s="1676">
        <v>7.65</v>
      </c>
      <c r="F39" s="1676">
        <f t="shared" si="1"/>
        <v>29.449840000000002</v>
      </c>
      <c r="G39" s="1677">
        <f t="shared" si="2"/>
        <v>3.9610034800000005</v>
      </c>
      <c r="H39" s="1676">
        <f t="shared" si="3"/>
        <v>3.3789752000000006</v>
      </c>
      <c r="I39" s="1884">
        <f t="shared" si="4"/>
        <v>48.689818680000002</v>
      </c>
      <c r="J39" s="1887">
        <v>39435</v>
      </c>
      <c r="K39" s="1914"/>
      <c r="L39" s="1916"/>
      <c r="M39" s="714"/>
      <c r="N39" s="714"/>
      <c r="O39" s="1520"/>
      <c r="P39" s="1520"/>
      <c r="Q39" s="1520"/>
      <c r="R39" s="1523"/>
      <c r="S39" s="1524"/>
      <c r="T39" s="1524"/>
    </row>
    <row r="40" spans="1:20">
      <c r="A40" s="1924" t="s">
        <v>219</v>
      </c>
      <c r="B40" s="1886">
        <v>18</v>
      </c>
      <c r="C40" s="1677">
        <v>7.93</v>
      </c>
      <c r="D40" s="1676">
        <f t="shared" si="0"/>
        <v>2.4480000000000004</v>
      </c>
      <c r="E40" s="1676">
        <v>7.65</v>
      </c>
      <c r="F40" s="1676">
        <f t="shared" si="1"/>
        <v>28.097999999999999</v>
      </c>
      <c r="G40" s="1677">
        <f t="shared" si="2"/>
        <v>3.7791809999999999</v>
      </c>
      <c r="H40" s="1676">
        <f t="shared" si="3"/>
        <v>3.1694400000000003</v>
      </c>
      <c r="I40" s="1884">
        <f t="shared" si="4"/>
        <v>42.976621000000002</v>
      </c>
      <c r="J40" s="1887">
        <v>39436</v>
      </c>
      <c r="K40" s="1914"/>
      <c r="L40" s="1916"/>
      <c r="M40" s="714"/>
      <c r="N40" s="714"/>
      <c r="O40" s="1520"/>
      <c r="P40" s="1520"/>
      <c r="Q40" s="1520"/>
      <c r="R40" s="1523"/>
      <c r="S40" s="1524"/>
      <c r="T40" s="1524"/>
    </row>
    <row r="41" spans="1:20">
      <c r="A41" s="1924" t="s">
        <v>2007</v>
      </c>
      <c r="B41" s="1886">
        <v>17</v>
      </c>
      <c r="C41" s="1677">
        <v>7.93</v>
      </c>
      <c r="D41" s="1676">
        <f t="shared" si="0"/>
        <v>2.3120000000000003</v>
      </c>
      <c r="E41" s="1676">
        <v>8.5</v>
      </c>
      <c r="F41" s="1676">
        <f t="shared" si="1"/>
        <v>27.812000000000001</v>
      </c>
      <c r="G41" s="1677">
        <f t="shared" si="2"/>
        <v>3.7407140000000005</v>
      </c>
      <c r="H41" s="1676">
        <f t="shared" si="3"/>
        <v>2.99336</v>
      </c>
      <c r="I41" s="1884">
        <f t="shared" si="4"/>
        <v>42.476074000000004</v>
      </c>
      <c r="J41" s="1887">
        <v>39437</v>
      </c>
      <c r="K41" s="1914"/>
      <c r="L41" s="1915"/>
      <c r="M41" s="714"/>
      <c r="N41" s="714"/>
      <c r="O41" s="1520"/>
      <c r="P41" s="1520"/>
      <c r="Q41" s="1520"/>
      <c r="R41" s="1523"/>
      <c r="S41" s="1524"/>
      <c r="T41" s="1524"/>
    </row>
    <row r="42" spans="1:20">
      <c r="A42" s="1924" t="s">
        <v>1367</v>
      </c>
      <c r="B42" s="1886">
        <v>27.92</v>
      </c>
      <c r="C42" s="1677">
        <v>11.15</v>
      </c>
      <c r="D42" s="1676">
        <f t="shared" si="0"/>
        <v>3.7971200000000005</v>
      </c>
      <c r="E42" s="1676">
        <v>7.65</v>
      </c>
      <c r="F42" s="1676">
        <f t="shared" si="1"/>
        <v>39.36712</v>
      </c>
      <c r="G42" s="1677">
        <f t="shared" si="2"/>
        <v>5.2948776400000002</v>
      </c>
      <c r="H42" s="1676">
        <f t="shared" si="3"/>
        <v>4.9161536000000003</v>
      </c>
      <c r="I42" s="1884">
        <f t="shared" si="4"/>
        <v>60.728151240000003</v>
      </c>
      <c r="J42" s="1887">
        <v>39438</v>
      </c>
      <c r="K42" s="1914"/>
      <c r="L42" s="1916"/>
      <c r="M42" s="714"/>
      <c r="N42" s="714"/>
      <c r="O42" s="1520"/>
      <c r="P42" s="1520"/>
      <c r="Q42" s="1520"/>
      <c r="R42" s="1523"/>
      <c r="S42" s="1524"/>
      <c r="T42" s="1524"/>
    </row>
    <row r="43" spans="1:20">
      <c r="A43" s="1924" t="s">
        <v>1368</v>
      </c>
      <c r="B43" s="1886">
        <v>26.92</v>
      </c>
      <c r="C43" s="1677">
        <v>11.15</v>
      </c>
      <c r="D43" s="1676">
        <f t="shared" si="0"/>
        <v>3.6611200000000004</v>
      </c>
      <c r="E43" s="1676">
        <v>10</v>
      </c>
      <c r="F43" s="1676">
        <f t="shared" si="1"/>
        <v>40.581119999999999</v>
      </c>
      <c r="G43" s="1677">
        <f t="shared" si="2"/>
        <v>5.45816064</v>
      </c>
      <c r="H43" s="1676">
        <f t="shared" si="3"/>
        <v>4.7400735999999997</v>
      </c>
      <c r="I43" s="1884">
        <f t="shared" si="4"/>
        <v>61.929354240000002</v>
      </c>
      <c r="J43" s="1887">
        <v>39439</v>
      </c>
      <c r="K43" s="1914"/>
      <c r="L43" s="1915"/>
      <c r="M43" s="714"/>
      <c r="N43" s="714"/>
      <c r="O43" s="1520"/>
      <c r="P43" s="1520"/>
      <c r="Q43" s="1520"/>
      <c r="R43" s="1523"/>
      <c r="S43" s="1524"/>
      <c r="T43" s="1524"/>
    </row>
    <row r="44" spans="1:20">
      <c r="A44" s="1924" t="s">
        <v>1369</v>
      </c>
      <c r="B44" s="1886">
        <v>25.67</v>
      </c>
      <c r="C44" s="1677">
        <v>11.15</v>
      </c>
      <c r="D44" s="1676">
        <f t="shared" si="0"/>
        <v>3.4911200000000004</v>
      </c>
      <c r="E44" s="1676">
        <v>8.5</v>
      </c>
      <c r="F44" s="1676">
        <f t="shared" si="1"/>
        <v>37.661120000000004</v>
      </c>
      <c r="G44" s="1677">
        <f t="shared" si="2"/>
        <v>5.065420640000001</v>
      </c>
      <c r="H44" s="1676">
        <f t="shared" si="3"/>
        <v>4.5199736000000001</v>
      </c>
      <c r="I44" s="1884">
        <f t="shared" si="4"/>
        <v>58.396514240000002</v>
      </c>
      <c r="J44" s="1887">
        <v>39440</v>
      </c>
      <c r="K44" s="1914"/>
      <c r="L44" s="1915"/>
      <c r="M44" s="714"/>
      <c r="N44" s="714"/>
      <c r="O44" s="1520"/>
      <c r="P44" s="1520"/>
      <c r="Q44" s="1520"/>
      <c r="R44" s="1523"/>
      <c r="S44" s="1524"/>
      <c r="T44" s="1524"/>
    </row>
    <row r="45" spans="1:20">
      <c r="A45" s="1924" t="s">
        <v>1239</v>
      </c>
      <c r="B45" s="1886">
        <v>28.9</v>
      </c>
      <c r="C45" s="1677">
        <v>11.52</v>
      </c>
      <c r="D45" s="1676">
        <f t="shared" si="0"/>
        <v>3.9304000000000001</v>
      </c>
      <c r="E45" s="1676">
        <v>7.65</v>
      </c>
      <c r="F45" s="1676">
        <f t="shared" si="1"/>
        <v>40.480399999999996</v>
      </c>
      <c r="G45" s="1677">
        <f t="shared" si="2"/>
        <v>5.4446137999999999</v>
      </c>
      <c r="H45" s="1676">
        <f t="shared" si="3"/>
        <v>5.0887119999999992</v>
      </c>
      <c r="I45" s="1884">
        <f t="shared" si="4"/>
        <v>62.533725799999999</v>
      </c>
      <c r="J45" s="1887">
        <v>39441</v>
      </c>
      <c r="K45" s="1914"/>
      <c r="L45" s="1916"/>
      <c r="M45" s="714"/>
      <c r="N45" s="714"/>
      <c r="O45" s="1520"/>
      <c r="P45" s="1520"/>
      <c r="Q45" s="1520"/>
      <c r="R45" s="1523"/>
      <c r="S45" s="1524"/>
      <c r="T45" s="1524"/>
    </row>
    <row r="46" spans="1:20">
      <c r="A46" s="1924" t="s">
        <v>1370</v>
      </c>
      <c r="B46" s="1886">
        <v>27.9</v>
      </c>
      <c r="C46" s="1677">
        <v>11.52</v>
      </c>
      <c r="D46" s="1676">
        <f t="shared" si="0"/>
        <v>3.7944</v>
      </c>
      <c r="E46" s="1676">
        <v>8.5</v>
      </c>
      <c r="F46" s="1676">
        <f t="shared" si="1"/>
        <v>40.194400000000002</v>
      </c>
      <c r="G46" s="1677">
        <f t="shared" si="2"/>
        <v>5.4061468000000001</v>
      </c>
      <c r="H46" s="1676">
        <f t="shared" si="3"/>
        <v>4.9126320000000003</v>
      </c>
      <c r="I46" s="1884">
        <f t="shared" si="4"/>
        <v>62.033178800000002</v>
      </c>
      <c r="J46" s="1887">
        <v>39442</v>
      </c>
      <c r="K46" s="1914"/>
      <c r="L46" s="1915"/>
      <c r="M46" s="714"/>
      <c r="N46" s="714"/>
      <c r="O46" s="1520"/>
      <c r="P46" s="1520"/>
      <c r="Q46" s="1520"/>
      <c r="R46" s="1523"/>
      <c r="S46" s="1524"/>
      <c r="T46" s="1524"/>
    </row>
    <row r="47" spans="1:20">
      <c r="A47" s="1924" t="s">
        <v>1371</v>
      </c>
      <c r="B47" s="1886">
        <v>26.65</v>
      </c>
      <c r="C47" s="1677">
        <v>11.52</v>
      </c>
      <c r="D47" s="1676">
        <f t="shared" si="0"/>
        <v>3.6244000000000001</v>
      </c>
      <c r="E47" s="1676">
        <v>7.65</v>
      </c>
      <c r="F47" s="1676">
        <f t="shared" si="1"/>
        <v>37.924399999999999</v>
      </c>
      <c r="G47" s="1677">
        <f t="shared" si="2"/>
        <v>5.1008317999999999</v>
      </c>
      <c r="H47" s="1676">
        <f t="shared" si="3"/>
        <v>4.6925319999999999</v>
      </c>
      <c r="I47" s="1884">
        <f t="shared" si="4"/>
        <v>59.237763800000003</v>
      </c>
      <c r="J47" s="1887">
        <v>39443</v>
      </c>
      <c r="K47" s="1914"/>
      <c r="L47" s="1916"/>
      <c r="M47" s="714"/>
      <c r="N47" s="714"/>
      <c r="O47" s="1520"/>
      <c r="P47" s="1520"/>
      <c r="Q47" s="1520"/>
      <c r="R47" s="1523"/>
      <c r="S47" s="1524"/>
      <c r="T47" s="1524"/>
    </row>
    <row r="48" spans="1:20">
      <c r="A48" s="1924" t="s">
        <v>220</v>
      </c>
      <c r="B48" s="1886">
        <v>18.149999999999999</v>
      </c>
      <c r="C48" s="1677">
        <v>4.95</v>
      </c>
      <c r="D48" s="1676">
        <f t="shared" si="0"/>
        <v>2.4683999999999999</v>
      </c>
      <c r="E48" s="1676">
        <v>8.5</v>
      </c>
      <c r="F48" s="1676">
        <f t="shared" si="1"/>
        <v>29.118399999999998</v>
      </c>
      <c r="G48" s="1677">
        <f t="shared" si="2"/>
        <v>3.9164247999999997</v>
      </c>
      <c r="H48" s="1676">
        <f t="shared" si="3"/>
        <v>3.1958519999999995</v>
      </c>
      <c r="I48" s="1884">
        <f t="shared" si="4"/>
        <v>41.180676800000001</v>
      </c>
      <c r="J48" s="1887">
        <v>39444</v>
      </c>
      <c r="K48" s="1914"/>
      <c r="L48" s="1916"/>
      <c r="M48" s="714"/>
      <c r="N48" s="714"/>
      <c r="O48" s="1520"/>
      <c r="P48" s="1520"/>
      <c r="Q48" s="1520"/>
      <c r="R48" s="1523"/>
      <c r="S48" s="1524"/>
      <c r="T48" s="1524"/>
    </row>
    <row r="49" spans="1:20">
      <c r="A49" s="1924" t="s">
        <v>221</v>
      </c>
      <c r="B49" s="1886">
        <v>16.899999999999999</v>
      </c>
      <c r="C49" s="1677">
        <v>4.95</v>
      </c>
      <c r="D49" s="1676">
        <f t="shared" si="0"/>
        <v>2.2984</v>
      </c>
      <c r="E49" s="1676">
        <v>7.65</v>
      </c>
      <c r="F49" s="1676">
        <f t="shared" si="1"/>
        <v>26.848399999999998</v>
      </c>
      <c r="G49" s="1677">
        <f t="shared" si="2"/>
        <v>3.6111097999999999</v>
      </c>
      <c r="H49" s="1676">
        <f t="shared" si="3"/>
        <v>2.975752</v>
      </c>
      <c r="I49" s="1884">
        <f t="shared" si="4"/>
        <v>38.385261799999995</v>
      </c>
      <c r="J49" s="1887">
        <v>39445</v>
      </c>
      <c r="K49" s="1914"/>
      <c r="L49" s="1916"/>
      <c r="M49" s="714"/>
      <c r="N49" s="714"/>
      <c r="O49" s="1520"/>
      <c r="P49" s="1520"/>
      <c r="Q49" s="1520"/>
      <c r="R49" s="1523"/>
      <c r="S49" s="1524"/>
      <c r="T49" s="1524"/>
    </row>
    <row r="50" spans="1:20">
      <c r="A50" s="1924" t="s">
        <v>222</v>
      </c>
      <c r="B50" s="1886">
        <v>10.46</v>
      </c>
      <c r="C50" s="1677">
        <v>1.33</v>
      </c>
      <c r="D50" s="1676">
        <f t="shared" si="0"/>
        <v>1.4225600000000003</v>
      </c>
      <c r="E50" s="1676">
        <v>8.5</v>
      </c>
      <c r="F50" s="1676">
        <f t="shared" si="1"/>
        <v>20.382560000000002</v>
      </c>
      <c r="G50" s="1677">
        <f t="shared" si="2"/>
        <v>2.7414543200000003</v>
      </c>
      <c r="H50" s="1676">
        <f t="shared" si="3"/>
        <v>1.8417968000000002</v>
      </c>
      <c r="I50" s="1884">
        <f t="shared" si="4"/>
        <v>26.295811120000003</v>
      </c>
      <c r="J50" s="1887">
        <v>39446</v>
      </c>
      <c r="K50" s="1914"/>
      <c r="L50" s="1916"/>
      <c r="M50" s="714"/>
      <c r="N50" s="714"/>
      <c r="O50" s="1520"/>
      <c r="P50" s="1520"/>
      <c r="Q50" s="1520"/>
      <c r="R50" s="1523"/>
      <c r="S50" s="1524"/>
      <c r="T50" s="1524"/>
    </row>
    <row r="51" spans="1:20" ht="16.8" thickBot="1">
      <c r="A51" s="1924" t="s">
        <v>2008</v>
      </c>
      <c r="B51" s="1886">
        <v>10.18</v>
      </c>
      <c r="C51" s="1677">
        <v>1.33</v>
      </c>
      <c r="D51" s="1676">
        <f t="shared" si="0"/>
        <v>1.3844800000000002</v>
      </c>
      <c r="E51" s="1676">
        <v>7.65</v>
      </c>
      <c r="F51" s="1676">
        <f t="shared" si="1"/>
        <v>19.214480000000002</v>
      </c>
      <c r="G51" s="1677">
        <f t="shared" si="2"/>
        <v>2.5843475600000003</v>
      </c>
      <c r="H51" s="1676">
        <f t="shared" si="3"/>
        <v>1.7924944000000003</v>
      </c>
      <c r="I51" s="1884">
        <f t="shared" si="4"/>
        <v>24.92132196</v>
      </c>
      <c r="J51" s="1887">
        <v>39447</v>
      </c>
      <c r="K51" s="1914"/>
      <c r="L51" s="1916"/>
      <c r="M51" s="714"/>
      <c r="N51" s="714"/>
      <c r="O51" s="1512">
        <f>SUM(I8:I51)/34</f>
        <v>70.129794147058817</v>
      </c>
      <c r="P51" s="1520"/>
      <c r="Q51" s="1520"/>
      <c r="R51" s="1523"/>
      <c r="S51" s="1524"/>
      <c r="T51" s="1524"/>
    </row>
    <row r="52" spans="1:20" ht="16.8" thickBot="1">
      <c r="A52" s="1925"/>
      <c r="B52" s="1918"/>
      <c r="C52" s="1918"/>
      <c r="D52" s="1678"/>
      <c r="E52" s="1678"/>
      <c r="F52" s="1918"/>
      <c r="G52" s="1678"/>
      <c r="H52" s="3267" t="s">
        <v>779</v>
      </c>
      <c r="I52" s="3268"/>
      <c r="J52" s="3268"/>
      <c r="K52" s="1907">
        <f>SUM((I50+I48+I46+I43+I40+I36+I34+I32+I29+I26+I24+I21+I18+I16+I14+I12+I9)/17)</f>
        <v>54.234575383529403</v>
      </c>
      <c r="L52" s="1911"/>
      <c r="M52" s="714"/>
      <c r="N52" s="714"/>
      <c r="O52" s="714"/>
      <c r="P52" s="714"/>
    </row>
    <row r="53" spans="1:20" ht="16.8" thickBot="1">
      <c r="A53" s="1926"/>
      <c r="B53" s="1678"/>
      <c r="C53" s="1919"/>
      <c r="D53" s="1678"/>
      <c r="E53" s="1678"/>
      <c r="F53" s="1920"/>
      <c r="G53" s="1678"/>
      <c r="H53" s="1904" t="s">
        <v>780</v>
      </c>
      <c r="I53" s="1905"/>
      <c r="J53" s="1906"/>
      <c r="K53" s="1907">
        <f>SUM((B51+B49+B47+B44+B41+B37+B35+B33+B30+B27+B25+B22+B19+B17+B15+B13+B10)/17)+(C51+C49+C47+C44+C41+C37+C35+C33+C30+C27+C25+C22+C19+C17+C15+C13+C10)/17</f>
        <v>32.357647058823524</v>
      </c>
      <c r="L53" s="1917"/>
      <c r="M53" s="714"/>
      <c r="N53" s="714"/>
      <c r="O53" s="714"/>
      <c r="P53" s="714"/>
    </row>
    <row r="54" spans="1:20" ht="16.8" thickBot="1">
      <c r="A54" s="1888" t="s">
        <v>223</v>
      </c>
      <c r="B54" s="1889">
        <f>SUM(B8:B53)/44</f>
        <v>23.05113636363636</v>
      </c>
      <c r="C54" s="1890">
        <f t="shared" ref="C54:I54" si="6">SUM(C8:C53)/44</f>
        <v>10.849318181818177</v>
      </c>
      <c r="D54" s="1889">
        <f t="shared" si="6"/>
        <v>3.1349545454545451</v>
      </c>
      <c r="E54" s="1680">
        <f t="shared" si="6"/>
        <v>8.4397727272727234</v>
      </c>
      <c r="F54" s="1889">
        <f t="shared" si="6"/>
        <v>34.625863636363647</v>
      </c>
      <c r="G54" s="1680">
        <f t="shared" si="6"/>
        <v>4.657178659090909</v>
      </c>
      <c r="H54" s="1889">
        <f t="shared" si="6"/>
        <v>4.0588440909090915</v>
      </c>
      <c r="I54" s="1899">
        <f t="shared" si="6"/>
        <v>54.191204568181817</v>
      </c>
      <c r="J54" s="1909"/>
      <c r="K54" s="1909"/>
      <c r="L54" s="1679"/>
      <c r="M54" s="714"/>
      <c r="N54" s="714"/>
      <c r="O54" s="714"/>
      <c r="P54" s="714"/>
    </row>
    <row r="55" spans="1:20">
      <c r="A55" s="1909"/>
      <c r="B55" s="1891" t="s">
        <v>1658</v>
      </c>
      <c r="C55" s="1892" t="s">
        <v>1998</v>
      </c>
      <c r="D55" s="1893" t="s">
        <v>1240</v>
      </c>
      <c r="E55" s="1681" t="s">
        <v>1242</v>
      </c>
      <c r="F55" s="1897" t="s">
        <v>1241</v>
      </c>
      <c r="G55" s="1682" t="s">
        <v>837</v>
      </c>
      <c r="H55" s="1900" t="s">
        <v>838</v>
      </c>
      <c r="I55" s="1901" t="s">
        <v>839</v>
      </c>
      <c r="J55" s="1909"/>
      <c r="K55" s="1909"/>
      <c r="L55" s="1679"/>
      <c r="M55" s="714"/>
      <c r="N55" s="714"/>
      <c r="O55" s="714"/>
      <c r="P55" s="714"/>
    </row>
    <row r="56" spans="1:20" ht="16.8" thickBot="1">
      <c r="A56" s="1909"/>
      <c r="B56" s="1894" t="s">
        <v>1724</v>
      </c>
      <c r="C56" s="1895"/>
      <c r="D56" s="1896" t="s">
        <v>215</v>
      </c>
      <c r="E56" s="1683" t="s">
        <v>1999</v>
      </c>
      <c r="F56" s="1898" t="s">
        <v>2000</v>
      </c>
      <c r="G56" s="1684">
        <v>0.113</v>
      </c>
      <c r="H56" s="1902">
        <v>0.155</v>
      </c>
      <c r="I56" s="1903" t="s">
        <v>2001</v>
      </c>
      <c r="J56" s="1909"/>
      <c r="K56" s="1909"/>
      <c r="L56" s="1679"/>
      <c r="M56" s="714"/>
      <c r="N56" s="714"/>
      <c r="O56" s="714"/>
      <c r="P56" s="714"/>
    </row>
    <row r="57" spans="1:20">
      <c r="A57" s="714"/>
      <c r="B57" s="1526"/>
      <c r="C57" s="1513"/>
      <c r="D57" s="1513"/>
      <c r="E57" s="1513"/>
      <c r="F57" s="714"/>
      <c r="G57" s="1513"/>
      <c r="H57" s="1513"/>
      <c r="I57" s="1513"/>
      <c r="J57" s="714"/>
      <c r="K57" s="1100"/>
      <c r="L57" s="1100"/>
      <c r="M57" s="714"/>
      <c r="N57" s="714"/>
      <c r="O57" s="714"/>
      <c r="P57" s="714"/>
    </row>
    <row r="58" spans="1:20">
      <c r="A58" s="710" t="s">
        <v>776</v>
      </c>
      <c r="B58" s="1105"/>
      <c r="C58" s="1105"/>
      <c r="E58" s="1105"/>
    </row>
    <row r="59" spans="1:20">
      <c r="A59" s="710" t="s">
        <v>777</v>
      </c>
      <c r="C59" s="1527"/>
      <c r="D59" s="716"/>
      <c r="E59" s="1100"/>
      <c r="F59" s="716"/>
      <c r="G59" s="716"/>
      <c r="J59" s="1527"/>
    </row>
    <row r="60" spans="1:20">
      <c r="A60" s="714"/>
      <c r="B60" s="714"/>
      <c r="C60" s="1528"/>
      <c r="D60" s="716"/>
      <c r="E60" s="1528"/>
      <c r="F60" s="1527"/>
      <c r="G60" s="1528"/>
      <c r="H60" s="1529" t="s">
        <v>1372</v>
      </c>
      <c r="I60" s="1529" t="s">
        <v>209</v>
      </c>
      <c r="J60" s="1529"/>
      <c r="K60" s="714"/>
      <c r="L60" s="714"/>
      <c r="M60" s="714"/>
      <c r="N60" s="714"/>
      <c r="O60" s="714"/>
      <c r="P60" s="714"/>
    </row>
    <row r="61" spans="1:20">
      <c r="A61" s="1530" t="s">
        <v>900</v>
      </c>
      <c r="B61" s="1530" t="s">
        <v>901</v>
      </c>
      <c r="C61" s="1531"/>
      <c r="D61" s="1532"/>
      <c r="E61" s="1533"/>
      <c r="F61" s="1531"/>
      <c r="G61" s="1533"/>
      <c r="H61" s="1534" t="s">
        <v>902</v>
      </c>
      <c r="I61" s="1534" t="s">
        <v>903</v>
      </c>
      <c r="J61" s="1534"/>
      <c r="K61" s="897"/>
      <c r="L61" s="779"/>
      <c r="M61" s="714"/>
      <c r="N61" s="714"/>
      <c r="O61" s="714"/>
      <c r="P61" s="714"/>
    </row>
    <row r="63" spans="1:20">
      <c r="A63" s="1535" t="s">
        <v>904</v>
      </c>
      <c r="B63" s="1536">
        <f>(1/6*I29)+(2/6*I30)+(3/6*I36)</f>
        <v>51.669064453333327</v>
      </c>
      <c r="C63" s="1537">
        <f>+$C$59</f>
        <v>0</v>
      </c>
      <c r="D63" s="1538">
        <f>B63*C63</f>
        <v>0</v>
      </c>
      <c r="E63" s="1538">
        <f>+$E$59</f>
        <v>0</v>
      </c>
      <c r="F63" s="1538">
        <f>(B63*$F$60)*0.75</f>
        <v>0</v>
      </c>
      <c r="G63" s="1536">
        <f>(B63+SUM(D63:F63))*J63</f>
        <v>0</v>
      </c>
      <c r="H63" s="1536">
        <f>B63+SUM(D63:G63)</f>
        <v>51.669064453333327</v>
      </c>
      <c r="I63" s="1539">
        <f>H63</f>
        <v>51.669064453333327</v>
      </c>
      <c r="J63" s="1537">
        <f>+J59</f>
        <v>0</v>
      </c>
      <c r="K63" s="714"/>
      <c r="L63" s="714"/>
      <c r="M63" s="714"/>
      <c r="N63" s="714"/>
      <c r="O63" s="714"/>
      <c r="P63" s="714"/>
    </row>
    <row r="64" spans="1:20">
      <c r="A64" s="1535"/>
      <c r="B64" s="1536"/>
      <c r="C64" s="1537"/>
      <c r="D64" s="1538"/>
      <c r="E64" s="1538"/>
      <c r="F64" s="1538"/>
      <c r="G64" s="1536"/>
      <c r="H64" s="1536"/>
      <c r="I64" s="1539"/>
      <c r="J64" s="1537"/>
      <c r="K64" s="714"/>
      <c r="L64" s="714"/>
      <c r="M64" s="714"/>
      <c r="N64" s="714"/>
      <c r="O64" s="714"/>
      <c r="P64" s="714"/>
    </row>
    <row r="65" spans="1:16">
      <c r="A65" s="1535" t="s">
        <v>905</v>
      </c>
      <c r="B65" s="1536">
        <f>I17</f>
        <v>51.767400480000006</v>
      </c>
      <c r="C65" s="1537">
        <f>+$C$59</f>
        <v>0</v>
      </c>
      <c r="D65" s="1538">
        <f>B65*C65</f>
        <v>0</v>
      </c>
      <c r="E65" s="1538">
        <f>+$E$59</f>
        <v>0</v>
      </c>
      <c r="F65" s="1538">
        <f>(B65*$F$60)*0.75</f>
        <v>0</v>
      </c>
      <c r="G65" s="1536">
        <f>(B65+SUM(D65:F65))*J65</f>
        <v>0</v>
      </c>
      <c r="H65" s="1536">
        <f>B65+SUM(D65:G65)</f>
        <v>51.767400480000006</v>
      </c>
      <c r="I65" s="1539">
        <f>H65</f>
        <v>51.767400480000006</v>
      </c>
      <c r="J65" s="1537">
        <f>+J59</f>
        <v>0</v>
      </c>
      <c r="K65" s="714"/>
      <c r="L65" s="714"/>
      <c r="M65" s="714"/>
      <c r="N65" s="714"/>
      <c r="O65" s="714"/>
      <c r="P65" s="714"/>
    </row>
    <row r="66" spans="1:16">
      <c r="A66" s="1535"/>
      <c r="B66" s="1536"/>
      <c r="C66" s="1537"/>
      <c r="D66" s="1538"/>
      <c r="E66" s="1538"/>
      <c r="F66" s="1538"/>
      <c r="G66" s="1536"/>
      <c r="H66" s="1536"/>
      <c r="I66" s="1539"/>
      <c r="J66" s="1537"/>
      <c r="K66" s="714"/>
      <c r="L66" s="714"/>
      <c r="M66" s="714"/>
      <c r="N66" s="714"/>
      <c r="O66" s="714"/>
      <c r="P66" s="714"/>
    </row>
    <row r="67" spans="1:16">
      <c r="A67" s="1535" t="s">
        <v>550</v>
      </c>
      <c r="B67" s="1536">
        <f>(1/13*I29)+(9/13*I30)+(3/13*I36)</f>
        <v>48.431074123076918</v>
      </c>
      <c r="C67" s="1537">
        <f>+$C$59</f>
        <v>0</v>
      </c>
      <c r="D67" s="1538">
        <f>B67*C67</f>
        <v>0</v>
      </c>
      <c r="E67" s="1538">
        <f>+$E$59</f>
        <v>0</v>
      </c>
      <c r="F67" s="1538">
        <f>(B67*$F$60)*0.75</f>
        <v>0</v>
      </c>
      <c r="G67" s="1536">
        <f>(B67+SUM(D67:F67))*J67</f>
        <v>0</v>
      </c>
      <c r="H67" s="1536">
        <f>B67+SUM(D67:G67)</f>
        <v>48.431074123076918</v>
      </c>
      <c r="I67" s="1539">
        <f>H67</f>
        <v>48.431074123076918</v>
      </c>
      <c r="J67" s="1537">
        <f>+J59</f>
        <v>0</v>
      </c>
      <c r="K67" s="714"/>
      <c r="L67" s="714"/>
      <c r="M67" s="714"/>
      <c r="N67" s="714"/>
      <c r="O67" s="714"/>
      <c r="P67" s="714"/>
    </row>
    <row r="68" spans="1:16">
      <c r="A68" s="1535"/>
      <c r="B68" s="1536"/>
      <c r="C68" s="1537"/>
      <c r="D68" s="1538"/>
      <c r="E68" s="1538"/>
      <c r="F68" s="1538"/>
      <c r="G68" s="1536"/>
      <c r="H68" s="1536"/>
      <c r="I68" s="1539"/>
      <c r="J68" s="1537"/>
      <c r="K68" s="714"/>
      <c r="L68" s="714"/>
      <c r="M68" s="714"/>
      <c r="N68" s="714"/>
      <c r="O68" s="714"/>
      <c r="P68" s="714"/>
    </row>
    <row r="69" spans="1:16">
      <c r="A69" s="1535" t="s">
        <v>2056</v>
      </c>
      <c r="B69" s="1536">
        <f>(2/30*I16)+(9/30*I17)+(6/30*I30)+(5/30*I18)+(2/30*I26)+(6/30*I27)</f>
        <v>51.453041577333323</v>
      </c>
      <c r="C69" s="1537">
        <f>+$C$59</f>
        <v>0</v>
      </c>
      <c r="D69" s="1538">
        <f>B69*C69</f>
        <v>0</v>
      </c>
      <c r="E69" s="1538">
        <f>+$E$59</f>
        <v>0</v>
      </c>
      <c r="F69" s="1538">
        <f>(B69*$F$60)*0.75</f>
        <v>0</v>
      </c>
      <c r="G69" s="1536">
        <f>(B69+SUM(D69:F69))*J69</f>
        <v>0</v>
      </c>
      <c r="H69" s="1536">
        <f>B69+SUM(D69:G69)</f>
        <v>51.453041577333323</v>
      </c>
      <c r="I69" s="1539">
        <f>H69</f>
        <v>51.453041577333323</v>
      </c>
      <c r="J69" s="1537">
        <f>+J59</f>
        <v>0</v>
      </c>
      <c r="K69" s="714"/>
      <c r="L69" s="714"/>
      <c r="M69" s="714"/>
      <c r="N69" s="714"/>
      <c r="O69" s="714"/>
      <c r="P69" s="714"/>
    </row>
    <row r="70" spans="1:16">
      <c r="A70" s="1535"/>
      <c r="B70" s="1536"/>
      <c r="C70" s="1537"/>
      <c r="D70" s="1538"/>
      <c r="E70" s="1538"/>
      <c r="F70" s="1538"/>
      <c r="G70" s="1536"/>
      <c r="H70" s="1536"/>
      <c r="I70" s="1539"/>
      <c r="J70" s="1537"/>
      <c r="K70" s="714"/>
      <c r="L70" s="714"/>
      <c r="M70" s="714"/>
      <c r="N70" s="714"/>
      <c r="O70" s="714"/>
      <c r="P70" s="714"/>
    </row>
    <row r="71" spans="1:16">
      <c r="A71" s="1535" t="s">
        <v>551</v>
      </c>
      <c r="B71" s="1536">
        <f>(2/34*I23)+(4/34*I24)+(28/34*I25)</f>
        <v>59.592961352941174</v>
      </c>
      <c r="C71" s="1537">
        <f>+$C$59</f>
        <v>0</v>
      </c>
      <c r="D71" s="1538">
        <f>B71*C71</f>
        <v>0</v>
      </c>
      <c r="E71" s="1538">
        <f>+$E$59</f>
        <v>0</v>
      </c>
      <c r="F71" s="1538">
        <f>(B71*$F$60)*0.75</f>
        <v>0</v>
      </c>
      <c r="G71" s="1536">
        <f>(B71+SUM(D71:F71))*J71</f>
        <v>0</v>
      </c>
      <c r="H71" s="1536">
        <f>B71+SUM(D71:G71)</f>
        <v>59.592961352941174</v>
      </c>
      <c r="I71" s="1539">
        <f>H71</f>
        <v>59.592961352941174</v>
      </c>
      <c r="J71" s="1537">
        <f>+J59</f>
        <v>0</v>
      </c>
      <c r="K71" s="714"/>
      <c r="L71" s="714"/>
      <c r="M71" s="714"/>
      <c r="N71" s="714"/>
      <c r="O71" s="714"/>
      <c r="P71" s="714"/>
    </row>
    <row r="72" spans="1:16">
      <c r="A72" s="1535"/>
      <c r="B72" s="1536"/>
      <c r="C72" s="1537"/>
      <c r="D72" s="1538"/>
      <c r="E72" s="1538"/>
      <c r="F72" s="1538"/>
      <c r="G72" s="1536"/>
      <c r="H72" s="1536"/>
      <c r="I72" s="1539"/>
      <c r="J72" s="1537"/>
      <c r="K72" s="714"/>
      <c r="L72" s="714"/>
      <c r="M72" s="714"/>
      <c r="N72" s="714"/>
      <c r="O72" s="714"/>
      <c r="P72" s="714"/>
    </row>
    <row r="73" spans="1:16">
      <c r="A73" s="1535" t="s">
        <v>552</v>
      </c>
      <c r="B73" s="1536">
        <f>(6/7*I25)+(1/7*I24)</f>
        <v>59.544869428571417</v>
      </c>
      <c r="C73" s="1537">
        <f>+$C$59</f>
        <v>0</v>
      </c>
      <c r="D73" s="1538">
        <f>B73*C73</f>
        <v>0</v>
      </c>
      <c r="E73" s="1538">
        <f>+$E$59</f>
        <v>0</v>
      </c>
      <c r="F73" s="1538">
        <f>(B73*$F$60)*0.75</f>
        <v>0</v>
      </c>
      <c r="G73" s="1536">
        <f>(B73+SUM(D73:F73))*J73</f>
        <v>0</v>
      </c>
      <c r="H73" s="1536">
        <f>B73+SUM(D73:G73)</f>
        <v>59.544869428571417</v>
      </c>
      <c r="I73" s="1539">
        <f>H73</f>
        <v>59.544869428571417</v>
      </c>
      <c r="J73" s="1537">
        <f>+J59</f>
        <v>0</v>
      </c>
      <c r="K73" s="714"/>
      <c r="L73" s="714"/>
      <c r="M73" s="714"/>
      <c r="N73" s="714"/>
      <c r="O73" s="714"/>
      <c r="P73" s="714"/>
    </row>
    <row r="74" spans="1:16">
      <c r="A74" s="1535"/>
      <c r="B74" s="1536"/>
      <c r="C74" s="1537"/>
      <c r="D74" s="1538"/>
      <c r="E74" s="1538"/>
      <c r="F74" s="1538"/>
      <c r="G74" s="1536"/>
      <c r="H74" s="1536"/>
      <c r="I74" s="1539"/>
      <c r="J74" s="1537"/>
      <c r="K74" s="714"/>
      <c r="L74" s="714"/>
      <c r="M74" s="714"/>
      <c r="N74" s="714"/>
      <c r="O74" s="714"/>
      <c r="P74" s="714"/>
    </row>
    <row r="75" spans="1:16">
      <c r="A75" s="1535" t="s">
        <v>553</v>
      </c>
      <c r="B75" s="1536">
        <f>(1/11*I14)+(5/11*I15)+(1/11*I38)+(2/11*I18)+(2/11*I30)</f>
        <v>49.369023709090904</v>
      </c>
      <c r="C75" s="1537">
        <f>+$C$59</f>
        <v>0</v>
      </c>
      <c r="D75" s="1538">
        <f>B75*C75</f>
        <v>0</v>
      </c>
      <c r="E75" s="1538">
        <f>+$E$59</f>
        <v>0</v>
      </c>
      <c r="F75" s="1538">
        <f>(B75*$F$60)*0.75</f>
        <v>0</v>
      </c>
      <c r="G75" s="1536">
        <f>(B75+SUM(D75:F75))*J75</f>
        <v>0</v>
      </c>
      <c r="H75" s="1536">
        <f>B75+SUM(D75:G75)</f>
        <v>49.369023709090904</v>
      </c>
      <c r="I75" s="1539">
        <f>H75</f>
        <v>49.369023709090904</v>
      </c>
      <c r="J75" s="1537">
        <f>+J59</f>
        <v>0</v>
      </c>
      <c r="K75" s="714"/>
      <c r="L75" s="714"/>
      <c r="M75" s="714"/>
      <c r="N75" s="714"/>
      <c r="O75" s="714"/>
      <c r="P75" s="714"/>
    </row>
    <row r="76" spans="1:16">
      <c r="A76" s="1535"/>
      <c r="B76" s="1536"/>
      <c r="C76" s="1537"/>
      <c r="D76" s="1538"/>
      <c r="E76" s="1538"/>
      <c r="F76" s="1538"/>
      <c r="G76" s="1536"/>
      <c r="H76" s="1536"/>
      <c r="I76" s="1539"/>
      <c r="J76" s="1537"/>
      <c r="K76" s="714"/>
      <c r="L76" s="714"/>
      <c r="M76" s="714"/>
      <c r="N76" s="714"/>
      <c r="O76" s="714"/>
      <c r="P76" s="714"/>
    </row>
    <row r="77" spans="1:16">
      <c r="A77" s="1535" t="s">
        <v>827</v>
      </c>
      <c r="B77" s="1536">
        <f>(1/5*I16)+(4/5*I17)</f>
        <v>52.473968480000011</v>
      </c>
      <c r="C77" s="1537">
        <f>+$C$59</f>
        <v>0</v>
      </c>
      <c r="D77" s="1538">
        <f>B77*C77</f>
        <v>0</v>
      </c>
      <c r="E77" s="1538">
        <f>+$E$59</f>
        <v>0</v>
      </c>
      <c r="F77" s="1538">
        <f>(B77*$F$60)*0.75</f>
        <v>0</v>
      </c>
      <c r="G77" s="1536">
        <f>(B77+SUM(D77:F77))*J77</f>
        <v>0</v>
      </c>
      <c r="H77" s="1536">
        <f>B77+SUM(D77:G77)</f>
        <v>52.473968480000011</v>
      </c>
      <c r="I77" s="1539">
        <f>H77</f>
        <v>52.473968480000011</v>
      </c>
      <c r="J77" s="1537">
        <f>+J59</f>
        <v>0</v>
      </c>
      <c r="K77" s="714"/>
      <c r="L77" s="714"/>
      <c r="M77" s="714"/>
      <c r="N77" s="714"/>
      <c r="O77" s="714"/>
      <c r="P77" s="714"/>
    </row>
    <row r="78" spans="1:16">
      <c r="A78" s="1535"/>
      <c r="B78" s="1536"/>
      <c r="C78" s="1537"/>
      <c r="D78" s="1538"/>
      <c r="E78" s="1538"/>
      <c r="F78" s="1538"/>
      <c r="G78" s="1536"/>
      <c r="H78" s="1536"/>
      <c r="I78" s="1539"/>
      <c r="J78" s="1537"/>
      <c r="K78" s="714"/>
      <c r="L78" s="714"/>
      <c r="M78" s="714"/>
      <c r="N78" s="714"/>
      <c r="O78" s="714"/>
      <c r="P78" s="714"/>
    </row>
    <row r="79" spans="1:16">
      <c r="A79" s="1535" t="s">
        <v>828</v>
      </c>
      <c r="B79" s="1536">
        <f>(I11*2/34)+(I12*4/34)+(I13*28/34)</f>
        <v>58.407600211764702</v>
      </c>
      <c r="C79" s="1537">
        <f>+$C$59</f>
        <v>0</v>
      </c>
      <c r="D79" s="1538">
        <f>B79*C79</f>
        <v>0</v>
      </c>
      <c r="E79" s="1538">
        <f>+$E$59</f>
        <v>0</v>
      </c>
      <c r="F79" s="1538">
        <f>(B79*$F$60)*0.75</f>
        <v>0</v>
      </c>
      <c r="G79" s="1536">
        <f>(B79+SUM(D79:F79))*J79</f>
        <v>0</v>
      </c>
      <c r="H79" s="1536">
        <f>B79+SUM(D79:G79)</f>
        <v>58.407600211764702</v>
      </c>
      <c r="I79" s="1539">
        <f>H79</f>
        <v>58.407600211764702</v>
      </c>
      <c r="J79" s="1537">
        <f>+J59</f>
        <v>0</v>
      </c>
      <c r="K79" s="714"/>
      <c r="L79" s="714"/>
      <c r="M79" s="714"/>
      <c r="N79" s="714"/>
      <c r="O79" s="714"/>
      <c r="P79" s="714"/>
    </row>
    <row r="80" spans="1:16">
      <c r="A80" s="1535"/>
      <c r="B80" s="1536"/>
      <c r="C80" s="1537"/>
      <c r="D80" s="1538"/>
      <c r="E80" s="1538"/>
      <c r="F80" s="1538"/>
      <c r="G80" s="1536"/>
      <c r="H80" s="1536"/>
      <c r="I80" s="1539"/>
      <c r="J80" s="1537"/>
      <c r="K80" s="714"/>
      <c r="L80" s="714"/>
      <c r="M80" s="714"/>
      <c r="N80" s="714"/>
      <c r="O80" s="714"/>
      <c r="P80" s="714"/>
    </row>
    <row r="81" spans="1:16">
      <c r="A81" s="1535" t="s">
        <v>560</v>
      </c>
      <c r="B81" s="1536">
        <f>(1/17*I42)+(2/17*I43)+(14/17*I44)</f>
        <v>58.949297592941178</v>
      </c>
      <c r="C81" s="1537">
        <f>+$C$59</f>
        <v>0</v>
      </c>
      <c r="D81" s="1538">
        <f>B81*C81</f>
        <v>0</v>
      </c>
      <c r="E81" s="1538">
        <f>+$E$59</f>
        <v>0</v>
      </c>
      <c r="F81" s="1538">
        <f>(B81*$F$60)*0.75</f>
        <v>0</v>
      </c>
      <c r="G81" s="1536">
        <f>(B81+SUM(D81:F81))*J81</f>
        <v>0</v>
      </c>
      <c r="H81" s="1536">
        <f>B81+SUM(D81:G81)</f>
        <v>58.949297592941178</v>
      </c>
      <c r="I81" s="1539">
        <f>H81</f>
        <v>58.949297592941178</v>
      </c>
      <c r="J81" s="1537">
        <f>+J59</f>
        <v>0</v>
      </c>
      <c r="K81" s="714"/>
      <c r="L81" s="714"/>
      <c r="M81" s="714"/>
      <c r="N81" s="714"/>
      <c r="O81" s="714"/>
      <c r="P81" s="714"/>
    </row>
    <row r="82" spans="1:16">
      <c r="A82" s="1535"/>
      <c r="B82" s="1536"/>
      <c r="C82" s="1537"/>
      <c r="D82" s="1538"/>
      <c r="E82" s="1538"/>
      <c r="F82" s="1538"/>
      <c r="G82" s="1536"/>
      <c r="H82" s="1536"/>
      <c r="I82" s="1539"/>
      <c r="J82" s="1537"/>
      <c r="K82" s="714"/>
      <c r="L82" s="714"/>
      <c r="M82" s="714"/>
      <c r="N82" s="714"/>
      <c r="O82" s="714"/>
      <c r="P82" s="714"/>
    </row>
    <row r="83" spans="1:16">
      <c r="A83" s="1535" t="s">
        <v>1748</v>
      </c>
      <c r="B83" s="1536">
        <f>(1/34*I23)+(2/34*I24)+(14/34*I25)+(1/34*I31)+(2/34*I32)+(14/34*I33)</f>
        <v>58.154038152941176</v>
      </c>
      <c r="C83" s="1537">
        <f>+$C$59</f>
        <v>0</v>
      </c>
      <c r="D83" s="1538">
        <f>B83*C83</f>
        <v>0</v>
      </c>
      <c r="E83" s="1538">
        <f>+$E$59</f>
        <v>0</v>
      </c>
      <c r="F83" s="1538">
        <f>(B83*$F$60)*0.75</f>
        <v>0</v>
      </c>
      <c r="G83" s="1536">
        <f>(B83+SUM(D83:F83))*J83</f>
        <v>0</v>
      </c>
      <c r="H83" s="1536">
        <f>B83+SUM(D83:G83)</f>
        <v>58.154038152941176</v>
      </c>
      <c r="I83" s="1539">
        <f>H83</f>
        <v>58.154038152941176</v>
      </c>
      <c r="J83" s="1537">
        <f>+J59</f>
        <v>0</v>
      </c>
      <c r="K83" s="714"/>
      <c r="L83" s="714"/>
      <c r="M83" s="714"/>
      <c r="N83" s="714"/>
      <c r="O83" s="714"/>
      <c r="P83" s="714"/>
    </row>
    <row r="84" spans="1:16">
      <c r="A84" s="1535"/>
      <c r="B84" s="1536"/>
      <c r="C84" s="1537"/>
      <c r="D84" s="1538"/>
      <c r="E84" s="1538"/>
      <c r="F84" s="1538"/>
      <c r="G84" s="1536"/>
      <c r="H84" s="1536"/>
      <c r="I84" s="1539"/>
      <c r="J84" s="1537"/>
      <c r="K84" s="714"/>
      <c r="L84" s="714"/>
      <c r="M84" s="714"/>
      <c r="N84" s="714"/>
      <c r="O84" s="714"/>
      <c r="P84" s="714"/>
    </row>
    <row r="85" spans="1:16">
      <c r="A85" s="1535" t="s">
        <v>1749</v>
      </c>
      <c r="B85" s="1536">
        <f>(1/10*I8)+(5/10*I10)+(4/10*I47)</f>
        <v>60.537590620000003</v>
      </c>
      <c r="C85" s="1537">
        <f>+$C$59</f>
        <v>0</v>
      </c>
      <c r="D85" s="1538">
        <f>B85*C85</f>
        <v>0</v>
      </c>
      <c r="E85" s="1538">
        <f>+$E$59</f>
        <v>0</v>
      </c>
      <c r="F85" s="1538">
        <f>(B85*$F$60)*0.75</f>
        <v>0</v>
      </c>
      <c r="G85" s="1536">
        <f>(B85+SUM(D85:F85))*J85</f>
        <v>0</v>
      </c>
      <c r="H85" s="1536">
        <f>B85+SUM(D85:G85)</f>
        <v>60.537590620000003</v>
      </c>
      <c r="I85" s="1539">
        <f>H85</f>
        <v>60.537590620000003</v>
      </c>
      <c r="J85" s="1537">
        <f>+J59</f>
        <v>0</v>
      </c>
      <c r="K85" s="714"/>
      <c r="L85" s="714"/>
      <c r="M85" s="714"/>
      <c r="N85" s="714"/>
      <c r="O85" s="714"/>
      <c r="P85" s="714"/>
    </row>
    <row r="86" spans="1:16">
      <c r="A86" s="1535"/>
      <c r="B86" s="1536"/>
      <c r="C86" s="1537"/>
      <c r="D86" s="1538"/>
      <c r="E86" s="1538"/>
      <c r="F86" s="1538"/>
      <c r="G86" s="1536"/>
      <c r="H86" s="1536"/>
      <c r="I86" s="1539"/>
      <c r="J86" s="1537"/>
      <c r="K86" s="714"/>
      <c r="L86" s="714"/>
      <c r="M86" s="714"/>
      <c r="N86" s="714"/>
      <c r="O86" s="714"/>
      <c r="P86" s="714"/>
    </row>
    <row r="87" spans="1:16">
      <c r="A87" s="1535" t="s">
        <v>87</v>
      </c>
      <c r="B87" s="1536">
        <f>(1/17*I20)+(2/17*I21)+(14/17*I22)</f>
        <v>60.449028392941166</v>
      </c>
      <c r="C87" s="1537">
        <f>+$C$59</f>
        <v>0</v>
      </c>
      <c r="D87" s="1538">
        <f>B87*C87</f>
        <v>0</v>
      </c>
      <c r="E87" s="1538">
        <f>+$E$59</f>
        <v>0</v>
      </c>
      <c r="F87" s="1538">
        <f>(B87*$F$60)*0.75</f>
        <v>0</v>
      </c>
      <c r="G87" s="1536">
        <f>(B87+SUM(D87:F87))*J87</f>
        <v>0</v>
      </c>
      <c r="H87" s="1536">
        <f>B87+SUM(D87:G87)</f>
        <v>60.449028392941166</v>
      </c>
      <c r="I87" s="1539">
        <f>H87</f>
        <v>60.449028392941166</v>
      </c>
      <c r="J87" s="1537">
        <f>+J59</f>
        <v>0</v>
      </c>
      <c r="K87" s="714"/>
      <c r="L87" s="714"/>
      <c r="M87" s="714"/>
      <c r="N87" s="714"/>
      <c r="O87" s="714"/>
      <c r="P87" s="714"/>
    </row>
    <row r="88" spans="1:16">
      <c r="A88" s="1535"/>
      <c r="B88" s="1536"/>
      <c r="C88" s="1537"/>
      <c r="D88" s="1538"/>
      <c r="E88" s="1538"/>
      <c r="F88" s="1538"/>
      <c r="G88" s="1536"/>
      <c r="H88" s="1536"/>
      <c r="I88" s="1539"/>
      <c r="J88" s="1537"/>
      <c r="K88" s="714"/>
      <c r="L88" s="714"/>
      <c r="M88" s="714"/>
      <c r="N88" s="714"/>
      <c r="O88" s="714"/>
      <c r="P88" s="714"/>
    </row>
    <row r="89" spans="1:16">
      <c r="A89" s="1535" t="s">
        <v>834</v>
      </c>
      <c r="B89" s="1536">
        <f>I35</f>
        <v>59.7935564</v>
      </c>
      <c r="C89" s="1537">
        <f>+$C$59</f>
        <v>0</v>
      </c>
      <c r="D89" s="1538">
        <f>B89*C89</f>
        <v>0</v>
      </c>
      <c r="E89" s="1538">
        <f>+$E$59</f>
        <v>0</v>
      </c>
      <c r="F89" s="1538">
        <f>(B89*$F$60)*0.75</f>
        <v>0</v>
      </c>
      <c r="G89" s="1536">
        <f>(B89+SUM(D89:F89))*J89</f>
        <v>0</v>
      </c>
      <c r="H89" s="1536">
        <f>B89+SUM(D89:G89)</f>
        <v>59.7935564</v>
      </c>
      <c r="I89" s="1539">
        <f>H89</f>
        <v>59.7935564</v>
      </c>
      <c r="J89" s="1537">
        <f>+J59</f>
        <v>0</v>
      </c>
      <c r="K89" s="714"/>
      <c r="L89" s="714"/>
      <c r="M89" s="714"/>
      <c r="N89" s="714"/>
      <c r="O89" s="714"/>
      <c r="P89" s="714"/>
    </row>
    <row r="90" spans="1:16">
      <c r="A90" s="1535"/>
      <c r="B90" s="1536"/>
      <c r="C90" s="1537"/>
      <c r="D90" s="1538"/>
      <c r="E90" s="1538"/>
      <c r="F90" s="1538"/>
      <c r="G90" s="1536"/>
      <c r="H90" s="1536"/>
      <c r="I90" s="1539"/>
      <c r="J90" s="1537"/>
      <c r="K90" s="714"/>
      <c r="L90" s="714"/>
      <c r="M90" s="714"/>
      <c r="N90" s="714"/>
      <c r="O90" s="714"/>
      <c r="P90" s="714"/>
    </row>
    <row r="91" spans="1:16">
      <c r="A91" s="1535" t="s">
        <v>835</v>
      </c>
      <c r="B91" s="1536">
        <f>I41</f>
        <v>42.476074000000004</v>
      </c>
      <c r="C91" s="1537">
        <f>+$C$59</f>
        <v>0</v>
      </c>
      <c r="D91" s="1538">
        <f>B91*C91</f>
        <v>0</v>
      </c>
      <c r="E91" s="1538">
        <f>+$E$59</f>
        <v>0</v>
      </c>
      <c r="F91" s="1538">
        <f>(B91*$F$60)*0.75</f>
        <v>0</v>
      </c>
      <c r="G91" s="1536">
        <f>(B91+SUM(D91:F91))*J91</f>
        <v>0</v>
      </c>
      <c r="H91" s="1536">
        <f>B91+SUM(D91:G91)</f>
        <v>42.476074000000004</v>
      </c>
      <c r="I91" s="1539">
        <f>H91</f>
        <v>42.476074000000004</v>
      </c>
      <c r="J91" s="1537">
        <f>+J59</f>
        <v>0</v>
      </c>
      <c r="K91" s="714"/>
      <c r="L91" s="714"/>
      <c r="M91" s="714"/>
      <c r="N91" s="714"/>
      <c r="O91" s="714"/>
      <c r="P91" s="714"/>
    </row>
    <row r="92" spans="1:16">
      <c r="A92" s="714"/>
      <c r="B92" s="714"/>
      <c r="C92" s="714"/>
      <c r="D92" s="714"/>
      <c r="E92" s="854"/>
      <c r="F92" s="714"/>
      <c r="G92" s="714"/>
      <c r="H92" s="714"/>
      <c r="I92" s="714"/>
      <c r="J92" s="1515"/>
      <c r="M92" s="714"/>
      <c r="N92" s="714"/>
      <c r="O92" s="1540">
        <f>SUM(I63:I91)/15</f>
        <v>54.871239264995687</v>
      </c>
      <c r="P92" s="1701">
        <v>49</v>
      </c>
    </row>
    <row r="93" spans="1:16">
      <c r="A93" s="714"/>
      <c r="B93" s="714"/>
      <c r="C93" s="714"/>
      <c r="D93" s="714"/>
      <c r="E93" s="1541"/>
      <c r="F93" s="714"/>
      <c r="G93" s="714"/>
      <c r="H93" s="714"/>
      <c r="I93" s="714"/>
      <c r="J93" s="1515"/>
      <c r="K93" s="714"/>
      <c r="L93" s="714"/>
      <c r="M93" s="714"/>
      <c r="N93" s="714"/>
      <c r="O93" s="714"/>
      <c r="P93" s="714"/>
    </row>
    <row r="100" spans="2:9">
      <c r="I100" s="1542">
        <f>SUM(I63:I91)/15</f>
        <v>54.871239264995687</v>
      </c>
    </row>
    <row r="101" spans="2:9">
      <c r="B101" s="1542">
        <f>SUM(B63:B91)/15</f>
        <v>54.871239264995687</v>
      </c>
    </row>
  </sheetData>
  <customSheetViews>
    <customSheetView guid="{B0DE55D3-31F4-4C5A-BCDA-3DAF0319F50E}" scale="87" showGridLines="0" outlineSymbols="0" fitToPage="1" showRuler="0" topLeftCell="C40">
      <selection activeCell="K74" sqref="K74"/>
      <rowBreaks count="1" manualBreakCount="1">
        <brk id="38" max="10" man="1"/>
      </rowBreaks>
      <pageMargins left="0.5" right="0.5" top="0.75" bottom="0.5" header="0.5" footer="0.25"/>
      <printOptions horizontalCentered="1"/>
      <pageSetup scale="78" firstPageNumber="16" fitToHeight="0" orientation="landscape" useFirstPageNumber="1" r:id="rId1"/>
      <headerFooter alignWithMargins="0">
        <oddHeader>&amp;L&amp;"Arial MT,Bold"&amp;16Trimble County Unit 2&amp;C&amp;16&amp;A</oddHeader>
        <oddFooter>&amp;L&amp;"Arial,Bold"&amp;8&amp;F &amp;D
CUMMINS &amp;&amp; BARNARD, INC.&amp;R&amp;"Arial,Bold"&amp;8PAGE  &amp;P</oddFooter>
      </headerFooter>
    </customSheetView>
    <customSheetView guid="{BC3A604D-E901-4D72-B567-A41E3CE4BC9B}" scale="87" showPageBreaks="1" showGridLines="0" outlineSymbols="0" fitToPage="1" printArea="1" showRuler="0" topLeftCell="A23">
      <selection activeCell="F22" sqref="F22"/>
      <rowBreaks count="1" manualBreakCount="1">
        <brk id="38" max="10" man="1"/>
      </rowBreaks>
      <pageMargins left="0.5" right="0.5" top="0.75" bottom="0.5" header="0.5" footer="0.25"/>
      <printOptions horizontalCentered="1"/>
      <pageSetup scale="78" firstPageNumber="16" fitToHeight="0" orientation="landscape" useFirstPageNumber="1" r:id="rId2"/>
      <headerFooter alignWithMargins="0">
        <oddHeader>&amp;L&amp;"Arial MT,Bold"&amp;16Trimble County Unit 2&amp;C&amp;16&amp;A</oddHeader>
        <oddFooter>&amp;L&amp;"Arial,Bold"&amp;8&amp;F &amp;D
CUMMINS &amp;&amp; BARNARD, INC.&amp;R&amp;"Arial,Bold"&amp;8PAGE  &amp;P</oddFooter>
      </headerFooter>
    </customSheetView>
  </customSheetViews>
  <mergeCells count="4">
    <mergeCell ref="F1:J1"/>
    <mergeCell ref="E5:G5"/>
    <mergeCell ref="H52:J52"/>
    <mergeCell ref="A1:E1"/>
  </mergeCells>
  <phoneticPr fontId="0" type="noConversion"/>
  <printOptions horizontalCentered="1"/>
  <pageMargins left="0.5" right="0.5" top="1.75" bottom="1.25" header="1.25" footer="0.75"/>
  <pageSetup paperSize="3" scale="56" firstPageNumber="16" fitToHeight="2" orientation="portrait" r:id="rId3"/>
  <headerFooter alignWithMargins="0">
    <oddHeader>&amp;L&amp;"Arial,Regular"&amp;10Confidential&amp;C&amp;"Arial MT,Bold"&amp;A
PRELIMINARY FOR PLANNING PURPOSES&amp;RPrint Date: &amp;D</oddHeader>
    <oddFooter>&amp;L&amp;6          &amp;F\ &amp;A
&amp;C&amp;"Arial MT,Bold"&amp;10&amp;G&amp;R&amp;"Arial MT,Bold"&amp;14Confidential&amp;"Arial MT,Regular"&amp;10
Page &amp;P of &amp;N</oddFooter>
  </headerFooter>
  <legacyDrawingHF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M320"/>
  <sheetViews>
    <sheetView topLeftCell="A88" zoomScaleNormal="100" workbookViewId="0">
      <selection activeCell="G99" sqref="G99"/>
    </sheetView>
  </sheetViews>
  <sheetFormatPr defaultRowHeight="15"/>
  <cols>
    <col min="1" max="1" width="32" customWidth="1"/>
    <col min="2" max="8" width="9.90625" customWidth="1"/>
    <col min="9" max="11" width="11.453125" customWidth="1"/>
    <col min="12" max="12" width="0" hidden="1" customWidth="1"/>
    <col min="13" max="13" width="12.81640625" customWidth="1"/>
  </cols>
  <sheetData>
    <row r="1" spans="1:13" ht="17.399999999999999">
      <c r="A1" s="716"/>
      <c r="B1" s="3031" t="str">
        <f>'Project Summary'!B1</f>
        <v>10 MW PV Solar  - Standard Efficiency Crystalline Panels</v>
      </c>
      <c r="C1" s="716"/>
      <c r="D1" s="716"/>
      <c r="E1" s="716"/>
      <c r="F1" s="716"/>
      <c r="G1" s="716"/>
      <c r="H1" s="716"/>
      <c r="I1" s="716"/>
      <c r="J1" s="716"/>
      <c r="K1" s="1099"/>
      <c r="L1" s="716"/>
      <c r="M1" s="716"/>
    </row>
    <row r="2" spans="1:13" ht="16.2">
      <c r="A2" s="716"/>
      <c r="B2" s="3032" t="str">
        <f>'Project Summary'!C2</f>
        <v>Kentucky</v>
      </c>
      <c r="C2" s="1679"/>
      <c r="D2" s="1679"/>
      <c r="E2" s="1679"/>
      <c r="F2" s="716"/>
      <c r="G2" s="1679"/>
      <c r="H2" s="1679"/>
      <c r="I2" s="2839" t="s">
        <v>2185</v>
      </c>
      <c r="J2" s="2840"/>
      <c r="K2" s="3274">
        <v>3</v>
      </c>
      <c r="L2" s="3275"/>
      <c r="M2" s="1679"/>
    </row>
    <row r="3" spans="1:13" ht="16.2">
      <c r="A3" s="716"/>
      <c r="B3" s="1679"/>
      <c r="C3" s="1679"/>
      <c r="D3" s="1679"/>
      <c r="E3" s="1679"/>
      <c r="F3" s="716"/>
      <c r="G3" s="1679"/>
      <c r="H3" s="1679"/>
      <c r="I3" s="2841" t="s">
        <v>2187</v>
      </c>
      <c r="J3" s="2842"/>
      <c r="K3" s="3276">
        <v>40617</v>
      </c>
      <c r="L3" s="3277"/>
      <c r="M3" s="1679"/>
    </row>
    <row r="4" spans="1:13" ht="16.2">
      <c r="A4" s="716"/>
      <c r="B4" s="716"/>
      <c r="C4" s="716"/>
      <c r="D4" s="716"/>
      <c r="E4" s="716"/>
      <c r="F4" s="716"/>
      <c r="G4" s="1679"/>
      <c r="H4" s="1679"/>
      <c r="I4" s="1679"/>
      <c r="J4" s="1679"/>
      <c r="K4" s="1679"/>
      <c r="L4" s="1679"/>
      <c r="M4" s="1679"/>
    </row>
    <row r="5" spans="1:13" ht="16.2">
      <c r="A5" s="716"/>
      <c r="B5" s="2843" t="s">
        <v>2186</v>
      </c>
      <c r="C5" s="2844"/>
      <c r="D5" s="2844"/>
      <c r="E5" s="2845"/>
      <c r="F5" s="2846"/>
      <c r="G5" s="2846"/>
      <c r="H5" s="1679"/>
      <c r="I5" s="3278" t="s">
        <v>2312</v>
      </c>
      <c r="J5" s="3279"/>
      <c r="K5" s="1679"/>
      <c r="L5" s="1679"/>
      <c r="M5" s="1679"/>
    </row>
    <row r="6" spans="1:13" ht="16.2">
      <c r="A6" s="716"/>
      <c r="B6" s="2847" t="s">
        <v>2188</v>
      </c>
      <c r="C6" s="2848"/>
      <c r="D6" s="2849"/>
      <c r="E6" s="2850" t="s">
        <v>2189</v>
      </c>
      <c r="F6" s="2851"/>
      <c r="G6" s="2852"/>
      <c r="H6" s="1679"/>
      <c r="I6" s="3280"/>
      <c r="J6" s="3281"/>
      <c r="K6" s="1679"/>
      <c r="L6" s="1679"/>
      <c r="M6" s="1679"/>
    </row>
    <row r="7" spans="1:13" ht="16.2">
      <c r="A7" s="716"/>
      <c r="B7" s="2853"/>
      <c r="C7" s="2854"/>
      <c r="D7" s="2855"/>
      <c r="E7" s="2856"/>
      <c r="F7" s="2857"/>
      <c r="G7" s="2858"/>
      <c r="H7" s="1679"/>
      <c r="I7" s="3282">
        <v>30000</v>
      </c>
      <c r="J7" s="3283"/>
      <c r="K7" s="1679"/>
      <c r="L7" s="1679"/>
      <c r="M7" s="1679"/>
    </row>
    <row r="8" spans="1:13" ht="16.2">
      <c r="A8" s="716"/>
      <c r="B8" s="2853" t="s">
        <v>2191</v>
      </c>
      <c r="C8" s="2854"/>
      <c r="D8" s="2855"/>
      <c r="E8" s="2856"/>
      <c r="F8" s="2857"/>
      <c r="G8" s="2858"/>
      <c r="H8" s="1679"/>
      <c r="I8" s="2859" t="s">
        <v>2192</v>
      </c>
      <c r="J8" s="2860" t="s">
        <v>2193</v>
      </c>
      <c r="K8" s="1679"/>
      <c r="L8" s="1679"/>
      <c r="M8" s="1679"/>
    </row>
    <row r="9" spans="1:13" ht="16.2">
      <c r="A9" s="716"/>
      <c r="B9" s="2853"/>
      <c r="C9" s="2854" t="s">
        <v>667</v>
      </c>
      <c r="D9" s="2855"/>
      <c r="E9" s="2861">
        <v>8.0000000000000002E-3</v>
      </c>
      <c r="F9" s="2862" t="s">
        <v>2194</v>
      </c>
      <c r="G9" s="2858"/>
      <c r="H9" s="1679"/>
      <c r="I9" s="2863">
        <v>7000</v>
      </c>
      <c r="J9" s="2864">
        <f>IF(I7&gt;I9,E9*I9,E9*I7)</f>
        <v>56</v>
      </c>
      <c r="K9" s="1679"/>
      <c r="L9" s="1679"/>
      <c r="M9" s="1679"/>
    </row>
    <row r="10" spans="1:13" ht="16.2">
      <c r="A10" s="716"/>
      <c r="B10" s="2853"/>
      <c r="C10" s="2854" t="s">
        <v>2313</v>
      </c>
      <c r="D10" s="2855"/>
      <c r="E10" s="2865">
        <v>6.2E-2</v>
      </c>
      <c r="F10" s="2862" t="s">
        <v>2314</v>
      </c>
      <c r="G10" s="2858"/>
      <c r="H10" s="1679"/>
      <c r="I10" s="2863">
        <v>106800</v>
      </c>
      <c r="J10" s="2864">
        <f>E10*I7</f>
        <v>1860</v>
      </c>
      <c r="K10" s="1679"/>
      <c r="L10" s="1679"/>
      <c r="M10" s="1679"/>
    </row>
    <row r="11" spans="1:13" ht="16.2">
      <c r="A11" s="716"/>
      <c r="B11" s="2853"/>
      <c r="C11" s="2854" t="s">
        <v>2195</v>
      </c>
      <c r="D11" s="2855"/>
      <c r="E11" s="2865">
        <v>1.4500000000000001E-2</v>
      </c>
      <c r="F11" s="2862"/>
      <c r="G11" s="2858"/>
      <c r="H11" s="1679"/>
      <c r="I11" s="2863"/>
      <c r="J11" s="2864">
        <f>E11*I7</f>
        <v>435</v>
      </c>
      <c r="K11" s="1679"/>
      <c r="L11" s="1679"/>
      <c r="M11" s="1679"/>
    </row>
    <row r="12" spans="1:13" ht="16.2">
      <c r="A12" s="716"/>
      <c r="B12" s="2853"/>
      <c r="C12" s="2854" t="s">
        <v>2196</v>
      </c>
      <c r="D12" s="2855"/>
      <c r="E12" s="2861">
        <v>0.1</v>
      </c>
      <c r="F12" s="2862" t="s">
        <v>2315</v>
      </c>
      <c r="G12" s="2858"/>
      <c r="H12" s="1679"/>
      <c r="I12" s="2863">
        <v>8000</v>
      </c>
      <c r="J12" s="2866">
        <f>IF(I7&gt;I12,E12*I12,D12*I7)</f>
        <v>800</v>
      </c>
      <c r="K12" s="1679"/>
      <c r="L12" s="1679"/>
      <c r="M12" s="1679"/>
    </row>
    <row r="13" spans="1:13" ht="16.2">
      <c r="A13" s="716"/>
      <c r="B13" s="2867"/>
      <c r="C13" s="2854" t="s">
        <v>2197</v>
      </c>
      <c r="D13" s="2848"/>
      <c r="E13" s="2868"/>
      <c r="F13" s="2869"/>
      <c r="G13" s="2870"/>
      <c r="H13" s="1679"/>
      <c r="I13" s="2863"/>
      <c r="J13" s="2871">
        <f>SUM(J9:J12)</f>
        <v>3151</v>
      </c>
      <c r="K13" s="1679"/>
      <c r="L13" s="1679"/>
      <c r="M13" s="1679"/>
    </row>
    <row r="14" spans="1:13" ht="16.2">
      <c r="A14" s="716"/>
      <c r="B14" s="2867"/>
      <c r="C14" s="2872" t="s">
        <v>2198</v>
      </c>
      <c r="D14" s="2848"/>
      <c r="E14" s="2873">
        <f>J13/I7</f>
        <v>0.10503333333333334</v>
      </c>
      <c r="F14" s="2869"/>
      <c r="G14" s="2870"/>
      <c r="H14" s="1679"/>
      <c r="I14" s="2874"/>
      <c r="J14" s="2871"/>
      <c r="K14" s="1679"/>
      <c r="L14" s="1679"/>
      <c r="M14" s="1679"/>
    </row>
    <row r="15" spans="1:13" ht="16.2">
      <c r="A15" s="716"/>
      <c r="B15" s="2867"/>
      <c r="C15" s="2875" t="s">
        <v>2199</v>
      </c>
      <c r="D15" s="2876"/>
      <c r="E15" s="2877">
        <v>0.9</v>
      </c>
      <c r="F15" s="2869"/>
      <c r="G15" s="2870"/>
      <c r="H15" s="716"/>
      <c r="I15" s="716"/>
      <c r="J15" s="716"/>
      <c r="K15" s="1099"/>
      <c r="L15" s="1679"/>
      <c r="M15" s="1679"/>
    </row>
    <row r="16" spans="1:13" ht="16.2">
      <c r="A16" s="716"/>
      <c r="B16" s="2853" t="s">
        <v>2200</v>
      </c>
      <c r="C16" s="2878"/>
      <c r="D16" s="2878"/>
      <c r="E16" s="2979">
        <v>40</v>
      </c>
      <c r="F16" s="2980" t="s">
        <v>2491</v>
      </c>
      <c r="G16" s="2870"/>
      <c r="H16" s="716"/>
      <c r="I16" s="1679"/>
      <c r="J16" s="716"/>
      <c r="K16" s="1099"/>
      <c r="L16" s="1679"/>
      <c r="M16" s="1679"/>
    </row>
    <row r="17" spans="1:13" ht="16.2">
      <c r="A17" s="716"/>
      <c r="B17" s="2853"/>
      <c r="C17" s="2878" t="s">
        <v>2202</v>
      </c>
      <c r="D17" s="2878"/>
      <c r="E17" s="2879">
        <f>(E16-40)*0.5/E16</f>
        <v>0</v>
      </c>
      <c r="F17" s="2869"/>
      <c r="G17" s="2870"/>
      <c r="H17" s="716"/>
      <c r="I17" s="1679"/>
      <c r="J17" s="716"/>
      <c r="K17" s="1099"/>
      <c r="L17" s="1679"/>
      <c r="M17" s="1679"/>
    </row>
    <row r="18" spans="1:13" ht="16.2">
      <c r="A18" s="716"/>
      <c r="B18" s="2841" t="s">
        <v>2203</v>
      </c>
      <c r="C18" s="2842"/>
      <c r="D18" s="2842"/>
      <c r="E18" s="2880">
        <v>30</v>
      </c>
      <c r="F18" s="2881" t="s">
        <v>2204</v>
      </c>
      <c r="G18" s="2882"/>
      <c r="H18" s="716"/>
      <c r="I18" s="1679"/>
      <c r="J18" s="716"/>
      <c r="K18" s="1099"/>
      <c r="L18" s="1679"/>
      <c r="M18" s="1679"/>
    </row>
    <row r="19" spans="1:13" ht="16.8" thickBot="1">
      <c r="A19" s="729"/>
      <c r="B19" s="729"/>
      <c r="C19" s="2116"/>
      <c r="D19" s="716"/>
      <c r="E19" s="716"/>
      <c r="F19" s="716"/>
      <c r="G19" s="729"/>
      <c r="H19" s="716"/>
      <c r="I19" s="2117"/>
      <c r="J19" s="729"/>
      <c r="K19" s="916"/>
      <c r="L19" s="1679"/>
      <c r="M19" s="1679"/>
    </row>
    <row r="20" spans="1:13" ht="16.2">
      <c r="A20" s="729"/>
      <c r="B20" s="3284" t="s">
        <v>2474</v>
      </c>
      <c r="C20" s="3285"/>
      <c r="D20" s="3285"/>
      <c r="E20" s="3285"/>
      <c r="F20" s="3285"/>
      <c r="G20" s="3285"/>
      <c r="H20" s="3286"/>
      <c r="I20" s="2117"/>
      <c r="J20" s="729"/>
      <c r="K20" s="916"/>
      <c r="L20" s="1679"/>
      <c r="M20" s="1679"/>
    </row>
    <row r="21" spans="1:13" ht="16.2">
      <c r="A21" s="729"/>
      <c r="B21" s="3287"/>
      <c r="C21" s="3288"/>
      <c r="D21" s="3288"/>
      <c r="E21" s="3288"/>
      <c r="F21" s="3288"/>
      <c r="G21" s="3288"/>
      <c r="H21" s="3289"/>
      <c r="I21" s="2117"/>
      <c r="J21" s="729"/>
      <c r="K21" s="916"/>
      <c r="L21" s="1679"/>
      <c r="M21" s="1679"/>
    </row>
    <row r="22" spans="1:13" ht="16.2">
      <c r="A22" s="729"/>
      <c r="B22" s="3290" t="s">
        <v>2272</v>
      </c>
      <c r="C22" s="3291"/>
      <c r="D22" s="2883"/>
      <c r="E22" s="3291" t="s">
        <v>2273</v>
      </c>
      <c r="F22" s="3292" t="s">
        <v>2475</v>
      </c>
      <c r="G22" s="3293" t="s">
        <v>2275</v>
      </c>
      <c r="H22" s="3294" t="s">
        <v>2457</v>
      </c>
      <c r="I22" s="2117"/>
      <c r="J22" s="729"/>
      <c r="K22" s="916"/>
      <c r="L22" s="1679"/>
      <c r="M22" s="1679"/>
    </row>
    <row r="23" spans="1:13" ht="16.2">
      <c r="A23" s="729"/>
      <c r="B23" s="3290"/>
      <c r="C23" s="3291"/>
      <c r="D23" s="2883"/>
      <c r="E23" s="3291"/>
      <c r="F23" s="3292"/>
      <c r="G23" s="3293"/>
      <c r="H23" s="3294"/>
      <c r="I23" s="2117"/>
      <c r="J23" s="729"/>
      <c r="K23" s="916"/>
      <c r="L23" s="1679"/>
      <c r="M23" s="1679"/>
    </row>
    <row r="24" spans="1:13" ht="16.2">
      <c r="A24" s="729"/>
      <c r="B24" s="2884" t="s">
        <v>2276</v>
      </c>
      <c r="C24" s="2885"/>
      <c r="D24" s="2886" t="s">
        <v>2323</v>
      </c>
      <c r="E24" s="2887">
        <v>24</v>
      </c>
      <c r="F24" s="3033">
        <f>$E$16/($E$16+0.5*($E$16-40))</f>
        <v>1</v>
      </c>
      <c r="G24" s="2888">
        <f t="shared" ref="G24:G42" si="0">$E$15</f>
        <v>0.9</v>
      </c>
      <c r="H24" s="2889">
        <f>E24*F24*G24</f>
        <v>21.6</v>
      </c>
      <c r="I24" s="2117"/>
      <c r="J24" s="729"/>
      <c r="K24" s="916"/>
      <c r="L24" s="1679"/>
      <c r="M24" s="1679"/>
    </row>
    <row r="25" spans="1:13" ht="16.2">
      <c r="A25" s="729"/>
      <c r="B25" s="2884" t="s">
        <v>2110</v>
      </c>
      <c r="C25" s="2885"/>
      <c r="D25" s="2886" t="s">
        <v>2323</v>
      </c>
      <c r="E25" s="2887">
        <v>11</v>
      </c>
      <c r="F25" s="3033">
        <f t="shared" ref="F25:F42" si="1">$E$16/($E$16+0.5*($E$16-40))</f>
        <v>1</v>
      </c>
      <c r="G25" s="2888">
        <f t="shared" si="0"/>
        <v>0.9</v>
      </c>
      <c r="H25" s="2889">
        <f t="shared" ref="H25:H41" si="2">E25*F25*G25</f>
        <v>9.9</v>
      </c>
      <c r="I25" s="2117"/>
      <c r="J25" s="729"/>
      <c r="K25" s="916"/>
      <c r="L25" s="1679"/>
      <c r="M25" s="1679"/>
    </row>
    <row r="26" spans="1:13" ht="16.2">
      <c r="A26" s="729"/>
      <c r="B26" s="2884" t="s">
        <v>2277</v>
      </c>
      <c r="C26" s="2885"/>
      <c r="D26" s="2886" t="s">
        <v>2323</v>
      </c>
      <c r="E26" s="2887">
        <v>5.25</v>
      </c>
      <c r="F26" s="3033">
        <f t="shared" si="1"/>
        <v>1</v>
      </c>
      <c r="G26" s="2888">
        <f t="shared" si="0"/>
        <v>0.9</v>
      </c>
      <c r="H26" s="2889">
        <f t="shared" si="2"/>
        <v>4.7250000000000005</v>
      </c>
      <c r="I26" s="2117"/>
      <c r="J26" s="729"/>
      <c r="K26" s="916"/>
      <c r="L26" s="1679"/>
      <c r="M26" s="1679"/>
    </row>
    <row r="27" spans="1:13" ht="16.2">
      <c r="A27" s="729"/>
      <c r="B27" s="2884" t="s">
        <v>2278</v>
      </c>
      <c r="C27" s="2885"/>
      <c r="D27" s="2886" t="s">
        <v>2323</v>
      </c>
      <c r="E27" s="2887">
        <v>12.5</v>
      </c>
      <c r="F27" s="3033">
        <f t="shared" si="1"/>
        <v>1</v>
      </c>
      <c r="G27" s="2888">
        <f t="shared" si="0"/>
        <v>0.9</v>
      </c>
      <c r="H27" s="2889">
        <f t="shared" si="2"/>
        <v>11.25</v>
      </c>
      <c r="I27" s="2117"/>
      <c r="J27" s="729"/>
      <c r="K27" s="916"/>
      <c r="L27" s="1679"/>
      <c r="M27" s="1679"/>
    </row>
    <row r="28" spans="1:13" ht="16.2">
      <c r="A28" s="729"/>
      <c r="B28" s="2884" t="s">
        <v>2279</v>
      </c>
      <c r="C28" s="2885"/>
      <c r="D28" s="2886" t="s">
        <v>2323</v>
      </c>
      <c r="E28" s="2887">
        <v>12.5</v>
      </c>
      <c r="F28" s="3033">
        <f t="shared" si="1"/>
        <v>1</v>
      </c>
      <c r="G28" s="2888">
        <f t="shared" si="0"/>
        <v>0.9</v>
      </c>
      <c r="H28" s="2889">
        <f t="shared" si="2"/>
        <v>11.25</v>
      </c>
      <c r="I28" s="2117"/>
      <c r="J28" s="729"/>
      <c r="K28" s="916"/>
      <c r="L28" s="1679"/>
      <c r="M28" s="1679"/>
    </row>
    <row r="29" spans="1:13" ht="16.2">
      <c r="A29" s="729"/>
      <c r="B29" s="2884" t="s">
        <v>1749</v>
      </c>
      <c r="C29" s="2885"/>
      <c r="D29" s="2886" t="s">
        <v>2323</v>
      </c>
      <c r="E29" s="2887">
        <v>11.27</v>
      </c>
      <c r="F29" s="3033">
        <f t="shared" si="1"/>
        <v>1</v>
      </c>
      <c r="G29" s="2888">
        <f t="shared" si="0"/>
        <v>0.9</v>
      </c>
      <c r="H29" s="2889">
        <f t="shared" si="2"/>
        <v>10.143000000000001</v>
      </c>
      <c r="I29" s="2117"/>
      <c r="J29" s="729"/>
      <c r="K29" s="916"/>
      <c r="L29" s="1679"/>
      <c r="M29" s="1679"/>
    </row>
    <row r="30" spans="1:13" ht="16.2">
      <c r="A30" s="729"/>
      <c r="B30" s="2884" t="s">
        <v>553</v>
      </c>
      <c r="C30" s="2885"/>
      <c r="D30" s="2886" t="s">
        <v>2323</v>
      </c>
      <c r="E30" s="2887">
        <v>7.5</v>
      </c>
      <c r="F30" s="3033">
        <f t="shared" si="1"/>
        <v>1</v>
      </c>
      <c r="G30" s="2888">
        <f t="shared" si="0"/>
        <v>0.9</v>
      </c>
      <c r="H30" s="2889">
        <f t="shared" si="2"/>
        <v>6.75</v>
      </c>
      <c r="I30" s="2117"/>
      <c r="J30" s="729"/>
      <c r="K30" s="916"/>
      <c r="L30" s="1679"/>
      <c r="M30" s="1679"/>
    </row>
    <row r="31" spans="1:13" ht="16.2">
      <c r="A31" s="729"/>
      <c r="B31" s="2884" t="s">
        <v>835</v>
      </c>
      <c r="C31" s="2885"/>
      <c r="D31" s="2886" t="s">
        <v>2323</v>
      </c>
      <c r="E31" s="2887">
        <v>10</v>
      </c>
      <c r="F31" s="3033">
        <f t="shared" si="1"/>
        <v>1</v>
      </c>
      <c r="G31" s="2888">
        <f t="shared" si="0"/>
        <v>0.9</v>
      </c>
      <c r="H31" s="2889">
        <f t="shared" si="2"/>
        <v>9</v>
      </c>
      <c r="I31" s="2117"/>
      <c r="J31" s="729"/>
      <c r="K31" s="916"/>
      <c r="L31" s="1679"/>
      <c r="M31" s="1679"/>
    </row>
    <row r="32" spans="1:13" ht="16.2">
      <c r="A32" s="729"/>
      <c r="B32" s="2884" t="s">
        <v>2280</v>
      </c>
      <c r="C32" s="2885"/>
      <c r="D32" s="2886" t="s">
        <v>2323</v>
      </c>
      <c r="E32" s="2887">
        <v>18.59</v>
      </c>
      <c r="F32" s="3033">
        <f t="shared" si="1"/>
        <v>1</v>
      </c>
      <c r="G32" s="2888">
        <f t="shared" si="0"/>
        <v>0.9</v>
      </c>
      <c r="H32" s="2889">
        <f t="shared" si="2"/>
        <v>16.731000000000002</v>
      </c>
      <c r="I32" s="2117"/>
      <c r="J32" s="729"/>
      <c r="K32" s="916"/>
      <c r="L32" s="1679"/>
      <c r="M32" s="1679"/>
    </row>
    <row r="33" spans="1:13" ht="16.2">
      <c r="A33" s="729"/>
      <c r="B33" s="2884" t="s">
        <v>2281</v>
      </c>
      <c r="C33" s="2885"/>
      <c r="D33" s="2886" t="s">
        <v>2323</v>
      </c>
      <c r="E33" s="2887">
        <v>5.5</v>
      </c>
      <c r="F33" s="3033">
        <f t="shared" si="1"/>
        <v>1</v>
      </c>
      <c r="G33" s="2888">
        <f t="shared" si="0"/>
        <v>0.9</v>
      </c>
      <c r="H33" s="2889">
        <f t="shared" si="2"/>
        <v>4.95</v>
      </c>
      <c r="I33" s="2117"/>
      <c r="J33" s="729"/>
      <c r="K33" s="916"/>
      <c r="L33" s="1679"/>
      <c r="M33" s="1679"/>
    </row>
    <row r="34" spans="1:13" ht="16.2">
      <c r="A34" s="729"/>
      <c r="B34" s="2884" t="s">
        <v>2219</v>
      </c>
      <c r="C34" s="2885"/>
      <c r="D34" s="2886" t="s">
        <v>2323</v>
      </c>
      <c r="E34" s="2887">
        <v>34</v>
      </c>
      <c r="F34" s="3033">
        <f t="shared" si="1"/>
        <v>1</v>
      </c>
      <c r="G34" s="2888">
        <f t="shared" si="0"/>
        <v>0.9</v>
      </c>
      <c r="H34" s="2889">
        <f t="shared" si="2"/>
        <v>30.6</v>
      </c>
      <c r="I34" s="2117"/>
      <c r="J34" s="729"/>
      <c r="K34" s="916"/>
      <c r="L34" s="1679"/>
      <c r="M34" s="1679"/>
    </row>
    <row r="35" spans="1:13" ht="16.2">
      <c r="A35" s="729"/>
      <c r="B35" s="2884" t="s">
        <v>2282</v>
      </c>
      <c r="C35" s="2885"/>
      <c r="D35" s="2886" t="s">
        <v>2323</v>
      </c>
      <c r="E35" s="2887">
        <v>12</v>
      </c>
      <c r="F35" s="3033">
        <f t="shared" si="1"/>
        <v>1</v>
      </c>
      <c r="G35" s="2888">
        <f t="shared" si="0"/>
        <v>0.9</v>
      </c>
      <c r="H35" s="2889">
        <f t="shared" si="2"/>
        <v>10.8</v>
      </c>
      <c r="I35" s="2117"/>
      <c r="J35" s="729"/>
      <c r="K35" s="916"/>
      <c r="L35" s="1679"/>
      <c r="M35" s="1679"/>
    </row>
    <row r="36" spans="1:13" ht="16.2">
      <c r="A36" s="729"/>
      <c r="B36" s="2884" t="s">
        <v>2284</v>
      </c>
      <c r="C36" s="2885"/>
      <c r="D36" s="2886" t="s">
        <v>2323</v>
      </c>
      <c r="E36" s="2887">
        <v>48</v>
      </c>
      <c r="F36" s="3033">
        <f t="shared" si="1"/>
        <v>1</v>
      </c>
      <c r="G36" s="2888">
        <f t="shared" si="0"/>
        <v>0.9</v>
      </c>
      <c r="H36" s="2889">
        <f t="shared" si="2"/>
        <v>43.2</v>
      </c>
      <c r="I36" s="2117"/>
      <c r="J36" s="729"/>
      <c r="K36" s="916"/>
      <c r="L36" s="1679"/>
      <c r="M36" s="1679"/>
    </row>
    <row r="37" spans="1:13" ht="16.2">
      <c r="A37" s="729"/>
      <c r="B37" s="2884" t="s">
        <v>2285</v>
      </c>
      <c r="C37" s="2885"/>
      <c r="D37" s="2886" t="s">
        <v>2323</v>
      </c>
      <c r="E37" s="2887">
        <v>48</v>
      </c>
      <c r="F37" s="3033">
        <f t="shared" si="1"/>
        <v>1</v>
      </c>
      <c r="G37" s="2888">
        <f t="shared" si="0"/>
        <v>0.9</v>
      </c>
      <c r="H37" s="2889">
        <f t="shared" si="2"/>
        <v>43.2</v>
      </c>
      <c r="I37" s="2117"/>
      <c r="J37" s="729"/>
      <c r="K37" s="916"/>
      <c r="L37" s="1679"/>
      <c r="M37" s="1679"/>
    </row>
    <row r="38" spans="1:13" ht="16.2">
      <c r="A38" s="729"/>
      <c r="B38" s="2884" t="s">
        <v>2286</v>
      </c>
      <c r="C38" s="2885"/>
      <c r="D38" s="2890" t="s">
        <v>2287</v>
      </c>
      <c r="E38" s="2887">
        <f>AVERAGE(E24:E36)</f>
        <v>16.316153846153846</v>
      </c>
      <c r="F38" s="3033">
        <f t="shared" si="1"/>
        <v>1</v>
      </c>
      <c r="G38" s="2888">
        <f t="shared" si="0"/>
        <v>0.9</v>
      </c>
      <c r="H38" s="2889">
        <f>E38*F38*G38</f>
        <v>14.684538461538461</v>
      </c>
      <c r="I38" s="2117"/>
      <c r="J38" s="729"/>
      <c r="K38" s="916"/>
      <c r="L38" s="1679"/>
      <c r="M38" s="1679"/>
    </row>
    <row r="39" spans="1:13" ht="16.2">
      <c r="A39" s="729"/>
      <c r="B39" s="2884" t="s">
        <v>2058</v>
      </c>
      <c r="C39" s="2885"/>
      <c r="D39" s="2890" t="s">
        <v>2288</v>
      </c>
      <c r="E39" s="2887">
        <f>E24</f>
        <v>24</v>
      </c>
      <c r="F39" s="3033">
        <f t="shared" si="1"/>
        <v>1</v>
      </c>
      <c r="G39" s="2888">
        <f t="shared" si="0"/>
        <v>0.9</v>
      </c>
      <c r="H39" s="2889">
        <f t="shared" si="2"/>
        <v>21.6</v>
      </c>
      <c r="I39" s="2117"/>
      <c r="J39" s="729"/>
      <c r="K39" s="916"/>
      <c r="L39" s="1679"/>
      <c r="M39" s="1679"/>
    </row>
    <row r="40" spans="1:13" ht="16.2">
      <c r="A40" s="729"/>
      <c r="B40" s="2884" t="s">
        <v>2289</v>
      </c>
      <c r="C40" s="2885"/>
      <c r="D40" s="2890" t="s">
        <v>2287</v>
      </c>
      <c r="E40" s="2887">
        <f>0.75*E36</f>
        <v>36</v>
      </c>
      <c r="F40" s="3033">
        <f t="shared" si="1"/>
        <v>1</v>
      </c>
      <c r="G40" s="2888">
        <f t="shared" si="0"/>
        <v>0.9</v>
      </c>
      <c r="H40" s="2889">
        <f t="shared" si="2"/>
        <v>32.4</v>
      </c>
      <c r="I40" s="2117"/>
      <c r="J40" s="729"/>
      <c r="K40" s="916"/>
      <c r="L40" s="1679"/>
      <c r="M40" s="1679"/>
    </row>
    <row r="41" spans="1:13" ht="16.2">
      <c r="A41" s="729"/>
      <c r="B41" s="2884" t="s">
        <v>2291</v>
      </c>
      <c r="C41" s="2885"/>
      <c r="D41" s="2890" t="s">
        <v>2287</v>
      </c>
      <c r="E41" s="2887">
        <f>0.5*E36</f>
        <v>24</v>
      </c>
      <c r="F41" s="3033">
        <f t="shared" si="1"/>
        <v>1</v>
      </c>
      <c r="G41" s="2888">
        <f t="shared" si="0"/>
        <v>0.9</v>
      </c>
      <c r="H41" s="2889">
        <f t="shared" si="2"/>
        <v>21.6</v>
      </c>
      <c r="I41" s="2117"/>
      <c r="J41" s="729"/>
      <c r="K41" s="916"/>
      <c r="L41" s="1679"/>
      <c r="M41" s="1679"/>
    </row>
    <row r="42" spans="1:13" ht="16.8" thickBot="1">
      <c r="A42" s="729"/>
      <c r="B42" s="2891" t="s">
        <v>2292</v>
      </c>
      <c r="C42" s="2892"/>
      <c r="D42" s="2893" t="s">
        <v>2287</v>
      </c>
      <c r="E42" s="2894">
        <f>(E25+E27)/2</f>
        <v>11.75</v>
      </c>
      <c r="F42" s="3034">
        <f t="shared" si="1"/>
        <v>1</v>
      </c>
      <c r="G42" s="2895">
        <f t="shared" si="0"/>
        <v>0.9</v>
      </c>
      <c r="H42" s="2896">
        <f>E42*F42*G42</f>
        <v>10.575000000000001</v>
      </c>
      <c r="I42" s="2117"/>
      <c r="J42" s="729"/>
      <c r="K42" s="916"/>
      <c r="L42" s="1679"/>
      <c r="M42" s="1679"/>
    </row>
    <row r="43" spans="1:13" ht="16.2">
      <c r="A43" s="729"/>
      <c r="B43" s="729"/>
      <c r="C43" s="2116"/>
      <c r="D43" s="716"/>
      <c r="E43" s="716"/>
      <c r="F43" s="716"/>
      <c r="G43" s="729"/>
      <c r="H43" s="716"/>
      <c r="I43" s="2117"/>
      <c r="J43" s="729"/>
      <c r="K43" s="916"/>
      <c r="L43" s="1679"/>
      <c r="M43" s="1679"/>
    </row>
    <row r="44" spans="1:13" ht="16.2">
      <c r="A44" s="729"/>
      <c r="B44" s="729"/>
      <c r="C44" s="2116"/>
      <c r="D44" s="716"/>
      <c r="E44" s="716"/>
      <c r="F44" s="716"/>
      <c r="G44" s="729"/>
      <c r="H44" s="716"/>
      <c r="I44" s="2117"/>
      <c r="J44" s="729"/>
      <c r="K44" s="916"/>
      <c r="L44" s="729"/>
      <c r="M44" s="729"/>
    </row>
    <row r="45" spans="1:13" ht="16.2">
      <c r="A45" s="729"/>
      <c r="B45" s="729"/>
      <c r="C45" s="2116"/>
      <c r="D45" s="716"/>
      <c r="E45" s="716"/>
      <c r="F45" s="716"/>
      <c r="G45" s="729"/>
      <c r="H45" s="716"/>
      <c r="I45" s="2117"/>
      <c r="J45" s="729"/>
      <c r="K45" s="916"/>
      <c r="L45" s="729"/>
      <c r="M45" s="729"/>
    </row>
    <row r="46" spans="1:13" ht="31.2">
      <c r="A46" s="2897" t="s">
        <v>208</v>
      </c>
      <c r="B46" s="2897" t="s">
        <v>2458</v>
      </c>
      <c r="C46" s="2898" t="s">
        <v>210</v>
      </c>
      <c r="D46" s="2897" t="s">
        <v>1998</v>
      </c>
      <c r="E46" s="2899" t="s">
        <v>1240</v>
      </c>
      <c r="F46" s="2900" t="s">
        <v>1241</v>
      </c>
      <c r="G46" s="2897" t="s">
        <v>1242</v>
      </c>
      <c r="H46" s="2897" t="s">
        <v>837</v>
      </c>
      <c r="I46" s="2901" t="s">
        <v>838</v>
      </c>
      <c r="J46" s="2900" t="s">
        <v>839</v>
      </c>
      <c r="K46" s="2897" t="s">
        <v>840</v>
      </c>
      <c r="L46" s="1531"/>
      <c r="M46" s="729"/>
    </row>
    <row r="47" spans="1:13" ht="16.2">
      <c r="A47" s="2128"/>
      <c r="B47" s="2129"/>
      <c r="C47" s="729"/>
      <c r="D47" s="2129"/>
      <c r="E47" s="2129"/>
      <c r="F47" s="2116"/>
      <c r="G47" s="2129"/>
      <c r="H47" s="2129"/>
      <c r="I47" s="2130"/>
      <c r="J47" s="2116"/>
      <c r="K47" s="2131"/>
      <c r="L47" s="2129"/>
      <c r="M47" s="729"/>
    </row>
    <row r="48" spans="1:13" ht="16.2">
      <c r="A48" s="2902" t="s">
        <v>2246</v>
      </c>
      <c r="B48" s="2903"/>
      <c r="C48" s="2904">
        <f>C50+3</f>
        <v>27.67</v>
      </c>
      <c r="D48" s="2904">
        <f>D50</f>
        <v>11.08</v>
      </c>
      <c r="E48" s="2904">
        <f>(C48+0.5*D48)*$E$17</f>
        <v>0</v>
      </c>
      <c r="F48" s="2904">
        <f>SUM(C48:E48)</f>
        <v>38.75</v>
      </c>
      <c r="G48" s="2904"/>
      <c r="H48" s="2904">
        <f t="shared" ref="H48:H85" si="3">(C48+0.5*D48+E48)*$E$14</f>
        <v>3.4881570000000002</v>
      </c>
      <c r="I48" s="2904">
        <f>((C48)*$H$29/100)</f>
        <v>2.8065681000000007</v>
      </c>
      <c r="J48" s="2904">
        <f>SUM(F48:I48)</f>
        <v>45.044725100000001</v>
      </c>
      <c r="K48" s="2905"/>
      <c r="L48" s="2139"/>
      <c r="M48" s="716"/>
    </row>
    <row r="49" spans="1:13" ht="16.2">
      <c r="A49" s="2902" t="s">
        <v>2247</v>
      </c>
      <c r="B49" s="2906"/>
      <c r="C49" s="2904">
        <f>C50+2.44</f>
        <v>27.110000000000003</v>
      </c>
      <c r="D49" s="2904">
        <f>D50</f>
        <v>11.08</v>
      </c>
      <c r="E49" s="2904">
        <f t="shared" ref="E49:E85" si="4">(C49+0.5*D49)*$E$17</f>
        <v>0</v>
      </c>
      <c r="F49" s="2904">
        <f t="shared" ref="F49:F85" si="5">SUM(C49:E49)</f>
        <v>38.190000000000005</v>
      </c>
      <c r="G49" s="2904"/>
      <c r="H49" s="2904">
        <f t="shared" si="3"/>
        <v>3.4293383333333343</v>
      </c>
      <c r="I49" s="2904">
        <f>((C49)*$H$29/100)</f>
        <v>2.7497673000000002</v>
      </c>
      <c r="J49" s="2904">
        <f t="shared" ref="J49:J85" si="6">SUM(F49:I49)</f>
        <v>44.369105633333341</v>
      </c>
      <c r="K49" s="2905">
        <v>41455</v>
      </c>
      <c r="L49" s="2139"/>
      <c r="M49" s="716"/>
    </row>
    <row r="50" spans="1:13" ht="16.2">
      <c r="A50" s="2902" t="s">
        <v>2248</v>
      </c>
      <c r="B50" s="2903">
        <v>51</v>
      </c>
      <c r="C50" s="2904">
        <v>24.67</v>
      </c>
      <c r="D50" s="2904">
        <v>11.08</v>
      </c>
      <c r="E50" s="2904">
        <f t="shared" si="4"/>
        <v>0</v>
      </c>
      <c r="F50" s="2904">
        <f t="shared" si="5"/>
        <v>35.75</v>
      </c>
      <c r="G50" s="2904"/>
      <c r="H50" s="2904">
        <f t="shared" si="3"/>
        <v>3.1730570000000005</v>
      </c>
      <c r="I50" s="2904">
        <f>((C50)*$H$29/100)</f>
        <v>2.5022781000000003</v>
      </c>
      <c r="J50" s="2904">
        <f t="shared" si="6"/>
        <v>41.425335099999998</v>
      </c>
      <c r="K50" s="2905"/>
      <c r="L50" s="2139"/>
      <c r="M50" s="716"/>
    </row>
    <row r="51" spans="1:13" ht="16.2">
      <c r="A51" s="2907" t="s">
        <v>557</v>
      </c>
      <c r="B51" s="2903"/>
      <c r="C51" s="2904">
        <f>C53+5</f>
        <v>37.99</v>
      </c>
      <c r="D51" s="2904">
        <f>D53</f>
        <v>23.72</v>
      </c>
      <c r="E51" s="2904">
        <f t="shared" si="4"/>
        <v>0</v>
      </c>
      <c r="F51" s="2904">
        <f t="shared" si="5"/>
        <v>61.71</v>
      </c>
      <c r="G51" s="2904"/>
      <c r="H51" s="2904">
        <f t="shared" si="3"/>
        <v>5.2359116666666674</v>
      </c>
      <c r="I51" s="2904">
        <f>((C51)*$H$40/100)</f>
        <v>12.308759999999999</v>
      </c>
      <c r="J51" s="2904">
        <f t="shared" si="6"/>
        <v>79.254671666666667</v>
      </c>
      <c r="K51" s="2905"/>
      <c r="L51" s="2139"/>
      <c r="M51" s="716"/>
    </row>
    <row r="52" spans="1:13" ht="16.2">
      <c r="A52" s="2907" t="s">
        <v>558</v>
      </c>
      <c r="B52" s="2903"/>
      <c r="C52" s="2904">
        <f>C53+3</f>
        <v>35.99</v>
      </c>
      <c r="D52" s="2904">
        <f>D53</f>
        <v>23.72</v>
      </c>
      <c r="E52" s="2904">
        <f t="shared" si="4"/>
        <v>0</v>
      </c>
      <c r="F52" s="2904">
        <f t="shared" si="5"/>
        <v>59.71</v>
      </c>
      <c r="G52" s="2904"/>
      <c r="H52" s="2904">
        <f t="shared" si="3"/>
        <v>5.0258450000000003</v>
      </c>
      <c r="I52" s="2904">
        <f>((C52)*$H$40/100)</f>
        <v>11.66076</v>
      </c>
      <c r="J52" s="2904">
        <f t="shared" si="6"/>
        <v>76.396604999999994</v>
      </c>
      <c r="K52" s="2905"/>
      <c r="L52" s="2139"/>
      <c r="M52" s="716"/>
    </row>
    <row r="53" spans="1:13" ht="16.2">
      <c r="A53" s="2907" t="s">
        <v>559</v>
      </c>
      <c r="B53" s="2903">
        <v>105</v>
      </c>
      <c r="C53" s="2904">
        <v>32.99</v>
      </c>
      <c r="D53" s="2904">
        <v>23.72</v>
      </c>
      <c r="E53" s="2904">
        <f t="shared" si="4"/>
        <v>0</v>
      </c>
      <c r="F53" s="2904">
        <f t="shared" si="5"/>
        <v>56.71</v>
      </c>
      <c r="G53" s="2904"/>
      <c r="H53" s="2904">
        <f t="shared" si="3"/>
        <v>4.7107450000000002</v>
      </c>
      <c r="I53" s="2904">
        <f>((C53)*$H$40/100)</f>
        <v>10.68876</v>
      </c>
      <c r="J53" s="2904">
        <f t="shared" si="6"/>
        <v>72.109504999999999</v>
      </c>
      <c r="K53" s="2905">
        <v>41639</v>
      </c>
      <c r="L53" s="2139" t="s">
        <v>2317</v>
      </c>
      <c r="M53" s="716"/>
    </row>
    <row r="54" spans="1:13" ht="16.2">
      <c r="A54" s="2902" t="s">
        <v>561</v>
      </c>
      <c r="B54" s="2903"/>
      <c r="C54" s="2904">
        <f>19.81+1.52</f>
        <v>21.33</v>
      </c>
      <c r="D54" s="2904">
        <f>D55</f>
        <v>10.07</v>
      </c>
      <c r="E54" s="2904">
        <f t="shared" si="4"/>
        <v>0</v>
      </c>
      <c r="F54" s="2904">
        <f t="shared" si="5"/>
        <v>31.4</v>
      </c>
      <c r="G54" s="2904"/>
      <c r="H54" s="2904">
        <f t="shared" si="3"/>
        <v>2.7692038333333335</v>
      </c>
      <c r="I54" s="2904">
        <f>((C54)*$H$30/100)</f>
        <v>1.439775</v>
      </c>
      <c r="J54" s="2904">
        <f t="shared" si="6"/>
        <v>35.608978833333332</v>
      </c>
      <c r="K54" s="2905"/>
      <c r="L54" s="2139"/>
      <c r="M54" s="716"/>
    </row>
    <row r="55" spans="1:13" ht="16.2">
      <c r="A55" s="2902" t="s">
        <v>2249</v>
      </c>
      <c r="B55" s="2903">
        <v>1</v>
      </c>
      <c r="C55" s="2904">
        <v>24.11</v>
      </c>
      <c r="D55" s="2904">
        <v>10.07</v>
      </c>
      <c r="E55" s="2904">
        <f t="shared" si="4"/>
        <v>0</v>
      </c>
      <c r="F55" s="2904">
        <f t="shared" si="5"/>
        <v>34.18</v>
      </c>
      <c r="G55" s="2904"/>
      <c r="H55" s="2904">
        <f t="shared" si="3"/>
        <v>3.0611965000000003</v>
      </c>
      <c r="I55" s="2904">
        <f>((C55)*$H$30/100)</f>
        <v>1.6274250000000001</v>
      </c>
      <c r="J55" s="2904">
        <f t="shared" si="6"/>
        <v>38.868621500000003</v>
      </c>
      <c r="K55" s="2905">
        <v>41425</v>
      </c>
      <c r="L55" s="2139"/>
      <c r="M55" s="716"/>
    </row>
    <row r="56" spans="1:13" ht="16.2">
      <c r="A56" s="2902" t="s">
        <v>562</v>
      </c>
      <c r="B56" s="2903"/>
      <c r="C56" s="2904">
        <f>C57*1.07</f>
        <v>24.289000000000001</v>
      </c>
      <c r="D56" s="2904">
        <v>14.09</v>
      </c>
      <c r="E56" s="2904">
        <f t="shared" si="4"/>
        <v>0</v>
      </c>
      <c r="F56" s="2904">
        <f t="shared" si="5"/>
        <v>38.379000000000005</v>
      </c>
      <c r="G56" s="2904"/>
      <c r="H56" s="2904">
        <f t="shared" si="3"/>
        <v>3.2911144666666674</v>
      </c>
      <c r="I56" s="2904">
        <f>((C56)*$H$24/100)</f>
        <v>5.2464240000000011</v>
      </c>
      <c r="J56" s="2904">
        <f t="shared" si="6"/>
        <v>46.91653846666668</v>
      </c>
      <c r="K56" s="2905"/>
      <c r="L56" s="2139"/>
      <c r="M56" s="716"/>
    </row>
    <row r="57" spans="1:13" ht="16.2">
      <c r="A57" s="2902" t="s">
        <v>564</v>
      </c>
      <c r="B57" s="2903">
        <v>99</v>
      </c>
      <c r="C57" s="2904">
        <v>22.7</v>
      </c>
      <c r="D57" s="2904">
        <v>14.09</v>
      </c>
      <c r="E57" s="2904">
        <f t="shared" si="4"/>
        <v>0</v>
      </c>
      <c r="F57" s="2904">
        <f t="shared" si="5"/>
        <v>36.79</v>
      </c>
      <c r="G57" s="2904"/>
      <c r="H57" s="2904">
        <f t="shared" si="3"/>
        <v>3.1242164999999997</v>
      </c>
      <c r="I57" s="2904">
        <f>((C57)*$H$24/100)</f>
        <v>4.9032</v>
      </c>
      <c r="J57" s="2904">
        <f t="shared" si="6"/>
        <v>44.8174165</v>
      </c>
      <c r="K57" s="2905">
        <v>41455</v>
      </c>
      <c r="L57" s="2139"/>
      <c r="M57" s="716"/>
    </row>
    <row r="58" spans="1:13" ht="16.2">
      <c r="A58" s="2902" t="s">
        <v>1238</v>
      </c>
      <c r="B58" s="2903"/>
      <c r="C58" s="2904">
        <f>C59+2</f>
        <v>23</v>
      </c>
      <c r="D58" s="2904">
        <f>D59</f>
        <v>9.8000000000000007</v>
      </c>
      <c r="E58" s="2904">
        <f t="shared" si="4"/>
        <v>0</v>
      </c>
      <c r="F58" s="2904">
        <f t="shared" si="5"/>
        <v>32.799999999999997</v>
      </c>
      <c r="G58" s="2904"/>
      <c r="H58" s="2904">
        <f t="shared" si="3"/>
        <v>2.9304299999999999</v>
      </c>
      <c r="I58" s="2904">
        <f>((C58)*$H$30/100)</f>
        <v>1.5525</v>
      </c>
      <c r="J58" s="2904">
        <f t="shared" si="6"/>
        <v>37.28293</v>
      </c>
      <c r="K58" s="2905"/>
      <c r="L58" s="2139"/>
      <c r="M58" s="716"/>
    </row>
    <row r="59" spans="1:13" ht="16.2">
      <c r="A59" s="2902" t="s">
        <v>2062</v>
      </c>
      <c r="B59" s="2903">
        <v>694</v>
      </c>
      <c r="C59" s="2904">
        <v>21</v>
      </c>
      <c r="D59" s="2904">
        <v>9.8000000000000007</v>
      </c>
      <c r="E59" s="2904">
        <f t="shared" si="4"/>
        <v>0</v>
      </c>
      <c r="F59" s="2904">
        <f t="shared" si="5"/>
        <v>30.8</v>
      </c>
      <c r="G59" s="2904"/>
      <c r="H59" s="2904">
        <f t="shared" si="3"/>
        <v>2.7203633333333332</v>
      </c>
      <c r="I59" s="2904">
        <f>((C59)*$H$30/100)</f>
        <v>1.4175</v>
      </c>
      <c r="J59" s="2904">
        <f t="shared" si="6"/>
        <v>34.937863333333333</v>
      </c>
      <c r="K59" s="2905">
        <v>41425</v>
      </c>
      <c r="L59" s="2139"/>
      <c r="M59" s="716"/>
    </row>
    <row r="60" spans="1:13" ht="16.2">
      <c r="A60" s="2902" t="s">
        <v>565</v>
      </c>
      <c r="B60" s="2903"/>
      <c r="C60" s="2904">
        <f>C62*1.25</f>
        <v>36.65</v>
      </c>
      <c r="D60" s="2904">
        <f>D62</f>
        <v>13.78</v>
      </c>
      <c r="E60" s="2904">
        <f t="shared" si="4"/>
        <v>0</v>
      </c>
      <c r="F60" s="2904">
        <f t="shared" si="5"/>
        <v>50.43</v>
      </c>
      <c r="G60" s="2904"/>
      <c r="H60" s="2904">
        <f t="shared" si="3"/>
        <v>4.5731513333333336</v>
      </c>
      <c r="I60" s="2904">
        <f>((C60)*$H$26/100)</f>
        <v>1.7317125000000002</v>
      </c>
      <c r="J60" s="2904">
        <f t="shared" si="6"/>
        <v>56.734863833333335</v>
      </c>
      <c r="K60" s="2905"/>
      <c r="L60" s="2139"/>
      <c r="M60" s="716"/>
    </row>
    <row r="61" spans="1:13" ht="16.2">
      <c r="A61" s="2902" t="s">
        <v>566</v>
      </c>
      <c r="B61" s="2903"/>
      <c r="C61" s="2904">
        <f>C62*1.1</f>
        <v>32.252000000000002</v>
      </c>
      <c r="D61" s="2904">
        <f>D62</f>
        <v>13.78</v>
      </c>
      <c r="E61" s="2904">
        <f t="shared" si="4"/>
        <v>0</v>
      </c>
      <c r="F61" s="2904">
        <f t="shared" si="5"/>
        <v>46.032000000000004</v>
      </c>
      <c r="G61" s="2904"/>
      <c r="H61" s="2904">
        <f t="shared" si="3"/>
        <v>4.111214733333334</v>
      </c>
      <c r="I61" s="2904">
        <f>((C61)*$H$26/100)</f>
        <v>1.5239070000000003</v>
      </c>
      <c r="J61" s="2904">
        <f t="shared" si="6"/>
        <v>51.667121733333339</v>
      </c>
      <c r="K61" s="2905"/>
      <c r="L61" s="2139"/>
      <c r="M61" s="716"/>
    </row>
    <row r="62" spans="1:13" ht="16.2">
      <c r="A62" s="2902" t="s">
        <v>567</v>
      </c>
      <c r="B62" s="2903">
        <v>369</v>
      </c>
      <c r="C62" s="2904">
        <v>29.32</v>
      </c>
      <c r="D62" s="2904">
        <v>13.78</v>
      </c>
      <c r="E62" s="2904">
        <f t="shared" si="4"/>
        <v>0</v>
      </c>
      <c r="F62" s="2904">
        <f t="shared" si="5"/>
        <v>43.1</v>
      </c>
      <c r="G62" s="2904"/>
      <c r="H62" s="2904">
        <f t="shared" si="3"/>
        <v>3.8032570000000003</v>
      </c>
      <c r="I62" s="2904">
        <f>((C62)*$H$26/100)</f>
        <v>1.38537</v>
      </c>
      <c r="J62" s="2904">
        <f t="shared" si="6"/>
        <v>48.288627000000005</v>
      </c>
      <c r="K62" s="2905">
        <v>41423</v>
      </c>
      <c r="L62" s="2139"/>
      <c r="M62" s="716"/>
    </row>
    <row r="63" spans="1:13" ht="16.2">
      <c r="A63" s="2907" t="s">
        <v>2251</v>
      </c>
      <c r="B63" s="2903"/>
      <c r="C63" s="2904">
        <f>C65+3.5</f>
        <v>29.84</v>
      </c>
      <c r="D63" s="2904">
        <f>D65</f>
        <v>18.579999999999998</v>
      </c>
      <c r="E63" s="2904">
        <f t="shared" si="4"/>
        <v>0</v>
      </c>
      <c r="F63" s="2904">
        <f t="shared" si="5"/>
        <v>48.42</v>
      </c>
      <c r="G63" s="2904"/>
      <c r="H63" s="2904">
        <f t="shared" si="3"/>
        <v>4.1099543333333335</v>
      </c>
      <c r="I63" s="2904">
        <f>((C63)*$H$36/100)</f>
        <v>12.890879999999999</v>
      </c>
      <c r="J63" s="2904">
        <f t="shared" si="6"/>
        <v>65.420834333333332</v>
      </c>
      <c r="K63" s="2905"/>
      <c r="L63" s="2139"/>
      <c r="M63" s="716"/>
    </row>
    <row r="64" spans="1:13" ht="16.2">
      <c r="A64" s="2907" t="s">
        <v>2252</v>
      </c>
      <c r="B64" s="2903"/>
      <c r="C64" s="2904">
        <f>C65+2</f>
        <v>28.34</v>
      </c>
      <c r="D64" s="2904">
        <f>D65</f>
        <v>18.579999999999998</v>
      </c>
      <c r="E64" s="2904">
        <f t="shared" si="4"/>
        <v>0</v>
      </c>
      <c r="F64" s="2904">
        <f t="shared" si="5"/>
        <v>46.92</v>
      </c>
      <c r="G64" s="2904"/>
      <c r="H64" s="2904">
        <f t="shared" si="3"/>
        <v>3.952404333333333</v>
      </c>
      <c r="I64" s="2904">
        <f>((C64)*$H$36/100)</f>
        <v>12.24288</v>
      </c>
      <c r="J64" s="2904">
        <f t="shared" si="6"/>
        <v>63.115284333333335</v>
      </c>
      <c r="K64" s="2905"/>
      <c r="L64" s="2139"/>
      <c r="M64" s="716"/>
    </row>
    <row r="65" spans="1:13" ht="16.2">
      <c r="A65" s="2907" t="s">
        <v>2253</v>
      </c>
      <c r="B65" s="2903">
        <v>70</v>
      </c>
      <c r="C65" s="2904">
        <v>26.34</v>
      </c>
      <c r="D65" s="2904">
        <v>18.579999999999998</v>
      </c>
      <c r="E65" s="2904">
        <f t="shared" si="4"/>
        <v>0</v>
      </c>
      <c r="F65" s="2904">
        <f t="shared" si="5"/>
        <v>44.92</v>
      </c>
      <c r="G65" s="2904"/>
      <c r="H65" s="2904">
        <f t="shared" si="3"/>
        <v>3.7423376666666663</v>
      </c>
      <c r="I65" s="2904">
        <f>((C65)*$H$36/100)</f>
        <v>11.378880000000002</v>
      </c>
      <c r="J65" s="2904">
        <f t="shared" si="6"/>
        <v>60.041217666666668</v>
      </c>
      <c r="K65" s="2905">
        <v>41425</v>
      </c>
      <c r="L65" s="2139" t="s">
        <v>2318</v>
      </c>
      <c r="M65" s="716"/>
    </row>
    <row r="66" spans="1:13" ht="16.2">
      <c r="A66" s="2907" t="s">
        <v>698</v>
      </c>
      <c r="B66" s="2903"/>
      <c r="C66" s="2904">
        <f>C67+2</f>
        <v>28.34</v>
      </c>
      <c r="D66" s="2904">
        <f>D65</f>
        <v>18.579999999999998</v>
      </c>
      <c r="E66" s="2904">
        <f t="shared" si="4"/>
        <v>0</v>
      </c>
      <c r="F66" s="2904">
        <f t="shared" si="5"/>
        <v>46.92</v>
      </c>
      <c r="G66" s="2904"/>
      <c r="H66" s="2904">
        <f t="shared" si="3"/>
        <v>3.952404333333333</v>
      </c>
      <c r="I66" s="2904">
        <f>((C66)*$H$36/100)</f>
        <v>12.24288</v>
      </c>
      <c r="J66" s="2904">
        <f t="shared" si="6"/>
        <v>63.115284333333335</v>
      </c>
      <c r="K66" s="2905"/>
      <c r="L66" s="2139"/>
      <c r="M66" s="716"/>
    </row>
    <row r="67" spans="1:13" ht="16.2">
      <c r="A67" s="2907" t="s">
        <v>699</v>
      </c>
      <c r="B67" s="2903">
        <v>70</v>
      </c>
      <c r="C67" s="2904">
        <v>26.34</v>
      </c>
      <c r="D67" s="2904">
        <f>D65</f>
        <v>18.579999999999998</v>
      </c>
      <c r="E67" s="2904">
        <f t="shared" si="4"/>
        <v>0</v>
      </c>
      <c r="F67" s="2904">
        <f t="shared" si="5"/>
        <v>44.92</v>
      </c>
      <c r="G67" s="2904"/>
      <c r="H67" s="2904">
        <f t="shared" si="3"/>
        <v>3.7423376666666663</v>
      </c>
      <c r="I67" s="2904">
        <f>((C67)*$H$36/100)</f>
        <v>11.378880000000002</v>
      </c>
      <c r="J67" s="2904">
        <f t="shared" si="6"/>
        <v>60.041217666666668</v>
      </c>
      <c r="K67" s="2905"/>
      <c r="L67" s="2139"/>
      <c r="M67" s="716"/>
    </row>
    <row r="68" spans="1:13" ht="16.2">
      <c r="A68" s="2902" t="s">
        <v>700</v>
      </c>
      <c r="B68" s="2903"/>
      <c r="C68" s="2904">
        <f>19.81+1.75</f>
        <v>21.56</v>
      </c>
      <c r="D68" s="2904">
        <f>D69</f>
        <v>9.1300000000000008</v>
      </c>
      <c r="E68" s="2904">
        <f t="shared" si="4"/>
        <v>0</v>
      </c>
      <c r="F68" s="2904">
        <f t="shared" si="5"/>
        <v>30.689999999999998</v>
      </c>
      <c r="G68" s="2904"/>
      <c r="H68" s="2904">
        <f t="shared" si="3"/>
        <v>2.7439958333333334</v>
      </c>
      <c r="I68" s="2904">
        <f>((C68)*$H$42/100)</f>
        <v>2.2799700000000001</v>
      </c>
      <c r="J68" s="2904">
        <f t="shared" si="6"/>
        <v>35.713965833333333</v>
      </c>
      <c r="K68" s="2905"/>
      <c r="L68" s="2139"/>
      <c r="M68" s="716"/>
    </row>
    <row r="69" spans="1:13" ht="16.2">
      <c r="A69" s="2902" t="s">
        <v>2060</v>
      </c>
      <c r="B69" s="2903">
        <v>576</v>
      </c>
      <c r="C69" s="2904">
        <v>18.420000000000002</v>
      </c>
      <c r="D69" s="2904">
        <v>9.1300000000000008</v>
      </c>
      <c r="E69" s="2904">
        <f t="shared" si="4"/>
        <v>0</v>
      </c>
      <c r="F69" s="2904">
        <f t="shared" si="5"/>
        <v>27.550000000000004</v>
      </c>
      <c r="G69" s="2904"/>
      <c r="H69" s="2904">
        <f t="shared" si="3"/>
        <v>2.4141911666666673</v>
      </c>
      <c r="I69" s="2904">
        <f>((C69)*$H$42/100)</f>
        <v>1.9479150000000005</v>
      </c>
      <c r="J69" s="2904">
        <f t="shared" si="6"/>
        <v>31.912106166666675</v>
      </c>
      <c r="K69" s="2905">
        <v>41455</v>
      </c>
      <c r="L69" s="2139"/>
      <c r="M69" s="716"/>
    </row>
    <row r="70" spans="1:13" ht="16.2">
      <c r="A70" s="2907" t="s">
        <v>701</v>
      </c>
      <c r="B70" s="2903"/>
      <c r="C70" s="2904">
        <f>C72*1.077</f>
        <v>26.04186</v>
      </c>
      <c r="D70" s="2904">
        <f>D72</f>
        <v>15.64</v>
      </c>
      <c r="E70" s="2904">
        <f t="shared" si="4"/>
        <v>0</v>
      </c>
      <c r="F70" s="2904">
        <f t="shared" si="5"/>
        <v>41.68186</v>
      </c>
      <c r="G70" s="2904"/>
      <c r="H70" s="2904">
        <f t="shared" si="3"/>
        <v>3.556624028666667</v>
      </c>
      <c r="I70" s="2904">
        <f>((C70)*$H$39/100)</f>
        <v>5.6250417600000002</v>
      </c>
      <c r="J70" s="2904">
        <f t="shared" si="6"/>
        <v>50.863525788666671</v>
      </c>
      <c r="K70" s="2905"/>
      <c r="L70" s="2139"/>
      <c r="M70" s="716"/>
    </row>
    <row r="71" spans="1:13" ht="16.2">
      <c r="A71" s="2907" t="s">
        <v>702</v>
      </c>
      <c r="B71" s="2903"/>
      <c r="C71" s="2904">
        <f>C72*1.04</f>
        <v>25.147200000000002</v>
      </c>
      <c r="D71" s="2904">
        <f>D72</f>
        <v>15.64</v>
      </c>
      <c r="E71" s="2904">
        <f t="shared" si="4"/>
        <v>0</v>
      </c>
      <c r="F71" s="2904">
        <f t="shared" si="5"/>
        <v>40.787199999999999</v>
      </c>
      <c r="G71" s="2904"/>
      <c r="H71" s="2904">
        <f t="shared" si="3"/>
        <v>3.4626549066666676</v>
      </c>
      <c r="I71" s="2904">
        <f>((C71)*$H$39/100)</f>
        <v>5.4317951999999998</v>
      </c>
      <c r="J71" s="2904">
        <f t="shared" si="6"/>
        <v>49.681650106666666</v>
      </c>
      <c r="K71" s="2905"/>
      <c r="L71" s="2139"/>
      <c r="M71" s="716"/>
    </row>
    <row r="72" spans="1:13" ht="16.2">
      <c r="A72" s="2907" t="s">
        <v>703</v>
      </c>
      <c r="B72" s="2903">
        <v>1031</v>
      </c>
      <c r="C72" s="2904">
        <v>24.18</v>
      </c>
      <c r="D72" s="2904">
        <v>15.64</v>
      </c>
      <c r="E72" s="2904">
        <f t="shared" si="4"/>
        <v>0</v>
      </c>
      <c r="F72" s="2904">
        <f t="shared" si="5"/>
        <v>39.82</v>
      </c>
      <c r="G72" s="2904"/>
      <c r="H72" s="2904">
        <f t="shared" si="3"/>
        <v>3.3610666666666669</v>
      </c>
      <c r="I72" s="2904">
        <f>((C72)*$H$39/100)</f>
        <v>5.22288</v>
      </c>
      <c r="J72" s="2904">
        <f t="shared" si="6"/>
        <v>48.40394666666667</v>
      </c>
      <c r="K72" s="2905">
        <v>41363</v>
      </c>
      <c r="L72" s="2139" t="s">
        <v>2319</v>
      </c>
      <c r="M72" s="716"/>
    </row>
    <row r="73" spans="1:13" ht="16.2">
      <c r="A73" s="2907" t="s">
        <v>704</v>
      </c>
      <c r="B73" s="2903"/>
      <c r="C73" s="2904">
        <v>27.28</v>
      </c>
      <c r="D73" s="2904">
        <v>13.4</v>
      </c>
      <c r="E73" s="2904">
        <f t="shared" si="4"/>
        <v>0</v>
      </c>
      <c r="F73" s="2904">
        <f t="shared" si="5"/>
        <v>40.68</v>
      </c>
      <c r="G73" s="2904"/>
      <c r="H73" s="2904">
        <f t="shared" si="3"/>
        <v>3.5690326666666672</v>
      </c>
      <c r="I73" s="2904">
        <f>((C73)*$H$38/100)</f>
        <v>4.0059420923076923</v>
      </c>
      <c r="J73" s="2904">
        <f t="shared" si="6"/>
        <v>48.254974758974356</v>
      </c>
      <c r="K73" s="2905"/>
      <c r="L73" s="2139"/>
      <c r="M73" s="716"/>
    </row>
    <row r="74" spans="1:13" ht="16.2">
      <c r="A74" s="2907" t="s">
        <v>2254</v>
      </c>
      <c r="B74" s="2903"/>
      <c r="C74" s="2904">
        <v>26.25</v>
      </c>
      <c r="D74" s="2904">
        <v>13.4</v>
      </c>
      <c r="E74" s="2904">
        <f t="shared" si="4"/>
        <v>0</v>
      </c>
      <c r="F74" s="2904">
        <f t="shared" si="5"/>
        <v>39.65</v>
      </c>
      <c r="G74" s="2904"/>
      <c r="H74" s="2904">
        <f t="shared" si="3"/>
        <v>3.4608483333333337</v>
      </c>
      <c r="I74" s="2904">
        <f>((C74)*$H$38/100)</f>
        <v>3.8546913461538459</v>
      </c>
      <c r="J74" s="2904">
        <f t="shared" si="6"/>
        <v>46.965539679487179</v>
      </c>
      <c r="K74" s="2905"/>
      <c r="L74" s="2139"/>
      <c r="M74" s="716"/>
    </row>
    <row r="75" spans="1:13" ht="16.2">
      <c r="A75" s="2907" t="s">
        <v>2061</v>
      </c>
      <c r="B75" s="2903">
        <v>181</v>
      </c>
      <c r="C75" s="2904">
        <v>22.67</v>
      </c>
      <c r="D75" s="2904">
        <v>13.4</v>
      </c>
      <c r="E75" s="2904">
        <f t="shared" si="4"/>
        <v>0</v>
      </c>
      <c r="F75" s="2904">
        <f t="shared" si="5"/>
        <v>36.07</v>
      </c>
      <c r="G75" s="2904"/>
      <c r="H75" s="2904">
        <f t="shared" si="3"/>
        <v>3.0848290000000005</v>
      </c>
      <c r="I75" s="2904">
        <f>((C75)*$H$38/100)</f>
        <v>3.3289848692307693</v>
      </c>
      <c r="J75" s="2904">
        <f t="shared" si="6"/>
        <v>42.483813869230772</v>
      </c>
      <c r="K75" s="2905"/>
      <c r="L75" s="2139" t="s">
        <v>2320</v>
      </c>
      <c r="M75" s="716"/>
    </row>
    <row r="76" spans="1:13" ht="16.2">
      <c r="A76" s="2907" t="s">
        <v>2255</v>
      </c>
      <c r="B76" s="2903"/>
      <c r="C76" s="2904">
        <v>21.11</v>
      </c>
      <c r="D76" s="2904">
        <v>13.4</v>
      </c>
      <c r="E76" s="2904">
        <f t="shared" si="4"/>
        <v>0</v>
      </c>
      <c r="F76" s="2904">
        <f t="shared" si="5"/>
        <v>34.51</v>
      </c>
      <c r="G76" s="2904"/>
      <c r="H76" s="2904">
        <f t="shared" si="3"/>
        <v>2.9209770000000002</v>
      </c>
      <c r="I76" s="2904">
        <f>((C76)*$H$38/100)</f>
        <v>3.0999060692307689</v>
      </c>
      <c r="J76" s="2904">
        <f t="shared" si="6"/>
        <v>40.530883069230768</v>
      </c>
      <c r="K76" s="2905"/>
      <c r="L76" s="2139"/>
      <c r="M76" s="716"/>
    </row>
    <row r="77" spans="1:13" ht="16.2">
      <c r="A77" s="2907" t="s">
        <v>2256</v>
      </c>
      <c r="B77" s="2903"/>
      <c r="C77" s="2904">
        <v>27.28</v>
      </c>
      <c r="D77" s="2904">
        <v>13.4</v>
      </c>
      <c r="E77" s="2904">
        <f t="shared" si="4"/>
        <v>0</v>
      </c>
      <c r="F77" s="2904">
        <f>SUM(C77:E77)</f>
        <v>40.68</v>
      </c>
      <c r="G77" s="2904"/>
      <c r="H77" s="2904">
        <f t="shared" si="3"/>
        <v>3.5690326666666672</v>
      </c>
      <c r="I77" s="2904">
        <f>((C77)*$H$38/100)</f>
        <v>4.0059420923076923</v>
      </c>
      <c r="J77" s="2904">
        <f>SUM(F77:I77)</f>
        <v>48.254974758974356</v>
      </c>
      <c r="K77" s="2905"/>
      <c r="L77" s="2139"/>
      <c r="M77" s="716"/>
    </row>
    <row r="78" spans="1:13" ht="16.2">
      <c r="A78" s="2902" t="s">
        <v>2257</v>
      </c>
      <c r="B78" s="2903">
        <v>118</v>
      </c>
      <c r="C78" s="2904">
        <v>18.5</v>
      </c>
      <c r="D78" s="2904">
        <v>11.05</v>
      </c>
      <c r="E78" s="2904">
        <f t="shared" si="4"/>
        <v>0</v>
      </c>
      <c r="F78" s="2904">
        <f t="shared" si="5"/>
        <v>29.55</v>
      </c>
      <c r="G78" s="2904"/>
      <c r="H78" s="2904">
        <f t="shared" si="3"/>
        <v>2.5234258333333335</v>
      </c>
      <c r="I78" s="2904">
        <f>((C78)*$H$31/100)</f>
        <v>1.665</v>
      </c>
      <c r="J78" s="2904">
        <f t="shared" si="6"/>
        <v>33.738425833333331</v>
      </c>
      <c r="K78" s="2905"/>
      <c r="L78" s="2139"/>
      <c r="M78" s="716"/>
    </row>
    <row r="79" spans="1:13" ht="16.2">
      <c r="A79" s="2902" t="s">
        <v>1367</v>
      </c>
      <c r="B79" s="2903"/>
      <c r="C79" s="2904">
        <f>C81+2.77</f>
        <v>33.770000000000003</v>
      </c>
      <c r="D79" s="2904">
        <f>D81</f>
        <v>16.13</v>
      </c>
      <c r="E79" s="2904">
        <f t="shared" si="4"/>
        <v>0</v>
      </c>
      <c r="F79" s="2904">
        <f t="shared" si="5"/>
        <v>49.900000000000006</v>
      </c>
      <c r="G79" s="2904"/>
      <c r="H79" s="2904">
        <f t="shared" si="3"/>
        <v>4.3940695000000005</v>
      </c>
      <c r="I79" s="2904">
        <f>((C79)*$H$41/100)</f>
        <v>7.2943200000000017</v>
      </c>
      <c r="J79" s="2904">
        <f t="shared" si="6"/>
        <v>61.588389500000005</v>
      </c>
      <c r="K79" s="2905"/>
      <c r="L79" s="2139"/>
      <c r="M79" s="716"/>
    </row>
    <row r="80" spans="1:13" ht="16.2">
      <c r="A80" s="2902" t="s">
        <v>2258</v>
      </c>
      <c r="B80" s="2903"/>
      <c r="C80" s="2904">
        <f>C82+1.25</f>
        <v>32.549999999999997</v>
      </c>
      <c r="D80" s="2904">
        <f>D81</f>
        <v>16.13</v>
      </c>
      <c r="E80" s="2904">
        <f t="shared" si="4"/>
        <v>0</v>
      </c>
      <c r="F80" s="2904">
        <f t="shared" si="5"/>
        <v>48.679999999999993</v>
      </c>
      <c r="G80" s="2904"/>
      <c r="H80" s="2904">
        <f t="shared" si="3"/>
        <v>4.2659288333333327</v>
      </c>
      <c r="I80" s="2904">
        <f>((C80)*$H$41/100)</f>
        <v>7.0308000000000002</v>
      </c>
      <c r="J80" s="2904">
        <f t="shared" si="6"/>
        <v>59.976728833333325</v>
      </c>
      <c r="K80" s="2905"/>
      <c r="L80" s="2139"/>
      <c r="M80" s="716"/>
    </row>
    <row r="81" spans="1:13" ht="16.2">
      <c r="A81" s="2902" t="s">
        <v>1369</v>
      </c>
      <c r="B81" s="2903">
        <v>107</v>
      </c>
      <c r="C81" s="2904">
        <v>31</v>
      </c>
      <c r="D81" s="2904">
        <v>16.13</v>
      </c>
      <c r="E81" s="2904">
        <f t="shared" si="4"/>
        <v>0</v>
      </c>
      <c r="F81" s="2904">
        <f t="shared" si="5"/>
        <v>47.129999999999995</v>
      </c>
      <c r="G81" s="2904"/>
      <c r="H81" s="2904">
        <f t="shared" si="3"/>
        <v>4.1031271666666669</v>
      </c>
      <c r="I81" s="2904">
        <f>((C81)*$H$41/100)</f>
        <v>6.6960000000000006</v>
      </c>
      <c r="J81" s="2904">
        <f t="shared" si="6"/>
        <v>57.92912716666666</v>
      </c>
      <c r="K81" s="2905"/>
      <c r="L81" s="2139"/>
      <c r="M81" s="716"/>
    </row>
    <row r="82" spans="1:13" ht="16.2">
      <c r="A82" s="2907" t="s">
        <v>1239</v>
      </c>
      <c r="B82" s="2903"/>
      <c r="C82" s="2904">
        <f>C84+3</f>
        <v>31.3</v>
      </c>
      <c r="D82" s="2904">
        <f>D84</f>
        <v>16.670000000000002</v>
      </c>
      <c r="E82" s="2904">
        <f t="shared" si="4"/>
        <v>0</v>
      </c>
      <c r="F82" s="2904">
        <f t="shared" si="5"/>
        <v>47.97</v>
      </c>
      <c r="G82" s="2904"/>
      <c r="H82" s="2904">
        <f t="shared" si="3"/>
        <v>4.1629961666666677</v>
      </c>
      <c r="I82" s="2904">
        <f>((C82)*$H$35/100)</f>
        <v>3.3804000000000003</v>
      </c>
      <c r="J82" s="2904">
        <f t="shared" si="6"/>
        <v>55.513396166666666</v>
      </c>
      <c r="K82" s="2905"/>
      <c r="L82" s="2139"/>
      <c r="M82" s="716"/>
    </row>
    <row r="83" spans="1:13" ht="16.2">
      <c r="A83" s="2907" t="s">
        <v>1370</v>
      </c>
      <c r="B83" s="2903"/>
      <c r="C83" s="2904">
        <f>C84+2</f>
        <v>30.3</v>
      </c>
      <c r="D83" s="2904">
        <f>D84</f>
        <v>16.670000000000002</v>
      </c>
      <c r="E83" s="2904">
        <f t="shared" si="4"/>
        <v>0</v>
      </c>
      <c r="F83" s="2904">
        <f t="shared" si="5"/>
        <v>46.97</v>
      </c>
      <c r="G83" s="2904"/>
      <c r="H83" s="2904">
        <f t="shared" si="3"/>
        <v>4.0579628333333337</v>
      </c>
      <c r="I83" s="2904">
        <f>((C83)*$H$35/100)</f>
        <v>3.2724000000000002</v>
      </c>
      <c r="J83" s="2904">
        <f t="shared" si="6"/>
        <v>54.300362833333331</v>
      </c>
      <c r="K83" s="2905"/>
      <c r="L83" s="2139"/>
      <c r="M83" s="716"/>
    </row>
    <row r="84" spans="1:13" ht="16.2">
      <c r="A84" s="2907" t="s">
        <v>1371</v>
      </c>
      <c r="B84" s="2903">
        <v>110</v>
      </c>
      <c r="C84" s="2904">
        <v>28.3</v>
      </c>
      <c r="D84" s="2904">
        <v>16.670000000000002</v>
      </c>
      <c r="E84" s="2904">
        <f t="shared" si="4"/>
        <v>0</v>
      </c>
      <c r="F84" s="2904">
        <f t="shared" si="5"/>
        <v>44.97</v>
      </c>
      <c r="G84" s="2904"/>
      <c r="H84" s="2904">
        <f t="shared" si="3"/>
        <v>3.8478961666666676</v>
      </c>
      <c r="I84" s="2904">
        <f>((C84)*$H$35/100)</f>
        <v>3.0564000000000004</v>
      </c>
      <c r="J84" s="2904">
        <f t="shared" si="6"/>
        <v>51.874296166666667</v>
      </c>
      <c r="K84" s="2905"/>
      <c r="L84" s="2139"/>
      <c r="M84" s="716"/>
    </row>
    <row r="85" spans="1:13" ht="16.2">
      <c r="A85" s="2908" t="s">
        <v>2259</v>
      </c>
      <c r="B85" s="2909">
        <v>89</v>
      </c>
      <c r="C85" s="2910">
        <v>19.850000000000001</v>
      </c>
      <c r="D85" s="2910">
        <v>12.17</v>
      </c>
      <c r="E85" s="3035">
        <f t="shared" si="4"/>
        <v>0</v>
      </c>
      <c r="F85" s="2910">
        <f t="shared" si="5"/>
        <v>32.020000000000003</v>
      </c>
      <c r="G85" s="2910"/>
      <c r="H85" s="2910">
        <f t="shared" si="3"/>
        <v>2.7240395000000004</v>
      </c>
      <c r="I85" s="2910">
        <f>((C85)*$H$38/100)</f>
        <v>2.9148808846153842</v>
      </c>
      <c r="J85" s="2910">
        <f t="shared" si="6"/>
        <v>37.658920384615392</v>
      </c>
      <c r="K85" s="2911"/>
      <c r="L85" s="2139"/>
      <c r="M85" s="716"/>
    </row>
    <row r="86" spans="1:13" ht="16.2">
      <c r="A86" s="716"/>
      <c r="B86" s="716"/>
      <c r="C86" s="2539">
        <v>0</v>
      </c>
      <c r="D86" s="1101"/>
      <c r="E86" s="1101"/>
      <c r="F86" s="1101"/>
      <c r="G86" s="716"/>
      <c r="H86" s="1101"/>
      <c r="I86" s="1101"/>
      <c r="J86" s="1101"/>
      <c r="K86" s="1099"/>
      <c r="L86" s="1100"/>
      <c r="M86" s="716"/>
    </row>
    <row r="87" spans="1:13" ht="16.2">
      <c r="A87" s="716"/>
      <c r="B87" s="716"/>
      <c r="C87" s="2543" t="s">
        <v>2490</v>
      </c>
      <c r="D87" s="2543"/>
      <c r="E87" s="2544"/>
      <c r="F87" s="2543"/>
      <c r="G87" s="2544"/>
      <c r="H87" s="2544"/>
      <c r="I87" s="716"/>
      <c r="J87" s="1101"/>
      <c r="K87" s="1099"/>
      <c r="L87" s="716"/>
      <c r="M87" s="716"/>
    </row>
    <row r="88" spans="1:13" ht="16.2">
      <c r="A88" s="716"/>
      <c r="B88" s="716"/>
      <c r="C88" s="716"/>
      <c r="D88" s="2117"/>
      <c r="E88" s="729"/>
      <c r="F88" s="2552"/>
      <c r="G88" s="729"/>
      <c r="H88" s="729"/>
      <c r="I88" s="729"/>
      <c r="J88" s="729"/>
      <c r="K88" s="2553"/>
      <c r="L88" s="716"/>
      <c r="M88" s="716"/>
    </row>
    <row r="89" spans="1:13" ht="18">
      <c r="A89" s="2912" t="s">
        <v>2459</v>
      </c>
      <c r="B89" s="716"/>
      <c r="C89" s="716"/>
      <c r="D89" s="2117"/>
      <c r="E89" s="729"/>
      <c r="F89" s="3036"/>
      <c r="G89" s="3037"/>
      <c r="H89" s="3038" t="s">
        <v>2476</v>
      </c>
      <c r="I89" s="3039">
        <f>SUM(I48:I85)/SUM(F48:F85)</f>
        <v>0.12470044815200373</v>
      </c>
      <c r="J89" s="729"/>
      <c r="K89" s="2553"/>
      <c r="L89" s="716"/>
      <c r="M89" s="716"/>
    </row>
    <row r="90" spans="1:13" ht="16.2">
      <c r="A90" s="716"/>
      <c r="B90" s="716"/>
      <c r="C90" s="716"/>
      <c r="D90" s="2116"/>
      <c r="E90" s="729"/>
      <c r="F90" s="2116"/>
      <c r="G90" s="2117"/>
      <c r="H90" s="2116"/>
      <c r="I90" s="2554"/>
      <c r="J90" s="2554"/>
      <c r="K90" s="2554"/>
      <c r="L90" s="710"/>
      <c r="M90" s="716"/>
    </row>
    <row r="91" spans="1:13" ht="27.6">
      <c r="A91" s="2913" t="s">
        <v>2260</v>
      </c>
      <c r="B91" s="2914" t="s">
        <v>2261</v>
      </c>
      <c r="C91" s="2915" t="s">
        <v>2262</v>
      </c>
      <c r="D91" s="2129"/>
      <c r="E91" s="2118"/>
      <c r="F91" s="2116"/>
      <c r="G91" s="2129"/>
      <c r="H91" s="2116"/>
      <c r="I91" s="2554"/>
      <c r="J91" s="2554"/>
      <c r="K91" s="2554"/>
      <c r="L91" s="1679"/>
      <c r="M91" s="1679"/>
    </row>
    <row r="92" spans="1:13" ht="16.2">
      <c r="A92" s="2558"/>
      <c r="B92" s="2559"/>
      <c r="C92" s="2916"/>
      <c r="D92" s="729"/>
      <c r="E92" s="729"/>
      <c r="F92" s="729"/>
      <c r="G92" s="729"/>
      <c r="H92" s="729"/>
      <c r="I92" s="729"/>
      <c r="J92" s="729"/>
      <c r="K92" s="916"/>
      <c r="L92" s="1679"/>
      <c r="M92" s="1679"/>
    </row>
    <row r="93" spans="1:13" ht="16.2">
      <c r="A93" s="2917" t="s">
        <v>2263</v>
      </c>
      <c r="B93" s="2918" t="s">
        <v>2222</v>
      </c>
      <c r="C93" s="2919">
        <f>$E139</f>
        <v>43.18423117857143</v>
      </c>
      <c r="D93" s="2117"/>
      <c r="E93" s="2564"/>
      <c r="F93" s="2564"/>
      <c r="G93" s="2564"/>
      <c r="H93" s="2118"/>
      <c r="I93" s="2118"/>
      <c r="J93" s="2118"/>
      <c r="K93" s="2553"/>
      <c r="L93" s="1679"/>
      <c r="M93" s="1679"/>
    </row>
    <row r="94" spans="1:13" ht="16.2">
      <c r="A94" s="2917" t="s">
        <v>2264</v>
      </c>
      <c r="B94" s="2918" t="s">
        <v>2223</v>
      </c>
      <c r="C94" s="2920">
        <f>J139</f>
        <v>38.309988067521367</v>
      </c>
      <c r="D94" s="2568"/>
      <c r="E94" s="2568"/>
      <c r="F94" s="729"/>
      <c r="G94" s="729"/>
      <c r="H94" s="729"/>
      <c r="I94" s="2118"/>
      <c r="J94" s="2118"/>
      <c r="K94" s="2553"/>
      <c r="L94" s="1679"/>
      <c r="M94" s="1679"/>
    </row>
    <row r="95" spans="1:13" ht="16.2">
      <c r="A95" s="2917" t="s">
        <v>2265</v>
      </c>
      <c r="B95" s="2918" t="s">
        <v>2224</v>
      </c>
      <c r="C95" s="2920">
        <f>E148</f>
        <v>39.517204671794879</v>
      </c>
      <c r="D95" s="2568"/>
      <c r="E95" s="2568"/>
      <c r="F95" s="2568"/>
      <c r="G95" s="2570"/>
      <c r="H95" s="2570"/>
      <c r="I95" s="2118"/>
      <c r="J95" s="2118"/>
      <c r="K95" s="2553"/>
      <c r="L95" s="1679"/>
      <c r="M95" s="1679"/>
    </row>
    <row r="96" spans="1:13" ht="16.2">
      <c r="A96" s="2917" t="s">
        <v>2266</v>
      </c>
      <c r="B96" s="2918" t="s">
        <v>2225</v>
      </c>
      <c r="C96" s="2920">
        <f>J148</f>
        <v>39.154889795571101</v>
      </c>
      <c r="D96" s="2568"/>
      <c r="E96" s="2568"/>
      <c r="F96" s="2568"/>
      <c r="G96" s="2570"/>
      <c r="H96" s="2570"/>
      <c r="I96" s="2118"/>
      <c r="J96" s="2118"/>
      <c r="K96" s="2553"/>
      <c r="L96" s="1679"/>
      <c r="M96" s="1679"/>
    </row>
    <row r="97" spans="1:13" ht="16.2">
      <c r="A97" s="2917"/>
      <c r="B97" s="2918"/>
      <c r="C97" s="2920"/>
      <c r="D97" s="2568"/>
      <c r="E97" s="2568"/>
      <c r="F97" s="2568"/>
      <c r="G97" s="2570"/>
      <c r="H97" s="2570"/>
      <c r="I97" s="2118"/>
      <c r="J97" s="2118"/>
      <c r="K97" s="2553"/>
      <c r="L97" s="1679"/>
      <c r="M97" s="1679"/>
    </row>
    <row r="98" spans="1:13" ht="16.2">
      <c r="A98" s="2917" t="s">
        <v>2056</v>
      </c>
      <c r="B98" s="2918" t="s">
        <v>2226</v>
      </c>
      <c r="C98" s="2920">
        <f>E163</f>
        <v>38.50813141105413</v>
      </c>
      <c r="D98" s="2568"/>
      <c r="E98" s="2568"/>
      <c r="F98" s="2568"/>
      <c r="G98" s="2570"/>
      <c r="H98" s="2570"/>
      <c r="I98" s="2118"/>
      <c r="J98" s="2118"/>
      <c r="K98" s="2553"/>
      <c r="L98" s="1679"/>
      <c r="M98" s="1679"/>
    </row>
    <row r="99" spans="1:13" ht="16.2">
      <c r="A99" s="2917"/>
      <c r="B99" s="2918"/>
      <c r="C99" s="2920"/>
      <c r="D99" s="2568"/>
      <c r="E99" s="2568"/>
      <c r="F99" s="2568"/>
      <c r="G99" s="2570"/>
      <c r="H99" s="2570"/>
      <c r="I99" s="2118"/>
      <c r="J99" s="2118"/>
      <c r="K99" s="2553"/>
      <c r="L99" s="1679"/>
      <c r="M99" s="1679"/>
    </row>
    <row r="100" spans="1:13" ht="16.2">
      <c r="A100" s="2917" t="s">
        <v>1912</v>
      </c>
      <c r="B100" s="2918" t="s">
        <v>2227</v>
      </c>
      <c r="C100" s="2920">
        <f>J157</f>
        <v>57.820982666220743</v>
      </c>
      <c r="D100" s="2568"/>
      <c r="E100" s="2568"/>
      <c r="F100" s="2568"/>
      <c r="G100" s="2570"/>
      <c r="H100" s="2570"/>
      <c r="I100" s="2118"/>
      <c r="J100" s="2118"/>
      <c r="K100" s="2553"/>
      <c r="L100" s="1679"/>
      <c r="M100" s="1679"/>
    </row>
    <row r="101" spans="1:13" ht="16.2">
      <c r="A101" s="2917" t="s">
        <v>2267</v>
      </c>
      <c r="B101" s="2918" t="s">
        <v>2268</v>
      </c>
      <c r="C101" s="2920">
        <f>E172</f>
        <v>57.666138770833342</v>
      </c>
      <c r="D101" s="2568"/>
      <c r="E101" s="2568"/>
      <c r="F101" s="2568"/>
      <c r="G101" s="2570"/>
      <c r="H101" s="2570"/>
      <c r="I101" s="2118"/>
      <c r="J101" s="2118"/>
      <c r="K101" s="2553"/>
      <c r="L101" s="1679"/>
      <c r="M101" s="1679"/>
    </row>
    <row r="102" spans="1:13" ht="16.2">
      <c r="A102" s="2917" t="s">
        <v>552</v>
      </c>
      <c r="B102" s="2918" t="s">
        <v>2229</v>
      </c>
      <c r="C102" s="2920">
        <f>J172</f>
        <v>54.818641243223446</v>
      </c>
      <c r="D102" s="2568"/>
      <c r="E102" s="2568"/>
      <c r="F102" s="2564"/>
      <c r="G102" s="2564"/>
      <c r="H102" s="2118"/>
      <c r="I102" s="2118"/>
      <c r="J102" s="2118"/>
      <c r="K102" s="2553"/>
      <c r="L102" s="1679"/>
      <c r="M102" s="1679"/>
    </row>
    <row r="103" spans="1:13" ht="16.2">
      <c r="A103" s="2917"/>
      <c r="B103" s="2918"/>
      <c r="C103" s="2920"/>
      <c r="D103" s="2568"/>
      <c r="E103" s="2568"/>
      <c r="F103" s="2564"/>
      <c r="G103" s="2564"/>
      <c r="H103" s="2118"/>
      <c r="I103" s="2118"/>
      <c r="J103" s="2118"/>
      <c r="K103" s="2553"/>
      <c r="L103" s="1679"/>
      <c r="M103" s="1679"/>
    </row>
    <row r="104" spans="1:13" ht="16.2">
      <c r="A104" s="2917" t="s">
        <v>553</v>
      </c>
      <c r="B104" s="2918" t="s">
        <v>2230</v>
      </c>
      <c r="C104" s="2920">
        <f>E181</f>
        <v>36.41538245238096</v>
      </c>
      <c r="D104" s="2568"/>
      <c r="E104" s="2568"/>
      <c r="F104" s="2564"/>
      <c r="G104" s="2564"/>
      <c r="H104" s="2118"/>
      <c r="I104" s="2118"/>
      <c r="J104" s="2118"/>
      <c r="K104" s="2553"/>
      <c r="L104" s="1679"/>
      <c r="M104" s="1679"/>
    </row>
    <row r="105" spans="1:13" ht="16.2">
      <c r="A105" s="2917" t="s">
        <v>2210</v>
      </c>
      <c r="B105" s="2918" t="s">
        <v>2231</v>
      </c>
      <c r="C105" s="2920">
        <f>J181</f>
        <v>41.332198924886882</v>
      </c>
      <c r="D105" s="2568"/>
      <c r="E105" s="2568"/>
      <c r="F105" s="2564"/>
      <c r="G105" s="2564"/>
      <c r="H105" s="2118"/>
      <c r="I105" s="2118"/>
      <c r="J105" s="2118"/>
      <c r="K105" s="2553"/>
      <c r="L105" s="1679"/>
      <c r="M105" s="1679"/>
    </row>
    <row r="106" spans="1:13" ht="16.2">
      <c r="A106" s="2917" t="s">
        <v>2269</v>
      </c>
      <c r="B106" s="2918" t="s">
        <v>2232</v>
      </c>
      <c r="C106" s="2920">
        <f>E190</f>
        <v>40.715547829166667</v>
      </c>
      <c r="D106" s="2117"/>
      <c r="E106" s="2564"/>
      <c r="F106" s="2564"/>
      <c r="G106" s="2564"/>
      <c r="H106" s="2118"/>
      <c r="I106" s="2118"/>
      <c r="J106" s="2118"/>
      <c r="K106" s="2553"/>
      <c r="L106" s="1679"/>
      <c r="M106" s="1679"/>
    </row>
    <row r="107" spans="1:13" ht="16.2">
      <c r="A107" s="2917" t="s">
        <v>2212</v>
      </c>
      <c r="B107" s="2918" t="s">
        <v>2271</v>
      </c>
      <c r="C107" s="2920">
        <f>J190</f>
        <v>41.430059542857144</v>
      </c>
      <c r="D107" s="1909"/>
      <c r="E107" s="1909"/>
      <c r="F107" s="1909"/>
      <c r="G107" s="2564"/>
      <c r="H107" s="2118"/>
      <c r="I107" s="2118"/>
      <c r="J107" s="2118"/>
      <c r="K107" s="2553"/>
      <c r="L107" s="1679"/>
      <c r="M107" s="1679"/>
    </row>
    <row r="108" spans="1:13" ht="16.2">
      <c r="A108" s="2921"/>
      <c r="B108" s="2922"/>
      <c r="C108" s="2923"/>
      <c r="D108" s="1909"/>
      <c r="E108" s="1909"/>
      <c r="F108" s="1909"/>
      <c r="G108" s="2564"/>
      <c r="H108" s="2118"/>
      <c r="I108" s="2118"/>
      <c r="J108" s="2118"/>
      <c r="K108" s="2553"/>
      <c r="L108" s="1679"/>
      <c r="M108" s="1679"/>
    </row>
    <row r="109" spans="1:13" ht="16.2">
      <c r="A109" s="2917" t="s">
        <v>828</v>
      </c>
      <c r="B109" s="2918" t="s">
        <v>2234</v>
      </c>
      <c r="C109" s="2920">
        <f>E206</f>
        <v>66.55834868330605</v>
      </c>
      <c r="D109" s="1909"/>
      <c r="E109" s="1909"/>
      <c r="F109" s="1909"/>
      <c r="G109" s="2564"/>
      <c r="H109" s="2118"/>
      <c r="I109" s="2118"/>
      <c r="J109" s="2118"/>
      <c r="K109" s="2553"/>
      <c r="L109" s="1679"/>
      <c r="M109" s="1679"/>
    </row>
    <row r="110" spans="1:13" ht="16.2">
      <c r="A110" s="2917" t="s">
        <v>2213</v>
      </c>
      <c r="B110" s="2918" t="s">
        <v>2235</v>
      </c>
      <c r="C110" s="2920">
        <f>J206</f>
        <v>63.768426762594267</v>
      </c>
      <c r="D110" s="1909"/>
      <c r="E110" s="1909"/>
      <c r="F110" s="1909"/>
      <c r="G110" s="2564"/>
      <c r="H110" s="2118"/>
      <c r="I110" s="2118"/>
      <c r="J110" s="2118"/>
      <c r="K110" s="2553"/>
      <c r="L110" s="1679"/>
      <c r="M110" s="1679"/>
    </row>
    <row r="111" spans="1:13" ht="16.2">
      <c r="A111" s="2917" t="s">
        <v>560</v>
      </c>
      <c r="B111" s="2918" t="s">
        <v>2236</v>
      </c>
      <c r="C111" s="2920">
        <f>E215</f>
        <v>58.219033936363637</v>
      </c>
      <c r="D111" s="1909"/>
      <c r="E111" s="1909"/>
      <c r="F111" s="1909"/>
      <c r="G111" s="2564"/>
      <c r="H111" s="2118"/>
      <c r="I111" s="2118"/>
      <c r="J111" s="2118"/>
      <c r="K111" s="2553"/>
      <c r="L111" s="1679"/>
      <c r="M111" s="1679"/>
    </row>
    <row r="112" spans="1:13" ht="16.2">
      <c r="A112" s="2917" t="s">
        <v>2214</v>
      </c>
      <c r="B112" s="2918" t="s">
        <v>2237</v>
      </c>
      <c r="C112" s="2920">
        <f>J215</f>
        <v>58.88027116666666</v>
      </c>
      <c r="D112" s="1909"/>
      <c r="E112" s="1909"/>
      <c r="F112" s="1909"/>
      <c r="G112" s="2564"/>
      <c r="H112" s="2118"/>
      <c r="I112" s="2118"/>
      <c r="J112" s="2118"/>
      <c r="K112" s="2553"/>
      <c r="L112" s="1679"/>
      <c r="M112" s="1679"/>
    </row>
    <row r="113" spans="1:13" ht="16.2">
      <c r="A113" s="2921"/>
      <c r="B113" s="2922"/>
      <c r="C113" s="2923"/>
      <c r="D113" s="1909"/>
      <c r="E113" s="1909"/>
      <c r="F113" s="1909"/>
      <c r="G113" s="2564"/>
      <c r="H113" s="2118"/>
      <c r="I113" s="2118"/>
      <c r="J113" s="2118"/>
      <c r="K113" s="2553"/>
      <c r="L113" s="1679"/>
      <c r="M113" s="1679"/>
    </row>
    <row r="114" spans="1:13" ht="16.2">
      <c r="A114" s="2917" t="s">
        <v>1748</v>
      </c>
      <c r="B114" s="2918" t="s">
        <v>2238</v>
      </c>
      <c r="C114" s="2920">
        <f>E229</f>
        <v>53.794780519110454</v>
      </c>
      <c r="D114" s="1909"/>
      <c r="E114" s="1909"/>
      <c r="F114" s="1909"/>
      <c r="G114" s="2564"/>
      <c r="H114" s="2118"/>
      <c r="I114" s="2118"/>
      <c r="J114" s="2118"/>
      <c r="K114" s="2553"/>
      <c r="L114" s="1679"/>
      <c r="M114" s="1679"/>
    </row>
    <row r="115" spans="1:13" ht="16.2">
      <c r="A115" s="2921"/>
      <c r="B115" s="2922"/>
      <c r="C115" s="2923"/>
      <c r="D115" s="1909"/>
      <c r="E115" s="1909"/>
      <c r="F115" s="1909"/>
      <c r="G115" s="2564"/>
      <c r="H115" s="2118"/>
      <c r="I115" s="2118"/>
      <c r="J115" s="2118"/>
      <c r="K115" s="2553"/>
      <c r="L115" s="1679"/>
      <c r="M115" s="1679"/>
    </row>
    <row r="116" spans="1:13" ht="16.2">
      <c r="A116" s="2917" t="s">
        <v>1749</v>
      </c>
      <c r="B116" s="2918" t="s">
        <v>2239</v>
      </c>
      <c r="C116" s="2920">
        <f>J224</f>
        <v>44.621600509523809</v>
      </c>
      <c r="D116" s="1909"/>
      <c r="E116" s="1909"/>
      <c r="F116" s="1909"/>
      <c r="G116" s="2564"/>
      <c r="H116" s="2118"/>
      <c r="I116" s="2118"/>
      <c r="J116" s="2118"/>
      <c r="K116" s="2553"/>
      <c r="L116" s="1679"/>
      <c r="M116" s="1679"/>
    </row>
    <row r="117" spans="1:13" ht="16.2">
      <c r="A117" s="2921"/>
      <c r="B117" s="2922"/>
      <c r="C117" s="2923"/>
      <c r="D117" s="1909"/>
      <c r="E117" s="1909"/>
      <c r="F117" s="1909"/>
      <c r="G117" s="2564"/>
      <c r="H117" s="2118"/>
      <c r="I117" s="2118"/>
      <c r="J117" s="2118"/>
      <c r="K117" s="2553"/>
      <c r="L117" s="1679"/>
      <c r="M117" s="1679"/>
    </row>
    <row r="118" spans="1:13" ht="16.2">
      <c r="A118" s="2917" t="s">
        <v>2283</v>
      </c>
      <c r="B118" s="2918" t="s">
        <v>2240</v>
      </c>
      <c r="C118" s="2920">
        <f>E238</f>
        <v>48.810758004242423</v>
      </c>
      <c r="D118" s="1909"/>
      <c r="E118" s="1909"/>
      <c r="F118" s="1909"/>
      <c r="G118" s="2564"/>
      <c r="H118" s="2118"/>
      <c r="I118" s="2118"/>
      <c r="J118" s="2118"/>
      <c r="K118" s="2553"/>
      <c r="L118" s="1679"/>
      <c r="M118" s="1679"/>
    </row>
    <row r="119" spans="1:13" ht="16.2">
      <c r="A119" s="2917" t="s">
        <v>2217</v>
      </c>
      <c r="B119" s="2918" t="s">
        <v>2241</v>
      </c>
      <c r="C119" s="2920">
        <f>J238</f>
        <v>49.977874366666676</v>
      </c>
      <c r="D119" s="1909"/>
      <c r="E119" s="1909"/>
      <c r="F119" s="1909"/>
      <c r="G119" s="2564"/>
      <c r="H119" s="2118"/>
      <c r="I119" s="2118"/>
      <c r="J119" s="2118"/>
      <c r="K119" s="2553"/>
      <c r="L119" s="1679"/>
      <c r="M119" s="1679"/>
    </row>
    <row r="120" spans="1:13" ht="16.2">
      <c r="A120" s="2921"/>
      <c r="B120" s="2922"/>
      <c r="C120" s="2923"/>
      <c r="D120" s="1909"/>
      <c r="E120" s="1909"/>
      <c r="F120" s="1909"/>
      <c r="G120" s="2564"/>
      <c r="H120" s="2118"/>
      <c r="I120" s="2118"/>
      <c r="J120" s="2118"/>
      <c r="K120" s="2553"/>
      <c r="L120" s="1679"/>
      <c r="M120" s="1679"/>
    </row>
    <row r="121" spans="1:13" ht="16.2">
      <c r="A121" s="2917" t="s">
        <v>2218</v>
      </c>
      <c r="B121" s="2918" t="s">
        <v>2242</v>
      </c>
      <c r="C121" s="2920">
        <f>E247</f>
        <v>38.694434289976691</v>
      </c>
      <c r="D121" s="1909"/>
      <c r="E121" s="1909"/>
      <c r="F121" s="1909"/>
      <c r="G121" s="2564"/>
      <c r="H121" s="2118"/>
      <c r="I121" s="2118"/>
      <c r="J121" s="2118"/>
      <c r="K121" s="2553"/>
      <c r="L121" s="1679"/>
      <c r="M121" s="1679"/>
    </row>
    <row r="122" spans="1:13" ht="16.2">
      <c r="A122" s="2924" t="s">
        <v>2460</v>
      </c>
      <c r="B122" s="2922"/>
      <c r="C122" s="2923"/>
      <c r="D122" s="1909"/>
      <c r="E122" s="1909"/>
      <c r="F122" s="1909"/>
      <c r="G122" s="2564"/>
      <c r="H122" s="2118"/>
      <c r="I122" s="2118"/>
      <c r="J122" s="2118"/>
      <c r="K122" s="2553"/>
      <c r="L122" s="1679"/>
      <c r="M122" s="1679"/>
    </row>
    <row r="123" spans="1:13" ht="16.2">
      <c r="A123" s="2925" t="s">
        <v>835</v>
      </c>
      <c r="B123" s="2926" t="s">
        <v>2243</v>
      </c>
      <c r="C123" s="2927">
        <f>J247</f>
        <v>33.738425833333331</v>
      </c>
      <c r="D123" s="1909"/>
      <c r="E123" s="1909"/>
      <c r="F123" s="1909"/>
      <c r="G123" s="2564"/>
      <c r="H123" s="2118"/>
      <c r="I123" s="2118"/>
      <c r="J123" s="2118"/>
      <c r="K123" s="2553"/>
      <c r="L123" s="1679"/>
      <c r="M123" s="1679"/>
    </row>
    <row r="124" spans="1:13" ht="16.2">
      <c r="A124" s="2921"/>
      <c r="B124" s="2928"/>
      <c r="C124" s="2929"/>
      <c r="D124" s="1909"/>
      <c r="E124" s="1909"/>
      <c r="F124" s="1909"/>
      <c r="G124" s="729"/>
      <c r="H124" s="729"/>
      <c r="I124" s="729"/>
      <c r="J124" s="729"/>
      <c r="K124" s="2553"/>
      <c r="L124" s="1679"/>
      <c r="M124" s="1679"/>
    </row>
    <row r="125" spans="1:13" ht="16.2">
      <c r="A125" s="2921" t="s">
        <v>2219</v>
      </c>
      <c r="B125" s="2930" t="s">
        <v>2244</v>
      </c>
      <c r="C125" s="2920">
        <f>E256</f>
        <v>34.269017814102568</v>
      </c>
      <c r="D125" s="716"/>
      <c r="E125" s="716"/>
      <c r="F125" s="2931"/>
      <c r="G125" s="716"/>
      <c r="H125" s="716"/>
      <c r="I125" s="716"/>
      <c r="J125" s="716"/>
      <c r="K125" s="2578"/>
      <c r="L125" s="1679"/>
      <c r="M125" s="1679"/>
    </row>
    <row r="126" spans="1:13" ht="16.2">
      <c r="A126" s="2932"/>
      <c r="B126" s="2933"/>
      <c r="C126" s="2934"/>
      <c r="D126" s="729"/>
      <c r="E126" s="729"/>
      <c r="F126" s="729"/>
      <c r="G126" s="729"/>
      <c r="H126" s="729"/>
      <c r="I126" s="729"/>
      <c r="J126" s="729"/>
      <c r="K126" s="916"/>
      <c r="L126" s="1679"/>
      <c r="M126" s="1679"/>
    </row>
    <row r="127" spans="1:13" ht="16.2">
      <c r="A127" s="2935"/>
      <c r="B127" s="2936"/>
      <c r="C127" s="2937"/>
      <c r="D127" s="729"/>
      <c r="E127" s="729"/>
      <c r="F127" s="729"/>
      <c r="G127" s="729"/>
      <c r="H127" s="729"/>
      <c r="I127" s="729"/>
      <c r="J127" s="729"/>
      <c r="K127" s="916"/>
      <c r="L127" s="1679"/>
      <c r="M127" s="1679"/>
    </row>
    <row r="128" spans="1:13" ht="16.2">
      <c r="A128" s="2932" t="s">
        <v>2293</v>
      </c>
      <c r="B128" s="2938">
        <f>COUNTIF(C93:C125,"&gt;0")</f>
        <v>23</v>
      </c>
      <c r="C128" s="2939">
        <f>SUM(C93:C126)/B128</f>
        <v>46.965494279998637</v>
      </c>
      <c r="D128" s="2978">
        <v>43.252973523387666</v>
      </c>
      <c r="E128" s="729"/>
      <c r="F128" s="729"/>
      <c r="G128" s="729"/>
      <c r="H128" s="729"/>
      <c r="I128" s="729"/>
      <c r="J128" s="729"/>
      <c r="K128" s="916"/>
      <c r="L128" s="1679"/>
      <c r="M128" s="1679"/>
    </row>
    <row r="129" spans="1:13" ht="16.2">
      <c r="A129" s="729"/>
      <c r="B129" s="729"/>
      <c r="C129" s="2590"/>
      <c r="D129" s="729"/>
      <c r="E129" s="729"/>
      <c r="F129" s="729"/>
      <c r="G129" s="729"/>
      <c r="H129" s="729"/>
      <c r="I129" s="729"/>
      <c r="J129" s="729"/>
      <c r="K129" s="916"/>
      <c r="L129" s="729"/>
      <c r="M129" s="729"/>
    </row>
    <row r="130" spans="1:13" ht="18">
      <c r="A130" s="729"/>
      <c r="B130" s="729"/>
      <c r="C130" s="2590"/>
      <c r="D130" s="729"/>
      <c r="E130" s="2981" t="s">
        <v>900</v>
      </c>
      <c r="F130" s="729"/>
      <c r="G130" s="729"/>
      <c r="H130" s="729"/>
      <c r="I130" s="729"/>
      <c r="J130" s="729"/>
      <c r="K130" s="916"/>
      <c r="L130" s="729"/>
      <c r="M130" s="729"/>
    </row>
    <row r="131" spans="1:13" ht="16.8" thickBot="1">
      <c r="A131" s="1909"/>
      <c r="B131" s="1909"/>
      <c r="C131" s="1909"/>
      <c r="D131" s="1909"/>
      <c r="E131" s="1909"/>
      <c r="F131" s="1909"/>
      <c r="G131" s="729"/>
      <c r="H131" s="729"/>
      <c r="I131" s="729"/>
      <c r="J131" s="729"/>
      <c r="K131" s="916"/>
      <c r="L131" s="729"/>
      <c r="M131" s="729"/>
    </row>
    <row r="132" spans="1:13" ht="16.2">
      <c r="A132" s="1909"/>
      <c r="B132" s="2940" t="s">
        <v>2263</v>
      </c>
      <c r="C132" s="2982"/>
      <c r="D132" s="2982"/>
      <c r="E132" s="2941" t="s">
        <v>2222</v>
      </c>
      <c r="F132" s="1909"/>
      <c r="G132" s="2940" t="s">
        <v>2264</v>
      </c>
      <c r="H132" s="2982"/>
      <c r="I132" s="2982"/>
      <c r="J132" s="2941" t="s">
        <v>2223</v>
      </c>
      <c r="K132" s="1909"/>
      <c r="L132" s="916"/>
      <c r="M132" s="729"/>
    </row>
    <row r="133" spans="1:13" ht="16.2">
      <c r="A133" s="1909"/>
      <c r="B133" s="2942" t="s">
        <v>700</v>
      </c>
      <c r="C133" s="2983"/>
      <c r="D133" s="2943">
        <v>1</v>
      </c>
      <c r="E133" s="2944">
        <f>$J68*D133</f>
        <v>35.713965833333333</v>
      </c>
      <c r="F133" s="2984"/>
      <c r="G133" s="2942" t="s">
        <v>700</v>
      </c>
      <c r="H133" s="2983"/>
      <c r="I133" s="2945">
        <v>1</v>
      </c>
      <c r="J133" s="2944">
        <f>$J68*I133</f>
        <v>35.713965833333333</v>
      </c>
      <c r="K133" s="1909"/>
      <c r="L133" s="916"/>
      <c r="M133" s="729"/>
    </row>
    <row r="134" spans="1:13" ht="15.6">
      <c r="A134" s="1909"/>
      <c r="B134" s="2946" t="s">
        <v>2060</v>
      </c>
      <c r="C134" s="2985"/>
      <c r="D134" s="2947">
        <v>2</v>
      </c>
      <c r="E134" s="2948">
        <f>$J69*D134</f>
        <v>63.82421233333335</v>
      </c>
      <c r="F134" s="2984"/>
      <c r="G134" s="2946" t="s">
        <v>2060</v>
      </c>
      <c r="H134" s="2985"/>
      <c r="I134" s="2949">
        <v>4</v>
      </c>
      <c r="J134" s="2948">
        <f>$J69*I134</f>
        <v>127.6484246666667</v>
      </c>
      <c r="K134" s="1909"/>
      <c r="L134" s="2594"/>
      <c r="M134" s="2594"/>
    </row>
    <row r="135" spans="1:13" ht="15.6">
      <c r="A135" s="1909"/>
      <c r="B135" s="2946" t="s">
        <v>2254</v>
      </c>
      <c r="C135" s="2985"/>
      <c r="D135" s="2947">
        <v>8</v>
      </c>
      <c r="E135" s="2948">
        <f>$J74*D135</f>
        <v>375.72431743589743</v>
      </c>
      <c r="F135" s="2984"/>
      <c r="G135" s="2946" t="s">
        <v>2254</v>
      </c>
      <c r="H135" s="2985"/>
      <c r="I135" s="2949">
        <v>3</v>
      </c>
      <c r="J135" s="2948">
        <f>$J74*I135</f>
        <v>140.89661903846155</v>
      </c>
      <c r="K135" s="1909"/>
      <c r="L135" s="1679"/>
      <c r="M135" s="1679"/>
    </row>
    <row r="136" spans="1:13" ht="15.6">
      <c r="A136" s="1909"/>
      <c r="B136" s="2946" t="s">
        <v>2061</v>
      </c>
      <c r="C136" s="2985"/>
      <c r="D136" s="2947">
        <v>0</v>
      </c>
      <c r="E136" s="2948">
        <f>$J75*D136</f>
        <v>0</v>
      </c>
      <c r="F136" s="2984"/>
      <c r="G136" s="2946" t="s">
        <v>2061</v>
      </c>
      <c r="H136" s="2985"/>
      <c r="I136" s="2949"/>
      <c r="J136" s="2948">
        <f>$J75*I136</f>
        <v>0</v>
      </c>
      <c r="K136" s="1909"/>
      <c r="L136" s="1679"/>
      <c r="M136" s="1679"/>
    </row>
    <row r="137" spans="1:13" ht="15.6">
      <c r="A137" s="1909"/>
      <c r="B137" s="2946" t="s">
        <v>2461</v>
      </c>
      <c r="C137" s="2985"/>
      <c r="D137" s="2947">
        <v>2</v>
      </c>
      <c r="E137" s="2948">
        <f>$J76*D137</f>
        <v>81.061766138461536</v>
      </c>
      <c r="F137" s="2984"/>
      <c r="G137" s="2946" t="s">
        <v>2461</v>
      </c>
      <c r="H137" s="2985"/>
      <c r="I137" s="2949">
        <v>1</v>
      </c>
      <c r="J137" s="2948">
        <f>$J76*I137</f>
        <v>40.530883069230768</v>
      </c>
      <c r="K137" s="1909"/>
      <c r="L137" s="1679"/>
      <c r="M137" s="1679"/>
    </row>
    <row r="138" spans="1:13" ht="15.6">
      <c r="A138" s="1909"/>
      <c r="B138" s="2950" t="s">
        <v>2256</v>
      </c>
      <c r="C138" s="2986"/>
      <c r="D138" s="2951">
        <v>1</v>
      </c>
      <c r="E138" s="2952">
        <f>$J77*D138</f>
        <v>48.254974758974356</v>
      </c>
      <c r="F138" s="2984"/>
      <c r="G138" s="2950" t="s">
        <v>2256</v>
      </c>
      <c r="H138" s="2986"/>
      <c r="I138" s="2951"/>
      <c r="J138" s="2952">
        <f>$J77*I138</f>
        <v>0</v>
      </c>
      <c r="K138" s="1909"/>
      <c r="L138" s="1679"/>
      <c r="M138" s="1679"/>
    </row>
    <row r="139" spans="1:13" ht="16.2" thickBot="1">
      <c r="A139" s="1909"/>
      <c r="B139" s="2953" t="s">
        <v>1372</v>
      </c>
      <c r="C139" s="2987"/>
      <c r="D139" s="2954">
        <f>SUM(D133:D138)</f>
        <v>14</v>
      </c>
      <c r="E139" s="2955">
        <f>IF(D139=0,0,SUM(E133:E138)/D139)</f>
        <v>43.18423117857143</v>
      </c>
      <c r="F139" s="2984"/>
      <c r="G139" s="2953" t="s">
        <v>1372</v>
      </c>
      <c r="H139" s="2987"/>
      <c r="I139" s="2954">
        <f>SUM(I133:I138)</f>
        <v>9</v>
      </c>
      <c r="J139" s="2955">
        <f>IF(I139=0,0,SUM(J133:J138)/I139)</f>
        <v>38.309988067521367</v>
      </c>
      <c r="K139" s="1909"/>
      <c r="L139" s="2956">
        <f>D139+I139</f>
        <v>23</v>
      </c>
      <c r="M139" s="1679"/>
    </row>
    <row r="140" spans="1:13" ht="15.6" thickBot="1">
      <c r="A140" s="1909"/>
      <c r="B140" s="1909"/>
      <c r="C140" s="1909"/>
      <c r="D140" s="1909"/>
      <c r="E140" s="1909"/>
      <c r="F140" s="1909"/>
      <c r="G140" s="1909"/>
      <c r="H140" s="1909"/>
      <c r="I140" s="1909"/>
      <c r="J140" s="1909"/>
      <c r="K140" s="1909"/>
      <c r="L140" s="1679"/>
      <c r="M140" s="1679"/>
    </row>
    <row r="141" spans="1:13" ht="15.6">
      <c r="A141" s="1909"/>
      <c r="B141" s="2940" t="s">
        <v>2265</v>
      </c>
      <c r="C141" s="2982"/>
      <c r="D141" s="2982"/>
      <c r="E141" s="2941" t="s">
        <v>2224</v>
      </c>
      <c r="F141" s="1909"/>
      <c r="G141" s="2940" t="s">
        <v>1536</v>
      </c>
      <c r="H141" s="2982"/>
      <c r="I141" s="2982"/>
      <c r="J141" s="2941" t="s">
        <v>2225</v>
      </c>
      <c r="K141" s="1909"/>
      <c r="L141" s="1679"/>
      <c r="M141" s="1679"/>
    </row>
    <row r="142" spans="1:13" ht="15.6">
      <c r="A142" s="1909"/>
      <c r="B142" s="2942" t="s">
        <v>562</v>
      </c>
      <c r="C142" s="2983"/>
      <c r="D142" s="2945">
        <v>1</v>
      </c>
      <c r="E142" s="2944">
        <f>$J56*D142</f>
        <v>46.91653846666668</v>
      </c>
      <c r="F142" s="2984"/>
      <c r="G142" s="2942" t="s">
        <v>700</v>
      </c>
      <c r="H142" s="2983"/>
      <c r="I142" s="2949">
        <v>1</v>
      </c>
      <c r="J142" s="2948">
        <f>$J68*I142</f>
        <v>35.713965833333333</v>
      </c>
      <c r="K142" s="1909"/>
      <c r="L142" s="1679"/>
      <c r="M142" s="1679"/>
    </row>
    <row r="143" spans="1:13" ht="15.6">
      <c r="A143" s="1909"/>
      <c r="B143" s="2946" t="s">
        <v>564</v>
      </c>
      <c r="C143" s="2985"/>
      <c r="D143" s="2949">
        <v>2</v>
      </c>
      <c r="E143" s="2948">
        <f>$J57*D143</f>
        <v>89.634833</v>
      </c>
      <c r="F143" s="2984"/>
      <c r="G143" s="2946" t="s">
        <v>2060</v>
      </c>
      <c r="H143" s="2985"/>
      <c r="I143" s="2949">
        <v>4</v>
      </c>
      <c r="J143" s="2948">
        <f>$J69*I143</f>
        <v>127.6484246666667</v>
      </c>
      <c r="K143" s="1909"/>
      <c r="L143" s="1679"/>
      <c r="M143" s="1679"/>
    </row>
    <row r="144" spans="1:13" ht="15.6">
      <c r="A144" s="1909"/>
      <c r="B144" s="2946" t="s">
        <v>700</v>
      </c>
      <c r="C144" s="2985"/>
      <c r="D144" s="2949">
        <v>1</v>
      </c>
      <c r="E144" s="2948">
        <f>$J68*D144</f>
        <v>35.713965833333333</v>
      </c>
      <c r="F144" s="2984"/>
      <c r="G144" s="2946" t="s">
        <v>704</v>
      </c>
      <c r="H144" s="2985"/>
      <c r="I144" s="2949">
        <v>1</v>
      </c>
      <c r="J144" s="2948">
        <f>$J73*I144</f>
        <v>48.254974758974356</v>
      </c>
      <c r="K144" s="1909"/>
      <c r="L144" s="1679"/>
      <c r="M144" s="1679"/>
    </row>
    <row r="145" spans="1:13" ht="15.6">
      <c r="A145" s="1909"/>
      <c r="B145" s="2946" t="s">
        <v>2060</v>
      </c>
      <c r="C145" s="2985"/>
      <c r="D145" s="2949">
        <v>2</v>
      </c>
      <c r="E145" s="2948">
        <f>$J69*D145</f>
        <v>63.82421233333335</v>
      </c>
      <c r="F145" s="2984"/>
      <c r="G145" s="2946" t="s">
        <v>2254</v>
      </c>
      <c r="H145" s="2985"/>
      <c r="I145" s="2949">
        <v>3</v>
      </c>
      <c r="J145" s="2948">
        <f>$J74*I145</f>
        <v>140.89661903846155</v>
      </c>
      <c r="K145" s="1909"/>
      <c r="L145" s="1679"/>
      <c r="M145" s="1679"/>
    </row>
    <row r="146" spans="1:13" ht="15.6">
      <c r="A146" s="1909"/>
      <c r="B146" s="2946" t="s">
        <v>2254</v>
      </c>
      <c r="C146" s="2985"/>
      <c r="D146" s="2947">
        <v>1</v>
      </c>
      <c r="E146" s="2948">
        <f>$J76*D146</f>
        <v>40.530883069230768</v>
      </c>
      <c r="F146" s="2984"/>
      <c r="G146" s="2946" t="s">
        <v>2461</v>
      </c>
      <c r="H146" s="2985"/>
      <c r="I146" s="2949">
        <v>1</v>
      </c>
      <c r="J146" s="2948">
        <f>$J76*I146</f>
        <v>40.530883069230768</v>
      </c>
      <c r="K146" s="1909"/>
      <c r="L146" s="1679"/>
      <c r="M146" s="1679"/>
    </row>
    <row r="147" spans="1:13" ht="15.6">
      <c r="A147" s="1909"/>
      <c r="B147" s="2950"/>
      <c r="C147" s="2986"/>
      <c r="D147" s="2951"/>
      <c r="E147" s="2952"/>
      <c r="F147" s="2984"/>
      <c r="G147" s="2950" t="s">
        <v>2259</v>
      </c>
      <c r="H147" s="2986"/>
      <c r="I147" s="2951">
        <v>1</v>
      </c>
      <c r="J147" s="2952">
        <f>$J85*I147</f>
        <v>37.658920384615392</v>
      </c>
      <c r="K147" s="1909"/>
      <c r="L147" s="1679"/>
      <c r="M147" s="1679"/>
    </row>
    <row r="148" spans="1:13" ht="16.2" thickBot="1">
      <c r="A148" s="1909"/>
      <c r="B148" s="2953" t="s">
        <v>1372</v>
      </c>
      <c r="C148" s="2987"/>
      <c r="D148" s="2954">
        <f>SUM(D142:D147)</f>
        <v>7</v>
      </c>
      <c r="E148" s="2955">
        <f>IF(D148=0,0,SUM(E142:E147)/D148)</f>
        <v>39.517204671794879</v>
      </c>
      <c r="F148" s="2984"/>
      <c r="G148" s="2953" t="s">
        <v>1372</v>
      </c>
      <c r="H148" s="2987"/>
      <c r="I148" s="2954">
        <f>SUM(I142:I147)</f>
        <v>11</v>
      </c>
      <c r="J148" s="2955">
        <f>IF(I148=0,0,SUM(J142:J147)/I148)</f>
        <v>39.154889795571101</v>
      </c>
      <c r="K148" s="1909"/>
      <c r="L148" s="2956">
        <f>D148+I148</f>
        <v>18</v>
      </c>
      <c r="M148" s="1679"/>
    </row>
    <row r="149" spans="1:13" ht="15.6" thickBot="1">
      <c r="A149" s="1909"/>
      <c r="B149" s="1909"/>
      <c r="C149" s="1909"/>
      <c r="D149" s="1909"/>
      <c r="E149" s="1909"/>
      <c r="F149" s="1909"/>
      <c r="G149" s="1909"/>
      <c r="H149" s="1909"/>
      <c r="I149" s="1909"/>
      <c r="J149" s="1909"/>
      <c r="K149" s="1909"/>
      <c r="L149" s="1679"/>
      <c r="M149" s="1679"/>
    </row>
    <row r="150" spans="1:13" ht="15.6">
      <c r="A150" s="1909"/>
      <c r="B150" s="2940" t="s">
        <v>2056</v>
      </c>
      <c r="C150" s="2982"/>
      <c r="D150" s="2982"/>
      <c r="E150" s="2941" t="s">
        <v>2226</v>
      </c>
      <c r="F150" s="1909"/>
      <c r="G150" s="2940" t="s">
        <v>1912</v>
      </c>
      <c r="H150" s="2982"/>
      <c r="I150" s="2982"/>
      <c r="J150" s="2941" t="s">
        <v>2227</v>
      </c>
      <c r="K150" s="1909"/>
      <c r="L150" s="1679"/>
      <c r="M150" s="1679"/>
    </row>
    <row r="151" spans="1:13" ht="15.6">
      <c r="A151" s="1909"/>
      <c r="B151" s="2942" t="s">
        <v>562</v>
      </c>
      <c r="C151" s="2983"/>
      <c r="D151" s="2949">
        <v>1</v>
      </c>
      <c r="E151" s="2948">
        <f>$J56*D151</f>
        <v>46.91653846666668</v>
      </c>
      <c r="F151" s="2984"/>
      <c r="G151" s="2942" t="s">
        <v>2462</v>
      </c>
      <c r="H151" s="2983"/>
      <c r="I151" s="2949">
        <v>1</v>
      </c>
      <c r="J151" s="2948">
        <f>$J63*I151</f>
        <v>65.420834333333332</v>
      </c>
      <c r="K151" s="1909"/>
      <c r="L151" s="1679"/>
      <c r="M151" s="1679"/>
    </row>
    <row r="152" spans="1:13" ht="15.6">
      <c r="A152" s="1909"/>
      <c r="B152" s="2946" t="s">
        <v>564</v>
      </c>
      <c r="C152" s="2985"/>
      <c r="D152" s="2949">
        <v>4</v>
      </c>
      <c r="E152" s="2948">
        <f>$J57*D152</f>
        <v>179.269666</v>
      </c>
      <c r="F152" s="2984"/>
      <c r="G152" s="2946" t="s">
        <v>2463</v>
      </c>
      <c r="H152" s="2985"/>
      <c r="I152" s="2949">
        <v>2</v>
      </c>
      <c r="J152" s="2948">
        <f>$J64*I152</f>
        <v>126.23056866666667</v>
      </c>
      <c r="K152" s="1909"/>
      <c r="L152" s="1679"/>
      <c r="M152" s="1679"/>
    </row>
    <row r="153" spans="1:13" ht="15.6">
      <c r="A153" s="1909"/>
      <c r="B153" s="2946" t="s">
        <v>1238</v>
      </c>
      <c r="C153" s="2985"/>
      <c r="D153" s="2949">
        <v>1</v>
      </c>
      <c r="E153" s="2948">
        <f>$J58*D153</f>
        <v>37.28293</v>
      </c>
      <c r="F153" s="2984"/>
      <c r="G153" s="2946" t="s">
        <v>2464</v>
      </c>
      <c r="H153" s="2985"/>
      <c r="I153" s="2949">
        <v>16</v>
      </c>
      <c r="J153" s="2948">
        <f>$J65*I153</f>
        <v>960.65948266666669</v>
      </c>
      <c r="K153" s="1909"/>
      <c r="L153" s="1679"/>
      <c r="M153" s="1679"/>
    </row>
    <row r="154" spans="1:13" ht="15.6">
      <c r="A154" s="1909"/>
      <c r="B154" s="2946" t="s">
        <v>2062</v>
      </c>
      <c r="C154" s="2985"/>
      <c r="D154" s="2949">
        <v>2</v>
      </c>
      <c r="E154" s="2948">
        <f>$J59*D154</f>
        <v>69.875726666666665</v>
      </c>
      <c r="F154" s="2984"/>
      <c r="G154" s="2946" t="s">
        <v>704</v>
      </c>
      <c r="H154" s="2985"/>
      <c r="I154" s="2949">
        <v>2</v>
      </c>
      <c r="J154" s="2948">
        <f>$J73*I154</f>
        <v>96.509949517948712</v>
      </c>
      <c r="K154" s="1909"/>
      <c r="L154" s="1679"/>
      <c r="M154" s="1679"/>
    </row>
    <row r="155" spans="1:13" ht="15.6">
      <c r="A155" s="1909"/>
      <c r="B155" s="2946" t="s">
        <v>700</v>
      </c>
      <c r="C155" s="2985"/>
      <c r="D155" s="2949">
        <v>1</v>
      </c>
      <c r="E155" s="2948">
        <f>$J68*D155</f>
        <v>35.713965833333333</v>
      </c>
      <c r="F155" s="2984"/>
      <c r="G155" s="2946" t="s">
        <v>2461</v>
      </c>
      <c r="H155" s="2985"/>
      <c r="I155" s="2949">
        <v>2</v>
      </c>
      <c r="J155" s="2948">
        <f>$J76*I155</f>
        <v>81.061766138461536</v>
      </c>
      <c r="K155" s="1909"/>
      <c r="L155" s="1679"/>
      <c r="M155" s="1679"/>
    </row>
    <row r="156" spans="1:13" ht="15.6">
      <c r="A156" s="1909"/>
      <c r="B156" s="2946" t="s">
        <v>2060</v>
      </c>
      <c r="C156" s="2985"/>
      <c r="D156" s="2949">
        <v>8</v>
      </c>
      <c r="E156" s="2948">
        <f>$J69*D156</f>
        <v>255.2968493333334</v>
      </c>
      <c r="F156" s="2984"/>
      <c r="G156" s="2950"/>
      <c r="H156" s="2986"/>
      <c r="I156" s="2951"/>
      <c r="J156" s="2952">
        <f>$J97*I156</f>
        <v>0</v>
      </c>
      <c r="K156" s="1909"/>
      <c r="L156" s="1679"/>
      <c r="M156" s="1679"/>
    </row>
    <row r="157" spans="1:13" ht="16.2" thickBot="1">
      <c r="A157" s="1909"/>
      <c r="B157" s="2946" t="s">
        <v>2463</v>
      </c>
      <c r="C157" s="2988"/>
      <c r="D157" s="2957">
        <v>0</v>
      </c>
      <c r="E157" s="2948">
        <f>$J66*D157</f>
        <v>0</v>
      </c>
      <c r="F157" s="2984"/>
      <c r="G157" s="2953" t="s">
        <v>1372</v>
      </c>
      <c r="H157" s="2987"/>
      <c r="I157" s="2954">
        <f>SUM(I151:I156)</f>
        <v>23</v>
      </c>
      <c r="J157" s="2955">
        <f>IF(I157=0,0,SUM(J151:J156)/I157)</f>
        <v>57.820982666220743</v>
      </c>
      <c r="K157" s="1909"/>
      <c r="L157" s="1679"/>
      <c r="M157" s="1679"/>
    </row>
    <row r="158" spans="1:13" ht="15.6">
      <c r="A158" s="1909"/>
      <c r="B158" s="2946" t="s">
        <v>2464</v>
      </c>
      <c r="C158" s="2985"/>
      <c r="D158" s="2949">
        <v>0</v>
      </c>
      <c r="E158" s="2948">
        <f>$J67*D158</f>
        <v>0</v>
      </c>
      <c r="F158" s="2984"/>
      <c r="G158" s="2958"/>
      <c r="H158" s="2988"/>
      <c r="I158" s="2959"/>
      <c r="J158" s="2960"/>
      <c r="K158" s="1909"/>
      <c r="L158" s="1679"/>
      <c r="M158" s="1679"/>
    </row>
    <row r="159" spans="1:13" ht="15.6">
      <c r="A159" s="1909"/>
      <c r="B159" s="2946" t="s">
        <v>2254</v>
      </c>
      <c r="C159" s="2985"/>
      <c r="D159" s="2949">
        <v>2</v>
      </c>
      <c r="E159" s="2948">
        <f>$J74*D159</f>
        <v>93.931079358974358</v>
      </c>
      <c r="F159" s="2984"/>
      <c r="G159" s="2958"/>
      <c r="H159" s="2988"/>
      <c r="I159" s="2959"/>
      <c r="J159" s="2960"/>
      <c r="K159" s="1909"/>
      <c r="L159" s="1679"/>
      <c r="M159" s="1679"/>
    </row>
    <row r="160" spans="1:13" ht="15.6">
      <c r="A160" s="1909"/>
      <c r="B160" s="2946" t="s">
        <v>2461</v>
      </c>
      <c r="C160" s="2985"/>
      <c r="D160" s="2949">
        <v>2</v>
      </c>
      <c r="E160" s="2948">
        <f>$J76*D160</f>
        <v>81.061766138461536</v>
      </c>
      <c r="F160" s="2984"/>
      <c r="G160" s="2984"/>
      <c r="H160" s="2984"/>
      <c r="I160" s="2984"/>
      <c r="J160" s="2984"/>
      <c r="K160" s="1909"/>
      <c r="L160" s="1679"/>
      <c r="M160" s="1679"/>
    </row>
    <row r="161" spans="1:13" ht="15.6">
      <c r="A161" s="1909"/>
      <c r="B161" s="2946" t="s">
        <v>2256</v>
      </c>
      <c r="C161" s="2985"/>
      <c r="D161" s="2949">
        <v>1</v>
      </c>
      <c r="E161" s="2948">
        <f>$J77*D161</f>
        <v>48.254974758974356</v>
      </c>
      <c r="F161" s="2984"/>
      <c r="G161" s="2984"/>
      <c r="H161" s="2984"/>
      <c r="I161" s="2984"/>
      <c r="J161" s="2984"/>
      <c r="K161" s="1909"/>
      <c r="L161" s="1679"/>
      <c r="M161" s="1679"/>
    </row>
    <row r="162" spans="1:13" ht="15.6">
      <c r="A162" s="1909"/>
      <c r="B162" s="2950" t="s">
        <v>2259</v>
      </c>
      <c r="C162" s="2986"/>
      <c r="D162" s="2949">
        <v>0.5</v>
      </c>
      <c r="E162" s="2948">
        <f>$J85*D162</f>
        <v>18.829460192307696</v>
      </c>
      <c r="F162" s="2984"/>
      <c r="G162" s="2984"/>
      <c r="H162" s="2984"/>
      <c r="I162" s="2984"/>
      <c r="J162" s="2984"/>
      <c r="K162" s="1909"/>
      <c r="L162" s="1679"/>
      <c r="M162" s="1679"/>
    </row>
    <row r="163" spans="1:13" ht="16.2" thickBot="1">
      <c r="A163" s="1909"/>
      <c r="B163" s="2953" t="s">
        <v>1372</v>
      </c>
      <c r="C163" s="2987"/>
      <c r="D163" s="2954">
        <f>SUM(D151:D162)</f>
        <v>22.5</v>
      </c>
      <c r="E163" s="2955">
        <f>IF(D163=0,0,SUM(E151:E162)/D163)</f>
        <v>38.50813141105413</v>
      </c>
      <c r="F163" s="2984"/>
      <c r="G163" s="2984"/>
      <c r="H163" s="2984"/>
      <c r="I163" s="2984"/>
      <c r="J163" s="2984"/>
      <c r="K163" s="1909"/>
      <c r="L163" s="2956">
        <f>D163+I163</f>
        <v>22.5</v>
      </c>
      <c r="M163" s="1679"/>
    </row>
    <row r="164" spans="1:13" ht="15.6" thickBot="1">
      <c r="A164" s="1909"/>
      <c r="B164" s="1909"/>
      <c r="C164" s="1909"/>
      <c r="D164" s="1909"/>
      <c r="E164" s="1909"/>
      <c r="F164" s="1909"/>
      <c r="G164" s="1909"/>
      <c r="H164" s="1909"/>
      <c r="I164" s="1909"/>
      <c r="J164" s="1909"/>
      <c r="K164" s="1909"/>
      <c r="L164" s="1679"/>
      <c r="M164" s="1679"/>
    </row>
    <row r="165" spans="1:13" ht="15.6">
      <c r="A165" s="1909"/>
      <c r="B165" s="2940" t="s">
        <v>2267</v>
      </c>
      <c r="C165" s="2982"/>
      <c r="D165" s="2982"/>
      <c r="E165" s="2941" t="s">
        <v>2268</v>
      </c>
      <c r="F165" s="1909"/>
      <c r="G165" s="2940" t="s">
        <v>552</v>
      </c>
      <c r="H165" s="2982"/>
      <c r="I165" s="2982"/>
      <c r="J165" s="2941" t="s">
        <v>2465</v>
      </c>
      <c r="K165" s="1909"/>
      <c r="L165" s="1679"/>
      <c r="M165" s="1679"/>
    </row>
    <row r="166" spans="1:13" ht="15.6">
      <c r="A166" s="1909"/>
      <c r="B166" s="2946" t="s">
        <v>2463</v>
      </c>
      <c r="C166" s="2983"/>
      <c r="D166" s="2949">
        <v>1</v>
      </c>
      <c r="E166" s="2948">
        <f>$J64*D166</f>
        <v>63.115284333333335</v>
      </c>
      <c r="F166" s="2984"/>
      <c r="G166" s="2946" t="s">
        <v>2463</v>
      </c>
      <c r="H166" s="2983"/>
      <c r="I166" s="2949">
        <v>1</v>
      </c>
      <c r="J166" s="2948">
        <f>$J64*I166</f>
        <v>63.115284333333335</v>
      </c>
      <c r="K166" s="1909"/>
      <c r="L166" s="1679"/>
      <c r="M166" s="1679"/>
    </row>
    <row r="167" spans="1:13" ht="15.6">
      <c r="A167" s="1909"/>
      <c r="B167" s="2946" t="s">
        <v>2464</v>
      </c>
      <c r="C167" s="2985"/>
      <c r="D167" s="2949">
        <v>4</v>
      </c>
      <c r="E167" s="2948">
        <f>$J65*D167</f>
        <v>240.16487066666667</v>
      </c>
      <c r="F167" s="2984"/>
      <c r="G167" s="2946" t="s">
        <v>2464</v>
      </c>
      <c r="H167" s="2985"/>
      <c r="I167" s="2949">
        <v>2</v>
      </c>
      <c r="J167" s="2948">
        <f>$J65*I167</f>
        <v>120.08243533333334</v>
      </c>
      <c r="K167" s="1909"/>
      <c r="L167" s="1679"/>
      <c r="M167" s="1679"/>
    </row>
    <row r="168" spans="1:13" ht="15.6">
      <c r="A168" s="1909"/>
      <c r="B168" s="2946" t="s">
        <v>1370</v>
      </c>
      <c r="C168" s="2985"/>
      <c r="D168" s="2949">
        <v>1</v>
      </c>
      <c r="E168" s="2948">
        <f>$J83*D168</f>
        <v>54.300362833333331</v>
      </c>
      <c r="F168" s="2984"/>
      <c r="G168" s="2946" t="s">
        <v>1370</v>
      </c>
      <c r="H168" s="2985"/>
      <c r="I168" s="2949">
        <v>1</v>
      </c>
      <c r="J168" s="2948">
        <f>$J83*I168</f>
        <v>54.300362833333331</v>
      </c>
      <c r="K168" s="1909"/>
      <c r="L168" s="1679"/>
      <c r="M168" s="1679"/>
    </row>
    <row r="169" spans="1:13" ht="15.6">
      <c r="A169" s="1909"/>
      <c r="B169" s="2946" t="s">
        <v>1371</v>
      </c>
      <c r="C169" s="2985"/>
      <c r="D169" s="2949">
        <v>2</v>
      </c>
      <c r="E169" s="2948">
        <f>$J84*D169</f>
        <v>103.74859233333333</v>
      </c>
      <c r="F169" s="2984"/>
      <c r="G169" s="2946" t="s">
        <v>1371</v>
      </c>
      <c r="H169" s="2985"/>
      <c r="I169" s="2949">
        <v>2</v>
      </c>
      <c r="J169" s="2948">
        <f>$J84*I169</f>
        <v>103.74859233333333</v>
      </c>
      <c r="K169" s="1909"/>
      <c r="L169" s="1679"/>
      <c r="M169" s="1679"/>
    </row>
    <row r="170" spans="1:13" ht="15.6">
      <c r="A170" s="1909"/>
      <c r="B170" s="2946" t="s">
        <v>2254</v>
      </c>
      <c r="C170" s="2985"/>
      <c r="D170" s="2949">
        <v>0</v>
      </c>
      <c r="E170" s="2948">
        <f>$J74*D170</f>
        <v>0</v>
      </c>
      <c r="F170" s="2984"/>
      <c r="G170" s="2946" t="s">
        <v>2254</v>
      </c>
      <c r="H170" s="2985"/>
      <c r="I170" s="2949">
        <v>1</v>
      </c>
      <c r="J170" s="2948">
        <f>$J75*I170</f>
        <v>42.483813869230772</v>
      </c>
      <c r="K170" s="1909"/>
      <c r="L170" s="1679"/>
      <c r="M170" s="1679"/>
    </row>
    <row r="171" spans="1:13" ht="15.6">
      <c r="A171" s="1909"/>
      <c r="B171" s="2961"/>
      <c r="C171" s="2986"/>
      <c r="D171" s="2951"/>
      <c r="E171" s="2952"/>
      <c r="F171" s="2984"/>
      <c r="G171" s="2961"/>
      <c r="H171" s="2986"/>
      <c r="I171" s="2951"/>
      <c r="J171" s="2952"/>
      <c r="K171" s="1909"/>
      <c r="L171" s="1679"/>
      <c r="M171" s="1679"/>
    </row>
    <row r="172" spans="1:13" ht="16.2" thickBot="1">
      <c r="A172" s="1909"/>
      <c r="B172" s="2953" t="s">
        <v>1372</v>
      </c>
      <c r="C172" s="2987"/>
      <c r="D172" s="2954">
        <f>SUM(D166:D171)</f>
        <v>8</v>
      </c>
      <c r="E172" s="2955">
        <f>IF(D172=0,0,SUM(E166:E171)/D172)</f>
        <v>57.666138770833342</v>
      </c>
      <c r="F172" s="2984"/>
      <c r="G172" s="2953" t="s">
        <v>1372</v>
      </c>
      <c r="H172" s="2987"/>
      <c r="I172" s="2954">
        <f>SUM(I166:I171)</f>
        <v>7</v>
      </c>
      <c r="J172" s="2955">
        <f>IF(I172=0,0,SUM(J166:J171)/I172)</f>
        <v>54.818641243223446</v>
      </c>
      <c r="K172" s="1909"/>
      <c r="L172" s="2956">
        <f>D172+I172</f>
        <v>15</v>
      </c>
      <c r="M172" s="1679"/>
    </row>
    <row r="173" spans="1:13" ht="15.6" thickBot="1">
      <c r="A173" s="1909"/>
      <c r="B173" s="1909"/>
      <c r="C173" s="1909"/>
      <c r="D173" s="1909"/>
      <c r="E173" s="1909"/>
      <c r="F173" s="1909"/>
      <c r="G173" s="1909"/>
      <c r="H173" s="1909"/>
      <c r="I173" s="1909"/>
      <c r="J173" s="1909"/>
      <c r="K173" s="1909"/>
      <c r="L173" s="1679"/>
      <c r="M173" s="1679"/>
    </row>
    <row r="174" spans="1:13" ht="15.6">
      <c r="A174" s="1909"/>
      <c r="B174" s="2940" t="s">
        <v>553</v>
      </c>
      <c r="C174" s="2982"/>
      <c r="D174" s="2982"/>
      <c r="E174" s="2941" t="s">
        <v>2466</v>
      </c>
      <c r="F174" s="1909"/>
      <c r="G174" s="2940" t="s">
        <v>2210</v>
      </c>
      <c r="H174" s="2982"/>
      <c r="I174" s="2982"/>
      <c r="J174" s="2941" t="s">
        <v>2231</v>
      </c>
      <c r="K174" s="1909"/>
      <c r="L174" s="1679"/>
      <c r="M174" s="1679"/>
    </row>
    <row r="175" spans="1:13" ht="15.6">
      <c r="A175" s="1909"/>
      <c r="B175" s="2942" t="s">
        <v>561</v>
      </c>
      <c r="C175" s="2983"/>
      <c r="D175" s="2947">
        <v>1</v>
      </c>
      <c r="E175" s="2948">
        <f>$J54*D175</f>
        <v>35.608978833333332</v>
      </c>
      <c r="F175" s="2984"/>
      <c r="G175" s="2942" t="s">
        <v>562</v>
      </c>
      <c r="H175" s="2983"/>
      <c r="I175" s="2949">
        <v>1</v>
      </c>
      <c r="J175" s="2948">
        <f>$J56*I175</f>
        <v>46.91653846666668</v>
      </c>
      <c r="K175" s="1909"/>
      <c r="L175" s="1679"/>
      <c r="M175" s="1679"/>
    </row>
    <row r="176" spans="1:13" ht="15.6">
      <c r="A176" s="1909"/>
      <c r="B176" s="2946" t="s">
        <v>2003</v>
      </c>
      <c r="C176" s="2985"/>
      <c r="D176" s="2947">
        <v>4</v>
      </c>
      <c r="E176" s="2948">
        <f>$J55*D176</f>
        <v>155.47448600000001</v>
      </c>
      <c r="F176" s="2984"/>
      <c r="G176" s="2946" t="s">
        <v>564</v>
      </c>
      <c r="H176" s="2985"/>
      <c r="I176" s="2949">
        <v>4</v>
      </c>
      <c r="J176" s="2948">
        <f>$J57*I176</f>
        <v>179.269666</v>
      </c>
      <c r="K176" s="1909"/>
      <c r="L176" s="1679"/>
      <c r="M176" s="1679"/>
    </row>
    <row r="177" spans="1:13" ht="15.6">
      <c r="A177" s="1909"/>
      <c r="B177" s="2946" t="s">
        <v>2060</v>
      </c>
      <c r="C177" s="2985"/>
      <c r="D177" s="2947">
        <v>2</v>
      </c>
      <c r="E177" s="2948">
        <f>$J69*D177</f>
        <v>63.82421233333335</v>
      </c>
      <c r="F177" s="2984"/>
      <c r="G177" s="2946" t="s">
        <v>2060</v>
      </c>
      <c r="H177" s="2985"/>
      <c r="I177" s="2949">
        <v>2</v>
      </c>
      <c r="J177" s="2948">
        <f>$J69*I177</f>
        <v>63.82421233333335</v>
      </c>
      <c r="K177" s="1909"/>
      <c r="L177" s="1679"/>
      <c r="M177" s="1679"/>
    </row>
    <row r="178" spans="1:13" ht="15.6">
      <c r="A178" s="1909"/>
      <c r="B178" s="2946"/>
      <c r="C178" s="2985"/>
      <c r="D178" s="2947"/>
      <c r="E178" s="2948"/>
      <c r="F178" s="2984"/>
      <c r="G178" s="2946" t="s">
        <v>2254</v>
      </c>
      <c r="H178" s="2985"/>
      <c r="I178" s="2949">
        <v>1</v>
      </c>
      <c r="J178" s="2948">
        <f>$J75*I178</f>
        <v>42.483813869230772</v>
      </c>
      <c r="K178" s="1909"/>
      <c r="L178" s="1679"/>
      <c r="M178" s="1679"/>
    </row>
    <row r="179" spans="1:13" ht="15.6">
      <c r="A179" s="1909"/>
      <c r="B179" s="2946"/>
      <c r="C179" s="2985"/>
      <c r="D179" s="2947"/>
      <c r="E179" s="2948"/>
      <c r="F179" s="2984"/>
      <c r="G179" s="2946" t="s">
        <v>2259</v>
      </c>
      <c r="H179" s="2985"/>
      <c r="I179" s="2949">
        <v>0.5</v>
      </c>
      <c r="J179" s="2948">
        <f>$J85*I179</f>
        <v>18.829460192307696</v>
      </c>
      <c r="K179" s="1909"/>
      <c r="L179" s="1679"/>
      <c r="M179" s="1679"/>
    </row>
    <row r="180" spans="1:13" ht="15.6">
      <c r="A180" s="1909"/>
      <c r="B180" s="2950"/>
      <c r="C180" s="2986"/>
      <c r="D180" s="2951"/>
      <c r="E180" s="2952"/>
      <c r="F180" s="2984"/>
      <c r="G180" s="2950"/>
      <c r="H180" s="2986"/>
      <c r="I180" s="2951"/>
      <c r="J180" s="2952"/>
      <c r="K180" s="1909"/>
      <c r="L180" s="1679"/>
      <c r="M180" s="1679"/>
    </row>
    <row r="181" spans="1:13" ht="16.2" thickBot="1">
      <c r="A181" s="1909"/>
      <c r="B181" s="2953" t="s">
        <v>1372</v>
      </c>
      <c r="C181" s="2987"/>
      <c r="D181" s="2954">
        <f>SUM(D175:D180)</f>
        <v>7</v>
      </c>
      <c r="E181" s="2955">
        <f>IF(D181=0,0,SUM(E175:E180)/D181)</f>
        <v>36.41538245238096</v>
      </c>
      <c r="F181" s="2984"/>
      <c r="G181" s="2953" t="s">
        <v>1372</v>
      </c>
      <c r="H181" s="2987"/>
      <c r="I181" s="2954">
        <f>SUM(I175:I180)</f>
        <v>8.5</v>
      </c>
      <c r="J181" s="2955">
        <f>IF(I181=0,0,SUM(J175:J180)/I181)</f>
        <v>41.332198924886882</v>
      </c>
      <c r="K181" s="1909"/>
      <c r="L181" s="2956">
        <f>D181+I181</f>
        <v>15.5</v>
      </c>
      <c r="M181" s="1679"/>
    </row>
    <row r="182" spans="1:13" ht="15.6" thickBot="1">
      <c r="A182" s="1909"/>
      <c r="B182" s="1909"/>
      <c r="C182" s="1909"/>
      <c r="D182" s="1909"/>
      <c r="E182" s="1909"/>
      <c r="F182" s="1909"/>
      <c r="G182" s="1909"/>
      <c r="H182" s="1909"/>
      <c r="I182" s="1909"/>
      <c r="J182" s="1909"/>
      <c r="K182" s="1909"/>
      <c r="L182" s="1679"/>
      <c r="M182" s="1679"/>
    </row>
    <row r="183" spans="1:13" ht="15.6">
      <c r="A183" s="1909"/>
      <c r="B183" s="2940" t="s">
        <v>2269</v>
      </c>
      <c r="C183" s="2982"/>
      <c r="D183" s="2982"/>
      <c r="E183" s="2941" t="s">
        <v>2232</v>
      </c>
      <c r="F183" s="1909"/>
      <c r="G183" s="2940" t="s">
        <v>2212</v>
      </c>
      <c r="H183" s="2982"/>
      <c r="I183" s="2982"/>
      <c r="J183" s="2941" t="s">
        <v>2271</v>
      </c>
      <c r="K183" s="1909"/>
      <c r="L183" s="1679"/>
      <c r="M183" s="1679"/>
    </row>
    <row r="184" spans="1:13" ht="15.6">
      <c r="A184" s="1909"/>
      <c r="B184" s="2942" t="s">
        <v>562</v>
      </c>
      <c r="C184" s="2983"/>
      <c r="D184" s="2949">
        <v>1</v>
      </c>
      <c r="E184" s="2948">
        <f>$J56*D184</f>
        <v>46.91653846666668</v>
      </c>
      <c r="F184" s="2984"/>
      <c r="G184" s="2942" t="s">
        <v>562</v>
      </c>
      <c r="H184" s="2983"/>
      <c r="I184" s="2949">
        <v>1</v>
      </c>
      <c r="J184" s="2948">
        <f>$J56*I184</f>
        <v>46.91653846666668</v>
      </c>
      <c r="K184" s="1909"/>
      <c r="L184" s="1679"/>
      <c r="M184" s="1679"/>
    </row>
    <row r="185" spans="1:13" ht="15.6">
      <c r="A185" s="1909"/>
      <c r="B185" s="2946" t="s">
        <v>564</v>
      </c>
      <c r="C185" s="2985"/>
      <c r="D185" s="2949">
        <v>4</v>
      </c>
      <c r="E185" s="2948">
        <f>$J57*D185</f>
        <v>179.269666</v>
      </c>
      <c r="F185" s="2984"/>
      <c r="G185" s="2946" t="s">
        <v>564</v>
      </c>
      <c r="H185" s="2985"/>
      <c r="I185" s="2949">
        <v>4</v>
      </c>
      <c r="J185" s="2948">
        <f>$J57*I185</f>
        <v>179.269666</v>
      </c>
      <c r="K185" s="1909"/>
      <c r="L185" s="1679"/>
      <c r="M185" s="1679"/>
    </row>
    <row r="186" spans="1:13" ht="15.6">
      <c r="A186" s="1909"/>
      <c r="B186" s="2946" t="s">
        <v>700</v>
      </c>
      <c r="C186" s="2985"/>
      <c r="D186" s="2949">
        <v>1</v>
      </c>
      <c r="E186" s="2948">
        <f>$J68*D186</f>
        <v>35.713965833333333</v>
      </c>
      <c r="F186" s="2984"/>
      <c r="G186" s="2946" t="s">
        <v>2467</v>
      </c>
      <c r="H186" s="2985"/>
      <c r="I186" s="2949">
        <v>2</v>
      </c>
      <c r="J186" s="2948">
        <f>$J69*I186</f>
        <v>63.82421233333335</v>
      </c>
      <c r="K186" s="1909"/>
      <c r="L186" s="1679"/>
      <c r="M186" s="1679"/>
    </row>
    <row r="187" spans="1:13" ht="15.6">
      <c r="A187" s="1909"/>
      <c r="B187" s="2946" t="s">
        <v>2060</v>
      </c>
      <c r="C187" s="2985"/>
      <c r="D187" s="2949">
        <v>2</v>
      </c>
      <c r="E187" s="2948">
        <f>$J69*D187</f>
        <v>63.82421233333335</v>
      </c>
      <c r="F187" s="2984"/>
      <c r="G187" s="2946"/>
      <c r="H187" s="2985"/>
      <c r="I187" s="2949"/>
      <c r="J187" s="2948"/>
      <c r="K187" s="1909"/>
      <c r="L187" s="1679"/>
      <c r="M187" s="1679"/>
    </row>
    <row r="188" spans="1:13" ht="15.6">
      <c r="A188" s="1909"/>
      <c r="B188" s="2946"/>
      <c r="C188" s="2985"/>
      <c r="D188" s="2947"/>
      <c r="E188" s="2948"/>
      <c r="F188" s="2984"/>
      <c r="G188" s="2946"/>
      <c r="H188" s="2985"/>
      <c r="I188" s="2949"/>
      <c r="J188" s="2948"/>
      <c r="K188" s="1909"/>
      <c r="L188" s="1679"/>
      <c r="M188" s="1679"/>
    </row>
    <row r="189" spans="1:13" ht="15.6">
      <c r="A189" s="1909"/>
      <c r="B189" s="2950"/>
      <c r="C189" s="2986"/>
      <c r="D189" s="2951"/>
      <c r="E189" s="2952"/>
      <c r="F189" s="2984"/>
      <c r="G189" s="2950"/>
      <c r="H189" s="2986"/>
      <c r="I189" s="2951"/>
      <c r="J189" s="2952"/>
      <c r="K189" s="1909"/>
      <c r="L189" s="1679"/>
      <c r="M189" s="1679"/>
    </row>
    <row r="190" spans="1:13" ht="16.2" thickBot="1">
      <c r="A190" s="1909"/>
      <c r="B190" s="2953" t="s">
        <v>1372</v>
      </c>
      <c r="C190" s="2987"/>
      <c r="D190" s="2954">
        <f>SUM(D184:D189)</f>
        <v>8</v>
      </c>
      <c r="E190" s="2955">
        <f>IF(D190=0,0,SUM(E184:E189)/D190)</f>
        <v>40.715547829166667</v>
      </c>
      <c r="F190" s="2984"/>
      <c r="G190" s="2953" t="s">
        <v>1372</v>
      </c>
      <c r="H190" s="2987"/>
      <c r="I190" s="2954">
        <f>SUM(I184:I189)</f>
        <v>7</v>
      </c>
      <c r="J190" s="2955">
        <f>IF(I190=0,0,SUM(J184:J189)/I190)</f>
        <v>41.430059542857144</v>
      </c>
      <c r="K190" s="1909"/>
      <c r="L190" s="2956">
        <f>D190+I190</f>
        <v>15</v>
      </c>
      <c r="M190" s="1679"/>
    </row>
    <row r="191" spans="1:13" ht="15.6" thickBot="1">
      <c r="A191" s="1909"/>
      <c r="B191" s="1909"/>
      <c r="C191" s="1909"/>
      <c r="D191" s="1909"/>
      <c r="E191" s="1909"/>
      <c r="F191" s="1909"/>
      <c r="G191" s="1909"/>
      <c r="H191" s="1909"/>
      <c r="I191" s="1909"/>
      <c r="J191" s="1909"/>
      <c r="K191" s="1909"/>
      <c r="L191" s="1679"/>
      <c r="M191" s="1679"/>
    </row>
    <row r="192" spans="1:13" ht="15.6">
      <c r="A192" s="1909"/>
      <c r="B192" s="2940" t="s">
        <v>828</v>
      </c>
      <c r="C192" s="2982"/>
      <c r="D192" s="2982"/>
      <c r="E192" s="2941" t="s">
        <v>2234</v>
      </c>
      <c r="F192" s="1909"/>
      <c r="G192" s="2940" t="s">
        <v>2468</v>
      </c>
      <c r="H192" s="2982"/>
      <c r="I192" s="2982"/>
      <c r="J192" s="2941" t="s">
        <v>2235</v>
      </c>
      <c r="K192" s="1909"/>
      <c r="L192" s="1679"/>
      <c r="M192" s="1679"/>
    </row>
    <row r="193" spans="1:13">
      <c r="A193" s="1909"/>
      <c r="B193" s="2962" t="s">
        <v>2247</v>
      </c>
      <c r="C193" s="2989"/>
      <c r="D193" s="2949">
        <v>1</v>
      </c>
      <c r="E193" s="2948">
        <f>$J49*D193</f>
        <v>44.369105633333341</v>
      </c>
      <c r="F193" s="1909"/>
      <c r="G193" s="2963" t="s">
        <v>557</v>
      </c>
      <c r="H193" s="2989"/>
      <c r="I193" s="2949">
        <v>1</v>
      </c>
      <c r="J193" s="2948">
        <f>$J51*I193</f>
        <v>79.254671666666667</v>
      </c>
      <c r="K193" s="1909"/>
      <c r="L193" s="1679"/>
      <c r="M193" s="1679"/>
    </row>
    <row r="194" spans="1:13">
      <c r="A194" s="1909"/>
      <c r="B194" s="2963" t="s">
        <v>2469</v>
      </c>
      <c r="C194" s="2990"/>
      <c r="D194" s="2949">
        <v>4</v>
      </c>
      <c r="E194" s="2948">
        <f>$J50*D194</f>
        <v>165.70134039999999</v>
      </c>
      <c r="F194" s="1909"/>
      <c r="G194" s="2963" t="s">
        <v>558</v>
      </c>
      <c r="H194" s="2990"/>
      <c r="I194" s="2949">
        <v>2</v>
      </c>
      <c r="J194" s="2948">
        <f>$J52*I194</f>
        <v>152.79320999999999</v>
      </c>
      <c r="K194" s="1909"/>
      <c r="L194" s="1679"/>
      <c r="M194" s="1679"/>
    </row>
    <row r="195" spans="1:13">
      <c r="A195" s="1909"/>
      <c r="B195" s="2963" t="s">
        <v>557</v>
      </c>
      <c r="C195" s="2990"/>
      <c r="D195" s="2949">
        <v>1</v>
      </c>
      <c r="E195" s="2948">
        <f>$J51*D195</f>
        <v>79.254671666666667</v>
      </c>
      <c r="F195" s="1909"/>
      <c r="G195" s="2963" t="s">
        <v>559</v>
      </c>
      <c r="H195" s="2990"/>
      <c r="I195" s="2949">
        <v>10</v>
      </c>
      <c r="J195" s="2991">
        <f>$J53*I195</f>
        <v>721.09505000000001</v>
      </c>
      <c r="K195" s="1909"/>
      <c r="L195" s="1679"/>
      <c r="M195" s="1679"/>
    </row>
    <row r="196" spans="1:13">
      <c r="A196" s="1909"/>
      <c r="B196" s="2963" t="s">
        <v>558</v>
      </c>
      <c r="C196" s="2990"/>
      <c r="D196" s="2949">
        <v>4</v>
      </c>
      <c r="E196" s="2948">
        <f>$J52*D196</f>
        <v>305.58641999999998</v>
      </c>
      <c r="F196" s="1909"/>
      <c r="G196" s="2963" t="s">
        <v>2463</v>
      </c>
      <c r="H196" s="2990"/>
      <c r="I196" s="2949">
        <v>1</v>
      </c>
      <c r="J196" s="2948">
        <f>$J64*I196</f>
        <v>63.115284333333335</v>
      </c>
      <c r="K196" s="1909"/>
      <c r="L196" s="1679"/>
      <c r="M196" s="1679"/>
    </row>
    <row r="197" spans="1:13">
      <c r="A197" s="1909"/>
      <c r="B197" s="2963" t="s">
        <v>559</v>
      </c>
      <c r="C197" s="2990"/>
      <c r="D197" s="2949">
        <v>32</v>
      </c>
      <c r="E197" s="2991">
        <f>$J53*D197</f>
        <v>2307.50416</v>
      </c>
      <c r="F197" s="1909"/>
      <c r="G197" s="2963" t="s">
        <v>2464</v>
      </c>
      <c r="H197" s="2990"/>
      <c r="I197" s="2949">
        <v>2</v>
      </c>
      <c r="J197" s="2948">
        <f>$J65*I197</f>
        <v>120.08243533333334</v>
      </c>
      <c r="K197" s="1909"/>
      <c r="L197" s="1679"/>
      <c r="M197" s="1679"/>
    </row>
    <row r="198" spans="1:13">
      <c r="A198" s="1909"/>
      <c r="B198" s="2963" t="s">
        <v>704</v>
      </c>
      <c r="C198" s="2992"/>
      <c r="D198" s="2949">
        <v>2</v>
      </c>
      <c r="E198" s="2948">
        <f>$J73*D198</f>
        <v>96.509949517948712</v>
      </c>
      <c r="F198" s="1909"/>
      <c r="G198" s="2963" t="s">
        <v>704</v>
      </c>
      <c r="H198" s="2992"/>
      <c r="I198" s="2949">
        <v>1</v>
      </c>
      <c r="J198" s="2948">
        <f>$J73*I198</f>
        <v>48.254974758974356</v>
      </c>
      <c r="K198" s="1909"/>
      <c r="L198" s="1679"/>
      <c r="M198" s="1679"/>
    </row>
    <row r="199" spans="1:13">
      <c r="A199" s="1909"/>
      <c r="B199" s="2963" t="s">
        <v>2461</v>
      </c>
      <c r="C199" s="2992"/>
      <c r="D199" s="2949">
        <v>2</v>
      </c>
      <c r="E199" s="2948">
        <f>$J76*D199</f>
        <v>81.061766138461536</v>
      </c>
      <c r="F199" s="1909"/>
      <c r="G199" s="2963" t="s">
        <v>2461</v>
      </c>
      <c r="H199" s="2992"/>
      <c r="I199" s="2949">
        <v>1</v>
      </c>
      <c r="J199" s="2948">
        <f>$J76*I199</f>
        <v>40.530883069230768</v>
      </c>
      <c r="K199" s="1909"/>
      <c r="L199" s="1679"/>
      <c r="M199" s="1679"/>
    </row>
    <row r="200" spans="1:13">
      <c r="A200" s="1909"/>
      <c r="B200" s="2963" t="s">
        <v>2256</v>
      </c>
      <c r="C200" s="2992"/>
      <c r="D200" s="2949">
        <v>1</v>
      </c>
      <c r="E200" s="2948">
        <f>$J77*D200</f>
        <v>48.254974758974356</v>
      </c>
      <c r="F200" s="1909"/>
      <c r="G200" s="2963" t="s">
        <v>2256</v>
      </c>
      <c r="H200" s="2992"/>
      <c r="I200" s="2949">
        <v>1</v>
      </c>
      <c r="J200" s="2948">
        <f>$J77*I200</f>
        <v>48.254974758974356</v>
      </c>
      <c r="K200" s="1909"/>
      <c r="L200" s="1679"/>
      <c r="M200" s="1679"/>
    </row>
    <row r="201" spans="1:13">
      <c r="A201" s="1909"/>
      <c r="B201" s="2964" t="s">
        <v>1368</v>
      </c>
      <c r="C201" s="2992"/>
      <c r="D201" s="2993">
        <v>0</v>
      </c>
      <c r="E201" s="2948">
        <f>$J80*D201</f>
        <v>0</v>
      </c>
      <c r="F201" s="1909"/>
      <c r="G201" s="2964" t="s">
        <v>1368</v>
      </c>
      <c r="H201" s="2992"/>
      <c r="I201" s="2949">
        <v>1</v>
      </c>
      <c r="J201" s="2948">
        <f>$J80*I201</f>
        <v>59.976728833333325</v>
      </c>
      <c r="K201" s="1909"/>
      <c r="L201" s="1679"/>
      <c r="M201" s="1679"/>
    </row>
    <row r="202" spans="1:13">
      <c r="A202" s="1909"/>
      <c r="B202" s="2964" t="s">
        <v>1369</v>
      </c>
      <c r="C202" s="2992"/>
      <c r="D202" s="2993">
        <v>0</v>
      </c>
      <c r="E202" s="2948">
        <f>$J81*D202</f>
        <v>0</v>
      </c>
      <c r="F202" s="1909"/>
      <c r="G202" s="2964" t="s">
        <v>1369</v>
      </c>
      <c r="H202" s="2992"/>
      <c r="I202" s="2949">
        <v>2</v>
      </c>
      <c r="J202" s="2948">
        <f>$J81*I202</f>
        <v>115.85825433333332</v>
      </c>
      <c r="K202" s="1909"/>
      <c r="L202" s="1679"/>
      <c r="M202" s="1679"/>
    </row>
    <row r="203" spans="1:13">
      <c r="A203" s="1909"/>
      <c r="B203" s="2964" t="s">
        <v>1370</v>
      </c>
      <c r="C203" s="2992"/>
      <c r="D203" s="2993">
        <v>0</v>
      </c>
      <c r="E203" s="2948">
        <f>$J83*D203</f>
        <v>0</v>
      </c>
      <c r="F203" s="1909"/>
      <c r="G203" s="2964" t="s">
        <v>1370</v>
      </c>
      <c r="H203" s="2992"/>
      <c r="I203" s="2949">
        <v>1</v>
      </c>
      <c r="J203" s="2948">
        <f>$J83*I203</f>
        <v>54.300362833333331</v>
      </c>
      <c r="K203" s="1909"/>
      <c r="L203" s="1679"/>
      <c r="M203" s="1679"/>
    </row>
    <row r="204" spans="1:13">
      <c r="A204" s="1909"/>
      <c r="B204" s="2964" t="s">
        <v>1371</v>
      </c>
      <c r="C204" s="2992"/>
      <c r="D204" s="2993">
        <v>0</v>
      </c>
      <c r="E204" s="2948">
        <f>$J84*D204</f>
        <v>0</v>
      </c>
      <c r="F204" s="1909"/>
      <c r="G204" s="2964" t="s">
        <v>1371</v>
      </c>
      <c r="H204" s="2992"/>
      <c r="I204" s="2949">
        <v>2</v>
      </c>
      <c r="J204" s="2948">
        <f>$J84*I204</f>
        <v>103.74859233333333</v>
      </c>
      <c r="K204" s="1909"/>
      <c r="L204" s="1679"/>
      <c r="M204" s="1679"/>
    </row>
    <row r="205" spans="1:13">
      <c r="A205" s="1909"/>
      <c r="B205" s="2963" t="s">
        <v>2259</v>
      </c>
      <c r="C205" s="2994"/>
      <c r="D205" s="2951">
        <v>0</v>
      </c>
      <c r="E205" s="2948">
        <f>$J85*D205</f>
        <v>0</v>
      </c>
      <c r="F205" s="1909"/>
      <c r="G205" s="2963" t="s">
        <v>2259</v>
      </c>
      <c r="H205" s="2994"/>
      <c r="I205" s="2949">
        <v>0.5</v>
      </c>
      <c r="J205" s="2948">
        <f>$J85*I205</f>
        <v>18.829460192307696</v>
      </c>
      <c r="K205" s="1909"/>
      <c r="L205" s="1679"/>
      <c r="M205" s="1679"/>
    </row>
    <row r="206" spans="1:13" ht="16.2" thickBot="1">
      <c r="A206" s="1909"/>
      <c r="B206" s="2965" t="s">
        <v>1372</v>
      </c>
      <c r="C206" s="2995"/>
      <c r="D206" s="2954">
        <f>SUM(D193:D205)</f>
        <v>47</v>
      </c>
      <c r="E206" s="2955">
        <f>IF(D206=0,0,SUM(E193:E205)/D206)</f>
        <v>66.55834868330605</v>
      </c>
      <c r="F206" s="1909"/>
      <c r="G206" s="2965" t="s">
        <v>1372</v>
      </c>
      <c r="H206" s="2995"/>
      <c r="I206" s="2954">
        <f>SUM(I193:I205)</f>
        <v>25.5</v>
      </c>
      <c r="J206" s="2955">
        <f>IF(I206=0,0,SUM(J193:J205)/I206)</f>
        <v>63.768426762594267</v>
      </c>
      <c r="K206" s="1909"/>
      <c r="L206" s="2956">
        <f>D206+I206</f>
        <v>72.5</v>
      </c>
      <c r="M206" s="1679"/>
    </row>
    <row r="207" spans="1:13" ht="15.6" thickBot="1">
      <c r="A207" s="1909"/>
      <c r="B207" s="1909"/>
      <c r="C207" s="1909"/>
      <c r="D207" s="1909"/>
      <c r="E207" s="1909"/>
      <c r="F207" s="1909"/>
      <c r="G207" s="1909"/>
      <c r="H207" s="1909"/>
      <c r="I207" s="1909"/>
      <c r="J207" s="1909"/>
      <c r="K207" s="1909"/>
      <c r="L207" s="1679"/>
      <c r="M207" s="1679"/>
    </row>
    <row r="208" spans="1:13" ht="15.6">
      <c r="A208" s="1909"/>
      <c r="B208" s="2940" t="s">
        <v>560</v>
      </c>
      <c r="C208" s="2982"/>
      <c r="D208" s="2982"/>
      <c r="E208" s="2941" t="s">
        <v>2243</v>
      </c>
      <c r="F208" s="1909"/>
      <c r="G208" s="2940" t="s">
        <v>2214</v>
      </c>
      <c r="H208" s="2982"/>
      <c r="I208" s="2982"/>
      <c r="J208" s="2941" t="s">
        <v>2237</v>
      </c>
      <c r="K208" s="1909"/>
      <c r="L208" s="1679"/>
      <c r="M208" s="1679"/>
    </row>
    <row r="209" spans="1:13" ht="15.6">
      <c r="A209" s="1909"/>
      <c r="B209" s="2942" t="s">
        <v>1367</v>
      </c>
      <c r="C209" s="2983"/>
      <c r="D209" s="2949">
        <v>1</v>
      </c>
      <c r="E209" s="2948">
        <f>$J79*D209</f>
        <v>61.588389500000005</v>
      </c>
      <c r="F209" s="2984"/>
      <c r="G209" s="2942" t="s">
        <v>1367</v>
      </c>
      <c r="H209" s="2983"/>
      <c r="I209" s="2949">
        <v>1</v>
      </c>
      <c r="J209" s="2948">
        <f>$J79*I209</f>
        <v>61.588389500000005</v>
      </c>
      <c r="K209" s="1909"/>
      <c r="L209" s="1679"/>
      <c r="M209" s="1679"/>
    </row>
    <row r="210" spans="1:13" ht="15.6">
      <c r="A210" s="1909"/>
      <c r="B210" s="2946" t="s">
        <v>1368</v>
      </c>
      <c r="C210" s="2985"/>
      <c r="D210" s="2949">
        <v>6</v>
      </c>
      <c r="E210" s="2948">
        <f>$J80*D210</f>
        <v>359.86037299999998</v>
      </c>
      <c r="F210" s="2984"/>
      <c r="G210" s="2946" t="s">
        <v>1368</v>
      </c>
      <c r="H210" s="2985"/>
      <c r="I210" s="2949">
        <v>1</v>
      </c>
      <c r="J210" s="2948">
        <f>$J80*I210</f>
        <v>59.976728833333325</v>
      </c>
      <c r="K210" s="1909"/>
      <c r="L210" s="1679"/>
      <c r="M210" s="1679"/>
    </row>
    <row r="211" spans="1:13" ht="15.6">
      <c r="A211" s="1909"/>
      <c r="B211" s="2946" t="s">
        <v>1369</v>
      </c>
      <c r="C211" s="2985"/>
      <c r="D211" s="2949">
        <v>48</v>
      </c>
      <c r="E211" s="2991">
        <f>$J81*D211</f>
        <v>2780.5981039999997</v>
      </c>
      <c r="F211" s="2984"/>
      <c r="G211" s="2946" t="s">
        <v>1369</v>
      </c>
      <c r="H211" s="2985"/>
      <c r="I211" s="2949">
        <v>4</v>
      </c>
      <c r="J211" s="2948">
        <f>$J81*I211</f>
        <v>231.71650866666664</v>
      </c>
      <c r="K211" s="1909"/>
      <c r="L211" s="1679"/>
      <c r="M211" s="1679"/>
    </row>
    <row r="212" spans="1:13" ht="15.6">
      <c r="A212" s="1909"/>
      <c r="B212" s="2946"/>
      <c r="C212" s="2985"/>
      <c r="D212" s="2949"/>
      <c r="E212" s="2948"/>
      <c r="F212" s="2984"/>
      <c r="G212" s="2946"/>
      <c r="H212" s="2985"/>
      <c r="I212" s="2949"/>
      <c r="J212" s="2948"/>
      <c r="K212" s="1909"/>
      <c r="L212" s="1679"/>
      <c r="M212" s="1679"/>
    </row>
    <row r="213" spans="1:13" ht="15.6">
      <c r="A213" s="1909"/>
      <c r="B213" s="2946"/>
      <c r="C213" s="2985"/>
      <c r="D213" s="2947"/>
      <c r="E213" s="2948"/>
      <c r="F213" s="2984"/>
      <c r="G213" s="2946"/>
      <c r="H213" s="2985"/>
      <c r="I213" s="2949"/>
      <c r="J213" s="2948"/>
      <c r="K213" s="1909"/>
      <c r="L213" s="1679"/>
      <c r="M213" s="1679"/>
    </row>
    <row r="214" spans="1:13" ht="15.6">
      <c r="A214" s="1909"/>
      <c r="B214" s="2950"/>
      <c r="C214" s="2986"/>
      <c r="D214" s="2951"/>
      <c r="E214" s="2952"/>
      <c r="F214" s="2984"/>
      <c r="G214" s="2950"/>
      <c r="H214" s="2986"/>
      <c r="I214" s="2951"/>
      <c r="J214" s="2952"/>
      <c r="K214" s="1909"/>
      <c r="L214" s="1679"/>
      <c r="M214" s="1679"/>
    </row>
    <row r="215" spans="1:13" ht="16.2" thickBot="1">
      <c r="A215" s="1909"/>
      <c r="B215" s="2953" t="s">
        <v>1372</v>
      </c>
      <c r="C215" s="2987"/>
      <c r="D215" s="2954">
        <f>SUM(D209:D214)</f>
        <v>55</v>
      </c>
      <c r="E215" s="2955">
        <f>IF(D215=0,0,SUM(E209:E214)/D215)</f>
        <v>58.219033936363637</v>
      </c>
      <c r="F215" s="2984"/>
      <c r="G215" s="2953" t="s">
        <v>1372</v>
      </c>
      <c r="H215" s="2987"/>
      <c r="I215" s="2954">
        <f>SUM(I209:I214)</f>
        <v>6</v>
      </c>
      <c r="J215" s="2955">
        <f>IF(I215=0,0,SUM(J209:J214)/I215)</f>
        <v>58.88027116666666</v>
      </c>
      <c r="K215" s="1909"/>
      <c r="L215" s="2956">
        <f>D215+I215</f>
        <v>61</v>
      </c>
      <c r="M215" s="1679"/>
    </row>
    <row r="216" spans="1:13" ht="15.6" thickBot="1">
      <c r="A216" s="1909"/>
      <c r="B216" s="1909"/>
      <c r="C216" s="1909"/>
      <c r="D216" s="1909"/>
      <c r="E216" s="1909"/>
      <c r="F216" s="1909"/>
      <c r="G216" s="1909"/>
      <c r="H216" s="1909"/>
      <c r="I216" s="1909"/>
      <c r="J216" s="1909"/>
      <c r="K216" s="1909"/>
      <c r="L216" s="1679"/>
      <c r="M216" s="1679"/>
    </row>
    <row r="217" spans="1:13" ht="15.6">
      <c r="A217" s="1909"/>
      <c r="B217" s="2940" t="s">
        <v>2470</v>
      </c>
      <c r="C217" s="2982"/>
      <c r="D217" s="2982"/>
      <c r="E217" s="2941" t="s">
        <v>2238</v>
      </c>
      <c r="F217" s="1909"/>
      <c r="G217" s="2940" t="s">
        <v>1749</v>
      </c>
      <c r="H217" s="2982"/>
      <c r="I217" s="2982"/>
      <c r="J217" s="2941"/>
      <c r="K217" s="1909"/>
      <c r="L217" s="1679"/>
      <c r="M217" s="1679"/>
    </row>
    <row r="218" spans="1:13" ht="15.6">
      <c r="A218" s="1909"/>
      <c r="B218" s="2946" t="s">
        <v>2463</v>
      </c>
      <c r="C218" s="2983"/>
      <c r="D218" s="2949">
        <v>1</v>
      </c>
      <c r="E218" s="2948">
        <f>$J64*D218</f>
        <v>63.115284333333335</v>
      </c>
      <c r="F218" s="2984"/>
      <c r="G218" s="2942" t="s">
        <v>2471</v>
      </c>
      <c r="H218" s="2983"/>
      <c r="I218" s="2949">
        <v>1</v>
      </c>
      <c r="J218" s="2948">
        <f>$J48*I218</f>
        <v>45.044725100000001</v>
      </c>
      <c r="K218" s="1909"/>
      <c r="L218" s="1679"/>
      <c r="M218" s="1679"/>
    </row>
    <row r="219" spans="1:13" ht="15.6">
      <c r="A219" s="1909"/>
      <c r="B219" s="2946" t="s">
        <v>2464</v>
      </c>
      <c r="C219" s="2985"/>
      <c r="D219" s="2949">
        <v>4</v>
      </c>
      <c r="E219" s="2948">
        <f>$J65*D219</f>
        <v>240.16487066666667</v>
      </c>
      <c r="F219" s="2984"/>
      <c r="G219" s="2946" t="s">
        <v>2247</v>
      </c>
      <c r="H219" s="2985"/>
      <c r="I219" s="2949">
        <v>3</v>
      </c>
      <c r="J219" s="2948">
        <f>$J49*I219</f>
        <v>133.10731690000003</v>
      </c>
      <c r="K219" s="1909"/>
      <c r="L219" s="1679"/>
      <c r="M219" s="1679"/>
    </row>
    <row r="220" spans="1:13" ht="15.6">
      <c r="A220" s="1909"/>
      <c r="B220" s="2946" t="s">
        <v>701</v>
      </c>
      <c r="C220" s="2985"/>
      <c r="D220" s="2949">
        <v>1</v>
      </c>
      <c r="E220" s="2948">
        <f>$J70*D220</f>
        <v>50.863525788666671</v>
      </c>
      <c r="F220" s="2984"/>
      <c r="G220" s="2946" t="s">
        <v>2469</v>
      </c>
      <c r="H220" s="2985"/>
      <c r="I220" s="2949">
        <v>12</v>
      </c>
      <c r="J220" s="2948">
        <f>$J50*I220</f>
        <v>497.10402119999998</v>
      </c>
      <c r="K220" s="1909"/>
      <c r="L220" s="1679"/>
      <c r="M220" s="1679"/>
    </row>
    <row r="221" spans="1:13" ht="15.6">
      <c r="A221" s="1909"/>
      <c r="B221" s="2946" t="s">
        <v>702</v>
      </c>
      <c r="C221" s="2985"/>
      <c r="D221" s="2949">
        <v>2</v>
      </c>
      <c r="E221" s="2948">
        <f>$J71*D221</f>
        <v>99.363300213333332</v>
      </c>
      <c r="F221" s="2984"/>
      <c r="G221" s="2966" t="s">
        <v>1370</v>
      </c>
      <c r="H221" s="2985"/>
      <c r="I221" s="2949">
        <v>1</v>
      </c>
      <c r="J221" s="2948">
        <f>$J83*I221</f>
        <v>54.300362833333331</v>
      </c>
      <c r="K221" s="1909"/>
      <c r="L221" s="1679"/>
      <c r="M221" s="1679"/>
    </row>
    <row r="222" spans="1:13" ht="15.6">
      <c r="A222" s="1909"/>
      <c r="B222" s="2946" t="s">
        <v>703</v>
      </c>
      <c r="C222" s="2985"/>
      <c r="D222" s="2949">
        <v>8</v>
      </c>
      <c r="E222" s="2948">
        <f>$J72*D222</f>
        <v>387.23157333333336</v>
      </c>
      <c r="F222" s="2984"/>
      <c r="G222" s="2966" t="s">
        <v>1371</v>
      </c>
      <c r="H222" s="2985"/>
      <c r="I222" s="2949">
        <v>4</v>
      </c>
      <c r="J222" s="2948">
        <f>$J84*I222</f>
        <v>207.49718466666667</v>
      </c>
      <c r="K222" s="1909"/>
      <c r="L222" s="1679"/>
      <c r="M222" s="1679"/>
    </row>
    <row r="223" spans="1:13" ht="15.6">
      <c r="A223" s="1909"/>
      <c r="B223" s="2946" t="s">
        <v>704</v>
      </c>
      <c r="C223" s="2985"/>
      <c r="D223" s="2949">
        <v>1</v>
      </c>
      <c r="E223" s="2948">
        <f>$J73*D223</f>
        <v>48.254974758974356</v>
      </c>
      <c r="F223" s="2984"/>
      <c r="G223" s="2950"/>
      <c r="H223" s="2986"/>
      <c r="I223" s="2951"/>
      <c r="J223" s="2952"/>
      <c r="K223" s="1909"/>
      <c r="L223" s="1679"/>
      <c r="M223" s="1679"/>
    </row>
    <row r="224" spans="1:13" ht="16.2" thickBot="1">
      <c r="A224" s="1909"/>
      <c r="B224" s="2946" t="s">
        <v>2461</v>
      </c>
      <c r="C224" s="2988"/>
      <c r="D224" s="2949">
        <v>1</v>
      </c>
      <c r="E224" s="2948">
        <f>$J76*D224</f>
        <v>40.530883069230768</v>
      </c>
      <c r="F224" s="2984"/>
      <c r="G224" s="2953" t="s">
        <v>1372</v>
      </c>
      <c r="H224" s="2987"/>
      <c r="I224" s="2954">
        <f>SUM(I218:I223)</f>
        <v>21</v>
      </c>
      <c r="J224" s="2955">
        <f>IF(I224=0,0,SUM(J218:J223)/I224)</f>
        <v>44.621600509523809</v>
      </c>
      <c r="K224" s="1909"/>
      <c r="L224" s="1679"/>
      <c r="M224" s="1679"/>
    </row>
    <row r="225" spans="1:13" ht="15.6">
      <c r="A225" s="1909"/>
      <c r="B225" s="2946" t="s">
        <v>1367</v>
      </c>
      <c r="C225" s="2988"/>
      <c r="D225" s="2949">
        <v>1</v>
      </c>
      <c r="E225" s="2948">
        <f>$J79*D225</f>
        <v>61.588389500000005</v>
      </c>
      <c r="F225" s="2984"/>
      <c r="G225" s="2958"/>
      <c r="H225" s="2988"/>
      <c r="I225" s="2959"/>
      <c r="J225" s="2960"/>
      <c r="K225" s="1909"/>
      <c r="L225" s="1679"/>
      <c r="M225" s="1679"/>
    </row>
    <row r="226" spans="1:13" ht="15.6">
      <c r="A226" s="1909"/>
      <c r="B226" s="2946" t="s">
        <v>1368</v>
      </c>
      <c r="C226" s="2988"/>
      <c r="D226" s="2949">
        <v>1</v>
      </c>
      <c r="E226" s="2948">
        <f>$J80*D226</f>
        <v>59.976728833333325</v>
      </c>
      <c r="F226" s="2984"/>
      <c r="G226" s="2958"/>
      <c r="H226" s="2988"/>
      <c r="I226" s="2959"/>
      <c r="J226" s="2960"/>
      <c r="K226" s="1909"/>
      <c r="L226" s="1679"/>
      <c r="M226" s="1679"/>
    </row>
    <row r="227" spans="1:13" ht="15.6">
      <c r="A227" s="1909"/>
      <c r="B227" s="2946" t="s">
        <v>1369</v>
      </c>
      <c r="C227" s="2988"/>
      <c r="D227" s="2949">
        <v>6</v>
      </c>
      <c r="E227" s="2991">
        <f>$J81*D227</f>
        <v>347.57476299999996</v>
      </c>
      <c r="F227" s="2984"/>
      <c r="G227" s="2958"/>
      <c r="H227" s="2988"/>
      <c r="I227" s="2959"/>
      <c r="J227" s="2960"/>
      <c r="K227" s="1909"/>
      <c r="L227" s="1679"/>
      <c r="M227" s="1679"/>
    </row>
    <row r="228" spans="1:13" ht="15.6">
      <c r="A228" s="1909"/>
      <c r="B228" s="2950"/>
      <c r="C228" s="2986"/>
      <c r="D228" s="2949"/>
      <c r="E228" s="2948"/>
      <c r="F228" s="2984"/>
      <c r="G228" s="2984"/>
      <c r="H228" s="2984"/>
      <c r="I228" s="2984"/>
      <c r="J228" s="2984"/>
      <c r="K228" s="1909"/>
      <c r="L228" s="1679"/>
      <c r="M228" s="1679"/>
    </row>
    <row r="229" spans="1:13" ht="16.2" thickBot="1">
      <c r="A229" s="1909"/>
      <c r="B229" s="2953" t="s">
        <v>1372</v>
      </c>
      <c r="C229" s="2987"/>
      <c r="D229" s="2954">
        <f>SUM(D218:D228)</f>
        <v>26</v>
      </c>
      <c r="E229" s="2955">
        <f>IF(D229=0,0,SUM(E218:E228)/D229)</f>
        <v>53.794780519110454</v>
      </c>
      <c r="F229" s="2984"/>
      <c r="G229" s="2984"/>
      <c r="H229" s="2984"/>
      <c r="I229" s="2984"/>
      <c r="J229" s="2984"/>
      <c r="K229" s="1909"/>
      <c r="L229" s="2956">
        <f>D229+I224</f>
        <v>47</v>
      </c>
      <c r="M229" s="1679"/>
    </row>
    <row r="230" spans="1:13" ht="15.6" thickBot="1">
      <c r="A230" s="1909"/>
      <c r="B230" s="1909"/>
      <c r="C230" s="1909"/>
      <c r="D230" s="1909"/>
      <c r="E230" s="1909"/>
      <c r="F230" s="1909"/>
      <c r="G230" s="1909"/>
      <c r="H230" s="1909"/>
      <c r="I230" s="1909"/>
      <c r="J230" s="1909"/>
      <c r="K230" s="1909"/>
      <c r="L230" s="1679"/>
      <c r="M230" s="1679"/>
    </row>
    <row r="231" spans="1:13" ht="15.6">
      <c r="A231" s="1909"/>
      <c r="B231" s="2940" t="s">
        <v>2283</v>
      </c>
      <c r="C231" s="2982"/>
      <c r="D231" s="2982"/>
      <c r="E231" s="2941" t="s">
        <v>2240</v>
      </c>
      <c r="F231" s="1909"/>
      <c r="G231" s="2940" t="s">
        <v>2217</v>
      </c>
      <c r="H231" s="2982"/>
      <c r="I231" s="2982"/>
      <c r="J231" s="2941" t="s">
        <v>2241</v>
      </c>
      <c r="K231" s="1909"/>
      <c r="L231" s="1679"/>
      <c r="M231" s="1679"/>
    </row>
    <row r="232" spans="1:13" ht="15.6">
      <c r="A232" s="1909"/>
      <c r="B232" s="2946" t="s">
        <v>565</v>
      </c>
      <c r="C232" s="2983"/>
      <c r="D232" s="2949">
        <v>1</v>
      </c>
      <c r="E232" s="2948">
        <f>$J60*D232</f>
        <v>56.734863833333335</v>
      </c>
      <c r="F232" s="2984"/>
      <c r="G232" s="2946" t="s">
        <v>565</v>
      </c>
      <c r="H232" s="2983"/>
      <c r="I232" s="2949">
        <v>1</v>
      </c>
      <c r="J232" s="2948">
        <f>$J60*I232</f>
        <v>56.734863833333335</v>
      </c>
      <c r="K232" s="1909"/>
      <c r="L232" s="1679"/>
      <c r="M232" s="1679"/>
    </row>
    <row r="233" spans="1:13" ht="15.6">
      <c r="A233" s="1909"/>
      <c r="B233" s="2946" t="s">
        <v>566</v>
      </c>
      <c r="C233" s="2985"/>
      <c r="D233" s="2949">
        <v>6</v>
      </c>
      <c r="E233" s="2948">
        <f>$J61*D233</f>
        <v>310.00273040000002</v>
      </c>
      <c r="F233" s="2984"/>
      <c r="G233" s="2946" t="s">
        <v>566</v>
      </c>
      <c r="H233" s="2985"/>
      <c r="I233" s="2949"/>
      <c r="J233" s="2948">
        <f>$J61*I233</f>
        <v>0</v>
      </c>
      <c r="K233" s="1909"/>
      <c r="L233" s="1679"/>
      <c r="M233" s="1679"/>
    </row>
    <row r="234" spans="1:13" ht="15.6">
      <c r="A234" s="1909"/>
      <c r="B234" s="2946" t="s">
        <v>567</v>
      </c>
      <c r="C234" s="2985"/>
      <c r="D234" s="2949">
        <v>48</v>
      </c>
      <c r="E234" s="2948">
        <f>$J62*D234</f>
        <v>2317.854096</v>
      </c>
      <c r="F234" s="2984"/>
      <c r="G234" s="2946" t="s">
        <v>567</v>
      </c>
      <c r="H234" s="2985"/>
      <c r="I234" s="2949">
        <v>4</v>
      </c>
      <c r="J234" s="2948">
        <f>$J62*I234</f>
        <v>193.15450800000002</v>
      </c>
      <c r="K234" s="1909"/>
      <c r="L234" s="1679"/>
      <c r="M234" s="1679"/>
    </row>
    <row r="235" spans="1:13" ht="15.6">
      <c r="A235" s="1909"/>
      <c r="B235" s="2946"/>
      <c r="C235" s="2985"/>
      <c r="D235" s="2949"/>
      <c r="E235" s="2948"/>
      <c r="F235" s="2984"/>
      <c r="G235" s="2946"/>
      <c r="H235" s="2985"/>
      <c r="I235" s="2949"/>
      <c r="J235" s="2948"/>
      <c r="K235" s="1909"/>
      <c r="L235" s="1679"/>
      <c r="M235" s="1679"/>
    </row>
    <row r="236" spans="1:13" ht="15.6">
      <c r="A236" s="1909"/>
      <c r="B236" s="2946"/>
      <c r="C236" s="2985"/>
      <c r="D236" s="2949"/>
      <c r="E236" s="2948"/>
      <c r="F236" s="2984"/>
      <c r="G236" s="2946"/>
      <c r="H236" s="2985"/>
      <c r="I236" s="2949"/>
      <c r="J236" s="2948"/>
      <c r="K236" s="1909"/>
      <c r="L236" s="1679"/>
      <c r="M236" s="1679"/>
    </row>
    <row r="237" spans="1:13" ht="15.6">
      <c r="A237" s="1909"/>
      <c r="B237" s="2961"/>
      <c r="C237" s="2986"/>
      <c r="D237" s="2951"/>
      <c r="E237" s="2952"/>
      <c r="F237" s="2984"/>
      <c r="G237" s="2961"/>
      <c r="H237" s="2986"/>
      <c r="I237" s="2951"/>
      <c r="J237" s="2952"/>
      <c r="K237" s="1909"/>
      <c r="L237" s="1679"/>
      <c r="M237" s="1679"/>
    </row>
    <row r="238" spans="1:13" ht="16.2" thickBot="1">
      <c r="A238" s="1909"/>
      <c r="B238" s="2953" t="s">
        <v>1372</v>
      </c>
      <c r="C238" s="2987"/>
      <c r="D238" s="2954">
        <f>SUM(D232:D237)</f>
        <v>55</v>
      </c>
      <c r="E238" s="2955">
        <f>IF(D238=0,0,SUM(E232:E237)/D238)</f>
        <v>48.810758004242423</v>
      </c>
      <c r="F238" s="2984"/>
      <c r="G238" s="2953" t="s">
        <v>1372</v>
      </c>
      <c r="H238" s="2987"/>
      <c r="I238" s="2954">
        <f>SUM(I232:I237)</f>
        <v>5</v>
      </c>
      <c r="J238" s="2955">
        <f>IF(I238=0,0,SUM(J232:J237)/I238)</f>
        <v>49.977874366666676</v>
      </c>
      <c r="K238" s="1909"/>
      <c r="L238" s="2956">
        <f>D238+I238</f>
        <v>60</v>
      </c>
      <c r="M238" s="1679"/>
    </row>
    <row r="239" spans="1:13" ht="15.6" thickBot="1">
      <c r="A239" s="1909"/>
      <c r="B239" s="1909"/>
      <c r="C239" s="1909"/>
      <c r="D239" s="1909"/>
      <c r="E239" s="1909"/>
      <c r="F239" s="1909"/>
      <c r="G239" s="1909"/>
      <c r="H239" s="1909"/>
      <c r="I239" s="1909"/>
      <c r="J239" s="1909"/>
      <c r="K239" s="1909"/>
      <c r="L239" s="1679"/>
      <c r="M239" s="1679"/>
    </row>
    <row r="240" spans="1:13" ht="15.6">
      <c r="A240" s="1909"/>
      <c r="B240" s="2940" t="s">
        <v>2218</v>
      </c>
      <c r="C240" s="2982"/>
      <c r="D240" s="2982"/>
      <c r="E240" s="2941" t="s">
        <v>2242</v>
      </c>
      <c r="F240" s="1909"/>
      <c r="G240" s="2940" t="s">
        <v>835</v>
      </c>
      <c r="H240" s="2982"/>
      <c r="I240" s="2982"/>
      <c r="J240" s="2941" t="s">
        <v>2243</v>
      </c>
      <c r="K240" s="1909"/>
      <c r="L240" s="1679"/>
      <c r="M240" s="1679"/>
    </row>
    <row r="241" spans="1:13" ht="15.6">
      <c r="A241" s="1909"/>
      <c r="B241" s="2946" t="s">
        <v>564</v>
      </c>
      <c r="C241" s="2983"/>
      <c r="D241" s="2949">
        <v>2</v>
      </c>
      <c r="E241" s="2948">
        <f>$J57*D241</f>
        <v>89.634833</v>
      </c>
      <c r="F241" s="2984"/>
      <c r="G241" s="2946" t="s">
        <v>2472</v>
      </c>
      <c r="H241" s="2983"/>
      <c r="I241" s="2949">
        <v>2</v>
      </c>
      <c r="J241" s="2948">
        <f>I241*J78</f>
        <v>67.476851666666661</v>
      </c>
      <c r="K241" s="1909"/>
      <c r="L241" s="1679"/>
      <c r="M241" s="1679"/>
    </row>
    <row r="242" spans="1:13" ht="15.6">
      <c r="A242" s="1909"/>
      <c r="B242" s="2946" t="s">
        <v>2467</v>
      </c>
      <c r="C242" s="2985"/>
      <c r="D242" s="2949">
        <v>2</v>
      </c>
      <c r="E242" s="2948">
        <f>$J69*D242</f>
        <v>63.82421233333335</v>
      </c>
      <c r="F242" s="2984"/>
      <c r="G242" s="2946"/>
      <c r="H242" s="2985"/>
      <c r="I242" s="2949"/>
      <c r="J242" s="2948"/>
      <c r="K242" s="1909"/>
      <c r="L242" s="1679"/>
      <c r="M242" s="1679"/>
    </row>
    <row r="243" spans="1:13" ht="15.6">
      <c r="A243" s="1909"/>
      <c r="B243" s="2946" t="s">
        <v>2461</v>
      </c>
      <c r="C243" s="2985"/>
      <c r="D243" s="2949">
        <v>1</v>
      </c>
      <c r="E243" s="2948">
        <f>$J76*D243</f>
        <v>40.530883069230768</v>
      </c>
      <c r="F243" s="2984"/>
      <c r="G243" s="2946"/>
      <c r="H243" s="2985"/>
      <c r="I243" s="2949"/>
      <c r="J243" s="2948"/>
      <c r="K243" s="1909"/>
      <c r="L243" s="1679"/>
      <c r="M243" s="1679"/>
    </row>
    <row r="244" spans="1:13" ht="15.6">
      <c r="A244" s="1909"/>
      <c r="B244" s="2946" t="s">
        <v>2259</v>
      </c>
      <c r="C244" s="2985"/>
      <c r="D244" s="2951">
        <v>0.5</v>
      </c>
      <c r="E244" s="2948">
        <f>$J85*D244</f>
        <v>18.829460192307696</v>
      </c>
      <c r="F244" s="2984"/>
      <c r="G244" s="2946"/>
      <c r="H244" s="2985"/>
      <c r="I244" s="2949"/>
      <c r="J244" s="2948"/>
      <c r="K244" s="1909"/>
      <c r="L244" s="1679"/>
      <c r="M244" s="1679"/>
    </row>
    <row r="245" spans="1:13" ht="15.6">
      <c r="A245" s="1909"/>
      <c r="B245" s="2946"/>
      <c r="C245" s="2985"/>
      <c r="D245" s="2949"/>
      <c r="E245" s="2948"/>
      <c r="F245" s="2984"/>
      <c r="G245" s="2946"/>
      <c r="H245" s="2985"/>
      <c r="I245" s="2949"/>
      <c r="J245" s="2948"/>
      <c r="K245" s="1909"/>
      <c r="L245" s="1679"/>
      <c r="M245" s="1679"/>
    </row>
    <row r="246" spans="1:13" ht="15.6">
      <c r="A246" s="1909"/>
      <c r="B246" s="2961"/>
      <c r="C246" s="2986"/>
      <c r="D246" s="2951"/>
      <c r="E246" s="2952"/>
      <c r="F246" s="2984"/>
      <c r="G246" s="2961"/>
      <c r="H246" s="2986"/>
      <c r="I246" s="2951"/>
      <c r="J246" s="2952"/>
      <c r="K246" s="1909"/>
      <c r="L246" s="1679"/>
      <c r="M246" s="1679"/>
    </row>
    <row r="247" spans="1:13" ht="16.2" thickBot="1">
      <c r="A247" s="1909"/>
      <c r="B247" s="2953" t="s">
        <v>1372</v>
      </c>
      <c r="C247" s="2987"/>
      <c r="D247" s="2954">
        <f>SUM(D241:D246)</f>
        <v>5.5</v>
      </c>
      <c r="E247" s="2955">
        <f>IF(D247=0,0,SUM(E241:E246)/D247)</f>
        <v>38.694434289976691</v>
      </c>
      <c r="F247" s="2984"/>
      <c r="G247" s="2953" t="s">
        <v>1372</v>
      </c>
      <c r="H247" s="2987"/>
      <c r="I247" s="2954">
        <f>SUM(I241:I246)</f>
        <v>2</v>
      </c>
      <c r="J247" s="2955">
        <f>IF(I247=0,0,SUM(J241:J246)/I247)</f>
        <v>33.738425833333331</v>
      </c>
      <c r="K247" s="1909"/>
      <c r="L247" s="2956">
        <f>D247+I247</f>
        <v>7.5</v>
      </c>
      <c r="M247" s="1679"/>
    </row>
    <row r="248" spans="1:13" ht="15.6" thickBot="1">
      <c r="A248" s="1909"/>
      <c r="B248" s="1909"/>
      <c r="C248" s="1909"/>
      <c r="D248" s="1909"/>
      <c r="E248" s="1909"/>
      <c r="F248" s="1909"/>
      <c r="G248" s="1909"/>
      <c r="H248" s="1909"/>
      <c r="I248" s="1909"/>
      <c r="J248" s="1909"/>
      <c r="K248" s="1909"/>
      <c r="L248" s="1679"/>
      <c r="M248" s="1679"/>
    </row>
    <row r="249" spans="1:13" ht="15.6">
      <c r="A249" s="1909"/>
      <c r="B249" s="2940" t="s">
        <v>2473</v>
      </c>
      <c r="C249" s="2982"/>
      <c r="D249" s="2982"/>
      <c r="E249" s="2941" t="s">
        <v>2244</v>
      </c>
      <c r="F249" s="1909"/>
      <c r="G249" s="2967"/>
      <c r="H249" s="2996"/>
      <c r="I249" s="2996"/>
      <c r="J249" s="2968"/>
      <c r="K249" s="1909"/>
      <c r="L249" s="1679"/>
      <c r="M249" s="1679"/>
    </row>
    <row r="250" spans="1:13" ht="15.6">
      <c r="A250" s="1909"/>
      <c r="B250" s="2946" t="s">
        <v>700</v>
      </c>
      <c r="C250" s="2983"/>
      <c r="D250" s="2949">
        <v>1</v>
      </c>
      <c r="E250" s="2948">
        <f>D250*J68</f>
        <v>35.713965833333333</v>
      </c>
      <c r="F250" s="2984"/>
      <c r="G250" s="2969"/>
      <c r="H250" s="2983"/>
      <c r="I250" s="2949"/>
      <c r="J250" s="2997"/>
      <c r="K250" s="1909"/>
      <c r="L250" s="1679"/>
      <c r="M250" s="1679"/>
    </row>
    <row r="251" spans="1:13" ht="15.6">
      <c r="A251" s="1909"/>
      <c r="B251" s="2946" t="s">
        <v>2467</v>
      </c>
      <c r="C251" s="2985"/>
      <c r="D251" s="2949">
        <v>6</v>
      </c>
      <c r="E251" s="2948">
        <f>D251*J69</f>
        <v>191.47263700000005</v>
      </c>
      <c r="F251" s="2984"/>
      <c r="G251" s="2969"/>
      <c r="H251" s="2985"/>
      <c r="I251" s="2949"/>
      <c r="J251" s="2997"/>
      <c r="K251" s="1909"/>
      <c r="L251" s="1679"/>
      <c r="M251" s="1679"/>
    </row>
    <row r="252" spans="1:13" ht="15.6">
      <c r="A252" s="1909"/>
      <c r="B252" s="2946" t="s">
        <v>2254</v>
      </c>
      <c r="C252" s="2985"/>
      <c r="D252" s="2949">
        <v>1</v>
      </c>
      <c r="E252" s="2948">
        <f>J74*D252</f>
        <v>46.965539679487179</v>
      </c>
      <c r="F252" s="2984"/>
      <c r="G252" s="2969"/>
      <c r="H252" s="2985"/>
      <c r="I252" s="2949"/>
      <c r="J252" s="2997"/>
      <c r="K252" s="1909"/>
      <c r="L252" s="1679"/>
      <c r="M252" s="1679"/>
    </row>
    <row r="253" spans="1:13" ht="15.6">
      <c r="A253" s="1909"/>
      <c r="B253" s="2946"/>
      <c r="C253" s="2985"/>
      <c r="D253" s="2949"/>
      <c r="E253" s="2948"/>
      <c r="F253" s="2984"/>
      <c r="G253" s="2969"/>
      <c r="H253" s="2985"/>
      <c r="I253" s="2949"/>
      <c r="J253" s="2997"/>
      <c r="K253" s="1909"/>
      <c r="L253" s="1679"/>
      <c r="M253" s="1679"/>
    </row>
    <row r="254" spans="1:13" ht="15.6">
      <c r="A254" s="1909"/>
      <c r="B254" s="2946"/>
      <c r="C254" s="2985"/>
      <c r="D254" s="2949"/>
      <c r="E254" s="2948"/>
      <c r="F254" s="2984"/>
      <c r="G254" s="2969"/>
      <c r="H254" s="2985"/>
      <c r="I254" s="2949"/>
      <c r="J254" s="2997"/>
      <c r="K254" s="1909"/>
      <c r="L254" s="1679"/>
      <c r="M254" s="1679"/>
    </row>
    <row r="255" spans="1:13" ht="15.6">
      <c r="A255" s="1909"/>
      <c r="B255" s="2961"/>
      <c r="C255" s="2986"/>
      <c r="D255" s="2951"/>
      <c r="E255" s="2952"/>
      <c r="F255" s="2984"/>
      <c r="G255" s="2970"/>
      <c r="H255" s="2986"/>
      <c r="I255" s="2951"/>
      <c r="J255" s="2971"/>
      <c r="K255" s="1909"/>
      <c r="L255" s="1679"/>
      <c r="M255" s="1679"/>
    </row>
    <row r="256" spans="1:13" ht="16.2" thickBot="1">
      <c r="A256" s="1909"/>
      <c r="B256" s="2953" t="s">
        <v>1372</v>
      </c>
      <c r="C256" s="2987"/>
      <c r="D256" s="2954">
        <f>SUM(D250:D255)</f>
        <v>8</v>
      </c>
      <c r="E256" s="2955">
        <f>IF(D256=0,0,SUM(E250:E255)/D256)</f>
        <v>34.269017814102568</v>
      </c>
      <c r="F256" s="2984"/>
      <c r="G256" s="2972" t="s">
        <v>1372</v>
      </c>
      <c r="H256" s="2998"/>
      <c r="I256" s="2973">
        <f>SUM(I250:I255)</f>
        <v>0</v>
      </c>
      <c r="J256" s="2974">
        <f>IF(I256=0,0,SUM(J250:J255)/I256)</f>
        <v>0</v>
      </c>
      <c r="K256" s="1909"/>
      <c r="L256" s="2956">
        <f>D256+I256</f>
        <v>8</v>
      </c>
      <c r="M256" s="1679"/>
    </row>
    <row r="257" spans="1:13">
      <c r="A257" s="1909"/>
      <c r="B257" s="1909"/>
      <c r="C257" s="1909"/>
      <c r="D257" s="1909"/>
      <c r="E257" s="1909"/>
      <c r="F257" s="1909"/>
      <c r="G257" s="1909"/>
      <c r="H257" s="1909"/>
      <c r="I257" s="1909"/>
      <c r="J257" s="1909"/>
      <c r="K257" s="1909"/>
      <c r="L257" s="1679"/>
      <c r="M257" s="1679"/>
    </row>
    <row r="258" spans="1:13" ht="15.6" thickBot="1">
      <c r="A258" s="1909"/>
      <c r="B258" s="1909"/>
      <c r="C258" s="1909"/>
      <c r="D258" s="1909"/>
      <c r="E258" s="1909"/>
      <c r="F258" s="1909"/>
      <c r="G258" s="1909"/>
      <c r="H258" s="1909"/>
      <c r="I258" s="1909"/>
      <c r="J258" s="1909"/>
      <c r="K258" s="1909"/>
      <c r="L258" s="2956">
        <f>SUM(L132:L257)</f>
        <v>365</v>
      </c>
      <c r="M258" s="1679"/>
    </row>
    <row r="259" spans="1:13" ht="15.6" thickBot="1">
      <c r="A259" s="1909"/>
      <c r="B259" s="3270" t="s">
        <v>2245</v>
      </c>
      <c r="C259" s="3271"/>
      <c r="D259" s="3272" t="s">
        <v>1372</v>
      </c>
      <c r="E259" s="3273"/>
      <c r="F259" s="1909"/>
      <c r="G259" s="1909"/>
      <c r="H259" s="1909"/>
      <c r="I259" s="1909"/>
      <c r="J259" s="1909"/>
      <c r="K259" s="1909"/>
      <c r="L259" s="1679"/>
      <c r="M259" s="1679"/>
    </row>
    <row r="260" spans="1:13">
      <c r="A260" s="1909"/>
      <c r="B260" s="2999"/>
      <c r="C260" s="1911"/>
      <c r="D260" s="1911"/>
      <c r="E260" s="3000"/>
      <c r="F260" s="1909"/>
      <c r="G260" s="1909"/>
      <c r="H260" s="1909"/>
      <c r="I260" s="1909"/>
      <c r="J260" s="1909"/>
      <c r="K260" s="1909"/>
      <c r="L260" s="1679"/>
      <c r="M260" s="1679"/>
    </row>
    <row r="261" spans="1:13" ht="15.6">
      <c r="A261" s="1909"/>
      <c r="B261" s="2942" t="s">
        <v>2246</v>
      </c>
      <c r="C261" s="3001"/>
      <c r="D261" s="3002">
        <f>I218</f>
        <v>1</v>
      </c>
      <c r="E261" s="3003"/>
      <c r="F261" s="1909"/>
      <c r="G261" s="1909"/>
      <c r="H261" s="1909"/>
      <c r="I261" s="1909"/>
      <c r="J261" s="1909"/>
      <c r="K261" s="1909"/>
      <c r="L261" s="1679"/>
      <c r="M261" s="1679"/>
    </row>
    <row r="262" spans="1:13" ht="15.6">
      <c r="A262" s="1909"/>
      <c r="B262" s="2946" t="s">
        <v>2247</v>
      </c>
      <c r="C262" s="3004"/>
      <c r="D262" s="3005">
        <f>I219+D193</f>
        <v>4</v>
      </c>
      <c r="E262" s="3006">
        <f>SUM(D261:D263)/D$300</f>
        <v>5.9154929577464786E-2</v>
      </c>
      <c r="F262" s="1909"/>
      <c r="G262" s="1909"/>
      <c r="H262" s="1909"/>
      <c r="I262" s="1909"/>
      <c r="J262" s="1909"/>
      <c r="K262" s="1909"/>
      <c r="L262" s="1679"/>
      <c r="M262" s="1679"/>
    </row>
    <row r="263" spans="1:13" ht="15.6">
      <c r="A263" s="1909"/>
      <c r="B263" s="2950" t="s">
        <v>2248</v>
      </c>
      <c r="C263" s="3007"/>
      <c r="D263" s="3008">
        <f>I220+D194</f>
        <v>16</v>
      </c>
      <c r="E263" s="3009"/>
      <c r="F263" s="1909"/>
      <c r="G263" s="1909"/>
      <c r="H263" s="1909"/>
      <c r="I263" s="1909"/>
      <c r="J263" s="1909"/>
      <c r="K263" s="1909"/>
      <c r="L263" s="1679"/>
      <c r="M263" s="1679"/>
    </row>
    <row r="264" spans="1:13" ht="15.6">
      <c r="A264" s="1909"/>
      <c r="B264" s="2975" t="s">
        <v>557</v>
      </c>
      <c r="C264" s="3010"/>
      <c r="D264" s="3011">
        <f>D195+I193</f>
        <v>2</v>
      </c>
      <c r="E264" s="3012"/>
      <c r="F264" s="1909"/>
      <c r="G264" s="1909"/>
      <c r="H264" s="1909"/>
      <c r="I264" s="1909"/>
      <c r="J264" s="1909"/>
      <c r="K264" s="1909"/>
      <c r="L264" s="1679"/>
      <c r="M264" s="1679"/>
    </row>
    <row r="265" spans="1:13" ht="15.6">
      <c r="A265" s="1909"/>
      <c r="B265" s="2946" t="s">
        <v>558</v>
      </c>
      <c r="C265" s="3004"/>
      <c r="D265" s="3005">
        <f>D196+I194</f>
        <v>6</v>
      </c>
      <c r="E265" s="3006">
        <f>SUM(D264:D266)/D$300</f>
        <v>0.14084507042253522</v>
      </c>
      <c r="F265" s="1909"/>
      <c r="G265" s="1909"/>
      <c r="H265" s="1909"/>
      <c r="I265" s="1909"/>
      <c r="J265" s="1909"/>
      <c r="K265" s="1909"/>
      <c r="L265" s="1679"/>
      <c r="M265" s="1679"/>
    </row>
    <row r="266" spans="1:13" ht="15.6">
      <c r="A266" s="1909"/>
      <c r="B266" s="2966" t="s">
        <v>559</v>
      </c>
      <c r="C266" s="3013"/>
      <c r="D266" s="3014">
        <f>D197+I195</f>
        <v>42</v>
      </c>
      <c r="E266" s="3015"/>
      <c r="F266" s="1909"/>
      <c r="G266" s="1909"/>
      <c r="H266" s="1909"/>
      <c r="I266" s="1909"/>
      <c r="J266" s="1909"/>
      <c r="K266" s="1909"/>
      <c r="L266" s="1679"/>
      <c r="M266" s="1679"/>
    </row>
    <row r="267" spans="1:13" ht="15.6">
      <c r="A267" s="1909"/>
      <c r="B267" s="2942" t="s">
        <v>561</v>
      </c>
      <c r="C267" s="3001"/>
      <c r="D267" s="3002">
        <f>D175</f>
        <v>1</v>
      </c>
      <c r="E267" s="3016"/>
      <c r="F267" s="1909"/>
      <c r="G267" s="1909"/>
      <c r="H267" s="1909"/>
      <c r="I267" s="1909"/>
      <c r="J267" s="1909"/>
      <c r="K267" s="1909"/>
      <c r="L267" s="1679"/>
      <c r="M267" s="1679"/>
    </row>
    <row r="268" spans="1:13" ht="15.6">
      <c r="A268" s="1909"/>
      <c r="B268" s="2950" t="s">
        <v>2249</v>
      </c>
      <c r="C268" s="3007"/>
      <c r="D268" s="3008">
        <f>D176</f>
        <v>4</v>
      </c>
      <c r="E268" s="3009">
        <f>SUM(D267:D268)/D$300</f>
        <v>1.4084507042253521E-2</v>
      </c>
      <c r="F268" s="1909"/>
      <c r="G268" s="1909"/>
      <c r="H268" s="1909"/>
      <c r="I268" s="1909"/>
      <c r="J268" s="1909"/>
      <c r="K268" s="1909"/>
      <c r="L268" s="1679"/>
      <c r="M268" s="1679"/>
    </row>
    <row r="269" spans="1:13" ht="15.6">
      <c r="A269" s="1909"/>
      <c r="B269" s="2975" t="s">
        <v>562</v>
      </c>
      <c r="C269" s="3010"/>
      <c r="D269" s="3011">
        <f>D142+D151+I175+I184</f>
        <v>4</v>
      </c>
      <c r="E269" s="3012"/>
      <c r="F269" s="1909"/>
      <c r="G269" s="1909"/>
      <c r="H269" s="1909"/>
      <c r="I269" s="1909"/>
      <c r="J269" s="1909"/>
      <c r="K269" s="1909"/>
      <c r="L269" s="1679"/>
      <c r="M269" s="1679"/>
    </row>
    <row r="270" spans="1:13" ht="15.6">
      <c r="A270" s="1909"/>
      <c r="B270" s="2966" t="s">
        <v>564</v>
      </c>
      <c r="C270" s="3013"/>
      <c r="D270" s="3014">
        <f>D143+D152+D185+I185</f>
        <v>14</v>
      </c>
      <c r="E270" s="3015">
        <f>SUM(D269:D270)/D$300</f>
        <v>5.0704225352112678E-2</v>
      </c>
      <c r="F270" s="1909"/>
      <c r="G270" s="1909"/>
      <c r="H270" s="1909"/>
      <c r="I270" s="1909"/>
      <c r="J270" s="1909"/>
      <c r="K270" s="1909"/>
      <c r="L270" s="1679"/>
      <c r="M270" s="1679"/>
    </row>
    <row r="271" spans="1:13" ht="15.6">
      <c r="A271" s="1909"/>
      <c r="B271" s="2942" t="s">
        <v>1238</v>
      </c>
      <c r="C271" s="3001"/>
      <c r="D271" s="3002">
        <f>D153</f>
        <v>1</v>
      </c>
      <c r="E271" s="3016"/>
      <c r="F271" s="1909"/>
      <c r="G271" s="1909"/>
      <c r="H271" s="1909"/>
      <c r="I271" s="1909"/>
      <c r="J271" s="1909"/>
      <c r="K271" s="1909"/>
      <c r="L271" s="1679"/>
      <c r="M271" s="1679"/>
    </row>
    <row r="272" spans="1:13" ht="15.6">
      <c r="A272" s="1909"/>
      <c r="B272" s="2950" t="s">
        <v>2062</v>
      </c>
      <c r="C272" s="3007"/>
      <c r="D272" s="3008">
        <f>D154</f>
        <v>2</v>
      </c>
      <c r="E272" s="3009">
        <f>SUM(D271:D272)/D$300</f>
        <v>8.4507042253521118E-3</v>
      </c>
      <c r="F272" s="1909"/>
      <c r="G272" s="1909"/>
      <c r="H272" s="1909"/>
      <c r="I272" s="1909"/>
      <c r="J272" s="1909"/>
      <c r="K272" s="1909"/>
      <c r="L272" s="1679"/>
      <c r="M272" s="1679"/>
    </row>
    <row r="273" spans="1:13" ht="15.6">
      <c r="A273" s="1909"/>
      <c r="B273" s="2975" t="s">
        <v>565</v>
      </c>
      <c r="C273" s="3010"/>
      <c r="D273" s="3011">
        <f>D232+I232</f>
        <v>2</v>
      </c>
      <c r="E273" s="3012"/>
      <c r="F273" s="1909"/>
      <c r="G273" s="1909"/>
      <c r="H273" s="1909"/>
      <c r="I273" s="1909"/>
      <c r="J273" s="1909"/>
      <c r="K273" s="1909"/>
      <c r="L273" s="1679"/>
      <c r="M273" s="1679"/>
    </row>
    <row r="274" spans="1:13" ht="15.6">
      <c r="A274" s="1909"/>
      <c r="B274" s="2946" t="s">
        <v>566</v>
      </c>
      <c r="C274" s="3004"/>
      <c r="D274" s="3005">
        <f>D233+I233</f>
        <v>6</v>
      </c>
      <c r="E274" s="3006">
        <f>SUM(D273:D275)/D$300</f>
        <v>0.16901408450704225</v>
      </c>
      <c r="F274" s="1909"/>
      <c r="G274" s="1909"/>
      <c r="H274" s="1909"/>
      <c r="I274" s="1909"/>
      <c r="J274" s="1909"/>
      <c r="K274" s="1909"/>
      <c r="L274" s="1679"/>
      <c r="M274" s="1679"/>
    </row>
    <row r="275" spans="1:13" ht="15.6">
      <c r="A275" s="1909"/>
      <c r="B275" s="2966" t="s">
        <v>567</v>
      </c>
      <c r="C275" s="3013"/>
      <c r="D275" s="3014">
        <f>D234+I234</f>
        <v>52</v>
      </c>
      <c r="E275" s="3015"/>
      <c r="F275" s="1909"/>
      <c r="G275" s="1909"/>
      <c r="H275" s="1909"/>
      <c r="I275" s="1909"/>
      <c r="J275" s="1909"/>
      <c r="K275" s="1909"/>
      <c r="L275" s="1679"/>
      <c r="M275" s="1679"/>
    </row>
    <row r="276" spans="1:13" ht="15.6">
      <c r="A276" s="1909"/>
      <c r="B276" s="2942" t="s">
        <v>2251</v>
      </c>
      <c r="C276" s="3001"/>
      <c r="D276" s="3002">
        <f>I151</f>
        <v>1</v>
      </c>
      <c r="E276" s="3016"/>
      <c r="F276" s="1909"/>
      <c r="G276" s="1909"/>
      <c r="H276" s="1909"/>
      <c r="I276" s="1909"/>
      <c r="J276" s="1909"/>
      <c r="K276" s="1909"/>
      <c r="L276" s="1679"/>
      <c r="M276" s="1679"/>
    </row>
    <row r="277" spans="1:13" ht="15.6">
      <c r="A277" s="1909"/>
      <c r="B277" s="2946" t="s">
        <v>2252</v>
      </c>
      <c r="C277" s="3004"/>
      <c r="D277" s="3005">
        <f>D157+I152+D166+I166+I196</f>
        <v>5</v>
      </c>
      <c r="E277" s="3006"/>
      <c r="F277" s="1909"/>
      <c r="G277" s="1909"/>
      <c r="H277" s="1909"/>
      <c r="I277" s="1909"/>
      <c r="J277" s="1909"/>
      <c r="K277" s="1909"/>
      <c r="L277" s="1679"/>
      <c r="M277" s="1679"/>
    </row>
    <row r="278" spans="1:13" ht="15.6">
      <c r="A278" s="1909"/>
      <c r="B278" s="2946" t="s">
        <v>2253</v>
      </c>
      <c r="C278" s="3004"/>
      <c r="D278" s="3005">
        <f>D158+I153+D167+I167+I197</f>
        <v>24</v>
      </c>
      <c r="E278" s="3006">
        <f>SUM(D276:D280)/D$300</f>
        <v>8.4507042253521125E-2</v>
      </c>
      <c r="F278" s="1909"/>
      <c r="G278" s="1909"/>
      <c r="H278" s="1909"/>
      <c r="I278" s="1909"/>
      <c r="J278" s="1909"/>
      <c r="K278" s="1909"/>
      <c r="L278" s="1679"/>
      <c r="M278" s="1679"/>
    </row>
    <row r="279" spans="1:13" ht="15.6">
      <c r="A279" s="1909"/>
      <c r="B279" s="2946" t="s">
        <v>698</v>
      </c>
      <c r="C279" s="3004"/>
      <c r="D279" s="3005">
        <v>0</v>
      </c>
      <c r="E279" s="3006"/>
      <c r="F279" s="1909"/>
      <c r="G279" s="1909"/>
      <c r="H279" s="1909"/>
      <c r="I279" s="1909"/>
      <c r="J279" s="1909"/>
      <c r="K279" s="1909"/>
      <c r="L279" s="1679"/>
      <c r="M279" s="1679"/>
    </row>
    <row r="280" spans="1:13" ht="15.6">
      <c r="A280" s="1909"/>
      <c r="B280" s="2950" t="s">
        <v>699</v>
      </c>
      <c r="C280" s="3007"/>
      <c r="D280" s="3008">
        <v>0</v>
      </c>
      <c r="E280" s="3009"/>
      <c r="F280" s="1909"/>
      <c r="G280" s="1909"/>
      <c r="H280" s="1909"/>
      <c r="I280" s="1909"/>
      <c r="J280" s="1909"/>
      <c r="K280" s="1909"/>
      <c r="L280" s="1679"/>
      <c r="M280" s="1679"/>
    </row>
    <row r="281" spans="1:13" ht="15.6">
      <c r="A281" s="1909"/>
      <c r="B281" s="2975" t="s">
        <v>700</v>
      </c>
      <c r="C281" s="3010"/>
      <c r="D281" s="3011">
        <f>D133+I133+D144+I142+D155+D186</f>
        <v>6</v>
      </c>
      <c r="E281" s="3012"/>
      <c r="F281" s="1909"/>
      <c r="G281" s="1909"/>
      <c r="H281" s="1909"/>
      <c r="I281" s="1909"/>
      <c r="J281" s="1909"/>
      <c r="K281" s="1909"/>
      <c r="L281" s="1679"/>
      <c r="M281" s="1679"/>
    </row>
    <row r="282" spans="1:13" ht="15.6">
      <c r="A282" s="1909"/>
      <c r="B282" s="2966" t="s">
        <v>2060</v>
      </c>
      <c r="C282" s="3013"/>
      <c r="D282" s="3014">
        <f>D134+I134+D145+I143+D156+D177+I177+D187+I186</f>
        <v>28</v>
      </c>
      <c r="E282" s="3015">
        <f>SUM(D281:D282)/D$300</f>
        <v>9.5774647887323941E-2</v>
      </c>
      <c r="F282" s="1909"/>
      <c r="G282" s="1909"/>
      <c r="H282" s="1909"/>
      <c r="I282" s="1909"/>
      <c r="J282" s="1909"/>
      <c r="K282" s="1909"/>
      <c r="L282" s="1679"/>
      <c r="M282" s="1679"/>
    </row>
    <row r="283" spans="1:13" ht="15.6">
      <c r="A283" s="1909"/>
      <c r="B283" s="2942" t="s">
        <v>701</v>
      </c>
      <c r="C283" s="3001"/>
      <c r="D283" s="3002">
        <f>D220</f>
        <v>1</v>
      </c>
      <c r="E283" s="3016"/>
      <c r="F283" s="1909"/>
      <c r="G283" s="1909"/>
      <c r="H283" s="1909"/>
      <c r="I283" s="1909"/>
      <c r="J283" s="1909"/>
      <c r="K283" s="1909"/>
      <c r="L283" s="1679"/>
      <c r="M283" s="1679"/>
    </row>
    <row r="284" spans="1:13" ht="15.6">
      <c r="A284" s="1909"/>
      <c r="B284" s="2946" t="s">
        <v>702</v>
      </c>
      <c r="C284" s="3004"/>
      <c r="D284" s="3005">
        <f>D221</f>
        <v>2</v>
      </c>
      <c r="E284" s="3006">
        <f>SUM(D283:D285)/D$300</f>
        <v>3.0985915492957747E-2</v>
      </c>
      <c r="F284" s="1909"/>
      <c r="G284" s="1909"/>
      <c r="H284" s="1909"/>
      <c r="I284" s="1909"/>
      <c r="J284" s="1909"/>
      <c r="K284" s="1909"/>
      <c r="L284" s="1679"/>
      <c r="M284" s="1679"/>
    </row>
    <row r="285" spans="1:13" ht="15.6">
      <c r="A285" s="1909"/>
      <c r="B285" s="2950" t="s">
        <v>703</v>
      </c>
      <c r="C285" s="3007"/>
      <c r="D285" s="3008">
        <f>D222</f>
        <v>8</v>
      </c>
      <c r="E285" s="3009"/>
      <c r="F285" s="1909"/>
      <c r="G285" s="1909"/>
      <c r="H285" s="1909"/>
      <c r="I285" s="1909"/>
      <c r="J285" s="1909"/>
      <c r="K285" s="1909"/>
      <c r="L285" s="1679"/>
      <c r="M285" s="1679"/>
    </row>
    <row r="286" spans="1:13" ht="15.6">
      <c r="A286" s="1909"/>
      <c r="B286" s="2975" t="s">
        <v>704</v>
      </c>
      <c r="C286" s="3010"/>
      <c r="D286" s="3011">
        <f>I144+I154+D198+I198+D223</f>
        <v>7</v>
      </c>
      <c r="E286" s="3012"/>
      <c r="F286" s="1909"/>
      <c r="G286" s="1909"/>
      <c r="H286" s="1909"/>
      <c r="I286" s="1909"/>
      <c r="J286" s="1909"/>
      <c r="K286" s="1909"/>
      <c r="L286" s="1679"/>
      <c r="M286" s="1679"/>
    </row>
    <row r="287" spans="1:13" ht="15.6">
      <c r="A287" s="1909"/>
      <c r="B287" s="2946" t="s">
        <v>2254</v>
      </c>
      <c r="C287" s="3004"/>
      <c r="D287" s="3005">
        <f>D135+I135+D146+I145+D159+D170+I170+I178</f>
        <v>19</v>
      </c>
      <c r="E287" s="3006"/>
      <c r="F287" s="1909"/>
      <c r="G287" s="1909"/>
      <c r="H287" s="1909"/>
      <c r="I287" s="1909"/>
      <c r="J287" s="1909"/>
      <c r="K287" s="1909"/>
      <c r="L287" s="1679"/>
      <c r="M287" s="1679"/>
    </row>
    <row r="288" spans="1:13" ht="15.6">
      <c r="A288" s="1909"/>
      <c r="B288" s="2946" t="s">
        <v>2061</v>
      </c>
      <c r="C288" s="3004"/>
      <c r="D288" s="3005">
        <f>D136</f>
        <v>0</v>
      </c>
      <c r="E288" s="3006">
        <f>SUM(D286:D290)/D$300</f>
        <v>0.12112676056338029</v>
      </c>
      <c r="F288" s="1909"/>
      <c r="G288" s="1909"/>
      <c r="H288" s="1909"/>
      <c r="I288" s="1909"/>
      <c r="J288" s="1909"/>
      <c r="K288" s="1909"/>
      <c r="L288" s="1679"/>
      <c r="M288" s="1679"/>
    </row>
    <row r="289" spans="1:13 4329:4329" ht="15.6">
      <c r="A289" s="1909"/>
      <c r="B289" s="2946" t="s">
        <v>2255</v>
      </c>
      <c r="C289" s="3004"/>
      <c r="D289" s="3005">
        <f>D137+I137+I146+D160+I155+D199+I199+D224</f>
        <v>12</v>
      </c>
      <c r="E289" s="3006"/>
      <c r="F289" s="1909"/>
      <c r="G289" s="1909"/>
      <c r="H289" s="1909"/>
      <c r="I289" s="1909"/>
      <c r="J289" s="1909"/>
      <c r="K289" s="1909"/>
      <c r="L289" s="1679"/>
      <c r="M289" s="1679"/>
    </row>
    <row r="290" spans="1:13 4329:4329" ht="15.6">
      <c r="A290" s="1909"/>
      <c r="B290" s="2966" t="s">
        <v>2256</v>
      </c>
      <c r="C290" s="3013"/>
      <c r="D290" s="3014">
        <f>D138+I138+I147+D161+D200+I200</f>
        <v>5</v>
      </c>
      <c r="E290" s="3015"/>
      <c r="F290" s="1909"/>
      <c r="G290" s="1909"/>
      <c r="H290" s="1909"/>
      <c r="I290" s="1909"/>
      <c r="J290" s="1909"/>
      <c r="K290" s="1909"/>
      <c r="L290" s="1679"/>
      <c r="M290" s="1679"/>
    </row>
    <row r="291" spans="1:13 4329:4329" ht="15.6">
      <c r="A291" s="1909"/>
      <c r="B291" s="2976" t="s">
        <v>2257</v>
      </c>
      <c r="C291" s="3017"/>
      <c r="D291" s="3018">
        <f>I241</f>
        <v>2</v>
      </c>
      <c r="E291" s="3019">
        <f>D291/D$300</f>
        <v>5.6338028169014088E-3</v>
      </c>
      <c r="F291" s="1909"/>
      <c r="G291" s="1909"/>
      <c r="H291" s="1909"/>
      <c r="I291" s="1909"/>
      <c r="J291" s="1909"/>
      <c r="K291" s="1909"/>
      <c r="L291" s="1679"/>
      <c r="M291" s="1679"/>
    </row>
    <row r="292" spans="1:13 4329:4329" ht="15.6">
      <c r="A292" s="1909"/>
      <c r="B292" s="2975" t="s">
        <v>1367</v>
      </c>
      <c r="C292" s="3010"/>
      <c r="D292" s="3011">
        <f>D209+I209</f>
        <v>2</v>
      </c>
      <c r="E292" s="3012"/>
      <c r="F292" s="1909"/>
      <c r="G292" s="1909"/>
      <c r="H292" s="1909"/>
      <c r="I292" s="1909"/>
      <c r="J292" s="1909"/>
      <c r="K292" s="1909"/>
      <c r="L292" s="1679"/>
      <c r="M292" s="1679"/>
    </row>
    <row r="293" spans="1:13 4329:4329" ht="15.6">
      <c r="A293" s="1909"/>
      <c r="B293" s="2946" t="s">
        <v>1368</v>
      </c>
      <c r="C293" s="3004"/>
      <c r="D293" s="3005">
        <f>D210+I210</f>
        <v>7</v>
      </c>
      <c r="E293" s="3006">
        <f>SUM(D292:D294)/D$300</f>
        <v>0.17183098591549295</v>
      </c>
      <c r="F293" s="1909"/>
      <c r="G293" s="1909"/>
      <c r="H293" s="1909"/>
      <c r="I293" s="1909"/>
      <c r="J293" s="1909"/>
      <c r="K293" s="1909"/>
      <c r="L293" s="1679"/>
      <c r="M293" s="1679"/>
    </row>
    <row r="294" spans="1:13 4329:4329" ht="15.6">
      <c r="A294" s="1909"/>
      <c r="B294" s="2966" t="s">
        <v>1369</v>
      </c>
      <c r="C294" s="3013"/>
      <c r="D294" s="3014">
        <f>D211+I211</f>
        <v>52</v>
      </c>
      <c r="E294" s="3015"/>
      <c r="F294" s="1909"/>
      <c r="G294" s="1909"/>
      <c r="H294" s="1909"/>
      <c r="I294" s="1909"/>
      <c r="J294" s="1909"/>
      <c r="K294" s="1909"/>
      <c r="L294" s="1679"/>
      <c r="M294" s="1679"/>
    </row>
    <row r="295" spans="1:13 4329:4329" ht="15.6">
      <c r="A295" s="1909"/>
      <c r="B295" s="2942" t="s">
        <v>1239</v>
      </c>
      <c r="C295" s="3001"/>
      <c r="D295" s="3002"/>
      <c r="E295" s="3016"/>
      <c r="F295" s="1909"/>
      <c r="G295" s="1909"/>
      <c r="H295" s="1909"/>
      <c r="I295" s="1909"/>
      <c r="J295" s="1909"/>
      <c r="K295" s="1909"/>
      <c r="L295" s="1679"/>
      <c r="M295" s="1679"/>
    </row>
    <row r="296" spans="1:13 4329:4329" ht="15.6">
      <c r="A296" s="1909"/>
      <c r="B296" s="2946" t="s">
        <v>1370</v>
      </c>
      <c r="C296" s="3004"/>
      <c r="D296" s="3005">
        <f>D168+I168+D203+I203+I221</f>
        <v>4</v>
      </c>
      <c r="E296" s="3006">
        <f>SUM(D295:D297)/D$300</f>
        <v>3.9436619718309862E-2</v>
      </c>
      <c r="F296" s="1909"/>
      <c r="G296" s="1909"/>
      <c r="H296" s="1909"/>
      <c r="I296" s="1909"/>
      <c r="J296" s="1909"/>
      <c r="K296" s="1909"/>
      <c r="L296" s="1679"/>
      <c r="M296" s="1679"/>
    </row>
    <row r="297" spans="1:13 4329:4329" ht="15.6">
      <c r="A297" s="1909"/>
      <c r="B297" s="2950" t="s">
        <v>1371</v>
      </c>
      <c r="C297" s="3007"/>
      <c r="D297" s="3008">
        <f>D169+I169+D204+I204+I222</f>
        <v>10</v>
      </c>
      <c r="E297" s="3009"/>
      <c r="F297" s="1909"/>
      <c r="G297" s="1909"/>
      <c r="H297" s="1909"/>
      <c r="I297" s="1909"/>
      <c r="J297" s="1909"/>
      <c r="K297" s="1909"/>
      <c r="L297" s="1679"/>
      <c r="M297" s="1679"/>
    </row>
    <row r="298" spans="1:13 4329:4329" ht="15.6">
      <c r="A298" s="1909"/>
      <c r="B298" s="2975" t="s">
        <v>2259</v>
      </c>
      <c r="C298" s="3010"/>
      <c r="D298" s="3020">
        <f>I147+D162+I179+D205+I205+D244</f>
        <v>3</v>
      </c>
      <c r="E298" s="3012">
        <f>D298/D$300</f>
        <v>8.4507042253521118E-3</v>
      </c>
      <c r="F298" s="1909"/>
      <c r="G298" s="1909"/>
      <c r="H298" s="1909"/>
      <c r="I298" s="1909"/>
      <c r="J298" s="1909"/>
      <c r="K298" s="1909"/>
      <c r="L298" s="1679"/>
      <c r="M298" s="1679"/>
      <c r="FJM298" s="30"/>
    </row>
    <row r="299" spans="1:13 4329:4329" ht="15.6" thickBot="1">
      <c r="A299" s="1909"/>
      <c r="B299" s="3021"/>
      <c r="C299" s="3013"/>
      <c r="D299" s="3014"/>
      <c r="E299" s="3015"/>
      <c r="F299" s="1909"/>
      <c r="G299" s="1909"/>
      <c r="H299" s="1909"/>
      <c r="I299" s="1909"/>
      <c r="J299" s="1909"/>
      <c r="K299" s="1909"/>
      <c r="L299" s="1679"/>
      <c r="M299" s="1679"/>
    </row>
    <row r="300" spans="1:13 4329:4329" ht="16.2" thickBot="1">
      <c r="A300" s="1909"/>
      <c r="B300" s="2977" t="s">
        <v>1372</v>
      </c>
      <c r="C300" s="3022"/>
      <c r="D300" s="3023">
        <f>SUM(D261:D298)</f>
        <v>355</v>
      </c>
      <c r="E300" s="3024">
        <f>SUM(E261:E298)</f>
        <v>0.99999999999999978</v>
      </c>
      <c r="F300" s="1909"/>
      <c r="G300" s="1909"/>
      <c r="H300" s="1909"/>
      <c r="I300" s="1909"/>
      <c r="J300" s="1909"/>
      <c r="K300" s="1909"/>
      <c r="L300" s="1679"/>
      <c r="M300" s="1679"/>
    </row>
    <row r="301" spans="1:13 4329:4329">
      <c r="A301" s="1909"/>
      <c r="B301" s="1909"/>
      <c r="C301" s="1909"/>
      <c r="D301" s="1909"/>
      <c r="E301" s="1909"/>
      <c r="F301" s="1909"/>
      <c r="G301" s="1909"/>
      <c r="H301" s="1909"/>
      <c r="I301" s="1909"/>
      <c r="J301" s="1909"/>
      <c r="K301" s="1909"/>
      <c r="L301" s="1679"/>
      <c r="M301" s="1679"/>
    </row>
    <row r="302" spans="1:13 4329:4329">
      <c r="A302" s="1909"/>
      <c r="B302" s="1909"/>
      <c r="C302" s="1909"/>
      <c r="D302" s="1909"/>
      <c r="E302" s="1909"/>
      <c r="F302" s="1909"/>
      <c r="G302" s="1909"/>
      <c r="H302" s="1909"/>
      <c r="I302" s="1909"/>
      <c r="J302" s="1909"/>
      <c r="K302" s="1909"/>
      <c r="L302" s="1679"/>
      <c r="M302" s="1679"/>
    </row>
    <row r="303" spans="1:13 4329:4329">
      <c r="A303" s="1909"/>
      <c r="B303" s="1909"/>
      <c r="C303" s="1909"/>
      <c r="D303" s="1909"/>
      <c r="E303" s="1909"/>
      <c r="F303" s="1909"/>
      <c r="G303" s="1909"/>
      <c r="H303" s="1909"/>
      <c r="I303" s="1909"/>
      <c r="J303" s="1909"/>
      <c r="K303" s="1909"/>
      <c r="L303" s="1679"/>
      <c r="M303" s="1679"/>
    </row>
    <row r="304" spans="1:13 4329:4329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1:1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1:1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1:1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1:1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1:1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1:1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1:1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1:1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1:1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1:1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1:1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1:1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1:1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1:1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1:1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1:1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</row>
  </sheetData>
  <mergeCells count="12">
    <mergeCell ref="B259:C259"/>
    <mergeCell ref="D259:E259"/>
    <mergeCell ref="K2:L2"/>
    <mergeCell ref="K3:L3"/>
    <mergeCell ref="I5:J6"/>
    <mergeCell ref="I7:J7"/>
    <mergeCell ref="B20:H21"/>
    <mergeCell ref="B22:C23"/>
    <mergeCell ref="E22:E23"/>
    <mergeCell ref="F22:F23"/>
    <mergeCell ref="G22:G23"/>
    <mergeCell ref="H22:H23"/>
  </mergeCells>
  <pageMargins left="0.7" right="0.7" top="0.75" bottom="0.75" header="0.3" footer="0.3"/>
  <pageSetup paperSize="3" orientation="landscape" r:id="rId1"/>
  <rowBreaks count="3" manualBreakCount="3">
    <brk id="129" max="12" man="1"/>
    <brk id="215" max="12" man="1"/>
    <brk id="257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93"/>
  <sheetViews>
    <sheetView showGridLines="0" workbookViewId="0">
      <pane xSplit="2" ySplit="5" topLeftCell="C6" activePane="bottomRight" state="frozen"/>
      <selection activeCell="R27" sqref="R27"/>
      <selection pane="topRight" activeCell="R27" sqref="R27"/>
      <selection pane="bottomLeft" activeCell="R27" sqref="R27"/>
      <selection pane="bottomRight" activeCell="B58" sqref="B58"/>
    </sheetView>
  </sheetViews>
  <sheetFormatPr defaultColWidth="7.08984375" defaultRowHeight="12.6"/>
  <cols>
    <col min="1" max="1" width="3" style="1109" customWidth="1"/>
    <col min="2" max="2" width="43.54296875" style="1114" customWidth="1"/>
    <col min="3" max="3" width="13.1796875" style="1114" bestFit="1" customWidth="1"/>
    <col min="4" max="4" width="10.1796875" style="1112" customWidth="1"/>
    <col min="5" max="5" width="11.1796875" style="1112" customWidth="1"/>
    <col min="6" max="6" width="11.54296875" style="1112" customWidth="1"/>
    <col min="7" max="7" width="7.81640625" style="1112" customWidth="1"/>
    <col min="8" max="8" width="9.6328125" style="1112" customWidth="1"/>
    <col min="9" max="9" width="9.36328125" style="1112" customWidth="1"/>
    <col min="10" max="10" width="12.81640625" style="1112" customWidth="1"/>
    <col min="11" max="12" width="10.81640625" style="1109" customWidth="1"/>
    <col min="13" max="13" width="14.36328125" style="1109" customWidth="1"/>
    <col min="14" max="14" width="6.81640625" style="1109" customWidth="1"/>
    <col min="15" max="15" width="10.36328125" style="1109" customWidth="1"/>
    <col min="16" max="17" width="8.36328125" style="1109" customWidth="1"/>
    <col min="18" max="19" width="6.81640625" style="1109" customWidth="1"/>
    <col min="20" max="20" width="4.36328125" style="1109" customWidth="1"/>
    <col min="21" max="16384" width="7.08984375" style="1114"/>
  </cols>
  <sheetData>
    <row r="1" spans="1:26" ht="20.25" customHeight="1">
      <c r="B1" s="1110" t="str">
        <f>+'Estimate Details'!B1</f>
        <v>10 MW PV Solar  - Standard Efficiency Crystalline Panels</v>
      </c>
      <c r="C1" s="1111" t="s">
        <v>568</v>
      </c>
      <c r="E1" s="1113"/>
    </row>
    <row r="2" spans="1:26" ht="20.25" customHeight="1">
      <c r="B2" s="1116" t="str">
        <f>+'Estimate Details'!B2</f>
        <v>Kentucky</v>
      </c>
      <c r="Q2" s="3301"/>
      <c r="R2" s="3301"/>
      <c r="S2" s="1115"/>
    </row>
    <row r="3" spans="1:26" ht="20.25" customHeight="1">
      <c r="A3" s="1111"/>
      <c r="B3" s="1116" t="str">
        <f>+'Estimate Details'!B3</f>
        <v>Solar PV</v>
      </c>
      <c r="D3" s="1117"/>
      <c r="E3" s="1117"/>
      <c r="F3" s="1117"/>
      <c r="G3" s="1117"/>
      <c r="H3" s="1117"/>
      <c r="I3" s="1117"/>
      <c r="J3" s="1117"/>
      <c r="K3" s="1117"/>
      <c r="L3" s="1117"/>
      <c r="M3" s="1117"/>
      <c r="N3" s="1117"/>
      <c r="O3" s="1117"/>
      <c r="P3" s="1117"/>
      <c r="Q3" s="1117"/>
      <c r="R3" s="1117"/>
      <c r="S3" s="1117"/>
      <c r="T3" s="1117"/>
    </row>
    <row r="4" spans="1:26" s="1124" customFormat="1" ht="32.4">
      <c r="A4" s="1118"/>
      <c r="B4" s="1119"/>
      <c r="C4" s="1120" t="s">
        <v>2102</v>
      </c>
      <c r="D4" s="1121" t="s">
        <v>2103</v>
      </c>
      <c r="E4" s="1121" t="s">
        <v>563</v>
      </c>
      <c r="F4" s="1121" t="s">
        <v>501</v>
      </c>
      <c r="G4" s="1121" t="s">
        <v>502</v>
      </c>
      <c r="H4" s="1122" t="s">
        <v>503</v>
      </c>
      <c r="I4" s="1122" t="s">
        <v>2108</v>
      </c>
      <c r="J4" s="1121" t="s">
        <v>504</v>
      </c>
      <c r="K4" s="1123" t="s">
        <v>805</v>
      </c>
      <c r="L4" s="3295" t="s">
        <v>806</v>
      </c>
      <c r="M4" s="3296"/>
      <c r="N4" s="3296"/>
      <c r="O4" s="3296"/>
      <c r="P4" s="3296"/>
      <c r="Q4" s="3296"/>
      <c r="R4" s="3296"/>
      <c r="S4" s="3296"/>
      <c r="T4" s="3297"/>
    </row>
    <row r="5" spans="1:26" s="1124" customFormat="1" ht="49.2" thickBot="1">
      <c r="A5" s="1125"/>
      <c r="B5" s="1126" t="s">
        <v>1484</v>
      </c>
      <c r="C5" s="1127" t="s">
        <v>807</v>
      </c>
      <c r="D5" s="1128" t="s">
        <v>808</v>
      </c>
      <c r="E5" s="1128" t="s">
        <v>809</v>
      </c>
      <c r="F5" s="1128" t="s">
        <v>810</v>
      </c>
      <c r="G5" s="1128" t="s">
        <v>811</v>
      </c>
      <c r="H5" s="1128" t="s">
        <v>811</v>
      </c>
      <c r="I5" s="1128" t="s">
        <v>1365</v>
      </c>
      <c r="J5" s="1128" t="s">
        <v>352</v>
      </c>
      <c r="K5" s="1129" t="s">
        <v>149</v>
      </c>
      <c r="L5" s="1130" t="s">
        <v>150</v>
      </c>
      <c r="M5" s="1130" t="s">
        <v>87</v>
      </c>
      <c r="N5" s="1130" t="s">
        <v>151</v>
      </c>
      <c r="O5" s="1130" t="s">
        <v>152</v>
      </c>
      <c r="P5" s="1130" t="s">
        <v>153</v>
      </c>
      <c r="Q5" s="1130" t="s">
        <v>154</v>
      </c>
      <c r="R5" s="1130" t="s">
        <v>155</v>
      </c>
      <c r="S5" s="1130" t="s">
        <v>156</v>
      </c>
      <c r="T5" s="1130" t="s">
        <v>157</v>
      </c>
    </row>
    <row r="6" spans="1:26" ht="13.2" thickTop="1">
      <c r="A6" s="1131"/>
      <c r="B6" s="1132"/>
      <c r="C6" s="1133"/>
      <c r="D6" s="1134"/>
      <c r="E6" s="1135"/>
      <c r="F6" s="1135"/>
      <c r="G6" s="1135"/>
      <c r="H6" s="1136"/>
      <c r="I6" s="1135"/>
      <c r="J6" s="1135"/>
      <c r="K6" s="1131"/>
      <c r="L6" s="1131"/>
      <c r="M6" s="1137"/>
      <c r="N6" s="1131"/>
      <c r="O6" s="1138"/>
      <c r="P6" s="1131"/>
      <c r="Q6" s="1131"/>
      <c r="R6" s="1131"/>
      <c r="S6" s="1131"/>
      <c r="T6" s="1131"/>
    </row>
    <row r="7" spans="1:26">
      <c r="A7" s="1131">
        <v>1</v>
      </c>
      <c r="B7" s="1132" t="s">
        <v>1097</v>
      </c>
      <c r="C7" s="1133" t="s">
        <v>1289</v>
      </c>
      <c r="D7" s="1134">
        <v>60000</v>
      </c>
      <c r="E7" s="1135">
        <v>0</v>
      </c>
      <c r="F7" s="1135">
        <v>0</v>
      </c>
      <c r="G7" s="1135">
        <v>0</v>
      </c>
      <c r="H7" s="1136">
        <f>775*1.07</f>
        <v>829.25</v>
      </c>
      <c r="I7" s="1135">
        <v>0</v>
      </c>
      <c r="J7" s="1135">
        <v>830</v>
      </c>
      <c r="K7" s="1131" t="s">
        <v>99</v>
      </c>
      <c r="L7" s="1131"/>
      <c r="M7" s="1137" t="s">
        <v>159</v>
      </c>
      <c r="N7" s="1131" t="s">
        <v>160</v>
      </c>
      <c r="O7" s="1138" t="s">
        <v>165</v>
      </c>
      <c r="P7" s="1131" t="s">
        <v>161</v>
      </c>
      <c r="Q7" s="1131" t="s">
        <v>161</v>
      </c>
      <c r="R7" s="1131"/>
      <c r="S7" s="1131" t="s">
        <v>161</v>
      </c>
      <c r="T7" s="1131" t="s">
        <v>161</v>
      </c>
    </row>
    <row r="8" spans="1:26">
      <c r="A8" s="1131">
        <f>A7+1</f>
        <v>2</v>
      </c>
      <c r="B8" s="1139" t="s">
        <v>1196</v>
      </c>
      <c r="C8" s="1138" t="s">
        <v>1289</v>
      </c>
      <c r="D8" s="1140">
        <v>15000</v>
      </c>
      <c r="E8" s="1141">
        <f>1300*1.07</f>
        <v>1391</v>
      </c>
      <c r="F8" s="1140">
        <v>0</v>
      </c>
      <c r="G8" s="1141">
        <f>E8-H8</f>
        <v>281.40999999999985</v>
      </c>
      <c r="H8" s="1142">
        <f>1037*1.07</f>
        <v>1109.5900000000001</v>
      </c>
      <c r="I8" s="1141">
        <v>48</v>
      </c>
      <c r="J8" s="1141">
        <v>830</v>
      </c>
      <c r="K8" s="1137" t="s">
        <v>99</v>
      </c>
      <c r="L8" s="1137"/>
      <c r="M8" s="1137" t="s">
        <v>159</v>
      </c>
      <c r="N8" s="1137" t="s">
        <v>160</v>
      </c>
      <c r="O8" s="1137" t="s">
        <v>165</v>
      </c>
      <c r="P8" s="1137" t="s">
        <v>161</v>
      </c>
      <c r="Q8" s="1137" t="s">
        <v>161</v>
      </c>
      <c r="R8" s="1137"/>
      <c r="S8" s="1137" t="s">
        <v>161</v>
      </c>
      <c r="T8" s="1137" t="s">
        <v>161</v>
      </c>
    </row>
    <row r="9" spans="1:26">
      <c r="A9" s="1131">
        <f t="shared" ref="A9:A71" si="0">A8+1</f>
        <v>3</v>
      </c>
      <c r="B9" s="1139" t="s">
        <v>1485</v>
      </c>
      <c r="C9" s="1138" t="s">
        <v>1458</v>
      </c>
      <c r="D9" s="1140">
        <v>5000</v>
      </c>
      <c r="E9" s="1141">
        <v>427</v>
      </c>
      <c r="F9" s="1140">
        <v>0</v>
      </c>
      <c r="G9" s="1141">
        <f t="shared" ref="G9:G17" si="1">E9-H9</f>
        <v>57</v>
      </c>
      <c r="H9" s="1142">
        <v>370</v>
      </c>
      <c r="I9" s="1141">
        <v>139</v>
      </c>
      <c r="J9" s="1141">
        <v>1550</v>
      </c>
      <c r="K9" s="1137" t="s">
        <v>534</v>
      </c>
      <c r="L9" s="1137"/>
      <c r="M9" s="1137" t="s">
        <v>159</v>
      </c>
      <c r="N9" s="1137" t="s">
        <v>164</v>
      </c>
      <c r="O9" s="1137" t="s">
        <v>1523</v>
      </c>
      <c r="P9" s="1137" t="s">
        <v>161</v>
      </c>
      <c r="Q9" s="1137"/>
      <c r="R9" s="1137"/>
      <c r="S9" s="1137"/>
      <c r="T9" s="1137" t="s">
        <v>161</v>
      </c>
    </row>
    <row r="10" spans="1:26">
      <c r="A10" s="1131">
        <f t="shared" si="0"/>
        <v>4</v>
      </c>
      <c r="B10" s="1139" t="s">
        <v>1925</v>
      </c>
      <c r="C10" s="1138" t="s">
        <v>1458</v>
      </c>
      <c r="D10" s="1142">
        <v>5000</v>
      </c>
      <c r="E10" s="1141">
        <v>427</v>
      </c>
      <c r="F10" s="1140">
        <v>0</v>
      </c>
      <c r="G10" s="1141">
        <f t="shared" si="1"/>
        <v>57</v>
      </c>
      <c r="H10" s="1142">
        <v>370</v>
      </c>
      <c r="I10" s="1141">
        <v>139</v>
      </c>
      <c r="J10" s="1141">
        <v>2370</v>
      </c>
      <c r="K10" s="1137" t="s">
        <v>158</v>
      </c>
      <c r="L10" s="1137"/>
      <c r="M10" s="1137" t="s">
        <v>159</v>
      </c>
      <c r="N10" s="1137" t="s">
        <v>160</v>
      </c>
      <c r="O10" s="1137" t="s">
        <v>1523</v>
      </c>
      <c r="P10" s="1137" t="s">
        <v>161</v>
      </c>
      <c r="Q10" s="1137"/>
      <c r="R10" s="1137" t="s">
        <v>761</v>
      </c>
      <c r="S10" s="1137"/>
      <c r="T10" s="1137" t="s">
        <v>161</v>
      </c>
    </row>
    <row r="11" spans="1:26" s="1144" customFormat="1">
      <c r="A11" s="1131">
        <f t="shared" si="0"/>
        <v>5</v>
      </c>
      <c r="B11" s="1139" t="s">
        <v>1648</v>
      </c>
      <c r="C11" s="1138" t="s">
        <v>1649</v>
      </c>
      <c r="D11" s="1142">
        <v>9800</v>
      </c>
      <c r="E11" s="1140">
        <v>890</v>
      </c>
      <c r="F11" s="1140">
        <v>0</v>
      </c>
      <c r="G11" s="1141">
        <f t="shared" si="1"/>
        <v>164</v>
      </c>
      <c r="H11" s="1142">
        <v>726</v>
      </c>
      <c r="I11" s="1140">
        <v>21</v>
      </c>
      <c r="J11" s="1140">
        <v>1450</v>
      </c>
      <c r="K11" s="1138" t="s">
        <v>158</v>
      </c>
      <c r="L11" s="1138"/>
      <c r="M11" s="1138" t="s">
        <v>159</v>
      </c>
      <c r="N11" s="1138" t="s">
        <v>160</v>
      </c>
      <c r="O11" s="1138" t="s">
        <v>165</v>
      </c>
      <c r="P11" s="1138" t="s">
        <v>161</v>
      </c>
      <c r="Q11" s="1138" t="s">
        <v>161</v>
      </c>
      <c r="R11" s="1138"/>
      <c r="S11" s="1138" t="s">
        <v>163</v>
      </c>
      <c r="T11" s="1138" t="s">
        <v>161</v>
      </c>
      <c r="U11" s="1143"/>
      <c r="V11" s="1143"/>
      <c r="W11" s="1143"/>
      <c r="X11" s="1143"/>
      <c r="Y11" s="1143"/>
      <c r="Z11" s="1143"/>
    </row>
    <row r="12" spans="1:26">
      <c r="A12" s="1131">
        <f>A11+1</f>
        <v>6</v>
      </c>
      <c r="B12" s="1132" t="s">
        <v>1486</v>
      </c>
      <c r="C12" s="1133">
        <v>0</v>
      </c>
      <c r="D12" s="1145">
        <v>0</v>
      </c>
      <c r="E12" s="1135">
        <v>0</v>
      </c>
      <c r="F12" s="1145">
        <v>0</v>
      </c>
      <c r="G12" s="1141">
        <v>0</v>
      </c>
      <c r="H12" s="1136">
        <v>0</v>
      </c>
      <c r="I12" s="1135">
        <v>0</v>
      </c>
      <c r="J12" s="1135">
        <v>0</v>
      </c>
      <c r="K12" s="1131"/>
      <c r="L12" s="1131" t="s">
        <v>1321</v>
      </c>
      <c r="M12" s="1138" t="s">
        <v>159</v>
      </c>
      <c r="N12" s="1131" t="s">
        <v>160</v>
      </c>
      <c r="O12" s="1131"/>
      <c r="P12" s="1131"/>
      <c r="Q12" s="1131" t="s">
        <v>161</v>
      </c>
      <c r="R12" s="1131"/>
      <c r="S12" s="1131"/>
      <c r="T12" s="1131" t="s">
        <v>161</v>
      </c>
    </row>
    <row r="13" spans="1:26">
      <c r="A13" s="1131">
        <f>A14+1</f>
        <v>8</v>
      </c>
      <c r="B13" s="1139" t="s">
        <v>625</v>
      </c>
      <c r="C13" s="1138" t="s">
        <v>627</v>
      </c>
      <c r="D13" s="1142">
        <v>1925</v>
      </c>
      <c r="E13" s="1858">
        <v>8000</v>
      </c>
      <c r="F13" s="1140">
        <v>0</v>
      </c>
      <c r="G13" s="1141">
        <f t="shared" si="1"/>
        <v>6233</v>
      </c>
      <c r="H13" s="1142">
        <f>2945*0.6</f>
        <v>1767</v>
      </c>
      <c r="I13" s="1140">
        <v>0</v>
      </c>
      <c r="J13" s="1140">
        <v>0</v>
      </c>
      <c r="K13" s="1137" t="s">
        <v>158</v>
      </c>
      <c r="L13" s="1137"/>
      <c r="M13" s="1137" t="s">
        <v>994</v>
      </c>
      <c r="N13" s="1137" t="s">
        <v>160</v>
      </c>
      <c r="O13" s="1137" t="s">
        <v>2165</v>
      </c>
      <c r="P13" s="1137" t="s">
        <v>161</v>
      </c>
      <c r="Q13" s="1137" t="s">
        <v>161</v>
      </c>
      <c r="R13" s="1137"/>
      <c r="S13" s="1137"/>
      <c r="T13" s="1137" t="s">
        <v>161</v>
      </c>
    </row>
    <row r="14" spans="1:26">
      <c r="A14" s="1131">
        <f>A12+1</f>
        <v>7</v>
      </c>
      <c r="B14" s="1139" t="s">
        <v>626</v>
      </c>
      <c r="C14" s="1138" t="s">
        <v>628</v>
      </c>
      <c r="D14" s="1140">
        <v>5780</v>
      </c>
      <c r="E14" s="1858">
        <v>8000</v>
      </c>
      <c r="F14" s="1140">
        <v>0</v>
      </c>
      <c r="G14" s="1141">
        <f t="shared" si="1"/>
        <v>7550</v>
      </c>
      <c r="H14" s="1142">
        <v>450</v>
      </c>
      <c r="I14" s="1140">
        <v>356</v>
      </c>
      <c r="J14" s="1140">
        <v>0</v>
      </c>
      <c r="K14" s="1137"/>
      <c r="L14" s="1137"/>
      <c r="M14" s="1137" t="s">
        <v>1131</v>
      </c>
      <c r="N14" s="1137" t="s">
        <v>1132</v>
      </c>
      <c r="O14" s="1137"/>
      <c r="P14" s="1137"/>
      <c r="Q14" s="1137"/>
      <c r="R14" s="1137"/>
      <c r="S14" s="1137"/>
      <c r="T14" s="1137"/>
    </row>
    <row r="15" spans="1:26">
      <c r="A15" s="1131">
        <f>A13+1</f>
        <v>9</v>
      </c>
      <c r="B15" s="1139" t="s">
        <v>475</v>
      </c>
      <c r="C15" s="1138" t="s">
        <v>993</v>
      </c>
      <c r="D15" s="1142">
        <v>6000</v>
      </c>
      <c r="E15" s="1858">
        <v>400</v>
      </c>
      <c r="F15" s="1140">
        <v>0</v>
      </c>
      <c r="G15" s="1141">
        <f t="shared" si="1"/>
        <v>150</v>
      </c>
      <c r="H15" s="1142">
        <v>250</v>
      </c>
      <c r="I15" s="1140">
        <v>166</v>
      </c>
      <c r="J15" s="1140">
        <v>0</v>
      </c>
      <c r="K15" s="1137"/>
      <c r="L15" s="1137"/>
      <c r="M15" s="1137" t="s">
        <v>994</v>
      </c>
      <c r="N15" s="1137" t="s">
        <v>160</v>
      </c>
      <c r="O15" s="1137"/>
      <c r="P15" s="1137"/>
      <c r="Q15" s="1137"/>
      <c r="R15" s="1137"/>
      <c r="S15" s="1137"/>
      <c r="T15" s="1137" t="s">
        <v>161</v>
      </c>
    </row>
    <row r="16" spans="1:26">
      <c r="A16" s="1131">
        <f t="shared" si="0"/>
        <v>10</v>
      </c>
      <c r="B16" s="1139" t="s">
        <v>476</v>
      </c>
      <c r="C16" s="1138" t="s">
        <v>1924</v>
      </c>
      <c r="D16" s="1142"/>
      <c r="E16" s="1858">
        <v>200</v>
      </c>
      <c r="F16" s="1140">
        <v>0</v>
      </c>
      <c r="G16" s="1141">
        <f t="shared" si="1"/>
        <v>80</v>
      </c>
      <c r="H16" s="1142">
        <v>120</v>
      </c>
      <c r="I16" s="1140">
        <v>12</v>
      </c>
      <c r="J16" s="1140">
        <v>0</v>
      </c>
      <c r="K16" s="1137"/>
      <c r="L16" s="1137"/>
      <c r="M16" s="1137" t="s">
        <v>1131</v>
      </c>
      <c r="N16" s="1137" t="s">
        <v>164</v>
      </c>
      <c r="O16" s="1137"/>
      <c r="P16" s="1137"/>
      <c r="Q16" s="1137"/>
      <c r="R16" s="1137"/>
      <c r="S16" s="1137"/>
      <c r="T16" s="1137"/>
    </row>
    <row r="17" spans="1:20">
      <c r="A17" s="1131">
        <f t="shared" si="0"/>
        <v>11</v>
      </c>
      <c r="B17" s="1139" t="s">
        <v>477</v>
      </c>
      <c r="C17" s="1138" t="s">
        <v>882</v>
      </c>
      <c r="D17" s="1142"/>
      <c r="E17" s="1858">
        <v>8190</v>
      </c>
      <c r="F17" s="1140">
        <v>0</v>
      </c>
      <c r="G17" s="1141">
        <f t="shared" si="1"/>
        <v>5850</v>
      </c>
      <c r="H17" s="1142">
        <v>2340</v>
      </c>
      <c r="I17" s="1140">
        <v>24</v>
      </c>
      <c r="J17" s="1140">
        <v>0</v>
      </c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</row>
    <row r="18" spans="1:20">
      <c r="A18" s="1131">
        <f t="shared" si="0"/>
        <v>12</v>
      </c>
      <c r="B18" s="1139" t="s">
        <v>1721</v>
      </c>
      <c r="C18" s="1138" t="s">
        <v>630</v>
      </c>
      <c r="D18" s="1142">
        <v>6400</v>
      </c>
      <c r="E18" s="1858">
        <v>1070</v>
      </c>
      <c r="F18" s="1140">
        <v>0</v>
      </c>
      <c r="G18" s="1141">
        <v>95</v>
      </c>
      <c r="H18" s="1142">
        <v>948</v>
      </c>
      <c r="I18" s="1140">
        <v>100</v>
      </c>
      <c r="J18" s="1140">
        <v>1890</v>
      </c>
      <c r="K18" s="1137" t="s">
        <v>158</v>
      </c>
      <c r="L18" s="1137" t="s">
        <v>1321</v>
      </c>
      <c r="M18" s="1137" t="s">
        <v>1258</v>
      </c>
      <c r="N18" s="1137" t="s">
        <v>160</v>
      </c>
      <c r="O18" s="1137"/>
      <c r="P18" s="1137"/>
      <c r="Q18" s="1137"/>
      <c r="R18" s="1137"/>
      <c r="S18" s="1137"/>
      <c r="T18" s="1137" t="s">
        <v>161</v>
      </c>
    </row>
    <row r="19" spans="1:20">
      <c r="A19" s="1131">
        <f t="shared" si="0"/>
        <v>13</v>
      </c>
      <c r="B19" s="1139" t="s">
        <v>1327</v>
      </c>
      <c r="C19" s="1138"/>
      <c r="D19" s="1140"/>
      <c r="E19" s="1141"/>
      <c r="F19" s="1140">
        <v>0</v>
      </c>
      <c r="G19" s="1141"/>
      <c r="H19" s="1142">
        <f>480*1.77</f>
        <v>849.6</v>
      </c>
      <c r="I19" s="1140"/>
      <c r="J19" s="1140"/>
      <c r="K19" s="1137"/>
      <c r="L19" s="1137"/>
      <c r="M19" s="1137"/>
      <c r="N19" s="1137"/>
      <c r="O19" s="1137"/>
      <c r="P19" s="1137"/>
      <c r="Q19" s="1137"/>
      <c r="R19" s="1137"/>
      <c r="S19" s="1137"/>
      <c r="T19" s="1137"/>
    </row>
    <row r="20" spans="1:20">
      <c r="A20" s="1131">
        <f t="shared" si="0"/>
        <v>14</v>
      </c>
      <c r="B20" s="1139" t="s">
        <v>1926</v>
      </c>
      <c r="C20" s="1138" t="s">
        <v>1096</v>
      </c>
      <c r="D20" s="1142">
        <v>11200</v>
      </c>
      <c r="E20" s="1140">
        <v>1000</v>
      </c>
      <c r="F20" s="1140">
        <v>0</v>
      </c>
      <c r="G20" s="1141">
        <f>E20-H20</f>
        <v>170</v>
      </c>
      <c r="H20" s="1142">
        <v>830</v>
      </c>
      <c r="I20" s="1140">
        <v>21</v>
      </c>
      <c r="J20" s="1140">
        <v>1450</v>
      </c>
      <c r="K20" s="1137" t="s">
        <v>158</v>
      </c>
      <c r="L20" s="1137"/>
      <c r="M20" s="1137" t="s">
        <v>159</v>
      </c>
      <c r="N20" s="1137" t="s">
        <v>160</v>
      </c>
      <c r="O20" s="1137" t="s">
        <v>165</v>
      </c>
      <c r="P20" s="1137" t="s">
        <v>161</v>
      </c>
      <c r="Q20" s="1137" t="s">
        <v>161</v>
      </c>
      <c r="R20" s="1137" t="s">
        <v>161</v>
      </c>
      <c r="S20" s="1137" t="s">
        <v>163</v>
      </c>
      <c r="T20" s="1137"/>
    </row>
    <row r="21" spans="1:20">
      <c r="A21" s="1131">
        <f t="shared" si="0"/>
        <v>15</v>
      </c>
      <c r="B21" s="1139" t="s">
        <v>1647</v>
      </c>
      <c r="C21" s="1138">
        <v>0</v>
      </c>
      <c r="D21" s="1142">
        <v>0</v>
      </c>
      <c r="E21" s="1140">
        <v>0</v>
      </c>
      <c r="F21" s="1140">
        <v>0</v>
      </c>
      <c r="G21" s="1140">
        <v>0</v>
      </c>
      <c r="H21" s="1142">
        <v>0</v>
      </c>
      <c r="I21" s="1140">
        <v>0</v>
      </c>
      <c r="J21" s="1140">
        <v>3920</v>
      </c>
      <c r="K21" s="1137" t="s">
        <v>158</v>
      </c>
      <c r="L21" s="1137"/>
      <c r="M21" s="1137" t="s">
        <v>159</v>
      </c>
      <c r="N21" s="1137" t="s">
        <v>160</v>
      </c>
      <c r="O21" s="1137"/>
      <c r="P21" s="1137"/>
      <c r="Q21" s="1137"/>
      <c r="R21" s="1137"/>
      <c r="S21" s="1137"/>
      <c r="T21" s="1137"/>
    </row>
    <row r="22" spans="1:20">
      <c r="A22" s="1131">
        <f t="shared" si="0"/>
        <v>16</v>
      </c>
      <c r="B22" s="1139" t="s">
        <v>2052</v>
      </c>
      <c r="C22" s="1138" t="s">
        <v>760</v>
      </c>
      <c r="D22" s="1142">
        <v>400</v>
      </c>
      <c r="E22" s="1141">
        <v>100</v>
      </c>
      <c r="F22" s="1140">
        <v>0</v>
      </c>
      <c r="G22" s="1141">
        <f>E22-H22</f>
        <v>30</v>
      </c>
      <c r="H22" s="1142">
        <v>70</v>
      </c>
      <c r="I22" s="1140">
        <v>10</v>
      </c>
      <c r="J22" s="1140">
        <v>0</v>
      </c>
      <c r="K22" s="1137" t="s">
        <v>158</v>
      </c>
      <c r="L22" s="1137"/>
      <c r="M22" s="1137" t="s">
        <v>159</v>
      </c>
      <c r="N22" s="1137" t="s">
        <v>1132</v>
      </c>
      <c r="O22" s="1137"/>
      <c r="P22" s="1137"/>
      <c r="Q22" s="1137"/>
      <c r="R22" s="1137" t="s">
        <v>761</v>
      </c>
      <c r="S22" s="1137"/>
      <c r="T22" s="1137" t="s">
        <v>161</v>
      </c>
    </row>
    <row r="23" spans="1:20">
      <c r="A23" s="1131">
        <f>A22+1</f>
        <v>17</v>
      </c>
      <c r="B23" s="1139" t="s">
        <v>624</v>
      </c>
      <c r="C23" s="1138"/>
      <c r="D23" s="1142">
        <v>0</v>
      </c>
      <c r="E23" s="1141">
        <v>201500</v>
      </c>
      <c r="F23" s="1140">
        <v>0</v>
      </c>
      <c r="G23" s="1141">
        <v>0</v>
      </c>
      <c r="H23" s="1142">
        <v>0</v>
      </c>
      <c r="I23" s="1140">
        <v>10</v>
      </c>
      <c r="J23" s="1140">
        <v>0</v>
      </c>
      <c r="K23" s="1137"/>
      <c r="L23" s="1137"/>
      <c r="M23" s="1137" t="s">
        <v>159</v>
      </c>
      <c r="N23" s="1137" t="s">
        <v>1132</v>
      </c>
      <c r="O23" s="1137"/>
      <c r="P23" s="1137"/>
      <c r="Q23" s="1137"/>
      <c r="R23" s="1137" t="s">
        <v>761</v>
      </c>
      <c r="S23" s="1137"/>
      <c r="T23" s="1137" t="s">
        <v>161</v>
      </c>
    </row>
    <row r="24" spans="1:20">
      <c r="A24" s="1131">
        <f>A23+1</f>
        <v>18</v>
      </c>
      <c r="B24" s="1139" t="s">
        <v>195</v>
      </c>
      <c r="C24" s="1138" t="s">
        <v>1130</v>
      </c>
      <c r="D24" s="1140">
        <v>5440</v>
      </c>
      <c r="E24" s="1858">
        <v>10000</v>
      </c>
      <c r="F24" s="1140">
        <v>0</v>
      </c>
      <c r="G24" s="1140">
        <v>7300</v>
      </c>
      <c r="H24" s="1142">
        <v>960</v>
      </c>
      <c r="I24" s="1140">
        <v>0</v>
      </c>
      <c r="J24" s="1140">
        <v>0</v>
      </c>
      <c r="K24" s="1137"/>
      <c r="L24" s="1137"/>
      <c r="M24" s="1137" t="s">
        <v>1131</v>
      </c>
      <c r="N24" s="1137" t="s">
        <v>1132</v>
      </c>
      <c r="O24" s="1137"/>
      <c r="P24" s="1137"/>
      <c r="Q24" s="1137"/>
      <c r="R24" s="1137"/>
      <c r="S24" s="1137"/>
      <c r="T24" s="1137"/>
    </row>
    <row r="25" spans="1:20">
      <c r="A25" s="1131">
        <f>A24+1</f>
        <v>19</v>
      </c>
      <c r="B25" s="1139" t="s">
        <v>1542</v>
      </c>
      <c r="C25" s="1138" t="s">
        <v>1543</v>
      </c>
      <c r="D25" s="1140">
        <v>2100</v>
      </c>
      <c r="E25" s="1140">
        <v>356</v>
      </c>
      <c r="F25" s="1140">
        <v>0</v>
      </c>
      <c r="G25" s="1140">
        <v>70</v>
      </c>
      <c r="H25" s="1142">
        <v>292</v>
      </c>
      <c r="I25" s="1140">
        <v>0</v>
      </c>
      <c r="J25" s="1140">
        <v>0</v>
      </c>
      <c r="K25" s="1137"/>
      <c r="L25" s="1137"/>
      <c r="M25" s="1137" t="s">
        <v>1131</v>
      </c>
      <c r="N25" s="1137" t="s">
        <v>1132</v>
      </c>
      <c r="O25" s="1137"/>
      <c r="P25" s="1137"/>
      <c r="Q25" s="1137"/>
      <c r="R25" s="1137"/>
      <c r="S25" s="1137"/>
      <c r="T25" s="1137"/>
    </row>
    <row r="26" spans="1:20">
      <c r="A26" s="1131">
        <f>A25+1</f>
        <v>20</v>
      </c>
      <c r="B26" s="1139" t="s">
        <v>1168</v>
      </c>
      <c r="C26" s="1138" t="s">
        <v>1261</v>
      </c>
      <c r="D26" s="1140"/>
      <c r="E26" s="1858">
        <v>5400</v>
      </c>
      <c r="F26" s="1140">
        <v>0</v>
      </c>
      <c r="G26" s="1140">
        <v>900</v>
      </c>
      <c r="H26" s="1142">
        <v>3600</v>
      </c>
      <c r="I26" s="1140"/>
      <c r="J26" s="1140">
        <v>0</v>
      </c>
      <c r="K26" s="1137"/>
      <c r="L26" s="1137"/>
      <c r="M26" s="1137"/>
      <c r="N26" s="1137"/>
      <c r="O26" s="1137"/>
      <c r="P26" s="1137"/>
      <c r="Q26" s="1137"/>
      <c r="R26" s="1137"/>
      <c r="S26" s="1137"/>
      <c r="T26" s="1137"/>
    </row>
    <row r="27" spans="1:20">
      <c r="A27" s="1131">
        <f t="shared" si="0"/>
        <v>21</v>
      </c>
      <c r="B27" s="1139" t="s">
        <v>1290</v>
      </c>
      <c r="C27" s="1138" t="s">
        <v>1062</v>
      </c>
      <c r="D27" s="1142">
        <v>22500</v>
      </c>
      <c r="E27" s="1858">
        <v>2504</v>
      </c>
      <c r="F27" s="1140">
        <v>0</v>
      </c>
      <c r="G27" s="1141">
        <v>50</v>
      </c>
      <c r="H27" s="1142">
        <v>2133</v>
      </c>
      <c r="I27" s="1140">
        <v>50</v>
      </c>
      <c r="J27" s="1140">
        <v>3630</v>
      </c>
      <c r="K27" s="1137" t="s">
        <v>1260</v>
      </c>
      <c r="L27" s="1137"/>
      <c r="M27" s="1137" t="s">
        <v>159</v>
      </c>
      <c r="N27" s="1137" t="s">
        <v>160</v>
      </c>
      <c r="O27" s="1137"/>
      <c r="P27" s="1137"/>
      <c r="Q27" s="1137"/>
      <c r="R27" s="1137"/>
      <c r="S27" s="1137"/>
      <c r="T27" s="1137" t="s">
        <v>161</v>
      </c>
    </row>
    <row r="28" spans="1:20">
      <c r="A28" s="1131">
        <f t="shared" si="0"/>
        <v>22</v>
      </c>
      <c r="B28" s="1132" t="s">
        <v>1445</v>
      </c>
      <c r="C28" s="1133" t="s">
        <v>1086</v>
      </c>
      <c r="D28" s="1145">
        <v>1257</v>
      </c>
      <c r="E28" s="1135">
        <v>436</v>
      </c>
      <c r="F28" s="1135">
        <v>0</v>
      </c>
      <c r="G28" s="1135">
        <v>70</v>
      </c>
      <c r="H28" s="1136">
        <v>402</v>
      </c>
      <c r="I28" s="1135">
        <v>32</v>
      </c>
      <c r="J28" s="1135">
        <v>1900</v>
      </c>
      <c r="K28" s="1131"/>
      <c r="L28" s="1131"/>
      <c r="M28" s="1131"/>
      <c r="N28" s="1131" t="s">
        <v>164</v>
      </c>
      <c r="O28" s="1131"/>
      <c r="P28" s="1131"/>
      <c r="Q28" s="1131"/>
      <c r="R28" s="1131"/>
      <c r="S28" s="1131"/>
      <c r="T28" s="1131" t="s">
        <v>161</v>
      </c>
    </row>
    <row r="29" spans="1:20">
      <c r="A29" s="1131">
        <f t="shared" si="0"/>
        <v>23</v>
      </c>
      <c r="B29" s="1139" t="s">
        <v>1328</v>
      </c>
      <c r="C29" s="1138" t="s">
        <v>1459</v>
      </c>
      <c r="D29" s="1140">
        <v>2827</v>
      </c>
      <c r="E29" s="1141">
        <v>580</v>
      </c>
      <c r="F29" s="1140">
        <v>0</v>
      </c>
      <c r="G29" s="1141">
        <v>160</v>
      </c>
      <c r="H29" s="1142">
        <v>420</v>
      </c>
      <c r="I29" s="1140">
        <v>79</v>
      </c>
      <c r="J29" s="1140">
        <v>0</v>
      </c>
      <c r="K29" s="1137"/>
      <c r="L29" s="1137"/>
      <c r="M29" s="1137" t="s">
        <v>1131</v>
      </c>
      <c r="N29" s="1137" t="s">
        <v>164</v>
      </c>
      <c r="O29" s="1137"/>
      <c r="P29" s="1137"/>
      <c r="Q29" s="1137"/>
      <c r="R29" s="1137"/>
      <c r="S29" s="1137"/>
      <c r="T29" s="1137" t="s">
        <v>161</v>
      </c>
    </row>
    <row r="30" spans="1:20">
      <c r="A30" s="1131">
        <f>A31+1</f>
        <v>25</v>
      </c>
      <c r="B30" s="1139" t="s">
        <v>1923</v>
      </c>
      <c r="C30" s="1138" t="s">
        <v>64</v>
      </c>
      <c r="D30" s="1140">
        <v>24000</v>
      </c>
      <c r="E30" s="1140">
        <v>6000</v>
      </c>
      <c r="F30" s="1140">
        <v>0</v>
      </c>
      <c r="G30" s="1140">
        <v>4200</v>
      </c>
      <c r="H30" s="1142">
        <v>3900</v>
      </c>
      <c r="I30" s="1140">
        <v>0</v>
      </c>
      <c r="J30" s="1140">
        <v>5100</v>
      </c>
      <c r="K30" s="1137"/>
      <c r="L30" s="1137"/>
      <c r="M30" s="1137" t="s">
        <v>159</v>
      </c>
      <c r="N30" s="1137" t="s">
        <v>160</v>
      </c>
      <c r="O30" s="1137"/>
      <c r="P30" s="1137"/>
      <c r="Q30" s="1137"/>
      <c r="R30" s="1137"/>
      <c r="S30" s="1137"/>
      <c r="T30" s="1137" t="s">
        <v>161</v>
      </c>
    </row>
    <row r="31" spans="1:20">
      <c r="A31" s="1131">
        <f>A29+1</f>
        <v>24</v>
      </c>
      <c r="B31" s="1139" t="s">
        <v>758</v>
      </c>
      <c r="C31" s="1138" t="s">
        <v>759</v>
      </c>
      <c r="D31" s="1140">
        <v>3200</v>
      </c>
      <c r="E31" s="1858">
        <v>18000</v>
      </c>
      <c r="F31" s="1140">
        <v>0</v>
      </c>
      <c r="G31" s="1140">
        <v>9100</v>
      </c>
      <c r="H31" s="1142">
        <v>2945</v>
      </c>
      <c r="I31" s="1140">
        <v>0</v>
      </c>
      <c r="J31" s="1140">
        <v>5100</v>
      </c>
      <c r="K31" s="1137"/>
      <c r="L31" s="1137"/>
      <c r="M31" s="1137" t="s">
        <v>159</v>
      </c>
      <c r="N31" s="1137" t="s">
        <v>160</v>
      </c>
      <c r="O31" s="1137"/>
      <c r="P31" s="1137"/>
      <c r="Q31" s="1137"/>
      <c r="R31" s="1137"/>
      <c r="S31" s="1137"/>
      <c r="T31" s="1137" t="s">
        <v>161</v>
      </c>
    </row>
    <row r="32" spans="1:20">
      <c r="A32" s="1131">
        <f>A30+1</f>
        <v>26</v>
      </c>
      <c r="B32" s="1132" t="s">
        <v>1329</v>
      </c>
      <c r="C32" s="1133" t="s">
        <v>1556</v>
      </c>
      <c r="D32" s="1134">
        <v>400</v>
      </c>
      <c r="E32" s="1135">
        <v>800</v>
      </c>
      <c r="F32" s="1135">
        <v>0</v>
      </c>
      <c r="G32" s="1135">
        <v>200</v>
      </c>
      <c r="H32" s="1136">
        <v>600</v>
      </c>
      <c r="I32" s="1135">
        <v>130</v>
      </c>
      <c r="J32" s="1135">
        <v>0</v>
      </c>
      <c r="K32" s="1131" t="s">
        <v>158</v>
      </c>
      <c r="L32" s="1131" t="s">
        <v>256</v>
      </c>
      <c r="M32" s="1131" t="s">
        <v>994</v>
      </c>
      <c r="N32" s="1131" t="s">
        <v>160</v>
      </c>
      <c r="O32" s="1131"/>
      <c r="P32" s="1131"/>
      <c r="Q32" s="1131" t="s">
        <v>161</v>
      </c>
      <c r="R32" s="1131" t="s">
        <v>161</v>
      </c>
      <c r="S32" s="1131"/>
      <c r="T32" s="1131" t="s">
        <v>161</v>
      </c>
    </row>
    <row r="33" spans="1:20">
      <c r="A33" s="1131">
        <f t="shared" si="0"/>
        <v>27</v>
      </c>
      <c r="B33" s="1139" t="s">
        <v>1330</v>
      </c>
      <c r="C33" s="1138" t="s">
        <v>95</v>
      </c>
      <c r="D33" s="1140">
        <v>5027</v>
      </c>
      <c r="E33" s="1141">
        <v>1352</v>
      </c>
      <c r="F33" s="1140">
        <v>0</v>
      </c>
      <c r="G33" s="1141">
        <v>330</v>
      </c>
      <c r="H33" s="1142">
        <v>1232</v>
      </c>
      <c r="I33" s="1140">
        <v>42</v>
      </c>
      <c r="J33" s="1140">
        <v>0</v>
      </c>
      <c r="K33" s="1137"/>
      <c r="L33" s="1137" t="s">
        <v>96</v>
      </c>
      <c r="M33" s="1137" t="s">
        <v>1131</v>
      </c>
      <c r="N33" s="1137" t="s">
        <v>164</v>
      </c>
      <c r="O33" s="1137"/>
      <c r="P33" s="1137"/>
      <c r="Q33" s="1137"/>
      <c r="R33" s="1137"/>
      <c r="S33" s="1137"/>
      <c r="T33" s="1137" t="s">
        <v>161</v>
      </c>
    </row>
    <row r="34" spans="1:20">
      <c r="A34" s="1131">
        <f t="shared" si="0"/>
        <v>28</v>
      </c>
      <c r="B34" s="1139" t="s">
        <v>1331</v>
      </c>
      <c r="C34" s="1138" t="s">
        <v>1093</v>
      </c>
      <c r="D34" s="1140">
        <v>2124</v>
      </c>
      <c r="E34" s="1141">
        <v>628</v>
      </c>
      <c r="F34" s="1140">
        <v>0</v>
      </c>
      <c r="G34" s="1141">
        <v>160</v>
      </c>
      <c r="H34" s="1142">
        <v>547</v>
      </c>
      <c r="I34" s="1140">
        <v>79</v>
      </c>
      <c r="J34" s="1140">
        <v>2270</v>
      </c>
      <c r="K34" s="1137"/>
      <c r="L34" s="1137" t="s">
        <v>92</v>
      </c>
      <c r="M34" s="1137" t="s">
        <v>159</v>
      </c>
      <c r="N34" s="1137" t="s">
        <v>164</v>
      </c>
      <c r="O34" s="1137"/>
      <c r="P34" s="1137"/>
      <c r="Q34" s="1137"/>
      <c r="R34" s="1137" t="s">
        <v>93</v>
      </c>
      <c r="S34" s="1137"/>
      <c r="T34" s="1137" t="s">
        <v>161</v>
      </c>
    </row>
    <row r="35" spans="1:20">
      <c r="A35" s="1131">
        <f t="shared" si="0"/>
        <v>29</v>
      </c>
      <c r="B35" s="1139" t="s">
        <v>2020</v>
      </c>
      <c r="C35" s="1138" t="s">
        <v>1460</v>
      </c>
      <c r="D35" s="1140">
        <v>25</v>
      </c>
      <c r="E35" s="1141">
        <v>10</v>
      </c>
      <c r="F35" s="1140">
        <v>0</v>
      </c>
      <c r="G35" s="1141">
        <v>5</v>
      </c>
      <c r="H35" s="1142">
        <v>5</v>
      </c>
      <c r="I35" s="1141">
        <v>0</v>
      </c>
      <c r="J35" s="1141">
        <v>0</v>
      </c>
      <c r="K35" s="1137"/>
      <c r="L35" s="1137"/>
      <c r="M35" s="1137" t="s">
        <v>159</v>
      </c>
      <c r="N35" s="1137" t="s">
        <v>160</v>
      </c>
      <c r="O35" s="1137"/>
      <c r="P35" s="1137"/>
      <c r="Q35" s="1137"/>
      <c r="R35" s="1137"/>
      <c r="S35" s="1137"/>
      <c r="T35" s="1137" t="s">
        <v>161</v>
      </c>
    </row>
    <row r="36" spans="1:20">
      <c r="A36" s="1131">
        <f t="shared" si="0"/>
        <v>30</v>
      </c>
      <c r="B36" s="1139" t="s">
        <v>1061</v>
      </c>
      <c r="C36" s="1138" t="s">
        <v>532</v>
      </c>
      <c r="D36" s="1140">
        <v>1963</v>
      </c>
      <c r="E36" s="1141">
        <v>90</v>
      </c>
      <c r="F36" s="1140">
        <v>0</v>
      </c>
      <c r="G36" s="1141">
        <v>36</v>
      </c>
      <c r="H36" s="1142">
        <v>73</v>
      </c>
      <c r="I36" s="1141">
        <v>26</v>
      </c>
      <c r="J36" s="1141">
        <v>2650</v>
      </c>
      <c r="K36" s="1137"/>
      <c r="L36" s="1137"/>
      <c r="M36" s="1137" t="s">
        <v>1131</v>
      </c>
      <c r="N36" s="1137" t="s">
        <v>164</v>
      </c>
      <c r="O36" s="1137"/>
      <c r="P36" s="1137"/>
      <c r="Q36" s="1137"/>
      <c r="R36" s="1137"/>
      <c r="S36" s="1137"/>
      <c r="T36" s="1137" t="s">
        <v>161</v>
      </c>
    </row>
    <row r="37" spans="1:20">
      <c r="A37" s="1131">
        <f t="shared" si="0"/>
        <v>31</v>
      </c>
      <c r="B37" s="1139" t="s">
        <v>1766</v>
      </c>
      <c r="C37" s="1138" t="s">
        <v>1767</v>
      </c>
      <c r="D37" s="1140">
        <v>1800</v>
      </c>
      <c r="E37" s="1141">
        <v>360</v>
      </c>
      <c r="F37" s="1140">
        <v>0</v>
      </c>
      <c r="G37" s="1141">
        <v>90</v>
      </c>
      <c r="H37" s="1142">
        <v>270</v>
      </c>
      <c r="I37" s="1141">
        <v>0</v>
      </c>
      <c r="J37" s="1141">
        <v>10040</v>
      </c>
      <c r="K37" s="1137" t="s">
        <v>1442</v>
      </c>
      <c r="L37" s="1137" t="s">
        <v>1321</v>
      </c>
      <c r="M37" s="1137" t="s">
        <v>159</v>
      </c>
      <c r="N37" s="1137" t="s">
        <v>164</v>
      </c>
      <c r="O37" s="1137"/>
      <c r="P37" s="1137"/>
      <c r="Q37" s="1137"/>
      <c r="R37" s="1137"/>
      <c r="S37" s="1137"/>
      <c r="T37" s="1137" t="s">
        <v>161</v>
      </c>
    </row>
    <row r="38" spans="1:20">
      <c r="A38" s="1131">
        <f t="shared" si="0"/>
        <v>32</v>
      </c>
      <c r="B38" s="1139" t="s">
        <v>1060</v>
      </c>
      <c r="C38" s="1138" t="s">
        <v>1461</v>
      </c>
      <c r="D38" s="1140">
        <v>4000</v>
      </c>
      <c r="E38" s="1141">
        <v>100</v>
      </c>
      <c r="F38" s="1140">
        <v>0</v>
      </c>
      <c r="G38" s="1141">
        <v>80</v>
      </c>
      <c r="H38" s="1142">
        <v>60</v>
      </c>
      <c r="I38" s="1141">
        <v>10</v>
      </c>
      <c r="J38" s="1141">
        <v>10040</v>
      </c>
      <c r="K38" s="1137" t="s">
        <v>1442</v>
      </c>
      <c r="L38" s="1137" t="s">
        <v>1321</v>
      </c>
      <c r="M38" s="1137" t="s">
        <v>159</v>
      </c>
      <c r="N38" s="1137" t="s">
        <v>164</v>
      </c>
      <c r="O38" s="1137"/>
      <c r="P38" s="1137"/>
      <c r="Q38" s="1137"/>
      <c r="R38" s="1137"/>
      <c r="S38" s="1137"/>
      <c r="T38" s="1137" t="s">
        <v>161</v>
      </c>
    </row>
    <row r="39" spans="1:20">
      <c r="A39" s="1131">
        <f t="shared" si="0"/>
        <v>33</v>
      </c>
      <c r="B39" s="1139" t="s">
        <v>1476</v>
      </c>
      <c r="C39" s="1138" t="s">
        <v>2121</v>
      </c>
      <c r="D39" s="1142">
        <v>3850</v>
      </c>
      <c r="E39" s="1141">
        <v>500</v>
      </c>
      <c r="F39" s="1140">
        <v>0</v>
      </c>
      <c r="G39" s="1141">
        <v>150</v>
      </c>
      <c r="H39" s="1142">
        <v>350</v>
      </c>
      <c r="I39" s="1141">
        <v>106</v>
      </c>
      <c r="J39" s="1141">
        <v>1200</v>
      </c>
      <c r="K39" s="1137"/>
      <c r="L39" s="1137"/>
      <c r="M39" s="1137" t="s">
        <v>159</v>
      </c>
      <c r="N39" s="1137" t="s">
        <v>164</v>
      </c>
      <c r="O39" s="1137"/>
      <c r="P39" s="1137"/>
      <c r="Q39" s="1137"/>
      <c r="R39" s="1137"/>
      <c r="S39" s="1137"/>
      <c r="T39" s="1137" t="s">
        <v>161</v>
      </c>
    </row>
    <row r="40" spans="1:20">
      <c r="A40" s="1131">
        <f>A39+1</f>
        <v>34</v>
      </c>
      <c r="B40" s="1139" t="s">
        <v>1090</v>
      </c>
      <c r="C40" s="1138" t="s">
        <v>1461</v>
      </c>
      <c r="D40" s="1142">
        <v>4000</v>
      </c>
      <c r="E40" s="1141">
        <v>815</v>
      </c>
      <c r="F40" s="1140">
        <v>0</v>
      </c>
      <c r="G40" s="1141">
        <v>150</v>
      </c>
      <c r="H40" s="1142">
        <v>592</v>
      </c>
      <c r="I40" s="1141">
        <v>106</v>
      </c>
      <c r="J40" s="1141">
        <v>1200</v>
      </c>
      <c r="K40" s="1137"/>
      <c r="L40" s="1137"/>
      <c r="M40" s="1137" t="s">
        <v>159</v>
      </c>
      <c r="N40" s="1137" t="s">
        <v>164</v>
      </c>
      <c r="O40" s="1137"/>
      <c r="P40" s="1137"/>
      <c r="Q40" s="1137"/>
      <c r="R40" s="1137"/>
      <c r="S40" s="1137"/>
      <c r="T40" s="1137" t="s">
        <v>161</v>
      </c>
    </row>
    <row r="41" spans="1:20">
      <c r="A41" s="1131">
        <f>A40+1</f>
        <v>35</v>
      </c>
      <c r="B41" s="1139" t="s">
        <v>1406</v>
      </c>
      <c r="C41" s="1138" t="s">
        <v>1408</v>
      </c>
      <c r="D41" s="1142">
        <v>4900</v>
      </c>
      <c r="E41" s="1141">
        <v>0</v>
      </c>
      <c r="F41" s="1140">
        <v>0</v>
      </c>
      <c r="G41" s="1141">
        <v>0</v>
      </c>
      <c r="H41" s="1142">
        <v>0</v>
      </c>
      <c r="I41" s="1141">
        <v>0</v>
      </c>
      <c r="J41" s="1141">
        <v>0</v>
      </c>
      <c r="K41" s="1137"/>
      <c r="L41" s="1137"/>
      <c r="M41" s="1137" t="s">
        <v>159</v>
      </c>
      <c r="N41" s="1711" t="s">
        <v>164</v>
      </c>
      <c r="O41" s="1137"/>
      <c r="P41" s="1137"/>
      <c r="Q41" s="1137"/>
      <c r="R41" s="1137"/>
      <c r="S41" s="1137"/>
      <c r="T41" s="1137" t="s">
        <v>161</v>
      </c>
    </row>
    <row r="42" spans="1:20">
      <c r="A42" s="1131">
        <f>A41+1</f>
        <v>36</v>
      </c>
      <c r="B42" s="1139" t="s">
        <v>1524</v>
      </c>
      <c r="C42" s="1138" t="s">
        <v>760</v>
      </c>
      <c r="D42" s="1142">
        <v>400</v>
      </c>
      <c r="E42" s="1141">
        <v>100</v>
      </c>
      <c r="F42" s="1140">
        <v>0</v>
      </c>
      <c r="G42" s="1141">
        <v>30</v>
      </c>
      <c r="H42" s="1142">
        <v>70</v>
      </c>
      <c r="I42" s="1141">
        <v>0</v>
      </c>
      <c r="J42" s="1141">
        <v>0</v>
      </c>
      <c r="K42" s="1137" t="s">
        <v>158</v>
      </c>
      <c r="L42" s="1137"/>
      <c r="M42" s="1137" t="s">
        <v>159</v>
      </c>
      <c r="N42" s="1137" t="s">
        <v>160</v>
      </c>
      <c r="O42" s="1137"/>
      <c r="P42" s="1137"/>
      <c r="Q42" s="1137"/>
      <c r="R42" s="1137" t="s">
        <v>761</v>
      </c>
      <c r="S42" s="1137"/>
      <c r="T42" s="1137" t="s">
        <v>161</v>
      </c>
    </row>
    <row r="43" spans="1:20">
      <c r="A43" s="1131">
        <f t="shared" si="0"/>
        <v>37</v>
      </c>
      <c r="B43" s="1139" t="s">
        <v>1332</v>
      </c>
      <c r="C43" s="1138" t="s">
        <v>883</v>
      </c>
      <c r="D43" s="1141"/>
      <c r="E43" s="1858">
        <v>170</v>
      </c>
      <c r="F43" s="1140">
        <v>0</v>
      </c>
      <c r="G43" s="1141">
        <v>60</v>
      </c>
      <c r="H43" s="1142">
        <v>105</v>
      </c>
      <c r="I43" s="1141">
        <v>36</v>
      </c>
      <c r="J43" s="1141">
        <v>0</v>
      </c>
      <c r="K43" s="1137"/>
      <c r="L43" s="1137"/>
      <c r="M43" s="1137"/>
      <c r="N43" s="1137"/>
      <c r="O43" s="1137"/>
      <c r="P43" s="1137"/>
      <c r="Q43" s="1137"/>
      <c r="R43" s="1137"/>
      <c r="S43" s="1137"/>
      <c r="T43" s="1137"/>
    </row>
    <row r="44" spans="1:20">
      <c r="A44" s="1131">
        <f t="shared" si="0"/>
        <v>38</v>
      </c>
      <c r="B44" s="1139" t="s">
        <v>1333</v>
      </c>
      <c r="C44" s="1711" t="s">
        <v>861</v>
      </c>
      <c r="D44" s="1141"/>
      <c r="E44" s="1858">
        <v>250</v>
      </c>
      <c r="F44" s="1140">
        <v>0</v>
      </c>
      <c r="G44" s="1141">
        <v>200</v>
      </c>
      <c r="H44" s="1142">
        <v>120</v>
      </c>
      <c r="I44" s="1141">
        <v>10</v>
      </c>
      <c r="J44" s="1141">
        <v>0</v>
      </c>
      <c r="K44" s="1137" t="s">
        <v>1260</v>
      </c>
      <c r="L44" s="1137"/>
      <c r="M44" s="1137" t="s">
        <v>1131</v>
      </c>
      <c r="N44" s="1137" t="s">
        <v>1132</v>
      </c>
      <c r="O44" s="1137"/>
      <c r="P44" s="1137"/>
      <c r="Q44" s="1137"/>
      <c r="R44" s="1137"/>
      <c r="S44" s="1137"/>
      <c r="T44" s="1137"/>
    </row>
    <row r="45" spans="1:20">
      <c r="A45" s="1131">
        <f t="shared" si="0"/>
        <v>39</v>
      </c>
      <c r="B45" s="1139" t="s">
        <v>1334</v>
      </c>
      <c r="C45" s="1138" t="s">
        <v>63</v>
      </c>
      <c r="D45" s="1142">
        <v>6900</v>
      </c>
      <c r="E45" s="1141">
        <v>1500</v>
      </c>
      <c r="F45" s="1140">
        <v>0</v>
      </c>
      <c r="G45" s="1148">
        <f>E45-H45</f>
        <v>326</v>
      </c>
      <c r="H45" s="1142">
        <v>1174</v>
      </c>
      <c r="I45" s="1141">
        <v>200</v>
      </c>
      <c r="J45" s="1141"/>
      <c r="K45" s="1137"/>
      <c r="L45" s="1137"/>
      <c r="M45" s="1137"/>
      <c r="N45" s="1137"/>
      <c r="O45" s="1137"/>
      <c r="P45" s="1137"/>
      <c r="Q45" s="1137"/>
      <c r="R45" s="1137"/>
      <c r="S45" s="1137"/>
      <c r="T45" s="1137" t="s">
        <v>161</v>
      </c>
    </row>
    <row r="46" spans="1:20">
      <c r="A46" s="1131">
        <f t="shared" si="0"/>
        <v>40</v>
      </c>
      <c r="B46" s="1139" t="s">
        <v>862</v>
      </c>
      <c r="C46" s="1146" t="s">
        <v>1409</v>
      </c>
      <c r="D46" s="1147">
        <v>15000</v>
      </c>
      <c r="E46" s="1148">
        <v>2666</v>
      </c>
      <c r="F46" s="1149">
        <v>0</v>
      </c>
      <c r="G46" s="1148">
        <f>E46-H46</f>
        <v>444</v>
      </c>
      <c r="H46" s="1147">
        <v>2222</v>
      </c>
      <c r="I46" s="1148">
        <v>475</v>
      </c>
      <c r="J46" s="1148">
        <v>820</v>
      </c>
      <c r="K46" s="1137" t="s">
        <v>1260</v>
      </c>
      <c r="L46" s="1137"/>
      <c r="M46" s="1137" t="s">
        <v>159</v>
      </c>
      <c r="N46" s="1137" t="s">
        <v>1132</v>
      </c>
      <c r="O46" s="1137"/>
      <c r="P46" s="1137"/>
      <c r="Q46" s="1137"/>
      <c r="R46" s="1137"/>
      <c r="S46" s="1137"/>
      <c r="T46" s="1137" t="s">
        <v>161</v>
      </c>
    </row>
    <row r="47" spans="1:20">
      <c r="A47" s="1131">
        <f t="shared" si="0"/>
        <v>41</v>
      </c>
      <c r="B47" s="1150" t="s">
        <v>1714</v>
      </c>
      <c r="C47" s="1151" t="s">
        <v>1677</v>
      </c>
      <c r="D47" s="1140">
        <v>2200</v>
      </c>
      <c r="E47" s="1858">
        <v>25000</v>
      </c>
      <c r="F47" s="1140">
        <v>0</v>
      </c>
      <c r="G47" s="1148">
        <f t="shared" ref="G47:G55" si="2">E47-H47</f>
        <v>24674</v>
      </c>
      <c r="H47" s="1142">
        <v>326</v>
      </c>
      <c r="I47" s="1141">
        <v>0</v>
      </c>
      <c r="J47" s="1141">
        <v>0</v>
      </c>
      <c r="K47" s="1152"/>
      <c r="L47" s="1137"/>
      <c r="M47" s="1137" t="s">
        <v>1131</v>
      </c>
      <c r="N47" s="1137" t="s">
        <v>1132</v>
      </c>
      <c r="O47" s="1137"/>
      <c r="P47" s="1137"/>
      <c r="Q47" s="1137"/>
      <c r="R47" s="1137"/>
      <c r="S47" s="1137"/>
      <c r="T47" s="1137"/>
    </row>
    <row r="48" spans="1:20">
      <c r="A48" s="1131">
        <f t="shared" si="0"/>
        <v>42</v>
      </c>
      <c r="B48" s="1150" t="s">
        <v>707</v>
      </c>
      <c r="C48" s="1151" t="s">
        <v>1169</v>
      </c>
      <c r="D48" s="1140">
        <v>2100</v>
      </c>
      <c r="E48" s="1858">
        <v>4000</v>
      </c>
      <c r="F48" s="1140">
        <v>0</v>
      </c>
      <c r="G48" s="1148">
        <f t="shared" si="2"/>
        <v>2800</v>
      </c>
      <c r="H48" s="1142">
        <v>1200</v>
      </c>
      <c r="I48" s="1141">
        <v>0</v>
      </c>
      <c r="J48" s="1141">
        <v>2220</v>
      </c>
      <c r="K48" s="1152"/>
      <c r="L48" s="1137"/>
      <c r="M48" s="1137" t="s">
        <v>159</v>
      </c>
      <c r="N48" s="1137" t="s">
        <v>1132</v>
      </c>
      <c r="O48" s="1137"/>
      <c r="P48" s="1137"/>
      <c r="Q48" s="1137"/>
      <c r="R48" s="1137"/>
      <c r="S48" s="1137"/>
      <c r="T48" s="1137" t="s">
        <v>161</v>
      </c>
    </row>
    <row r="49" spans="1:20">
      <c r="A49" s="1131">
        <f t="shared" si="0"/>
        <v>43</v>
      </c>
      <c r="B49" s="1150" t="s">
        <v>629</v>
      </c>
      <c r="C49" s="1151" t="s">
        <v>863</v>
      </c>
      <c r="D49" s="1142">
        <v>5400</v>
      </c>
      <c r="E49" s="1141">
        <v>335</v>
      </c>
      <c r="F49" s="1140">
        <v>0</v>
      </c>
      <c r="G49" s="1148">
        <f t="shared" si="2"/>
        <v>17</v>
      </c>
      <c r="H49" s="1142">
        <v>318</v>
      </c>
      <c r="I49" s="1141">
        <v>0</v>
      </c>
      <c r="J49" s="1141">
        <v>2220</v>
      </c>
      <c r="K49" s="1152"/>
      <c r="L49" s="1137"/>
      <c r="M49" s="1137" t="s">
        <v>159</v>
      </c>
      <c r="N49" s="1137" t="s">
        <v>164</v>
      </c>
      <c r="O49" s="1137"/>
      <c r="P49" s="1137"/>
      <c r="Q49" s="1137"/>
      <c r="R49" s="1137"/>
      <c r="S49" s="1137"/>
      <c r="T49" s="1137" t="s">
        <v>161</v>
      </c>
    </row>
    <row r="50" spans="1:20">
      <c r="A50" s="1131">
        <f t="shared" si="0"/>
        <v>44</v>
      </c>
      <c r="B50" s="1150" t="s">
        <v>1477</v>
      </c>
      <c r="C50" s="1151" t="s">
        <v>1167</v>
      </c>
      <c r="D50" s="1142">
        <v>2500</v>
      </c>
      <c r="E50" s="1858">
        <v>9074</v>
      </c>
      <c r="F50" s="1140">
        <v>0</v>
      </c>
      <c r="G50" s="1148">
        <f t="shared" si="2"/>
        <v>8086</v>
      </c>
      <c r="H50" s="1142">
        <v>988</v>
      </c>
      <c r="I50" s="1140">
        <v>0</v>
      </c>
      <c r="J50" s="1140">
        <v>1130</v>
      </c>
      <c r="K50" s="1152"/>
      <c r="L50" s="1137"/>
      <c r="M50" s="1137"/>
      <c r="N50" s="1137"/>
      <c r="O50" s="1137"/>
      <c r="P50" s="1137"/>
      <c r="Q50" s="1137"/>
      <c r="R50" s="1137"/>
      <c r="S50" s="1137"/>
      <c r="T50" s="1137"/>
    </row>
    <row r="51" spans="1:20">
      <c r="A51" s="1131">
        <f t="shared" si="0"/>
        <v>45</v>
      </c>
      <c r="B51" s="1139" t="s">
        <v>2019</v>
      </c>
      <c r="C51" s="1153" t="s">
        <v>1678</v>
      </c>
      <c r="D51" s="1154">
        <v>1960</v>
      </c>
      <c r="E51" s="1859">
        <v>3500</v>
      </c>
      <c r="F51" s="1154">
        <v>0</v>
      </c>
      <c r="G51" s="1148">
        <f t="shared" si="2"/>
        <v>3145</v>
      </c>
      <c r="H51" s="1156">
        <v>355</v>
      </c>
      <c r="I51" s="1155">
        <v>0</v>
      </c>
      <c r="J51" s="1155">
        <v>0</v>
      </c>
      <c r="K51" s="1137"/>
      <c r="L51" s="1137"/>
      <c r="M51" s="1137" t="s">
        <v>1131</v>
      </c>
      <c r="N51" s="1137" t="s">
        <v>1132</v>
      </c>
      <c r="O51" s="1137"/>
      <c r="P51" s="1137"/>
      <c r="Q51" s="1137"/>
      <c r="R51" s="1137"/>
      <c r="S51" s="1137"/>
      <c r="T51" s="1137"/>
    </row>
    <row r="52" spans="1:20">
      <c r="A52" s="1131">
        <f>A51+1</f>
        <v>46</v>
      </c>
      <c r="B52" s="1139" t="s">
        <v>1455</v>
      </c>
      <c r="C52" s="1153" t="s">
        <v>1454</v>
      </c>
      <c r="D52" s="1154">
        <v>6900</v>
      </c>
      <c r="E52" s="1155">
        <v>1080</v>
      </c>
      <c r="F52" s="1154">
        <v>0</v>
      </c>
      <c r="G52" s="1148">
        <f t="shared" si="2"/>
        <v>163</v>
      </c>
      <c r="H52" s="1156">
        <v>917</v>
      </c>
      <c r="I52" s="1155">
        <v>0</v>
      </c>
      <c r="J52" s="1155">
        <v>0</v>
      </c>
      <c r="K52" s="1137"/>
      <c r="L52" s="1137"/>
      <c r="M52" s="1137" t="s">
        <v>159</v>
      </c>
      <c r="N52" s="1137" t="s">
        <v>160</v>
      </c>
      <c r="O52" s="1137" t="s">
        <v>2165</v>
      </c>
      <c r="P52" s="1137" t="s">
        <v>161</v>
      </c>
      <c r="Q52" s="1137" t="s">
        <v>161</v>
      </c>
      <c r="R52" s="1137"/>
      <c r="S52" s="1137" t="s">
        <v>163</v>
      </c>
      <c r="T52" s="1137" t="s">
        <v>161</v>
      </c>
    </row>
    <row r="53" spans="1:20">
      <c r="A53" s="1131">
        <f>A52+1</f>
        <v>47</v>
      </c>
      <c r="B53" s="1139" t="s">
        <v>1085</v>
      </c>
      <c r="C53" s="1138" t="s">
        <v>1409</v>
      </c>
      <c r="D53" s="1142">
        <v>15000</v>
      </c>
      <c r="E53" s="1141">
        <v>1205</v>
      </c>
      <c r="F53" s="1141">
        <v>0</v>
      </c>
      <c r="G53" s="1148">
        <f t="shared" si="2"/>
        <v>94</v>
      </c>
      <c r="H53" s="1142">
        <v>1111</v>
      </c>
      <c r="I53" s="1140">
        <v>21</v>
      </c>
      <c r="J53" s="1140">
        <v>970</v>
      </c>
      <c r="K53" s="1137" t="s">
        <v>158</v>
      </c>
      <c r="L53" s="1137"/>
      <c r="M53" s="1137" t="s">
        <v>159</v>
      </c>
      <c r="N53" s="1137" t="s">
        <v>160</v>
      </c>
      <c r="O53" s="1137" t="s">
        <v>165</v>
      </c>
      <c r="P53" s="1137" t="s">
        <v>161</v>
      </c>
      <c r="Q53" s="1137" t="s">
        <v>161</v>
      </c>
      <c r="R53" s="1137"/>
      <c r="S53" s="1137" t="s">
        <v>163</v>
      </c>
      <c r="T53" s="1137" t="s">
        <v>161</v>
      </c>
    </row>
    <row r="54" spans="1:20">
      <c r="A54" s="1131">
        <f t="shared" si="0"/>
        <v>48</v>
      </c>
      <c r="B54" s="1139" t="s">
        <v>533</v>
      </c>
      <c r="C54" s="1138" t="s">
        <v>760</v>
      </c>
      <c r="D54" s="1142">
        <v>400</v>
      </c>
      <c r="E54" s="1141">
        <v>60</v>
      </c>
      <c r="F54" s="1140">
        <v>0</v>
      </c>
      <c r="G54" s="1148">
        <f t="shared" si="2"/>
        <v>20</v>
      </c>
      <c r="H54" s="1142">
        <v>40</v>
      </c>
      <c r="I54" s="1141">
        <v>0</v>
      </c>
      <c r="J54" s="1141">
        <v>2200</v>
      </c>
      <c r="K54" s="1137" t="s">
        <v>158</v>
      </c>
      <c r="L54" s="1137"/>
      <c r="M54" s="1137" t="s">
        <v>159</v>
      </c>
      <c r="N54" s="1137" t="s">
        <v>160</v>
      </c>
      <c r="O54" s="1137"/>
      <c r="P54" s="1137"/>
      <c r="Q54" s="1137"/>
      <c r="R54" s="1137" t="s">
        <v>761</v>
      </c>
      <c r="S54" s="1137"/>
      <c r="T54" s="1137" t="s">
        <v>161</v>
      </c>
    </row>
    <row r="55" spans="1:20">
      <c r="A55" s="1131">
        <f t="shared" si="0"/>
        <v>49</v>
      </c>
      <c r="B55" s="1132" t="s">
        <v>232</v>
      </c>
      <c r="C55" s="1133" t="s">
        <v>261</v>
      </c>
      <c r="D55" s="1145">
        <v>314</v>
      </c>
      <c r="E55" s="1135">
        <v>95</v>
      </c>
      <c r="F55" s="1135">
        <v>0</v>
      </c>
      <c r="G55" s="1148">
        <f t="shared" si="2"/>
        <v>35</v>
      </c>
      <c r="H55" s="1136">
        <v>60</v>
      </c>
      <c r="I55" s="1135">
        <v>10</v>
      </c>
      <c r="J55" s="1135"/>
      <c r="K55" s="1131"/>
      <c r="L55" s="1131"/>
      <c r="M55" s="1131"/>
      <c r="N55" s="1131"/>
      <c r="O55" s="1131"/>
      <c r="P55" s="1131"/>
      <c r="Q55" s="1131"/>
      <c r="R55" s="1131"/>
      <c r="S55" s="1131"/>
      <c r="T55" s="1131"/>
    </row>
    <row r="56" spans="1:20">
      <c r="A56" s="1131">
        <f t="shared" si="0"/>
        <v>50</v>
      </c>
      <c r="B56" s="1139" t="s">
        <v>1335</v>
      </c>
      <c r="C56" s="1138"/>
      <c r="D56" s="1140"/>
      <c r="E56" s="1141"/>
      <c r="F56" s="1141"/>
      <c r="G56" s="1141"/>
      <c r="H56" s="1142"/>
      <c r="I56" s="1141"/>
      <c r="J56" s="1141"/>
      <c r="K56" s="1137"/>
      <c r="L56" s="1137"/>
      <c r="M56" s="1137"/>
      <c r="N56" s="1137" t="s">
        <v>164</v>
      </c>
      <c r="O56" s="1137"/>
      <c r="P56" s="1137"/>
      <c r="Q56" s="1137"/>
      <c r="R56" s="1137"/>
      <c r="S56" s="1137"/>
      <c r="T56" s="1137"/>
    </row>
    <row r="57" spans="1:20">
      <c r="A57" s="1131">
        <f t="shared" si="0"/>
        <v>51</v>
      </c>
      <c r="B57" s="1139" t="s">
        <v>531</v>
      </c>
      <c r="C57" s="1138"/>
      <c r="D57" s="1140"/>
      <c r="E57" s="1141"/>
      <c r="F57" s="1140"/>
      <c r="G57" s="1141"/>
      <c r="H57" s="1142"/>
      <c r="I57" s="1141"/>
      <c r="J57" s="1141"/>
      <c r="K57" s="1137" t="s">
        <v>1442</v>
      </c>
      <c r="L57" s="1137"/>
      <c r="M57" s="1137"/>
      <c r="N57" s="1137" t="s">
        <v>164</v>
      </c>
      <c r="O57" s="1137"/>
      <c r="P57" s="1137"/>
      <c r="Q57" s="1137"/>
      <c r="R57" s="1137"/>
      <c r="S57" s="1137"/>
      <c r="T57" s="1137"/>
    </row>
    <row r="58" spans="1:20" s="1143" customFormat="1">
      <c r="A58" s="1131">
        <f t="shared" si="0"/>
        <v>52</v>
      </c>
      <c r="B58" s="1712" t="s">
        <v>1607</v>
      </c>
      <c r="C58" s="1138" t="s">
        <v>1439</v>
      </c>
      <c r="D58" s="1140">
        <v>2400</v>
      </c>
      <c r="E58" s="1140">
        <v>350</v>
      </c>
      <c r="F58" s="1140">
        <v>0</v>
      </c>
      <c r="G58" s="1148">
        <f t="shared" ref="G58:G75" si="3">E58-H58</f>
        <v>150</v>
      </c>
      <c r="H58" s="1142">
        <v>200</v>
      </c>
      <c r="I58" s="1140">
        <v>30</v>
      </c>
      <c r="J58" s="1140">
        <v>0</v>
      </c>
      <c r="K58" s="1138"/>
      <c r="L58" s="1138"/>
      <c r="M58" s="1138" t="s">
        <v>1131</v>
      </c>
      <c r="N58" s="1138" t="s">
        <v>164</v>
      </c>
      <c r="O58" s="1138"/>
      <c r="P58" s="1138"/>
      <c r="Q58" s="1138"/>
      <c r="R58" s="1138"/>
      <c r="S58" s="1138"/>
      <c r="T58" s="1138"/>
    </row>
    <row r="59" spans="1:20">
      <c r="A59" s="1131">
        <f>A58+1</f>
        <v>53</v>
      </c>
      <c r="B59" s="1139" t="s">
        <v>879</v>
      </c>
      <c r="C59" s="1138" t="s">
        <v>880</v>
      </c>
      <c r="D59" s="1140">
        <v>4500</v>
      </c>
      <c r="E59" s="1141">
        <v>355</v>
      </c>
      <c r="F59" s="1140">
        <v>0</v>
      </c>
      <c r="G59" s="1148">
        <f t="shared" si="3"/>
        <v>105</v>
      </c>
      <c r="H59" s="1142">
        <v>250</v>
      </c>
      <c r="I59" s="1141">
        <v>20</v>
      </c>
      <c r="J59" s="1141">
        <v>0</v>
      </c>
      <c r="K59" s="1137"/>
      <c r="L59" s="1137"/>
      <c r="M59" s="1137"/>
      <c r="N59" s="1137"/>
      <c r="O59" s="1137"/>
      <c r="P59" s="1137"/>
      <c r="Q59" s="1137"/>
      <c r="R59" s="1137"/>
      <c r="S59" s="1137"/>
      <c r="T59" s="1137"/>
    </row>
    <row r="60" spans="1:20">
      <c r="A60" s="1131">
        <f>A59+1</f>
        <v>54</v>
      </c>
      <c r="B60" s="1139" t="s">
        <v>879</v>
      </c>
      <c r="C60" s="1138" t="s">
        <v>881</v>
      </c>
      <c r="D60" s="1140">
        <v>3600</v>
      </c>
      <c r="E60" s="1141">
        <v>290</v>
      </c>
      <c r="F60" s="1140">
        <v>0</v>
      </c>
      <c r="G60" s="1148">
        <f t="shared" si="3"/>
        <v>90</v>
      </c>
      <c r="H60" s="1142">
        <v>200</v>
      </c>
      <c r="I60" s="1141">
        <v>20</v>
      </c>
      <c r="J60" s="1141">
        <v>0</v>
      </c>
      <c r="K60" s="1137"/>
      <c r="L60" s="1137"/>
      <c r="M60" s="1137"/>
      <c r="N60" s="1137"/>
      <c r="O60" s="1137"/>
      <c r="P60" s="1137"/>
      <c r="Q60" s="1137"/>
      <c r="R60" s="1137"/>
      <c r="S60" s="1137"/>
      <c r="T60" s="1137"/>
    </row>
    <row r="61" spans="1:20">
      <c r="A61" s="1131">
        <f>A60+1</f>
        <v>55</v>
      </c>
      <c r="B61" s="1139" t="s">
        <v>1491</v>
      </c>
      <c r="C61" s="1138" t="s">
        <v>1089</v>
      </c>
      <c r="D61" s="1140">
        <v>804</v>
      </c>
      <c r="E61" s="1141">
        <v>279</v>
      </c>
      <c r="F61" s="1140">
        <v>0</v>
      </c>
      <c r="G61" s="1148">
        <f t="shared" si="3"/>
        <v>53</v>
      </c>
      <c r="H61" s="1142">
        <v>226</v>
      </c>
      <c r="I61" s="1141">
        <v>106</v>
      </c>
      <c r="J61" s="1141">
        <v>790</v>
      </c>
      <c r="K61" s="1137"/>
      <c r="L61" s="1137"/>
      <c r="M61" s="1137"/>
      <c r="N61" s="1137" t="s">
        <v>164</v>
      </c>
      <c r="O61" s="1137"/>
      <c r="P61" s="1137"/>
      <c r="Q61" s="1137"/>
      <c r="R61" s="1137"/>
      <c r="S61" s="1137"/>
      <c r="T61" s="1137"/>
    </row>
    <row r="62" spans="1:20">
      <c r="A62" s="1131">
        <f t="shared" si="0"/>
        <v>56</v>
      </c>
      <c r="B62" s="1139" t="s">
        <v>1336</v>
      </c>
      <c r="C62" s="1138" t="s">
        <v>1089</v>
      </c>
      <c r="D62" s="1140">
        <v>804</v>
      </c>
      <c r="E62" s="1141">
        <v>279</v>
      </c>
      <c r="F62" s="1140">
        <v>0</v>
      </c>
      <c r="G62" s="1148">
        <f t="shared" si="3"/>
        <v>53</v>
      </c>
      <c r="H62" s="1142">
        <v>226</v>
      </c>
      <c r="I62" s="1141">
        <v>24</v>
      </c>
      <c r="J62" s="1141">
        <v>740</v>
      </c>
      <c r="K62" s="1137"/>
      <c r="L62" s="1137"/>
      <c r="M62" s="1137" t="s">
        <v>159</v>
      </c>
      <c r="N62" s="1137" t="s">
        <v>160</v>
      </c>
      <c r="O62" s="1137"/>
      <c r="P62" s="1137"/>
      <c r="Q62" s="1137"/>
      <c r="R62" s="1137"/>
      <c r="S62" s="1137"/>
      <c r="T62" s="1137"/>
    </row>
    <row r="63" spans="1:20">
      <c r="A63" s="1131">
        <f t="shared" si="0"/>
        <v>57</v>
      </c>
      <c r="B63" s="1139" t="s">
        <v>1440</v>
      </c>
      <c r="C63" s="1138" t="s">
        <v>260</v>
      </c>
      <c r="D63" s="1142">
        <v>2400</v>
      </c>
      <c r="E63" s="1141">
        <v>0</v>
      </c>
      <c r="F63" s="1140">
        <v>0</v>
      </c>
      <c r="G63" s="1148">
        <f t="shared" si="3"/>
        <v>0</v>
      </c>
      <c r="H63" s="1142">
        <v>0</v>
      </c>
      <c r="I63" s="1141">
        <v>0</v>
      </c>
      <c r="J63" s="1141">
        <v>3470</v>
      </c>
      <c r="K63" s="1137" t="s">
        <v>158</v>
      </c>
      <c r="L63" s="1137"/>
      <c r="M63" s="1137" t="s">
        <v>159</v>
      </c>
      <c r="N63" s="1137"/>
      <c r="O63" s="1137"/>
      <c r="P63" s="1137"/>
      <c r="Q63" s="1137"/>
      <c r="R63" s="1137"/>
      <c r="S63" s="1137"/>
      <c r="T63" s="1137"/>
    </row>
    <row r="64" spans="1:20">
      <c r="A64" s="1131">
        <f t="shared" si="0"/>
        <v>58</v>
      </c>
      <c r="B64" s="1132" t="s">
        <v>259</v>
      </c>
      <c r="C64" s="1133" t="s">
        <v>260</v>
      </c>
      <c r="D64" s="1134">
        <v>2400</v>
      </c>
      <c r="E64" s="1135">
        <v>389</v>
      </c>
      <c r="F64" s="1135">
        <v>0</v>
      </c>
      <c r="G64" s="1148">
        <f t="shared" si="3"/>
        <v>64</v>
      </c>
      <c r="H64" s="1136">
        <v>325</v>
      </c>
      <c r="I64" s="1135"/>
      <c r="J64" s="1135">
        <v>1980</v>
      </c>
      <c r="K64" s="1131" t="s">
        <v>158</v>
      </c>
      <c r="L64" s="1131" t="s">
        <v>256</v>
      </c>
      <c r="M64" s="1137" t="s">
        <v>159</v>
      </c>
      <c r="N64" s="1131" t="s">
        <v>160</v>
      </c>
      <c r="O64" s="1131" t="s">
        <v>1523</v>
      </c>
      <c r="P64" s="1131"/>
      <c r="Q64" s="1131" t="s">
        <v>161</v>
      </c>
      <c r="R64" s="1131" t="s">
        <v>161</v>
      </c>
      <c r="S64" s="1131"/>
      <c r="T64" s="1131" t="s">
        <v>161</v>
      </c>
    </row>
    <row r="65" spans="1:26">
      <c r="A65" s="1131">
        <f t="shared" si="0"/>
        <v>59</v>
      </c>
      <c r="B65" s="1139" t="s">
        <v>1453</v>
      </c>
      <c r="C65" s="1138" t="s">
        <v>1452</v>
      </c>
      <c r="D65" s="1142">
        <v>126500</v>
      </c>
      <c r="E65" s="1141">
        <v>43020</v>
      </c>
      <c r="F65" s="1140">
        <v>0</v>
      </c>
      <c r="G65" s="1148">
        <v>0</v>
      </c>
      <c r="H65" s="1142">
        <v>0</v>
      </c>
      <c r="I65" s="1141">
        <v>0</v>
      </c>
      <c r="J65" s="1141">
        <v>0</v>
      </c>
      <c r="K65" s="1137" t="s">
        <v>158</v>
      </c>
      <c r="L65" s="1137" t="s">
        <v>96</v>
      </c>
      <c r="M65" s="1137" t="s">
        <v>159</v>
      </c>
      <c r="N65" s="1137" t="s">
        <v>160</v>
      </c>
      <c r="O65" s="1137"/>
      <c r="P65" s="1137"/>
      <c r="Q65" s="1137"/>
      <c r="R65" s="1137" t="s">
        <v>761</v>
      </c>
      <c r="S65" s="1137"/>
      <c r="T65" s="1137" t="s">
        <v>161</v>
      </c>
    </row>
    <row r="66" spans="1:26">
      <c r="A66" s="1131">
        <f>A65+1</f>
        <v>60</v>
      </c>
      <c r="B66" s="1139" t="s">
        <v>1063</v>
      </c>
      <c r="C66" s="1138" t="s">
        <v>1259</v>
      </c>
      <c r="D66" s="1142">
        <v>900</v>
      </c>
      <c r="E66" s="1141">
        <v>180</v>
      </c>
      <c r="F66" s="1140">
        <v>0</v>
      </c>
      <c r="G66" s="1148">
        <f t="shared" si="3"/>
        <v>45</v>
      </c>
      <c r="H66" s="1142">
        <v>135</v>
      </c>
      <c r="I66" s="1141">
        <v>20</v>
      </c>
      <c r="J66" s="1141">
        <v>0</v>
      </c>
      <c r="K66" s="1137" t="s">
        <v>158</v>
      </c>
      <c r="L66" s="1137" t="s">
        <v>96</v>
      </c>
      <c r="M66" s="1137" t="s">
        <v>159</v>
      </c>
      <c r="N66" s="1137" t="s">
        <v>160</v>
      </c>
      <c r="O66" s="1137"/>
      <c r="P66" s="1137"/>
      <c r="Q66" s="1137"/>
      <c r="R66" s="1137" t="s">
        <v>761</v>
      </c>
      <c r="S66" s="1137"/>
      <c r="T66" s="1137" t="s">
        <v>161</v>
      </c>
    </row>
    <row r="67" spans="1:26">
      <c r="A67" s="1131">
        <f>A66+1</f>
        <v>61</v>
      </c>
      <c r="B67" s="1139" t="s">
        <v>1407</v>
      </c>
      <c r="C67" s="1138" t="s">
        <v>1410</v>
      </c>
      <c r="D67" s="1142">
        <v>3200</v>
      </c>
      <c r="E67" s="1141">
        <v>425</v>
      </c>
      <c r="F67" s="1140">
        <v>0</v>
      </c>
      <c r="G67" s="1148">
        <f t="shared" si="3"/>
        <v>43</v>
      </c>
      <c r="H67" s="1142">
        <v>382</v>
      </c>
      <c r="I67" s="1141">
        <v>0</v>
      </c>
      <c r="J67" s="1141"/>
      <c r="K67" s="1137"/>
      <c r="L67" s="1137"/>
      <c r="M67" s="1137" t="s">
        <v>159</v>
      </c>
      <c r="N67" s="1137" t="s">
        <v>160</v>
      </c>
      <c r="O67" s="1137"/>
      <c r="P67" s="1137"/>
      <c r="Q67" s="1137"/>
      <c r="R67" s="1137"/>
      <c r="S67" s="1137"/>
      <c r="T67" s="1137"/>
    </row>
    <row r="68" spans="1:26">
      <c r="A68" s="1131">
        <f>A67+1</f>
        <v>62</v>
      </c>
      <c r="B68" s="1139" t="s">
        <v>90</v>
      </c>
      <c r="C68" s="1138" t="s">
        <v>91</v>
      </c>
      <c r="D68" s="1142">
        <v>1600</v>
      </c>
      <c r="E68" s="1141">
        <v>235</v>
      </c>
      <c r="F68" s="1140">
        <v>0</v>
      </c>
      <c r="G68" s="1148">
        <f t="shared" si="3"/>
        <v>35</v>
      </c>
      <c r="H68" s="1142">
        <v>200</v>
      </c>
      <c r="I68" s="1141">
        <v>12</v>
      </c>
      <c r="J68" s="1141"/>
      <c r="K68" s="1137"/>
      <c r="L68" s="1137"/>
      <c r="M68" s="1137"/>
      <c r="N68" s="1137"/>
      <c r="O68" s="1137"/>
      <c r="P68" s="1137"/>
      <c r="Q68" s="1137"/>
      <c r="R68" s="1137"/>
      <c r="S68" s="1137"/>
      <c r="T68" s="1137"/>
    </row>
    <row r="69" spans="1:26">
      <c r="A69" s="1131">
        <f>A68+1</f>
        <v>63</v>
      </c>
      <c r="B69" s="1139" t="s">
        <v>1919</v>
      </c>
      <c r="C69" s="1138" t="s">
        <v>1409</v>
      </c>
      <c r="D69" s="1142">
        <v>15000</v>
      </c>
      <c r="E69" s="1141">
        <v>1205</v>
      </c>
      <c r="F69" s="1141">
        <v>0</v>
      </c>
      <c r="G69" s="1148">
        <f t="shared" si="3"/>
        <v>94</v>
      </c>
      <c r="H69" s="1142">
        <v>1111</v>
      </c>
      <c r="I69" s="1141">
        <v>60</v>
      </c>
      <c r="J69" s="1141">
        <v>700</v>
      </c>
      <c r="K69" s="1137" t="s">
        <v>158</v>
      </c>
      <c r="L69" s="1137"/>
      <c r="M69" s="1137" t="s">
        <v>159</v>
      </c>
      <c r="N69" s="1137" t="s">
        <v>160</v>
      </c>
      <c r="O69" s="1137" t="s">
        <v>162</v>
      </c>
      <c r="P69" s="1137" t="s">
        <v>161</v>
      </c>
      <c r="Q69" s="1137" t="s">
        <v>161</v>
      </c>
      <c r="R69" s="1137" t="s">
        <v>161</v>
      </c>
      <c r="S69" s="1137" t="s">
        <v>163</v>
      </c>
      <c r="T69" s="1137"/>
    </row>
    <row r="70" spans="1:26" s="1144" customFormat="1">
      <c r="A70" s="1131">
        <f t="shared" si="0"/>
        <v>64</v>
      </c>
      <c r="B70" s="1139" t="s">
        <v>1415</v>
      </c>
      <c r="C70" s="1138" t="s">
        <v>95</v>
      </c>
      <c r="D70" s="1140">
        <v>5027</v>
      </c>
      <c r="E70" s="1140">
        <v>877</v>
      </c>
      <c r="F70" s="1140">
        <v>0</v>
      </c>
      <c r="G70" s="1148">
        <f t="shared" si="3"/>
        <v>202</v>
      </c>
      <c r="H70" s="1142">
        <v>675</v>
      </c>
      <c r="I70" s="1140">
        <v>140</v>
      </c>
      <c r="J70" s="1140">
        <v>0</v>
      </c>
      <c r="K70" s="1138"/>
      <c r="L70" s="1138" t="s">
        <v>96</v>
      </c>
      <c r="M70" s="1138" t="s">
        <v>1131</v>
      </c>
      <c r="N70" s="1138" t="s">
        <v>164</v>
      </c>
      <c r="O70" s="1138"/>
      <c r="P70" s="1138"/>
      <c r="Q70" s="1138"/>
      <c r="R70" s="1138"/>
      <c r="S70" s="1138"/>
      <c r="T70" s="1138" t="s">
        <v>161</v>
      </c>
      <c r="U70" s="1143"/>
      <c r="V70" s="1143"/>
      <c r="W70" s="1143"/>
      <c r="X70" s="1143"/>
      <c r="Y70" s="1143"/>
      <c r="Z70" s="1143"/>
    </row>
    <row r="71" spans="1:26">
      <c r="A71" s="1131">
        <f t="shared" si="0"/>
        <v>65</v>
      </c>
      <c r="B71" s="1132" t="s">
        <v>1414</v>
      </c>
      <c r="C71" s="1133" t="s">
        <v>1646</v>
      </c>
      <c r="D71" s="1134">
        <v>2500</v>
      </c>
      <c r="E71" s="1135">
        <v>448</v>
      </c>
      <c r="F71" s="1135">
        <v>0</v>
      </c>
      <c r="G71" s="1148">
        <f t="shared" si="3"/>
        <v>78</v>
      </c>
      <c r="H71" s="1136">
        <v>370</v>
      </c>
      <c r="I71" s="1135"/>
      <c r="J71" s="1135">
        <v>1980</v>
      </c>
      <c r="K71" s="1131" t="s">
        <v>158</v>
      </c>
      <c r="L71" s="1131" t="s">
        <v>256</v>
      </c>
      <c r="M71" s="1137" t="s">
        <v>159</v>
      </c>
      <c r="N71" s="1131" t="s">
        <v>160</v>
      </c>
      <c r="O71" s="1131" t="s">
        <v>1523</v>
      </c>
      <c r="P71" s="1131"/>
      <c r="Q71" s="1131" t="s">
        <v>161</v>
      </c>
      <c r="R71" s="1131" t="s">
        <v>161</v>
      </c>
      <c r="S71" s="1131"/>
      <c r="T71" s="1131" t="s">
        <v>161</v>
      </c>
    </row>
    <row r="72" spans="1:26">
      <c r="A72" s="1131">
        <f>A70+1</f>
        <v>65</v>
      </c>
      <c r="B72" s="1132" t="s">
        <v>2044</v>
      </c>
      <c r="C72" s="1133" t="s">
        <v>1088</v>
      </c>
      <c r="D72" s="1145">
        <v>48000</v>
      </c>
      <c r="E72" s="1135">
        <v>4880</v>
      </c>
      <c r="F72" s="1135">
        <v>0</v>
      </c>
      <c r="G72" s="1148">
        <f t="shared" si="3"/>
        <v>436</v>
      </c>
      <c r="H72" s="1136">
        <v>4444</v>
      </c>
      <c r="I72" s="1135">
        <v>416</v>
      </c>
      <c r="J72" s="1135">
        <v>1980</v>
      </c>
      <c r="K72" s="1131" t="s">
        <v>158</v>
      </c>
      <c r="L72" s="1131" t="s">
        <v>256</v>
      </c>
      <c r="M72" s="1137" t="s">
        <v>159</v>
      </c>
      <c r="N72" s="1131" t="s">
        <v>160</v>
      </c>
      <c r="O72" s="1131" t="s">
        <v>1523</v>
      </c>
      <c r="P72" s="1131"/>
      <c r="Q72" s="1131" t="s">
        <v>161</v>
      </c>
      <c r="R72" s="1131" t="s">
        <v>161</v>
      </c>
      <c r="S72" s="1131"/>
      <c r="T72" s="1131" t="s">
        <v>161</v>
      </c>
    </row>
    <row r="73" spans="1:26" ht="12" customHeight="1">
      <c r="A73" s="1131">
        <f>A71+1</f>
        <v>66</v>
      </c>
      <c r="B73" s="1132" t="s">
        <v>1450</v>
      </c>
      <c r="C73" s="1133" t="s">
        <v>1451</v>
      </c>
      <c r="D73" s="1145">
        <v>360000</v>
      </c>
      <c r="E73" s="1135">
        <v>0</v>
      </c>
      <c r="F73" s="1135">
        <v>0</v>
      </c>
      <c r="G73" s="1148">
        <f t="shared" si="3"/>
        <v>0</v>
      </c>
      <c r="H73" s="1136">
        <v>0</v>
      </c>
      <c r="I73" s="1135">
        <v>0</v>
      </c>
      <c r="J73" s="1135">
        <v>1980</v>
      </c>
      <c r="K73" s="1131" t="s">
        <v>158</v>
      </c>
      <c r="L73" s="1131" t="s">
        <v>256</v>
      </c>
      <c r="M73" s="1137" t="s">
        <v>159</v>
      </c>
      <c r="N73" s="1131" t="s">
        <v>160</v>
      </c>
      <c r="O73" s="1131" t="s">
        <v>1523</v>
      </c>
      <c r="P73" s="1131"/>
      <c r="Q73" s="1131" t="s">
        <v>161</v>
      </c>
      <c r="R73" s="1131" t="s">
        <v>161</v>
      </c>
      <c r="S73" s="1131"/>
      <c r="T73" s="1131" t="s">
        <v>161</v>
      </c>
    </row>
    <row r="74" spans="1:26" ht="12" customHeight="1">
      <c r="A74" s="1131">
        <f>A73+1</f>
        <v>67</v>
      </c>
      <c r="B74" s="1132" t="s">
        <v>1448</v>
      </c>
      <c r="C74" s="1133" t="s">
        <v>1449</v>
      </c>
      <c r="D74" s="1145">
        <v>3200</v>
      </c>
      <c r="E74" s="1135">
        <v>425</v>
      </c>
      <c r="F74" s="1135">
        <v>0</v>
      </c>
      <c r="G74" s="1148">
        <f t="shared" si="3"/>
        <v>43</v>
      </c>
      <c r="H74" s="1136">
        <v>382</v>
      </c>
      <c r="I74" s="1135">
        <v>0</v>
      </c>
      <c r="J74" s="1135">
        <v>1980</v>
      </c>
      <c r="K74" s="1131" t="s">
        <v>158</v>
      </c>
      <c r="L74" s="1131" t="s">
        <v>256</v>
      </c>
      <c r="M74" s="1137" t="s">
        <v>159</v>
      </c>
      <c r="N74" s="1131" t="s">
        <v>160</v>
      </c>
      <c r="O74" s="1131" t="s">
        <v>1523</v>
      </c>
      <c r="P74" s="1131"/>
      <c r="Q74" s="1131" t="s">
        <v>161</v>
      </c>
      <c r="R74" s="1131" t="s">
        <v>161</v>
      </c>
      <c r="S74" s="1131"/>
      <c r="T74" s="1131" t="s">
        <v>161</v>
      </c>
    </row>
    <row r="75" spans="1:26">
      <c r="A75" s="1131">
        <f>A74+1</f>
        <v>68</v>
      </c>
      <c r="B75" s="1132" t="s">
        <v>1095</v>
      </c>
      <c r="C75" s="1138" t="s">
        <v>1096</v>
      </c>
      <c r="D75" s="1142">
        <v>11200</v>
      </c>
      <c r="E75" s="1140">
        <v>1000</v>
      </c>
      <c r="F75" s="1140">
        <v>0</v>
      </c>
      <c r="G75" s="1148">
        <f t="shared" si="3"/>
        <v>170</v>
      </c>
      <c r="H75" s="1142">
        <v>830</v>
      </c>
      <c r="I75" s="1140">
        <v>21</v>
      </c>
      <c r="J75" s="1140">
        <v>1450</v>
      </c>
      <c r="K75" s="1137" t="s">
        <v>158</v>
      </c>
      <c r="L75" s="1137"/>
      <c r="M75" s="1137" t="s">
        <v>159</v>
      </c>
      <c r="N75" s="1137" t="s">
        <v>160</v>
      </c>
      <c r="O75" s="1137" t="s">
        <v>165</v>
      </c>
      <c r="P75" s="1137" t="s">
        <v>161</v>
      </c>
      <c r="Q75" s="1137" t="s">
        <v>161</v>
      </c>
      <c r="R75" s="1137" t="s">
        <v>161</v>
      </c>
      <c r="S75" s="1137" t="s">
        <v>163</v>
      </c>
      <c r="T75" s="1137"/>
    </row>
    <row r="76" spans="1:26">
      <c r="A76" s="1157"/>
      <c r="B76" s="1158"/>
      <c r="C76" s="1159"/>
      <c r="D76" s="1160"/>
      <c r="E76" s="1161"/>
      <c r="F76" s="1161"/>
      <c r="G76" s="1161"/>
      <c r="H76" s="1161"/>
      <c r="I76" s="1161"/>
      <c r="J76" s="1161"/>
      <c r="K76" s="1162"/>
      <c r="L76" s="1162"/>
      <c r="M76" s="1162"/>
      <c r="N76" s="1162"/>
      <c r="O76" s="1162"/>
      <c r="P76" s="1162"/>
      <c r="Q76" s="1162"/>
      <c r="R76" s="1162"/>
      <c r="S76" s="1162"/>
      <c r="T76" s="1162"/>
    </row>
    <row r="77" spans="1:26" ht="13.2" thickBot="1">
      <c r="A77" s="1157"/>
      <c r="B77" s="1158"/>
      <c r="C77" s="1159"/>
      <c r="D77" s="1160"/>
      <c r="E77" s="1161">
        <f>SUM(E7:E12,E19:E23,E25,E28:E30,E32:E42,E45:E46,E49,E52:E75)</f>
        <v>279440</v>
      </c>
      <c r="F77" s="1161"/>
      <c r="G77" s="1161">
        <f>SUM(G7:G12,G19:G23,G25,G28:G30,G32:G42,G45:G46,G49,G52:G75)</f>
        <v>9250.41</v>
      </c>
      <c r="H77" s="1161"/>
      <c r="I77" s="1161"/>
      <c r="J77" s="1161"/>
      <c r="K77" s="1162"/>
      <c r="L77" s="1162"/>
      <c r="M77" s="1162"/>
      <c r="N77" s="1162"/>
      <c r="O77" s="1162"/>
      <c r="P77" s="1162"/>
      <c r="Q77" s="1162"/>
      <c r="R77" s="1162"/>
      <c r="S77" s="1162"/>
      <c r="T77" s="1162"/>
    </row>
    <row r="78" spans="1:26" ht="16.8" thickBot="1">
      <c r="B78" s="1163" t="s">
        <v>1608</v>
      </c>
      <c r="C78" s="1164"/>
      <c r="D78" s="1165">
        <f t="shared" ref="D78:I78" si="4">SUM(D6:D76)</f>
        <v>869027</v>
      </c>
      <c r="E78" s="1165">
        <f t="shared" si="4"/>
        <v>383198</v>
      </c>
      <c r="F78" s="1165">
        <f>SUM(F6:F76)</f>
        <v>0</v>
      </c>
      <c r="G78" s="1165">
        <f t="shared" si="4"/>
        <v>85523.41</v>
      </c>
      <c r="H78" s="1165">
        <f t="shared" si="4"/>
        <v>48372.44</v>
      </c>
      <c r="I78" s="1165">
        <f t="shared" si="4"/>
        <v>3327</v>
      </c>
      <c r="J78" s="1166"/>
      <c r="L78" s="1167"/>
      <c r="M78" s="1162"/>
      <c r="N78" s="1114"/>
      <c r="O78" s="3298" t="s">
        <v>1609</v>
      </c>
      <c r="P78" s="3299"/>
      <c r="Q78" s="3299"/>
      <c r="R78" s="3300"/>
      <c r="S78" s="1169"/>
    </row>
    <row r="79" spans="1:26">
      <c r="B79" s="1163" t="s">
        <v>814</v>
      </c>
      <c r="C79" s="1164"/>
      <c r="D79" s="1165">
        <f>+'Main Power Block Area'!D50</f>
        <v>409457</v>
      </c>
      <c r="E79" s="1165">
        <f>+'Main Power Block Area'!E50</f>
        <v>98851</v>
      </c>
      <c r="F79" s="1165">
        <f>+'Main Power Block Area'!F50</f>
        <v>0</v>
      </c>
      <c r="G79" s="1165">
        <f>+'Main Power Block Area'!G50</f>
        <v>17380</v>
      </c>
      <c r="H79" s="1165">
        <f>+'Main Power Block Area'!H50</f>
        <v>53407</v>
      </c>
      <c r="I79" s="1165">
        <f>'Main Power Block Area'!$I$50</f>
        <v>5093</v>
      </c>
      <c r="J79" s="1166"/>
      <c r="L79" s="1170"/>
      <c r="M79" s="1162"/>
      <c r="N79" s="1114"/>
      <c r="O79" s="1171" t="s">
        <v>712</v>
      </c>
      <c r="P79" s="1171" t="s">
        <v>2122</v>
      </c>
      <c r="Q79" s="1172" t="s">
        <v>2125</v>
      </c>
      <c r="R79" s="1173"/>
      <c r="S79" s="1174"/>
    </row>
    <row r="80" spans="1:26">
      <c r="B80" s="1163"/>
      <c r="C80" s="1164"/>
      <c r="D80" s="1165"/>
      <c r="E80" s="1165"/>
      <c r="F80" s="1165"/>
      <c r="G80" s="1165"/>
      <c r="H80" s="1165"/>
      <c r="I80" s="1165"/>
      <c r="J80" s="1166"/>
      <c r="L80" s="1170"/>
      <c r="M80" s="1162"/>
      <c r="N80" s="1114"/>
      <c r="O80" s="1171" t="s">
        <v>713</v>
      </c>
      <c r="P80" s="1171" t="s">
        <v>2123</v>
      </c>
      <c r="Q80" s="1175" t="s">
        <v>1705</v>
      </c>
      <c r="R80" s="1158"/>
      <c r="S80" s="1174"/>
    </row>
    <row r="81" spans="2:19">
      <c r="B81" s="1163" t="s">
        <v>714</v>
      </c>
      <c r="C81" s="1164"/>
      <c r="D81" s="1165">
        <f t="shared" ref="D81:I81" si="5">SUM(D78:D80)</f>
        <v>1278484</v>
      </c>
      <c r="E81" s="1165">
        <f t="shared" si="5"/>
        <v>482049</v>
      </c>
      <c r="F81" s="1165">
        <f t="shared" si="5"/>
        <v>0</v>
      </c>
      <c r="G81" s="1165">
        <f t="shared" si="5"/>
        <v>102903.41</v>
      </c>
      <c r="H81" s="1165">
        <f t="shared" si="5"/>
        <v>101779.44</v>
      </c>
      <c r="I81" s="1165">
        <f t="shared" si="5"/>
        <v>8420</v>
      </c>
      <c r="J81" s="1166"/>
      <c r="L81" s="1170"/>
      <c r="M81" s="1162"/>
      <c r="N81" s="1114"/>
      <c r="O81" s="1171" t="s">
        <v>715</v>
      </c>
      <c r="P81" s="1171" t="s">
        <v>2124</v>
      </c>
      <c r="Q81" s="1175" t="s">
        <v>1706</v>
      </c>
      <c r="R81" s="1158"/>
      <c r="S81" s="1174"/>
    </row>
    <row r="82" spans="2:19" ht="13.2" thickBot="1">
      <c r="L82" s="1170"/>
      <c r="M82" s="1162"/>
      <c r="N82" s="1114"/>
      <c r="O82" s="1176" t="s">
        <v>813</v>
      </c>
      <c r="P82" s="1177" t="s">
        <v>1170</v>
      </c>
      <c r="Q82" s="1178"/>
      <c r="R82" s="1179"/>
      <c r="S82" s="1174"/>
    </row>
    <row r="83" spans="2:19">
      <c r="L83" s="1170"/>
      <c r="M83" s="1162"/>
      <c r="O83" s="1114"/>
      <c r="P83" s="1114"/>
      <c r="Q83" s="1114"/>
      <c r="R83" s="1162"/>
    </row>
    <row r="84" spans="2:19">
      <c r="L84" s="1170"/>
      <c r="M84" s="1162"/>
      <c r="O84" s="1114"/>
      <c r="P84" s="1114"/>
    </row>
    <row r="85" spans="2:19">
      <c r="L85" s="1170"/>
      <c r="M85" s="1162"/>
      <c r="O85" s="1114"/>
      <c r="P85" s="1114"/>
    </row>
    <row r="86" spans="2:19">
      <c r="L86" s="1170"/>
      <c r="M86" s="1162"/>
      <c r="O86" s="1114"/>
      <c r="P86" s="1114"/>
    </row>
    <row r="87" spans="2:19">
      <c r="L87" s="1180"/>
      <c r="M87" s="1162"/>
      <c r="O87" s="1114"/>
      <c r="P87" s="1114"/>
    </row>
    <row r="88" spans="2:19">
      <c r="L88" s="1180"/>
      <c r="M88" s="1162"/>
      <c r="O88" s="1114"/>
      <c r="P88" s="1114"/>
    </row>
    <row r="89" spans="2:19">
      <c r="O89" s="1114"/>
      <c r="P89" s="1114"/>
      <c r="Q89" s="1114"/>
      <c r="R89" s="1114"/>
      <c r="S89" s="1114"/>
    </row>
    <row r="90" spans="2:19">
      <c r="O90" s="1114"/>
      <c r="P90" s="1114"/>
      <c r="Q90" s="1114"/>
      <c r="R90" s="1114"/>
      <c r="S90" s="1114"/>
    </row>
    <row r="91" spans="2:19">
      <c r="O91" s="1114"/>
      <c r="P91" s="1114"/>
      <c r="Q91" s="1114"/>
      <c r="R91" s="1114"/>
      <c r="S91" s="1114"/>
    </row>
    <row r="92" spans="2:19">
      <c r="O92" s="1114"/>
      <c r="P92" s="1114"/>
      <c r="Q92" s="1114"/>
      <c r="R92" s="1114"/>
      <c r="S92" s="1114"/>
    </row>
    <row r="93" spans="2:19">
      <c r="O93" s="1114"/>
      <c r="P93" s="1114"/>
      <c r="Q93" s="1114"/>
      <c r="R93" s="1114"/>
      <c r="S93" s="1114"/>
    </row>
  </sheetData>
  <mergeCells count="3">
    <mergeCell ref="L4:T4"/>
    <mergeCell ref="O78:R78"/>
    <mergeCell ref="Q2:R2"/>
  </mergeCells>
  <phoneticPr fontId="29" type="noConversion"/>
  <printOptions horizontalCentered="1"/>
  <pageMargins left="0.39" right="0.42" top="0.78" bottom="0.91" header="0.41" footer="0.5"/>
  <pageSetup paperSize="3" scale="49" fitToHeight="2" orientation="landscape" r:id="rId1"/>
  <headerFooter alignWithMargins="0">
    <oddHeader>&amp;C&amp;"Arial MT,Bold"&amp;A&amp;RPrint Date: &amp;D</oddHeader>
    <oddFooter>&amp;L&amp;6          &amp;F\ &amp;A
&amp;C&amp;"Arial MT,Bold"&amp;10&amp;G&amp;R&amp;"Arial MT,Bold"&amp;10Confidential&amp;"Arial MT,Regular"
Page &amp;P of &amp;N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D85"/>
  <sheetViews>
    <sheetView showGridLines="0" workbookViewId="0">
      <pane xSplit="2" ySplit="5" topLeftCell="C8" activePane="bottomRight" state="frozen"/>
      <selection activeCell="R27" sqref="R27"/>
      <selection pane="topRight" activeCell="R27" sqref="R27"/>
      <selection pane="bottomLeft" activeCell="R27" sqref="R27"/>
      <selection pane="bottomRight" activeCell="B24" sqref="B24"/>
    </sheetView>
  </sheetViews>
  <sheetFormatPr defaultColWidth="7.08984375" defaultRowHeight="12.6"/>
  <cols>
    <col min="1" max="1" width="4.1796875" style="1109" customWidth="1"/>
    <col min="2" max="2" width="43.54296875" style="1114" customWidth="1"/>
    <col min="3" max="3" width="13.36328125" style="1109" customWidth="1"/>
    <col min="4" max="4" width="8.1796875" style="1112" bestFit="1" customWidth="1"/>
    <col min="5" max="5" width="9.54296875" style="1112" bestFit="1" customWidth="1"/>
    <col min="6" max="6" width="10" style="1112" bestFit="1" customWidth="1"/>
    <col min="7" max="7" width="7.54296875" style="1112" customWidth="1"/>
    <col min="8" max="8" width="9.36328125" style="1112" customWidth="1"/>
    <col min="9" max="9" width="9.08984375" style="1112" customWidth="1"/>
    <col min="10" max="10" width="12.81640625" style="1112" customWidth="1"/>
    <col min="11" max="12" width="10.81640625" style="1114" customWidth="1"/>
    <col min="13" max="13" width="14.36328125" style="1109" customWidth="1"/>
    <col min="14" max="14" width="6.81640625" style="1109" customWidth="1"/>
    <col min="15" max="15" width="10.36328125" style="1114" customWidth="1"/>
    <col min="16" max="16" width="8.36328125" style="1114" customWidth="1"/>
    <col min="17" max="17" width="10.36328125" style="1114" customWidth="1"/>
    <col min="18" max="19" width="6.81640625" style="1114" customWidth="1"/>
    <col min="20" max="20" width="4.36328125" style="1114" customWidth="1"/>
    <col min="21" max="16384" width="7.08984375" style="1114"/>
  </cols>
  <sheetData>
    <row r="1" spans="1:20" ht="19.8">
      <c r="A1" s="1117"/>
      <c r="B1" s="1181" t="str">
        <f>+'Out Buildings and Structures'!B1</f>
        <v>10 MW PV Solar  - Standard Efficiency Crystalline Panels</v>
      </c>
      <c r="C1" s="1111" t="str">
        <f>+'Out Buildings and Structures'!C1</f>
        <v>Estimate Supporting Documentation</v>
      </c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1"/>
      <c r="P1" s="1117"/>
      <c r="Q1" s="1117"/>
      <c r="R1" s="1117"/>
      <c r="S1" s="1117"/>
      <c r="T1" s="1117"/>
    </row>
    <row r="2" spans="1:20" ht="19.8">
      <c r="A2" s="1117"/>
      <c r="B2" s="1116" t="str">
        <f>+'Out Buildings and Structures'!B2</f>
        <v>Kentucky</v>
      </c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  <c r="P2" s="1117"/>
      <c r="Q2" s="1182"/>
      <c r="R2" s="1183"/>
      <c r="S2" s="1184"/>
      <c r="T2" s="1117"/>
    </row>
    <row r="3" spans="1:20" ht="19.8">
      <c r="A3" s="1117"/>
      <c r="B3" s="1116" t="str">
        <f>+'Out Buildings and Structures'!B3</f>
        <v>Solar PV</v>
      </c>
      <c r="C3" s="1117"/>
      <c r="D3" s="1117"/>
      <c r="E3" s="1117"/>
      <c r="F3" s="1117"/>
      <c r="G3" s="1117"/>
      <c r="H3" s="1117"/>
      <c r="I3" s="1117"/>
      <c r="J3" s="1117"/>
      <c r="K3" s="1117"/>
      <c r="L3" s="1117"/>
      <c r="M3" s="1117"/>
      <c r="N3" s="1117"/>
      <c r="O3" s="1117"/>
      <c r="P3" s="1117"/>
      <c r="Q3" s="1117"/>
      <c r="R3" s="1117"/>
      <c r="S3" s="1117"/>
      <c r="T3" s="1117"/>
    </row>
    <row r="4" spans="1:20" s="1124" customFormat="1" ht="32.4">
      <c r="A4" s="1118"/>
      <c r="B4" s="1119"/>
      <c r="C4" s="1120" t="s">
        <v>2102</v>
      </c>
      <c r="D4" s="1121" t="s">
        <v>2103</v>
      </c>
      <c r="E4" s="1121" t="s">
        <v>563</v>
      </c>
      <c r="F4" s="1121" t="s">
        <v>501</v>
      </c>
      <c r="G4" s="1121" t="s">
        <v>502</v>
      </c>
      <c r="H4" s="1121" t="s">
        <v>503</v>
      </c>
      <c r="I4" s="1121" t="s">
        <v>2108</v>
      </c>
      <c r="J4" s="1121" t="s">
        <v>504</v>
      </c>
      <c r="K4" s="1185" t="s">
        <v>805</v>
      </c>
      <c r="L4" s="3295" t="s">
        <v>806</v>
      </c>
      <c r="M4" s="3296"/>
      <c r="N4" s="3296"/>
      <c r="O4" s="3296"/>
      <c r="P4" s="3296"/>
      <c r="Q4" s="3296"/>
      <c r="R4" s="3296"/>
      <c r="S4" s="3296"/>
      <c r="T4" s="3297"/>
    </row>
    <row r="5" spans="1:20" s="1124" customFormat="1" ht="49.2" thickBot="1">
      <c r="A5" s="1125"/>
      <c r="B5" s="1126" t="s">
        <v>1337</v>
      </c>
      <c r="C5" s="1127" t="s">
        <v>807</v>
      </c>
      <c r="D5" s="1128" t="s">
        <v>808</v>
      </c>
      <c r="E5" s="1128" t="s">
        <v>809</v>
      </c>
      <c r="F5" s="1128" t="s">
        <v>810</v>
      </c>
      <c r="G5" s="1128" t="s">
        <v>811</v>
      </c>
      <c r="H5" s="1128" t="s">
        <v>811</v>
      </c>
      <c r="I5" s="1128" t="s">
        <v>1364</v>
      </c>
      <c r="J5" s="1128" t="s">
        <v>352</v>
      </c>
      <c r="K5" s="1129" t="s">
        <v>149</v>
      </c>
      <c r="L5" s="1130" t="s">
        <v>150</v>
      </c>
      <c r="M5" s="1130" t="s">
        <v>87</v>
      </c>
      <c r="N5" s="1130" t="s">
        <v>151</v>
      </c>
      <c r="O5" s="1130" t="s">
        <v>152</v>
      </c>
      <c r="P5" s="1130" t="s">
        <v>153</v>
      </c>
      <c r="Q5" s="1130" t="s">
        <v>154</v>
      </c>
      <c r="R5" s="1130" t="s">
        <v>155</v>
      </c>
      <c r="S5" s="1130" t="s">
        <v>156</v>
      </c>
      <c r="T5" s="1130" t="s">
        <v>157</v>
      </c>
    </row>
    <row r="6" spans="1:20" ht="13.2" thickTop="1">
      <c r="A6" s="1186"/>
      <c r="B6" s="1132"/>
      <c r="C6" s="1133"/>
      <c r="D6" s="1145"/>
      <c r="E6" s="1135"/>
      <c r="F6" s="1145"/>
      <c r="G6" s="1135"/>
      <c r="H6" s="1136"/>
      <c r="I6" s="1135"/>
      <c r="J6" s="1145"/>
      <c r="K6" s="1131"/>
      <c r="L6" s="1131"/>
      <c r="M6" s="1131"/>
      <c r="N6" s="1131"/>
      <c r="O6" s="1131"/>
      <c r="P6" s="1131"/>
      <c r="Q6" s="1131"/>
      <c r="R6" s="1131"/>
      <c r="S6" s="1131"/>
      <c r="T6" s="1131"/>
    </row>
    <row r="7" spans="1:20">
      <c r="A7" s="1131">
        <f t="shared" ref="A7:A21" si="0">A6+1</f>
        <v>1</v>
      </c>
      <c r="B7" s="1132" t="s">
        <v>98</v>
      </c>
      <c r="C7" s="1133" t="s">
        <v>865</v>
      </c>
      <c r="D7" s="1145">
        <v>1735</v>
      </c>
      <c r="E7" s="1135">
        <v>515</v>
      </c>
      <c r="F7" s="1145">
        <v>0</v>
      </c>
      <c r="G7" s="1135">
        <v>195</v>
      </c>
      <c r="H7" s="1136">
        <v>320</v>
      </c>
      <c r="I7" s="1135">
        <v>36</v>
      </c>
      <c r="J7" s="1145">
        <v>0</v>
      </c>
      <c r="K7" s="1131"/>
      <c r="L7" s="1131" t="s">
        <v>96</v>
      </c>
      <c r="M7" s="1131" t="s">
        <v>1131</v>
      </c>
      <c r="N7" s="1131" t="s">
        <v>164</v>
      </c>
      <c r="O7" s="1131"/>
      <c r="P7" s="1131"/>
      <c r="Q7" s="1131"/>
      <c r="R7" s="1131"/>
      <c r="S7" s="1131"/>
      <c r="T7" s="1131" t="s">
        <v>161</v>
      </c>
    </row>
    <row r="8" spans="1:20">
      <c r="A8" s="1131">
        <f t="shared" si="0"/>
        <v>2</v>
      </c>
      <c r="B8" s="1132" t="s">
        <v>1338</v>
      </c>
      <c r="C8" s="1133" t="s">
        <v>97</v>
      </c>
      <c r="D8" s="1134">
        <v>4072</v>
      </c>
      <c r="E8" s="1135">
        <v>1120</v>
      </c>
      <c r="F8" s="1145">
        <v>0</v>
      </c>
      <c r="G8" s="1135">
        <v>110</v>
      </c>
      <c r="H8" s="1136">
        <v>1010</v>
      </c>
      <c r="I8" s="1135">
        <v>113</v>
      </c>
      <c r="J8" s="1145">
        <v>0</v>
      </c>
      <c r="K8" s="1131"/>
      <c r="L8" s="1131" t="s">
        <v>96</v>
      </c>
      <c r="M8" s="1131" t="s">
        <v>1131</v>
      </c>
      <c r="N8" s="1131" t="s">
        <v>164</v>
      </c>
      <c r="O8" s="1131"/>
      <c r="P8" s="1131"/>
      <c r="Q8" s="1131"/>
      <c r="R8" s="1131"/>
      <c r="S8" s="1131"/>
      <c r="T8" s="1131" t="s">
        <v>161</v>
      </c>
    </row>
    <row r="9" spans="1:20">
      <c r="A9" s="1131">
        <f t="shared" si="0"/>
        <v>3</v>
      </c>
      <c r="B9" s="1132" t="s">
        <v>343</v>
      </c>
      <c r="C9" s="1133" t="s">
        <v>2045</v>
      </c>
      <c r="D9" s="1134">
        <v>7488</v>
      </c>
      <c r="E9" s="1135">
        <v>1120</v>
      </c>
      <c r="F9" s="1145">
        <v>0</v>
      </c>
      <c r="G9" s="1135">
        <v>110</v>
      </c>
      <c r="H9" s="1136">
        <v>832</v>
      </c>
      <c r="I9" s="1135">
        <v>208</v>
      </c>
      <c r="J9" s="1145">
        <v>0</v>
      </c>
      <c r="K9" s="1131"/>
      <c r="L9" s="1131" t="s">
        <v>96</v>
      </c>
      <c r="M9" s="1131" t="s">
        <v>1131</v>
      </c>
      <c r="N9" s="1131" t="s">
        <v>164</v>
      </c>
      <c r="O9" s="1131"/>
      <c r="P9" s="1131"/>
      <c r="Q9" s="1131"/>
      <c r="R9" s="1131"/>
      <c r="S9" s="1131"/>
      <c r="T9" s="1131" t="s">
        <v>161</v>
      </c>
    </row>
    <row r="10" spans="1:20">
      <c r="A10" s="1131">
        <f t="shared" si="0"/>
        <v>4</v>
      </c>
      <c r="B10" s="1139" t="s">
        <v>1166</v>
      </c>
      <c r="C10" s="1138" t="s">
        <v>258</v>
      </c>
      <c r="D10" s="1140">
        <v>706</v>
      </c>
      <c r="E10" s="1140">
        <v>600</v>
      </c>
      <c r="F10" s="1140">
        <v>0</v>
      </c>
      <c r="G10" s="1140">
        <v>288</v>
      </c>
      <c r="H10" s="1142">
        <v>372</v>
      </c>
      <c r="I10" s="1140">
        <v>20</v>
      </c>
      <c r="J10" s="1140">
        <v>4540</v>
      </c>
      <c r="K10" s="1138"/>
      <c r="L10" s="1138"/>
      <c r="M10" s="1138" t="s">
        <v>159</v>
      </c>
      <c r="N10" s="1138" t="s">
        <v>164</v>
      </c>
      <c r="O10" s="1138"/>
      <c r="P10" s="1138"/>
      <c r="Q10" s="1138"/>
      <c r="R10" s="1138"/>
      <c r="S10" s="1138"/>
      <c r="T10" s="1138" t="s">
        <v>161</v>
      </c>
    </row>
    <row r="11" spans="1:20">
      <c r="A11" s="1131">
        <f t="shared" si="0"/>
        <v>5</v>
      </c>
      <c r="B11" s="1132" t="s">
        <v>867</v>
      </c>
      <c r="C11" s="1133" t="s">
        <v>1080</v>
      </c>
      <c r="D11" s="1145">
        <v>26624</v>
      </c>
      <c r="E11" s="1135">
        <v>3560</v>
      </c>
      <c r="F11" s="1135">
        <v>0</v>
      </c>
      <c r="G11" s="1135">
        <v>1040</v>
      </c>
      <c r="H11" s="1136">
        <v>2935</v>
      </c>
      <c r="I11" s="1135">
        <v>416</v>
      </c>
      <c r="J11" s="1135"/>
      <c r="K11" s="1131"/>
      <c r="L11" s="1131"/>
      <c r="M11" s="1131"/>
      <c r="N11" s="1131"/>
      <c r="O11" s="1131"/>
      <c r="P11" s="1131"/>
      <c r="Q11" s="1131"/>
      <c r="R11" s="1131"/>
      <c r="S11" s="1131"/>
      <c r="T11" s="1131"/>
    </row>
    <row r="12" spans="1:20">
      <c r="A12" s="1131">
        <f t="shared" si="0"/>
        <v>6</v>
      </c>
      <c r="B12" s="1132" t="s">
        <v>1931</v>
      </c>
      <c r="C12" s="1133" t="s">
        <v>1080</v>
      </c>
      <c r="D12" s="1145">
        <v>26624</v>
      </c>
      <c r="E12" s="1135">
        <v>3560</v>
      </c>
      <c r="F12" s="1135">
        <v>0</v>
      </c>
      <c r="G12" s="1135">
        <v>1040</v>
      </c>
      <c r="H12" s="1136">
        <v>2935</v>
      </c>
      <c r="I12" s="1135">
        <v>416</v>
      </c>
      <c r="J12" s="1135"/>
      <c r="K12" s="1131"/>
      <c r="L12" s="1131"/>
      <c r="M12" s="1131"/>
      <c r="N12" s="1131"/>
      <c r="O12" s="1131"/>
      <c r="P12" s="1131"/>
      <c r="Q12" s="1131"/>
      <c r="R12" s="1131"/>
      <c r="S12" s="1131"/>
      <c r="T12" s="1131"/>
    </row>
    <row r="13" spans="1:20">
      <c r="A13" s="1131">
        <f t="shared" si="0"/>
        <v>7</v>
      </c>
      <c r="B13" s="1132" t="s">
        <v>898</v>
      </c>
      <c r="C13" s="1133" t="s">
        <v>1411</v>
      </c>
      <c r="D13" s="1134">
        <v>3825</v>
      </c>
      <c r="E13" s="1135">
        <v>883</v>
      </c>
      <c r="F13" s="1135">
        <v>0</v>
      </c>
      <c r="G13" s="1135">
        <v>120</v>
      </c>
      <c r="H13" s="1136">
        <v>708</v>
      </c>
      <c r="I13" s="1135">
        <v>83</v>
      </c>
      <c r="J13" s="1135">
        <v>0</v>
      </c>
      <c r="K13" s="1131"/>
      <c r="L13" s="1131"/>
      <c r="M13" s="1138" t="s">
        <v>159</v>
      </c>
      <c r="N13" s="1131" t="s">
        <v>160</v>
      </c>
      <c r="O13" s="1131"/>
      <c r="P13" s="1131"/>
      <c r="Q13" s="1131"/>
      <c r="R13" s="1131"/>
      <c r="S13" s="1131"/>
      <c r="T13" s="1131" t="s">
        <v>161</v>
      </c>
    </row>
    <row r="14" spans="1:20">
      <c r="A14" s="1131">
        <f t="shared" si="0"/>
        <v>8</v>
      </c>
      <c r="B14" s="1132" t="s">
        <v>344</v>
      </c>
      <c r="C14" s="1133">
        <v>0</v>
      </c>
      <c r="D14" s="1145">
        <v>0</v>
      </c>
      <c r="E14" s="1135">
        <v>0</v>
      </c>
      <c r="F14" s="1145">
        <v>0</v>
      </c>
      <c r="G14" s="1135">
        <v>0</v>
      </c>
      <c r="H14" s="1136">
        <v>80</v>
      </c>
      <c r="I14" s="1135">
        <v>0</v>
      </c>
      <c r="J14" s="1135">
        <v>0</v>
      </c>
      <c r="K14" s="1131"/>
      <c r="L14" s="1131"/>
      <c r="M14" s="1131"/>
      <c r="N14" s="1131"/>
      <c r="O14" s="1131"/>
      <c r="P14" s="1131"/>
      <c r="Q14" s="1131"/>
      <c r="R14" s="1131"/>
      <c r="S14" s="1131"/>
      <c r="T14" s="1131" t="s">
        <v>161</v>
      </c>
    </row>
    <row r="15" spans="1:20">
      <c r="A15" s="1131">
        <f t="shared" si="0"/>
        <v>9</v>
      </c>
      <c r="B15" s="1132" t="s">
        <v>1781</v>
      </c>
      <c r="C15" s="1133">
        <v>0</v>
      </c>
      <c r="D15" s="1145">
        <v>0</v>
      </c>
      <c r="E15" s="1135">
        <v>0</v>
      </c>
      <c r="F15" s="1145">
        <v>0</v>
      </c>
      <c r="G15" s="1135">
        <v>0</v>
      </c>
      <c r="H15" s="1136">
        <v>500</v>
      </c>
      <c r="I15" s="1135">
        <v>0</v>
      </c>
      <c r="J15" s="1135">
        <v>0</v>
      </c>
      <c r="K15" s="1131"/>
      <c r="L15" s="1131"/>
      <c r="M15" s="1131"/>
      <c r="N15" s="1131"/>
      <c r="O15" s="1131"/>
      <c r="P15" s="1131"/>
      <c r="Q15" s="1131"/>
      <c r="R15" s="1131"/>
      <c r="S15" s="1131"/>
      <c r="T15" s="1131" t="s">
        <v>161</v>
      </c>
    </row>
    <row r="16" spans="1:20">
      <c r="A16" s="1131">
        <f t="shared" si="0"/>
        <v>10</v>
      </c>
      <c r="B16" s="1132" t="s">
        <v>1929</v>
      </c>
      <c r="C16" s="1133" t="s">
        <v>1071</v>
      </c>
      <c r="D16" s="1145">
        <v>12000</v>
      </c>
      <c r="E16" s="1135">
        <v>0</v>
      </c>
      <c r="F16" s="1135">
        <v>0</v>
      </c>
      <c r="G16" s="1135">
        <v>0</v>
      </c>
      <c r="H16" s="1136">
        <v>440</v>
      </c>
      <c r="I16" s="1135">
        <v>0</v>
      </c>
      <c r="J16" s="1135">
        <v>0</v>
      </c>
      <c r="K16" s="1131"/>
      <c r="L16" s="1131"/>
      <c r="M16" s="1131"/>
      <c r="N16" s="1131"/>
      <c r="O16" s="1131"/>
      <c r="P16" s="1131"/>
      <c r="Q16" s="1131"/>
      <c r="R16" s="1131"/>
      <c r="S16" s="1131"/>
      <c r="T16" s="1131"/>
    </row>
    <row r="17" spans="1:20">
      <c r="A17" s="1131">
        <f t="shared" si="0"/>
        <v>11</v>
      </c>
      <c r="B17" s="1132" t="s">
        <v>345</v>
      </c>
      <c r="C17" s="1133" t="s">
        <v>1072</v>
      </c>
      <c r="D17" s="1145">
        <v>44000</v>
      </c>
      <c r="E17" s="1135"/>
      <c r="F17" s="1145">
        <v>0</v>
      </c>
      <c r="G17" s="1135"/>
      <c r="H17" s="1136">
        <v>9780</v>
      </c>
      <c r="I17" s="1135">
        <v>958</v>
      </c>
      <c r="J17" s="1135">
        <v>0</v>
      </c>
      <c r="K17" s="1131" t="s">
        <v>99</v>
      </c>
      <c r="L17" s="1131"/>
      <c r="M17" s="1131"/>
      <c r="N17" s="1131" t="s">
        <v>160</v>
      </c>
      <c r="O17" s="1131" t="s">
        <v>1523</v>
      </c>
      <c r="P17" s="1131"/>
      <c r="Q17" s="1131" t="s">
        <v>161</v>
      </c>
      <c r="R17" s="1131"/>
      <c r="S17" s="1131"/>
      <c r="T17" s="1131"/>
    </row>
    <row r="18" spans="1:20">
      <c r="A18" s="1131">
        <f t="shared" si="0"/>
        <v>12</v>
      </c>
      <c r="B18" s="1132" t="s">
        <v>257</v>
      </c>
      <c r="C18" s="1133" t="s">
        <v>760</v>
      </c>
      <c r="D18" s="1145">
        <v>0</v>
      </c>
      <c r="E18" s="1135">
        <v>0</v>
      </c>
      <c r="F18" s="1135">
        <v>0</v>
      </c>
      <c r="G18" s="1135">
        <v>0</v>
      </c>
      <c r="H18" s="1134">
        <v>350</v>
      </c>
      <c r="I18" s="1135">
        <v>0</v>
      </c>
      <c r="J18" s="1135">
        <v>0</v>
      </c>
      <c r="K18" s="1131"/>
      <c r="L18" s="1131"/>
      <c r="M18" s="1131" t="s">
        <v>159</v>
      </c>
      <c r="N18" s="1131" t="s">
        <v>160</v>
      </c>
      <c r="O18" s="1131"/>
      <c r="P18" s="1131"/>
      <c r="Q18" s="1131"/>
      <c r="R18" s="1131"/>
      <c r="S18" s="1131"/>
      <c r="T18" s="1131" t="s">
        <v>161</v>
      </c>
    </row>
    <row r="19" spans="1:20">
      <c r="A19" s="1131">
        <f t="shared" si="0"/>
        <v>13</v>
      </c>
      <c r="B19" s="1132" t="s">
        <v>1094</v>
      </c>
      <c r="C19" s="1133" t="s">
        <v>1084</v>
      </c>
      <c r="D19" s="1145">
        <v>1018</v>
      </c>
      <c r="E19" s="1135">
        <v>335</v>
      </c>
      <c r="F19" s="1135">
        <v>0</v>
      </c>
      <c r="G19" s="1135">
        <v>0</v>
      </c>
      <c r="H19" s="1134">
        <v>282</v>
      </c>
      <c r="I19" s="1135">
        <v>0</v>
      </c>
      <c r="J19" s="1135">
        <v>0</v>
      </c>
      <c r="K19" s="1131"/>
      <c r="L19" s="1131"/>
      <c r="M19" s="1131" t="s">
        <v>159</v>
      </c>
      <c r="N19" s="1131" t="s">
        <v>160</v>
      </c>
      <c r="O19" s="1131"/>
      <c r="P19" s="1131"/>
      <c r="Q19" s="1131"/>
      <c r="R19" s="1131"/>
      <c r="S19" s="1131"/>
      <c r="T19" s="1131" t="s">
        <v>161</v>
      </c>
    </row>
    <row r="20" spans="1:20">
      <c r="A20" s="1131">
        <f t="shared" si="0"/>
        <v>14</v>
      </c>
      <c r="B20" s="1132" t="s">
        <v>1091</v>
      </c>
      <c r="C20" s="1133" t="s">
        <v>1092</v>
      </c>
      <c r="D20" s="1145">
        <v>616</v>
      </c>
      <c r="E20" s="1135">
        <v>113</v>
      </c>
      <c r="F20" s="1135">
        <v>0</v>
      </c>
      <c r="G20" s="1135">
        <v>160</v>
      </c>
      <c r="H20" s="1136">
        <v>89</v>
      </c>
      <c r="I20" s="1135">
        <v>42</v>
      </c>
      <c r="J20" s="1135">
        <v>390</v>
      </c>
      <c r="K20" s="1131"/>
      <c r="L20" s="1131"/>
      <c r="M20" s="1131"/>
      <c r="N20" s="1131" t="s">
        <v>164</v>
      </c>
      <c r="O20" s="1131"/>
      <c r="P20" s="1131"/>
      <c r="Q20" s="1131"/>
      <c r="R20" s="1131"/>
      <c r="S20" s="1131"/>
      <c r="T20" s="1131" t="s">
        <v>161</v>
      </c>
    </row>
    <row r="21" spans="1:20">
      <c r="A21" s="1131">
        <f t="shared" si="0"/>
        <v>15</v>
      </c>
      <c r="B21" s="1132" t="s">
        <v>1291</v>
      </c>
      <c r="C21" s="1133"/>
      <c r="D21" s="1145"/>
      <c r="E21" s="1135"/>
      <c r="F21" s="1135"/>
      <c r="G21" s="1135"/>
      <c r="H21" s="1136">
        <v>540</v>
      </c>
      <c r="I21" s="1135"/>
      <c r="J21" s="1135"/>
      <c r="K21" s="1131" t="s">
        <v>99</v>
      </c>
      <c r="L21" s="1131"/>
      <c r="M21" s="1131"/>
      <c r="N21" s="1131" t="s">
        <v>160</v>
      </c>
      <c r="O21" s="1131" t="s">
        <v>1523</v>
      </c>
      <c r="P21" s="1131"/>
      <c r="Q21" s="1131" t="s">
        <v>1292</v>
      </c>
      <c r="R21" s="1131"/>
      <c r="S21" s="1131"/>
      <c r="T21" s="1131" t="s">
        <v>161</v>
      </c>
    </row>
    <row r="22" spans="1:20">
      <c r="A22" s="1131">
        <v>16</v>
      </c>
      <c r="B22" s="1132" t="s">
        <v>1064</v>
      </c>
      <c r="C22" s="1133" t="s">
        <v>1516</v>
      </c>
      <c r="D22" s="1145"/>
      <c r="E22" s="1646">
        <v>52900</v>
      </c>
      <c r="F22" s="1145">
        <v>0</v>
      </c>
      <c r="G22" s="1135">
        <v>46900</v>
      </c>
      <c r="H22" s="1136">
        <v>0</v>
      </c>
      <c r="I22" s="1135">
        <v>0</v>
      </c>
      <c r="J22" s="1135">
        <v>0</v>
      </c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</row>
    <row r="23" spans="1:20" ht="13.2">
      <c r="A23" s="1131">
        <v>17</v>
      </c>
      <c r="B23" s="1132" t="s">
        <v>181</v>
      </c>
      <c r="C23" s="1648" t="s">
        <v>1412</v>
      </c>
      <c r="D23" s="1649">
        <v>7200</v>
      </c>
      <c r="E23" s="1650">
        <v>1275</v>
      </c>
      <c r="F23" s="1650"/>
      <c r="G23" s="1650">
        <v>222</v>
      </c>
      <c r="H23" s="1651">
        <v>1053</v>
      </c>
      <c r="I23" s="1650"/>
      <c r="J23" s="1650">
        <v>0</v>
      </c>
      <c r="K23" s="1652"/>
      <c r="L23" s="1652"/>
      <c r="M23" s="1652" t="s">
        <v>159</v>
      </c>
      <c r="N23" s="1652" t="s">
        <v>164</v>
      </c>
      <c r="O23" s="1652"/>
      <c r="P23" s="1652"/>
      <c r="Q23" s="1652"/>
      <c r="R23" s="1652"/>
      <c r="S23" s="1652"/>
      <c r="T23" s="1652"/>
    </row>
    <row r="24" spans="1:20">
      <c r="A24" s="1131">
        <v>18</v>
      </c>
      <c r="B24" s="1132" t="s">
        <v>346</v>
      </c>
      <c r="C24" s="1133" t="s">
        <v>94</v>
      </c>
      <c r="D24" s="1145">
        <v>3848</v>
      </c>
      <c r="E24" s="1135">
        <v>706</v>
      </c>
      <c r="F24" s="1135">
        <v>0</v>
      </c>
      <c r="G24" s="1135">
        <v>160</v>
      </c>
      <c r="H24" s="1136">
        <v>558</v>
      </c>
      <c r="I24" s="1135">
        <v>42</v>
      </c>
      <c r="J24" s="1135">
        <v>390</v>
      </c>
      <c r="K24" s="1131"/>
      <c r="L24" s="1131"/>
      <c r="M24" s="1131"/>
      <c r="N24" s="1131" t="s">
        <v>164</v>
      </c>
      <c r="O24" s="1131"/>
      <c r="P24" s="1131"/>
      <c r="Q24" s="1131"/>
      <c r="R24" s="1131"/>
      <c r="S24" s="1131"/>
      <c r="T24" s="1131" t="s">
        <v>161</v>
      </c>
    </row>
    <row r="25" spans="1:20">
      <c r="A25" s="1131">
        <v>19</v>
      </c>
      <c r="B25" s="1132" t="s">
        <v>866</v>
      </c>
      <c r="C25" s="1133" t="s">
        <v>1081</v>
      </c>
      <c r="D25" s="1145"/>
      <c r="E25" s="1135">
        <v>9223</v>
      </c>
      <c r="F25" s="1145">
        <v>0</v>
      </c>
      <c r="G25" s="1135">
        <v>2300</v>
      </c>
      <c r="H25" s="1136">
        <v>4764</v>
      </c>
      <c r="I25" s="1135">
        <v>742</v>
      </c>
      <c r="J25" s="1135">
        <v>3650</v>
      </c>
      <c r="K25" s="1131"/>
      <c r="L25" s="1131"/>
      <c r="M25" s="1131"/>
      <c r="N25" s="1131" t="s">
        <v>164</v>
      </c>
      <c r="O25" s="1131"/>
      <c r="P25" s="1131"/>
      <c r="Q25" s="1131"/>
      <c r="R25" s="1131"/>
      <c r="S25" s="1131"/>
      <c r="T25" s="1131" t="s">
        <v>161</v>
      </c>
    </row>
    <row r="26" spans="1:20">
      <c r="A26" s="1131">
        <v>20</v>
      </c>
      <c r="B26" s="1132" t="s">
        <v>1070</v>
      </c>
      <c r="C26" s="1133" t="s">
        <v>1081</v>
      </c>
      <c r="D26" s="1145">
        <v>96211</v>
      </c>
      <c r="E26" s="1646">
        <v>3982</v>
      </c>
      <c r="F26" s="1145">
        <v>0</v>
      </c>
      <c r="G26" s="1135">
        <v>2300</v>
      </c>
      <c r="H26" s="1136">
        <v>3563</v>
      </c>
      <c r="I26" s="1135">
        <v>742</v>
      </c>
      <c r="J26" s="1135">
        <v>3650</v>
      </c>
      <c r="K26" s="1131"/>
      <c r="L26" s="1131"/>
      <c r="M26" s="1131"/>
      <c r="N26" s="1131" t="s">
        <v>164</v>
      </c>
      <c r="O26" s="1131"/>
      <c r="P26" s="1131"/>
      <c r="Q26" s="1131"/>
      <c r="R26" s="1131"/>
      <c r="S26" s="1131"/>
      <c r="T26" s="1131" t="s">
        <v>161</v>
      </c>
    </row>
    <row r="27" spans="1:20">
      <c r="A27" s="1131">
        <v>21</v>
      </c>
      <c r="B27" s="1132" t="s">
        <v>1473</v>
      </c>
      <c r="C27" s="1133" t="s">
        <v>687</v>
      </c>
      <c r="D27" s="1145">
        <v>2400</v>
      </c>
      <c r="E27" s="1135">
        <v>4445</v>
      </c>
      <c r="F27" s="1145">
        <v>0</v>
      </c>
      <c r="G27" s="1135">
        <v>2050</v>
      </c>
      <c r="H27" s="1136">
        <v>585</v>
      </c>
      <c r="I27" s="1135">
        <v>55</v>
      </c>
      <c r="J27" s="1135">
        <v>0</v>
      </c>
      <c r="K27" s="1131" t="s">
        <v>158</v>
      </c>
      <c r="L27" s="1131"/>
      <c r="M27" s="1131" t="s">
        <v>994</v>
      </c>
      <c r="N27" s="1131" t="s">
        <v>160</v>
      </c>
      <c r="O27" s="1131"/>
      <c r="P27" s="1131"/>
      <c r="Q27" s="1131" t="s">
        <v>161</v>
      </c>
      <c r="R27" s="1131" t="s">
        <v>161</v>
      </c>
      <c r="S27" s="1131"/>
      <c r="T27" s="1131" t="s">
        <v>161</v>
      </c>
    </row>
    <row r="28" spans="1:20">
      <c r="A28" s="1131">
        <v>22</v>
      </c>
      <c r="B28" s="1132" t="s">
        <v>347</v>
      </c>
      <c r="C28" s="1133" t="s">
        <v>1446</v>
      </c>
      <c r="D28" s="1145">
        <v>1600</v>
      </c>
      <c r="E28" s="1135">
        <v>250</v>
      </c>
      <c r="F28" s="1145">
        <v>0</v>
      </c>
      <c r="G28" s="1135">
        <v>50</v>
      </c>
      <c r="H28" s="1136">
        <v>200</v>
      </c>
      <c r="I28" s="1135">
        <v>44</v>
      </c>
      <c r="J28" s="1135">
        <v>0</v>
      </c>
      <c r="K28" s="1131"/>
      <c r="L28" s="1131"/>
      <c r="M28" s="1131"/>
      <c r="N28" s="1131"/>
      <c r="O28" s="1131"/>
      <c r="P28" s="1131"/>
      <c r="Q28" s="1131"/>
      <c r="R28" s="1131"/>
      <c r="S28" s="1131"/>
      <c r="T28" s="1131"/>
    </row>
    <row r="29" spans="1:20">
      <c r="A29" s="1131">
        <v>23</v>
      </c>
      <c r="B29" s="1139" t="s">
        <v>65</v>
      </c>
      <c r="C29" s="1138" t="s">
        <v>1073</v>
      </c>
      <c r="D29" s="1140">
        <v>4800</v>
      </c>
      <c r="E29" s="1140">
        <v>6000</v>
      </c>
      <c r="F29" s="1140">
        <v>0</v>
      </c>
      <c r="G29" s="1140">
        <v>3300</v>
      </c>
      <c r="H29" s="1142">
        <v>1070</v>
      </c>
      <c r="I29" s="1140">
        <v>0</v>
      </c>
      <c r="J29" s="1140">
        <v>5100</v>
      </c>
      <c r="K29" s="1137"/>
      <c r="L29" s="1137"/>
      <c r="M29" s="1137" t="s">
        <v>159</v>
      </c>
      <c r="N29" s="1137" t="s">
        <v>160</v>
      </c>
      <c r="O29" s="1137"/>
      <c r="P29" s="1137"/>
      <c r="Q29" s="1137"/>
      <c r="R29" s="1137"/>
      <c r="S29" s="1137"/>
      <c r="T29" s="1137" t="s">
        <v>161</v>
      </c>
    </row>
    <row r="30" spans="1:20">
      <c r="A30" s="1131">
        <v>24</v>
      </c>
      <c r="B30" s="1132" t="s">
        <v>1087</v>
      </c>
      <c r="C30" s="1133" t="s">
        <v>95</v>
      </c>
      <c r="D30" s="1145">
        <v>707</v>
      </c>
      <c r="E30" s="1135">
        <v>140</v>
      </c>
      <c r="F30" s="1135">
        <v>0</v>
      </c>
      <c r="G30" s="1135">
        <v>160</v>
      </c>
      <c r="H30" s="1136">
        <v>126</v>
      </c>
      <c r="I30" s="1135">
        <v>42</v>
      </c>
      <c r="J30" s="1135">
        <v>390</v>
      </c>
      <c r="K30" s="1131"/>
      <c r="L30" s="1131"/>
      <c r="M30" s="1131"/>
      <c r="N30" s="1131" t="s">
        <v>164</v>
      </c>
      <c r="O30" s="1131"/>
      <c r="P30" s="1131"/>
      <c r="Q30" s="1131"/>
      <c r="R30" s="1131"/>
      <c r="S30" s="1131"/>
      <c r="T30" s="1131" t="s">
        <v>161</v>
      </c>
    </row>
    <row r="31" spans="1:20">
      <c r="A31" s="1131">
        <v>25</v>
      </c>
      <c r="B31" s="1132" t="s">
        <v>348</v>
      </c>
      <c r="C31" s="1133" t="s">
        <v>235</v>
      </c>
      <c r="D31" s="1145"/>
      <c r="E31" s="1135"/>
      <c r="F31" s="1145"/>
      <c r="G31" s="1135"/>
      <c r="H31" s="1136">
        <v>650</v>
      </c>
      <c r="I31" s="1135">
        <v>0</v>
      </c>
      <c r="J31" s="1135"/>
      <c r="K31" s="1131"/>
      <c r="L31" s="1131"/>
      <c r="M31" s="1131"/>
      <c r="N31" s="1131"/>
      <c r="O31" s="1131"/>
      <c r="P31" s="1131"/>
      <c r="Q31" s="1131"/>
      <c r="R31" s="1131"/>
      <c r="S31" s="1131"/>
      <c r="T31" s="1131"/>
    </row>
    <row r="32" spans="1:20">
      <c r="A32" s="1131">
        <v>26</v>
      </c>
      <c r="B32" s="1132" t="s">
        <v>349</v>
      </c>
      <c r="C32" s="1133" t="s">
        <v>1447</v>
      </c>
      <c r="D32" s="1145">
        <v>2400</v>
      </c>
      <c r="E32" s="1135">
        <v>1200</v>
      </c>
      <c r="F32" s="1145">
        <v>0</v>
      </c>
      <c r="G32" s="1135">
        <v>160</v>
      </c>
      <c r="H32" s="1136">
        <v>942</v>
      </c>
      <c r="I32" s="1135">
        <v>68</v>
      </c>
      <c r="J32" s="1135">
        <v>0</v>
      </c>
      <c r="K32" s="1131"/>
      <c r="L32" s="1131"/>
      <c r="M32" s="1131" t="s">
        <v>159</v>
      </c>
      <c r="N32" s="1131" t="s">
        <v>164</v>
      </c>
      <c r="O32" s="1131"/>
      <c r="P32" s="1131"/>
      <c r="Q32" s="1131"/>
      <c r="R32" s="1131"/>
      <c r="S32" s="1131"/>
      <c r="T32" s="1131"/>
    </row>
    <row r="33" spans="1:20" ht="13.2">
      <c r="A33" s="1131">
        <v>27</v>
      </c>
      <c r="B33" s="1132" t="s">
        <v>350</v>
      </c>
      <c r="C33" s="1648" t="s">
        <v>182</v>
      </c>
      <c r="D33" s="1649">
        <v>4800</v>
      </c>
      <c r="E33" s="1650">
        <v>850</v>
      </c>
      <c r="F33" s="1650">
        <v>0</v>
      </c>
      <c r="G33" s="1650">
        <v>150</v>
      </c>
      <c r="H33" s="1651">
        <v>700</v>
      </c>
      <c r="I33" s="1135">
        <v>111</v>
      </c>
      <c r="J33" s="1135">
        <v>0</v>
      </c>
      <c r="K33" s="1131"/>
      <c r="L33" s="1131"/>
      <c r="M33" s="1131" t="s">
        <v>159</v>
      </c>
      <c r="N33" s="1131" t="s">
        <v>164</v>
      </c>
      <c r="O33" s="1131"/>
      <c r="P33" s="1131"/>
      <c r="Q33" s="1131"/>
      <c r="R33" s="1131"/>
      <c r="S33" s="1131"/>
      <c r="T33" s="1131"/>
    </row>
    <row r="34" spans="1:20">
      <c r="A34" s="1131">
        <v>28</v>
      </c>
      <c r="B34" s="1132" t="s">
        <v>351</v>
      </c>
      <c r="C34" s="1133"/>
      <c r="D34" s="1145"/>
      <c r="E34" s="1135">
        <v>0</v>
      </c>
      <c r="F34" s="1135">
        <v>0</v>
      </c>
      <c r="G34" s="1135">
        <v>0</v>
      </c>
      <c r="H34" s="1136">
        <v>200</v>
      </c>
      <c r="I34" s="1135">
        <v>0</v>
      </c>
      <c r="J34" s="1135">
        <v>0</v>
      </c>
      <c r="K34" s="1131"/>
      <c r="L34" s="1131"/>
      <c r="M34" s="1131"/>
      <c r="N34" s="1131"/>
      <c r="O34" s="1131"/>
      <c r="P34" s="1131"/>
      <c r="Q34" s="1131"/>
      <c r="R34" s="1131"/>
      <c r="S34" s="1131"/>
      <c r="T34" s="1131"/>
    </row>
    <row r="35" spans="1:20">
      <c r="A35" s="1131">
        <v>29</v>
      </c>
      <c r="B35" s="1132" t="s">
        <v>401</v>
      </c>
      <c r="C35" s="1133"/>
      <c r="D35" s="1145"/>
      <c r="E35" s="1135">
        <v>0</v>
      </c>
      <c r="F35" s="1145">
        <v>0</v>
      </c>
      <c r="G35" s="1135">
        <v>0</v>
      </c>
      <c r="H35" s="1136">
        <v>100</v>
      </c>
      <c r="I35" s="1135">
        <v>0</v>
      </c>
      <c r="J35" s="1135">
        <v>0</v>
      </c>
      <c r="K35" s="1131"/>
      <c r="L35" s="1131"/>
      <c r="M35" s="1131"/>
      <c r="N35" s="1131"/>
      <c r="O35" s="1131"/>
      <c r="P35" s="1131"/>
      <c r="Q35" s="1131"/>
      <c r="R35" s="1131"/>
      <c r="S35" s="1131"/>
      <c r="T35" s="1131"/>
    </row>
    <row r="36" spans="1:20">
      <c r="A36" s="1131">
        <v>30</v>
      </c>
      <c r="B36" s="1132" t="s">
        <v>402</v>
      </c>
      <c r="C36" s="1133" t="s">
        <v>235</v>
      </c>
      <c r="D36" s="1145"/>
      <c r="E36" s="1135"/>
      <c r="F36" s="1145"/>
      <c r="G36" s="1135"/>
      <c r="H36" s="1136">
        <v>105</v>
      </c>
      <c r="I36" s="1135">
        <v>0</v>
      </c>
      <c r="J36" s="1135"/>
      <c r="K36" s="1131"/>
      <c r="L36" s="1131"/>
      <c r="M36" s="1131"/>
      <c r="N36" s="1131"/>
      <c r="O36" s="1131"/>
      <c r="P36" s="1131"/>
      <c r="Q36" s="1131"/>
      <c r="R36" s="1131"/>
      <c r="S36" s="1131"/>
      <c r="T36" s="1131"/>
    </row>
    <row r="37" spans="1:20" ht="13.2">
      <c r="A37" s="1131">
        <v>31</v>
      </c>
      <c r="B37" s="1132" t="s">
        <v>403</v>
      </c>
      <c r="C37" s="1648" t="s">
        <v>182</v>
      </c>
      <c r="D37" s="1649">
        <v>4800</v>
      </c>
      <c r="E37" s="1650">
        <v>850</v>
      </c>
      <c r="F37" s="1650">
        <v>0</v>
      </c>
      <c r="G37" s="1650">
        <v>150</v>
      </c>
      <c r="H37" s="1651">
        <v>700</v>
      </c>
      <c r="I37" s="1135">
        <v>111</v>
      </c>
      <c r="J37" s="1135">
        <v>0</v>
      </c>
      <c r="K37" s="1131"/>
      <c r="L37" s="1131"/>
      <c r="M37" s="1131" t="s">
        <v>159</v>
      </c>
      <c r="N37" s="1131" t="s">
        <v>164</v>
      </c>
      <c r="O37" s="1131"/>
      <c r="P37" s="1131"/>
      <c r="Q37" s="1131"/>
      <c r="R37" s="1131"/>
      <c r="S37" s="1131"/>
      <c r="T37" s="1131" t="s">
        <v>161</v>
      </c>
    </row>
    <row r="38" spans="1:20" ht="13.2">
      <c r="A38" s="1131">
        <v>32</v>
      </c>
      <c r="B38" s="1647" t="s">
        <v>1736</v>
      </c>
      <c r="C38" s="1648" t="s">
        <v>183</v>
      </c>
      <c r="D38" s="1649">
        <v>917</v>
      </c>
      <c r="E38" s="1650">
        <v>160</v>
      </c>
      <c r="F38" s="1650">
        <v>0</v>
      </c>
      <c r="G38" s="1650">
        <v>29</v>
      </c>
      <c r="H38" s="1651">
        <v>131</v>
      </c>
      <c r="I38" s="1135">
        <v>50</v>
      </c>
      <c r="J38" s="1135">
        <v>0</v>
      </c>
      <c r="K38" s="1131"/>
      <c r="L38" s="1131"/>
      <c r="M38" s="1131" t="s">
        <v>159</v>
      </c>
      <c r="N38" s="1131" t="s">
        <v>164</v>
      </c>
      <c r="O38" s="1131"/>
      <c r="P38" s="1131"/>
      <c r="Q38" s="1131"/>
      <c r="R38" s="1131"/>
      <c r="S38" s="1131"/>
      <c r="T38" s="1131" t="s">
        <v>161</v>
      </c>
    </row>
    <row r="39" spans="1:20">
      <c r="A39" s="1131">
        <v>33</v>
      </c>
      <c r="B39" s="1139" t="s">
        <v>1171</v>
      </c>
      <c r="C39" s="1138" t="s">
        <v>258</v>
      </c>
      <c r="D39" s="1140">
        <v>706</v>
      </c>
      <c r="E39" s="1140">
        <v>600</v>
      </c>
      <c r="F39" s="1140">
        <v>0</v>
      </c>
      <c r="G39" s="1140">
        <v>228</v>
      </c>
      <c r="H39" s="1142">
        <v>372</v>
      </c>
      <c r="I39" s="1140">
        <v>20</v>
      </c>
      <c r="J39" s="1140">
        <v>4540</v>
      </c>
      <c r="K39" s="1138"/>
      <c r="L39" s="1138"/>
      <c r="M39" s="1138" t="s">
        <v>159</v>
      </c>
      <c r="N39" s="1138" t="s">
        <v>164</v>
      </c>
      <c r="O39" s="1138"/>
      <c r="P39" s="1138"/>
      <c r="Q39" s="1138"/>
      <c r="R39" s="1138"/>
      <c r="S39" s="1138"/>
      <c r="T39" s="1138" t="s">
        <v>161</v>
      </c>
    </row>
    <row r="40" spans="1:20">
      <c r="A40" s="1131">
        <v>34</v>
      </c>
      <c r="B40" s="1132" t="s">
        <v>233</v>
      </c>
      <c r="C40" s="1133" t="s">
        <v>760</v>
      </c>
      <c r="D40" s="1145">
        <v>400</v>
      </c>
      <c r="E40" s="1135">
        <v>30</v>
      </c>
      <c r="F40" s="1145">
        <v>0</v>
      </c>
      <c r="G40" s="1135">
        <v>10</v>
      </c>
      <c r="H40" s="1136">
        <v>350</v>
      </c>
      <c r="I40" s="1135">
        <v>0</v>
      </c>
      <c r="J40" s="1135">
        <v>0</v>
      </c>
      <c r="K40" s="1131"/>
      <c r="L40" s="1131"/>
      <c r="M40" s="1131"/>
      <c r="N40" s="1131"/>
      <c r="O40" s="1131"/>
      <c r="P40" s="1131"/>
      <c r="Q40" s="1131"/>
      <c r="R40" s="1131"/>
      <c r="S40" s="1131"/>
      <c r="T40" s="1131" t="s">
        <v>161</v>
      </c>
    </row>
    <row r="41" spans="1:20">
      <c r="A41" s="1131">
        <v>35</v>
      </c>
      <c r="B41" s="1132" t="s">
        <v>234</v>
      </c>
      <c r="C41" s="1133" t="s">
        <v>1676</v>
      </c>
      <c r="D41" s="1145">
        <v>13600</v>
      </c>
      <c r="E41" s="1135">
        <v>0</v>
      </c>
      <c r="F41" s="1145">
        <v>0</v>
      </c>
      <c r="G41" s="1135">
        <v>0</v>
      </c>
      <c r="H41" s="1136">
        <v>500</v>
      </c>
      <c r="I41" s="1135">
        <v>0</v>
      </c>
      <c r="J41" s="1135">
        <v>0</v>
      </c>
      <c r="K41" s="1131"/>
      <c r="L41" s="1131"/>
      <c r="M41" s="1131"/>
      <c r="N41" s="1131"/>
      <c r="O41" s="1131"/>
      <c r="P41" s="1131"/>
      <c r="Q41" s="1131"/>
      <c r="R41" s="1131"/>
      <c r="S41" s="1131"/>
      <c r="T41" s="1131"/>
    </row>
    <row r="42" spans="1:20">
      <c r="A42" s="1131">
        <v>36</v>
      </c>
      <c r="B42" s="1132" t="s">
        <v>875</v>
      </c>
      <c r="C42" s="1133" t="s">
        <v>825</v>
      </c>
      <c r="D42" s="1145">
        <v>46500</v>
      </c>
      <c r="E42" s="1135">
        <v>770</v>
      </c>
      <c r="F42" s="1145">
        <v>0</v>
      </c>
      <c r="G42" s="1135">
        <v>2148</v>
      </c>
      <c r="H42" s="1136">
        <v>7750</v>
      </c>
      <c r="I42" s="1135">
        <v>566</v>
      </c>
      <c r="J42" s="1135">
        <v>0</v>
      </c>
      <c r="K42" s="1131"/>
      <c r="L42" s="1131"/>
      <c r="M42" s="1131"/>
      <c r="N42" s="1131"/>
      <c r="O42" s="1131"/>
      <c r="P42" s="1131"/>
      <c r="Q42" s="1131"/>
      <c r="R42" s="1131"/>
      <c r="S42" s="1131"/>
      <c r="T42" s="1131"/>
    </row>
    <row r="43" spans="1:20">
      <c r="A43" s="1131">
        <v>37</v>
      </c>
      <c r="B43" s="1132" t="s">
        <v>1441</v>
      </c>
      <c r="C43" s="1133" t="s">
        <v>1413</v>
      </c>
      <c r="D43" s="1145">
        <v>46500</v>
      </c>
      <c r="E43" s="1135">
        <v>0</v>
      </c>
      <c r="F43" s="1145">
        <v>0</v>
      </c>
      <c r="G43" s="1135">
        <v>0</v>
      </c>
      <c r="H43" s="1136">
        <v>1435</v>
      </c>
      <c r="I43" s="1135">
        <v>0</v>
      </c>
      <c r="J43" s="1135"/>
      <c r="K43" s="1131"/>
      <c r="L43" s="1131"/>
      <c r="M43" s="1131"/>
      <c r="N43" s="1131"/>
      <c r="O43" s="1131"/>
      <c r="P43" s="1131"/>
      <c r="Q43" s="1131"/>
      <c r="R43" s="1131"/>
      <c r="S43" s="1131"/>
      <c r="T43" s="1131"/>
    </row>
    <row r="44" spans="1:20">
      <c r="A44" s="1131">
        <v>38</v>
      </c>
      <c r="B44" s="1132" t="s">
        <v>876</v>
      </c>
      <c r="C44" s="1133" t="s">
        <v>583</v>
      </c>
      <c r="D44" s="1145">
        <v>12000</v>
      </c>
      <c r="E44" s="1135">
        <v>2844</v>
      </c>
      <c r="F44" s="1145">
        <v>0</v>
      </c>
      <c r="G44" s="1135">
        <v>900</v>
      </c>
      <c r="H44" s="1136">
        <v>3100</v>
      </c>
      <c r="I44" s="1135">
        <v>208</v>
      </c>
      <c r="J44" s="1135">
        <v>0</v>
      </c>
      <c r="K44" s="1131"/>
      <c r="L44" s="1131"/>
      <c r="M44" s="1131"/>
      <c r="N44" s="1131"/>
      <c r="O44" s="1131"/>
      <c r="P44" s="1131"/>
      <c r="Q44" s="1131"/>
      <c r="R44" s="1131"/>
      <c r="S44" s="1131"/>
      <c r="T44" s="1131"/>
    </row>
    <row r="45" spans="1:20">
      <c r="A45" s="1131">
        <v>39</v>
      </c>
      <c r="B45" s="1132" t="s">
        <v>1930</v>
      </c>
      <c r="C45" s="1133" t="s">
        <v>1872</v>
      </c>
      <c r="D45" s="1145">
        <v>7200</v>
      </c>
      <c r="E45" s="1135">
        <v>0</v>
      </c>
      <c r="F45" s="1145">
        <v>0</v>
      </c>
      <c r="G45" s="1135">
        <v>0</v>
      </c>
      <c r="H45" s="1136">
        <v>3000</v>
      </c>
      <c r="I45" s="1135"/>
      <c r="J45" s="1135">
        <v>0</v>
      </c>
      <c r="K45" s="1131"/>
      <c r="L45" s="1131"/>
      <c r="M45" s="1131"/>
      <c r="N45" s="1131"/>
      <c r="O45" s="1131"/>
      <c r="P45" s="1131"/>
      <c r="Q45" s="1131"/>
      <c r="R45" s="1131"/>
      <c r="S45" s="1131"/>
      <c r="T45" s="1131"/>
    </row>
    <row r="46" spans="1:20">
      <c r="A46" s="1131">
        <v>40</v>
      </c>
      <c r="B46" s="1132" t="s">
        <v>1443</v>
      </c>
      <c r="C46" s="1133" t="s">
        <v>1444</v>
      </c>
      <c r="D46" s="1145">
        <v>18400</v>
      </c>
      <c r="E46" s="1135"/>
      <c r="F46" s="1135">
        <v>0</v>
      </c>
      <c r="G46" s="1135"/>
      <c r="H46" s="1136">
        <v>340</v>
      </c>
      <c r="I46" s="1135">
        <v>0</v>
      </c>
      <c r="J46" s="1135">
        <v>0</v>
      </c>
      <c r="K46" s="1131"/>
      <c r="L46" s="1131"/>
      <c r="M46" s="1131"/>
      <c r="N46" s="1131"/>
      <c r="O46" s="1131"/>
      <c r="P46" s="1131"/>
      <c r="Q46" s="1131"/>
      <c r="R46" s="1131"/>
      <c r="S46" s="1131"/>
      <c r="T46" s="1131"/>
    </row>
    <row r="47" spans="1:20">
      <c r="A47" s="1131">
        <v>41</v>
      </c>
      <c r="B47" s="1132" t="s">
        <v>1082</v>
      </c>
      <c r="C47" s="1133" t="s">
        <v>1083</v>
      </c>
      <c r="D47" s="1145">
        <v>5760</v>
      </c>
      <c r="E47" s="1135">
        <v>820</v>
      </c>
      <c r="F47" s="1135">
        <v>0</v>
      </c>
      <c r="G47" s="1135"/>
      <c r="H47" s="1136">
        <v>640</v>
      </c>
      <c r="I47" s="1135">
        <v>0</v>
      </c>
      <c r="J47" s="1135">
        <v>0</v>
      </c>
      <c r="K47" s="1131"/>
      <c r="L47" s="1131"/>
      <c r="M47" s="1131"/>
      <c r="N47" s="1131"/>
      <c r="O47" s="1131"/>
      <c r="P47" s="1131"/>
      <c r="Q47" s="1131"/>
      <c r="R47" s="1131"/>
      <c r="S47" s="1131"/>
      <c r="T47" s="1131"/>
    </row>
    <row r="49" spans="2:238" ht="13.2" thickBot="1"/>
    <row r="50" spans="2:238" ht="16.8" thickBot="1">
      <c r="B50" s="1187" t="s">
        <v>711</v>
      </c>
      <c r="C50" s="1188"/>
      <c r="D50" s="1189">
        <f>SUM(D6:D48)</f>
        <v>409457</v>
      </c>
      <c r="E50" s="1190">
        <f>SUM(E6:E48)</f>
        <v>98851</v>
      </c>
      <c r="F50" s="1190">
        <f>SUM(F6:F48)</f>
        <v>0</v>
      </c>
      <c r="G50" s="1190">
        <f>SUM(G6:G48)-G22</f>
        <v>17380</v>
      </c>
      <c r="H50" s="1191">
        <f>SUM(H6:H48)-H33</f>
        <v>53407</v>
      </c>
      <c r="I50" s="1190">
        <f>SUM(I6:I48)</f>
        <v>5093</v>
      </c>
      <c r="J50" s="1190"/>
      <c r="K50" s="1109"/>
      <c r="L50" s="1109"/>
      <c r="O50" s="3298" t="s">
        <v>1609</v>
      </c>
      <c r="P50" s="3302"/>
      <c r="Q50" s="3302"/>
      <c r="R50" s="3303"/>
    </row>
    <row r="51" spans="2:238" ht="13.2" thickBot="1">
      <c r="B51" s="1187"/>
      <c r="C51" s="1192"/>
      <c r="D51" s="1193"/>
      <c r="E51" s="1193"/>
      <c r="F51" s="1193"/>
      <c r="G51" s="1193"/>
      <c r="H51" s="1193"/>
      <c r="I51" s="1193"/>
      <c r="J51" s="1193"/>
      <c r="K51" s="1109"/>
      <c r="L51" s="1109"/>
      <c r="O51" s="1194" t="s">
        <v>712</v>
      </c>
      <c r="P51" s="1194" t="s">
        <v>2122</v>
      </c>
      <c r="Q51" s="1172" t="s">
        <v>2125</v>
      </c>
      <c r="R51" s="1195"/>
      <c r="AL51" s="1109"/>
      <c r="AN51" s="1109"/>
      <c r="AO51" s="1112"/>
      <c r="AP51" s="1112"/>
      <c r="AQ51" s="1112"/>
      <c r="AR51" s="1112"/>
      <c r="AS51" s="1112"/>
      <c r="AT51" s="1112"/>
      <c r="AU51" s="1112"/>
      <c r="AX51" s="1109"/>
      <c r="AY51" s="1109"/>
      <c r="AZ51" s="1168"/>
      <c r="BA51" s="1196"/>
      <c r="BW51" s="1109"/>
      <c r="BY51" s="1109"/>
      <c r="BZ51" s="1112"/>
      <c r="CA51" s="1112"/>
      <c r="CB51" s="1112"/>
      <c r="CC51" s="1112"/>
      <c r="CD51" s="1112"/>
      <c r="CE51" s="1112"/>
      <c r="CF51" s="1112"/>
      <c r="CI51" s="1109"/>
      <c r="CJ51" s="1109"/>
      <c r="CK51" s="1168"/>
      <c r="CL51" s="1196"/>
      <c r="DH51" s="1109"/>
      <c r="DJ51" s="1109"/>
      <c r="DK51" s="1112"/>
      <c r="DL51" s="1112"/>
      <c r="DM51" s="1112"/>
      <c r="DN51" s="1112"/>
      <c r="DO51" s="1112"/>
      <c r="DP51" s="1112"/>
      <c r="DQ51" s="1112"/>
      <c r="DT51" s="1109"/>
      <c r="DU51" s="1109"/>
      <c r="DV51" s="1168"/>
      <c r="DW51" s="1196"/>
      <c r="ES51" s="1109"/>
      <c r="EU51" s="1109"/>
      <c r="EV51" s="1112"/>
      <c r="EW51" s="1112"/>
      <c r="EX51" s="1112"/>
      <c r="EY51" s="1112"/>
      <c r="EZ51" s="1112"/>
      <c r="FA51" s="1112"/>
      <c r="FB51" s="1112"/>
      <c r="FE51" s="1109"/>
      <c r="FF51" s="1109"/>
      <c r="FG51" s="1168"/>
      <c r="FH51" s="1196"/>
      <c r="GD51" s="1109"/>
      <c r="GF51" s="1109"/>
      <c r="GG51" s="1112"/>
      <c r="GH51" s="1112"/>
      <c r="GI51" s="1112"/>
      <c r="GJ51" s="1112"/>
      <c r="GK51" s="1112"/>
      <c r="GL51" s="1112"/>
      <c r="GM51" s="1112"/>
      <c r="GP51" s="1109"/>
      <c r="GQ51" s="1109"/>
      <c r="GR51" s="1168"/>
      <c r="GS51" s="1196"/>
      <c r="HO51" s="1109"/>
      <c r="HQ51" s="1109"/>
      <c r="HR51" s="1112"/>
      <c r="HS51" s="1112"/>
      <c r="HT51" s="1112"/>
      <c r="HU51" s="1112"/>
      <c r="HV51" s="1112"/>
      <c r="HW51" s="1112"/>
      <c r="HX51" s="1112"/>
      <c r="IA51" s="1109"/>
      <c r="IB51" s="1109"/>
      <c r="IC51" s="1168"/>
      <c r="ID51" s="1196"/>
    </row>
    <row r="52" spans="2:238">
      <c r="B52" s="1187"/>
      <c r="C52" s="1197" t="s">
        <v>1517</v>
      </c>
      <c r="D52" s="1193"/>
      <c r="E52" s="1198">
        <f>SUM(E18:E20,E23:E25,E27:E47)</f>
        <v>30611</v>
      </c>
      <c r="F52" s="1198"/>
      <c r="G52" s="1198">
        <f>SUM(G18:G20,G23:G25,G27:G47)</f>
        <v>12177</v>
      </c>
      <c r="H52" s="1193"/>
      <c r="I52" s="1193"/>
      <c r="J52" s="1193"/>
      <c r="K52" s="1109"/>
      <c r="L52" s="1109"/>
      <c r="O52" s="1171" t="s">
        <v>713</v>
      </c>
      <c r="P52" s="1171" t="s">
        <v>262</v>
      </c>
      <c r="Q52" s="1175" t="s">
        <v>1705</v>
      </c>
      <c r="R52" s="1199"/>
    </row>
    <row r="53" spans="2:238">
      <c r="B53" s="1163"/>
      <c r="C53" s="1200"/>
      <c r="D53" s="1165"/>
      <c r="E53" s="1165"/>
      <c r="F53" s="1165"/>
      <c r="G53" s="1165"/>
      <c r="H53" s="1165"/>
      <c r="I53" s="1165"/>
      <c r="J53" s="1165"/>
      <c r="K53" s="1109"/>
      <c r="L53" s="1109"/>
      <c r="O53" s="1171" t="s">
        <v>715</v>
      </c>
      <c r="P53" s="1171" t="s">
        <v>2124</v>
      </c>
      <c r="Q53" s="1175" t="s">
        <v>1706</v>
      </c>
      <c r="R53" s="1199"/>
    </row>
    <row r="54" spans="2:238" ht="13.2" thickBot="1">
      <c r="K54" s="1109"/>
      <c r="L54" s="1109"/>
      <c r="O54" s="1176" t="s">
        <v>716</v>
      </c>
      <c r="P54" s="1177" t="s">
        <v>1170</v>
      </c>
      <c r="Q54" s="1178"/>
      <c r="R54" s="1201"/>
    </row>
    <row r="55" spans="2:238">
      <c r="K55" s="1109"/>
      <c r="L55" s="1109"/>
    </row>
    <row r="58" spans="2:238">
      <c r="P58" s="1158"/>
    </row>
    <row r="59" spans="2:238">
      <c r="P59" s="1158"/>
    </row>
    <row r="60" spans="2:238">
      <c r="P60" s="1158"/>
    </row>
    <row r="61" spans="2:238">
      <c r="P61" s="1158"/>
    </row>
    <row r="62" spans="2:238">
      <c r="P62" s="1158"/>
    </row>
    <row r="74" spans="2:12">
      <c r="B74" s="1158"/>
      <c r="C74" s="1162"/>
      <c r="D74" s="1161"/>
      <c r="E74" s="1161"/>
      <c r="F74" s="1161"/>
      <c r="G74" s="1161"/>
      <c r="H74" s="1161"/>
      <c r="I74" s="1161"/>
      <c r="J74" s="1161"/>
      <c r="K74" s="1158"/>
      <c r="L74" s="1158"/>
    </row>
    <row r="75" spans="2:12">
      <c r="B75" s="1158"/>
      <c r="C75" s="1162"/>
      <c r="D75" s="1161"/>
      <c r="E75" s="1161"/>
      <c r="F75" s="1161"/>
      <c r="G75" s="1161"/>
      <c r="H75" s="1161"/>
      <c r="I75" s="1161"/>
      <c r="J75" s="1161"/>
      <c r="K75" s="1158"/>
      <c r="L75" s="1158"/>
    </row>
    <row r="76" spans="2:12">
      <c r="B76" s="1158"/>
      <c r="C76" s="1162"/>
      <c r="D76" s="1161"/>
      <c r="E76" s="1161"/>
      <c r="F76" s="1161"/>
      <c r="G76" s="1161"/>
      <c r="H76" s="1161"/>
      <c r="I76" s="1161"/>
      <c r="J76" s="1161"/>
      <c r="K76" s="1158"/>
      <c r="L76" s="1158"/>
    </row>
    <row r="77" spans="2:12">
      <c r="B77" s="1158"/>
      <c r="C77" s="1162"/>
      <c r="D77" s="1161"/>
      <c r="E77" s="1161"/>
      <c r="F77" s="1161"/>
      <c r="G77" s="1161"/>
      <c r="H77" s="1161"/>
      <c r="I77" s="1161"/>
      <c r="J77" s="1161"/>
      <c r="K77" s="1158"/>
      <c r="L77" s="1158"/>
    </row>
    <row r="78" spans="2:12">
      <c r="B78" s="1158"/>
      <c r="C78" s="1162"/>
      <c r="D78" s="1161"/>
      <c r="E78" s="1161"/>
      <c r="F78" s="1161"/>
      <c r="G78" s="1161"/>
      <c r="H78" s="1161"/>
      <c r="I78" s="1161"/>
      <c r="J78" s="1161"/>
      <c r="K78" s="1158"/>
      <c r="L78" s="1158"/>
    </row>
    <row r="79" spans="2:12">
      <c r="B79" s="1158"/>
      <c r="C79" s="1162"/>
      <c r="D79" s="1161"/>
      <c r="E79" s="1161"/>
      <c r="F79" s="1161"/>
      <c r="G79" s="1161"/>
      <c r="H79" s="1161"/>
      <c r="I79" s="1161"/>
      <c r="J79" s="1161"/>
      <c r="K79" s="1158"/>
      <c r="L79" s="1158"/>
    </row>
    <row r="80" spans="2:12">
      <c r="B80" s="1158"/>
      <c r="C80" s="1162"/>
      <c r="D80" s="1161"/>
      <c r="E80" s="1161"/>
      <c r="F80" s="1161"/>
      <c r="G80" s="1161"/>
      <c r="H80" s="1161"/>
      <c r="I80" s="1161"/>
      <c r="J80" s="1161"/>
      <c r="K80" s="1158"/>
      <c r="L80" s="1158"/>
    </row>
    <row r="81" spans="2:12">
      <c r="B81" s="1158"/>
      <c r="C81" s="1162"/>
      <c r="D81" s="1161"/>
      <c r="E81" s="1161"/>
      <c r="F81" s="1161"/>
      <c r="G81" s="1161"/>
      <c r="H81" s="1161"/>
      <c r="I81" s="1161"/>
      <c r="J81" s="1161"/>
      <c r="K81" s="1158"/>
      <c r="L81" s="1158"/>
    </row>
    <row r="82" spans="2:12">
      <c r="B82" s="1158"/>
      <c r="C82" s="1162"/>
      <c r="D82" s="1161"/>
      <c r="E82" s="1161"/>
      <c r="F82" s="1161"/>
      <c r="G82" s="1161"/>
      <c r="H82" s="1161"/>
      <c r="I82" s="1161"/>
      <c r="J82" s="1161"/>
      <c r="K82" s="1158"/>
      <c r="L82" s="1158"/>
    </row>
    <row r="83" spans="2:12">
      <c r="B83" s="1158"/>
      <c r="C83" s="1162"/>
      <c r="D83" s="1161"/>
      <c r="E83" s="1161"/>
      <c r="F83" s="1161"/>
      <c r="G83" s="1161"/>
      <c r="H83" s="1161"/>
      <c r="I83" s="1161"/>
      <c r="J83" s="1161"/>
      <c r="K83" s="1158"/>
      <c r="L83" s="1158"/>
    </row>
    <row r="84" spans="2:12">
      <c r="B84" s="1158"/>
      <c r="C84" s="1162"/>
      <c r="D84" s="1161"/>
      <c r="E84" s="1161"/>
      <c r="F84" s="1161"/>
      <c r="G84" s="1161"/>
      <c r="H84" s="1161"/>
      <c r="I84" s="1161"/>
      <c r="J84" s="1161"/>
      <c r="K84" s="1158"/>
      <c r="L84" s="1158"/>
    </row>
    <row r="85" spans="2:12">
      <c r="B85" s="1158"/>
      <c r="C85" s="1162"/>
      <c r="D85" s="1161"/>
      <c r="E85" s="1161"/>
      <c r="F85" s="1161"/>
      <c r="G85" s="1161"/>
      <c r="H85" s="1161"/>
      <c r="I85" s="1161"/>
      <c r="J85" s="1161"/>
      <c r="K85" s="1158"/>
      <c r="L85" s="1158"/>
    </row>
  </sheetData>
  <mergeCells count="2">
    <mergeCell ref="L4:T4"/>
    <mergeCell ref="O50:R50"/>
  </mergeCells>
  <phoneticPr fontId="29" type="noConversion"/>
  <printOptions horizontalCentered="1"/>
  <pageMargins left="0.39" right="0.42" top="0.78" bottom="0.91" header="0.41" footer="0.5"/>
  <pageSetup paperSize="3" scale="50" fitToHeight="2" orientation="landscape" r:id="rId1"/>
  <headerFooter alignWithMargins="0">
    <oddHeader>&amp;C&amp;"Arial MT,Bold"&amp;A&amp;RPrint Date: &amp;D</oddHeader>
    <oddFooter>&amp;L&amp;6          &amp;F\ &amp;A
&amp;C&amp;"Arial MT,Bold"&amp;10&amp;G&amp;R&amp;"Arial MT,Bold"&amp;14Confidentia&amp;10l&amp;"Arial MT,Regular"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showGridLines="0" showOutlineSymbols="0" topLeftCell="A34" zoomScale="70" zoomScaleNormal="75" workbookViewId="0">
      <selection activeCell="F23" sqref="F23"/>
    </sheetView>
  </sheetViews>
  <sheetFormatPr defaultColWidth="11.453125" defaultRowHeight="16.2"/>
  <cols>
    <col min="1" max="1" width="2.36328125" style="710" customWidth="1"/>
    <col min="2" max="2" width="25.81640625" style="710" customWidth="1"/>
    <col min="3" max="3" width="21.08984375" style="710" customWidth="1"/>
    <col min="4" max="4" width="19.81640625" style="710" bestFit="1" customWidth="1"/>
    <col min="5" max="5" width="3.36328125" style="710" customWidth="1"/>
    <col min="6" max="6" width="22.81640625" style="710" customWidth="1"/>
    <col min="7" max="7" width="2.453125" style="710" customWidth="1"/>
    <col min="8" max="8" width="22.36328125" style="710" bestFit="1" customWidth="1"/>
    <col min="9" max="9" width="3.08984375" style="710" customWidth="1"/>
    <col min="10" max="10" width="18.08984375" style="710" bestFit="1" customWidth="1"/>
    <col min="11" max="11" width="3.08984375" style="710" customWidth="1"/>
    <col min="12" max="12" width="27" style="710" bestFit="1" customWidth="1"/>
    <col min="13" max="13" width="2.90625" style="710" customWidth="1"/>
    <col min="14" max="14" width="25.81640625" style="710" bestFit="1" customWidth="1"/>
    <col min="15" max="15" width="2.36328125" style="710" customWidth="1"/>
    <col min="16" max="16" width="16.81640625" style="710" hidden="1" customWidth="1"/>
    <col min="17" max="17" width="11.453125" style="710" customWidth="1"/>
    <col min="18" max="18" width="17" style="720" bestFit="1" customWidth="1"/>
    <col min="19" max="16384" width="11.453125" style="710"/>
  </cols>
  <sheetData>
    <row r="1" spans="1:15" ht="22.2">
      <c r="A1" s="714"/>
      <c r="B1" s="715" t="str">
        <f>+'Cover Sheet'!B11:J11</f>
        <v>10 MW PV Solar  - Standard Efficiency Crystalline Panels</v>
      </c>
      <c r="C1" s="715"/>
      <c r="D1" s="716"/>
      <c r="E1" s="716"/>
      <c r="F1" s="716"/>
      <c r="H1" s="717"/>
      <c r="I1" s="718"/>
      <c r="J1" s="718"/>
      <c r="M1" s="719"/>
      <c r="N1" s="714"/>
      <c r="O1" s="714"/>
    </row>
    <row r="2" spans="1:15">
      <c r="A2" s="714"/>
      <c r="B2" s="721" t="s">
        <v>2025</v>
      </c>
      <c r="C2" s="716" t="s">
        <v>2189</v>
      </c>
      <c r="D2" s="716"/>
      <c r="E2" s="716"/>
      <c r="F2" s="716"/>
      <c r="G2" s="714"/>
      <c r="H2" s="722"/>
      <c r="I2" s="718"/>
      <c r="J2" s="718"/>
      <c r="K2" s="718"/>
      <c r="L2" s="718"/>
      <c r="M2" s="718"/>
      <c r="N2" s="714"/>
      <c r="O2" s="714"/>
    </row>
    <row r="3" spans="1:15">
      <c r="A3" s="714"/>
      <c r="B3" s="721" t="s">
        <v>517</v>
      </c>
      <c r="C3" s="723">
        <v>189895</v>
      </c>
      <c r="D3" s="716"/>
      <c r="E3" s="716"/>
      <c r="F3" s="716"/>
      <c r="G3" s="714"/>
      <c r="H3" s="722"/>
      <c r="I3" s="718"/>
      <c r="J3" s="718"/>
      <c r="K3" s="718"/>
      <c r="L3" s="718"/>
      <c r="M3" s="718"/>
      <c r="N3" s="714"/>
      <c r="O3" s="714"/>
    </row>
    <row r="4" spans="1:15" ht="14.1" customHeight="1">
      <c r="A4" s="714"/>
      <c r="B4" s="721" t="s">
        <v>2026</v>
      </c>
      <c r="C4" s="724" t="s">
        <v>2480</v>
      </c>
      <c r="D4" s="716"/>
      <c r="E4" s="716"/>
      <c r="F4" s="716"/>
      <c r="G4" s="714"/>
      <c r="H4" s="3109"/>
      <c r="I4" s="718"/>
      <c r="J4" s="718"/>
      <c r="K4" s="718"/>
      <c r="L4" s="718"/>
      <c r="M4" s="718"/>
      <c r="N4" s="718"/>
      <c r="O4" s="718"/>
    </row>
    <row r="5" spans="1:15">
      <c r="A5" s="714"/>
      <c r="B5" s="721" t="s">
        <v>2027</v>
      </c>
      <c r="C5" s="716" t="s">
        <v>2418</v>
      </c>
      <c r="D5" s="716"/>
      <c r="E5" s="716"/>
      <c r="F5" s="716"/>
      <c r="G5" s="714"/>
      <c r="H5" s="3110"/>
      <c r="I5" s="714"/>
      <c r="J5" s="714"/>
      <c r="K5" s="714"/>
      <c r="L5" s="714"/>
      <c r="M5" s="714"/>
      <c r="O5" s="725"/>
    </row>
    <row r="6" spans="1:15">
      <c r="A6" s="714"/>
      <c r="B6" s="721" t="s">
        <v>2028</v>
      </c>
      <c r="C6" s="716" t="s">
        <v>2294</v>
      </c>
      <c r="D6" s="716"/>
      <c r="E6" s="716"/>
      <c r="F6" s="716"/>
      <c r="G6" s="714"/>
      <c r="H6" s="3110"/>
      <c r="I6" s="714"/>
      <c r="J6" s="714"/>
      <c r="K6" s="714"/>
      <c r="L6" s="714"/>
      <c r="M6" s="714"/>
      <c r="N6" s="726" t="s">
        <v>2024</v>
      </c>
      <c r="O6" s="725"/>
    </row>
    <row r="7" spans="1:15">
      <c r="A7" s="714"/>
      <c r="B7" s="721" t="s">
        <v>1903</v>
      </c>
      <c r="C7" s="716" t="s">
        <v>305</v>
      </c>
      <c r="D7" s="716"/>
      <c r="E7" s="716"/>
      <c r="F7" s="716"/>
      <c r="G7" s="714"/>
      <c r="H7" s="714"/>
      <c r="I7" s="714"/>
      <c r="J7" s="714"/>
      <c r="K7" s="714"/>
      <c r="L7" s="714"/>
      <c r="M7" s="714"/>
      <c r="N7" s="725">
        <f>'Cover Sheet'!$B$20</f>
        <v>41681</v>
      </c>
      <c r="O7" s="727"/>
    </row>
    <row r="8" spans="1:15">
      <c r="A8" s="714"/>
      <c r="B8" s="721"/>
      <c r="C8" s="716"/>
      <c r="D8" s="716"/>
      <c r="E8" s="716"/>
      <c r="F8" s="716"/>
      <c r="G8" s="714"/>
      <c r="H8" s="714"/>
      <c r="I8" s="714"/>
      <c r="J8" s="714"/>
      <c r="K8" s="714"/>
      <c r="L8" s="714"/>
      <c r="M8" s="714"/>
      <c r="N8" s="726"/>
      <c r="O8" s="727"/>
    </row>
    <row r="9" spans="1:15">
      <c r="A9" s="714"/>
      <c r="B9" s="730" t="s">
        <v>2479</v>
      </c>
      <c r="C9" s="731"/>
      <c r="D9" s="3111"/>
      <c r="E9" s="3111"/>
      <c r="F9" s="3111"/>
      <c r="G9" s="732"/>
      <c r="H9" s="733"/>
      <c r="I9" s="734"/>
      <c r="J9" s="731" t="s">
        <v>1777</v>
      </c>
      <c r="K9" s="735"/>
      <c r="L9" s="736" t="s">
        <v>669</v>
      </c>
      <c r="M9" s="737"/>
      <c r="N9" s="2671"/>
      <c r="O9" s="729"/>
    </row>
    <row r="10" spans="1:15" ht="19.5" customHeight="1">
      <c r="A10" s="714"/>
      <c r="B10" s="740"/>
      <c r="C10" s="741"/>
      <c r="D10" s="3112" t="s">
        <v>1069</v>
      </c>
      <c r="E10" s="3112"/>
      <c r="F10" s="3112"/>
      <c r="G10" s="743"/>
      <c r="H10" s="2058" t="s">
        <v>305</v>
      </c>
      <c r="I10" s="744"/>
      <c r="J10" s="2650" t="s">
        <v>987</v>
      </c>
      <c r="K10" s="745"/>
      <c r="L10" s="2063">
        <v>678</v>
      </c>
      <c r="M10" s="747"/>
      <c r="N10" s="2672"/>
      <c r="O10" s="729"/>
    </row>
    <row r="11" spans="1:15" ht="18" customHeight="1">
      <c r="A11" s="714"/>
      <c r="B11" s="750"/>
      <c r="C11" s="741"/>
      <c r="D11" s="3113" t="s">
        <v>1068</v>
      </c>
      <c r="E11" s="3113"/>
      <c r="F11" s="3113"/>
      <c r="G11" s="2651" t="s">
        <v>1900</v>
      </c>
      <c r="H11" s="2059" t="s">
        <v>305</v>
      </c>
      <c r="I11" s="744"/>
      <c r="J11" s="2650" t="s">
        <v>1778</v>
      </c>
      <c r="K11" s="745"/>
      <c r="L11" s="746">
        <v>1</v>
      </c>
      <c r="M11" s="747"/>
      <c r="N11" s="2672"/>
      <c r="O11" s="754"/>
    </row>
    <row r="12" spans="1:15">
      <c r="A12" s="714"/>
      <c r="B12" s="755"/>
      <c r="C12" s="756"/>
      <c r="D12" s="3114" t="s">
        <v>877</v>
      </c>
      <c r="E12" s="3114"/>
      <c r="F12" s="3114"/>
      <c r="G12" s="757"/>
      <c r="H12" s="2060">
        <v>42887</v>
      </c>
      <c r="I12" s="759"/>
      <c r="J12" s="756" t="s">
        <v>1954</v>
      </c>
      <c r="K12" s="760"/>
      <c r="L12" s="761" t="s">
        <v>670</v>
      </c>
      <c r="M12" s="762"/>
      <c r="N12" s="2673"/>
      <c r="O12" s="754"/>
    </row>
    <row r="13" spans="1:15" ht="10.5" customHeight="1"/>
    <row r="14" spans="1:15">
      <c r="A14" s="714"/>
      <c r="B14" s="3115" t="s">
        <v>1961</v>
      </c>
      <c r="C14" s="3116"/>
      <c r="D14" s="3121" t="s">
        <v>1956</v>
      </c>
      <c r="E14" s="3122"/>
      <c r="F14" s="3122"/>
      <c r="G14" s="3122"/>
      <c r="H14" s="3122"/>
      <c r="I14" s="3122"/>
      <c r="J14" s="3122"/>
      <c r="K14" s="3122"/>
      <c r="L14" s="3122"/>
      <c r="M14" s="3123"/>
      <c r="N14" s="764"/>
      <c r="O14" s="767"/>
    </row>
    <row r="15" spans="1:15">
      <c r="A15" s="714"/>
      <c r="B15" s="3117"/>
      <c r="C15" s="3118"/>
      <c r="D15" s="768" t="s">
        <v>1957</v>
      </c>
      <c r="E15" s="766"/>
      <c r="F15" s="769" t="s">
        <v>1958</v>
      </c>
      <c r="G15" s="766"/>
      <c r="H15" s="769" t="s">
        <v>1958</v>
      </c>
      <c r="I15" s="766"/>
      <c r="J15" s="769" t="s">
        <v>1958</v>
      </c>
      <c r="K15" s="766"/>
      <c r="L15" s="769" t="s">
        <v>1959</v>
      </c>
      <c r="M15" s="770"/>
      <c r="N15" s="771" t="s">
        <v>1960</v>
      </c>
      <c r="O15" s="767"/>
    </row>
    <row r="16" spans="1:15">
      <c r="A16" s="714"/>
      <c r="B16" s="3119"/>
      <c r="C16" s="3120"/>
      <c r="D16" s="773" t="s">
        <v>1962</v>
      </c>
      <c r="E16" s="774"/>
      <c r="F16" s="775" t="s">
        <v>1963</v>
      </c>
      <c r="G16" s="774"/>
      <c r="H16" s="775" t="s">
        <v>1964</v>
      </c>
      <c r="I16" s="774"/>
      <c r="J16" s="775" t="s">
        <v>2059</v>
      </c>
      <c r="K16" s="774"/>
      <c r="L16" s="775" t="s">
        <v>1694</v>
      </c>
      <c r="M16" s="776"/>
      <c r="N16" s="777" t="s">
        <v>1965</v>
      </c>
      <c r="O16" s="767"/>
    </row>
    <row r="17" spans="1:16" ht="10.5" customHeight="1">
      <c r="A17" s="714"/>
      <c r="B17" s="714"/>
      <c r="C17" s="714"/>
      <c r="D17" s="778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14"/>
    </row>
    <row r="18" spans="1:16" ht="20.100000000000001" customHeight="1">
      <c r="A18" s="714"/>
      <c r="B18" s="780" t="s">
        <v>146</v>
      </c>
      <c r="C18" s="781"/>
      <c r="D18" s="782" t="e">
        <f>ROUND('Estimate Details'!#REF!,-4)</f>
        <v>#REF!</v>
      </c>
      <c r="E18" s="783"/>
      <c r="F18" s="782" t="e">
        <f>ROUND('Estimate Details'!#REF!,-4)</f>
        <v>#REF!</v>
      </c>
      <c r="G18" s="783"/>
      <c r="H18" s="782" t="e">
        <f>ROUND('Estimate Details'!#REF!,-4)</f>
        <v>#REF!</v>
      </c>
      <c r="I18" s="783"/>
      <c r="J18" s="784" t="e">
        <f>'Estimate Details'!#REF!</f>
        <v>#REF!</v>
      </c>
      <c r="K18" s="783"/>
      <c r="L18" s="784" t="e">
        <f>ROUND('Estimate Details'!#REF!,-4)</f>
        <v>#REF!</v>
      </c>
      <c r="M18" s="783"/>
      <c r="N18" s="2674" t="e">
        <f t="shared" ref="N18:N31" si="0">D18+F18+H18+L18</f>
        <v>#REF!</v>
      </c>
      <c r="O18" s="787"/>
      <c r="P18" s="789" t="e">
        <f>+'Estimate Details'!#REF!</f>
        <v>#REF!</v>
      </c>
    </row>
    <row r="19" spans="1:16" ht="20.100000000000001" customHeight="1">
      <c r="A19" s="714"/>
      <c r="B19" s="790" t="s">
        <v>464</v>
      </c>
      <c r="C19" s="791"/>
      <c r="D19" s="792" t="e">
        <f>ROUND('Estimate Details'!#REF!,-4)</f>
        <v>#REF!</v>
      </c>
      <c r="E19" s="787"/>
      <c r="F19" s="792" t="e">
        <f>ROUND('Project Summary'!#REF!,-4)</f>
        <v>#REF!</v>
      </c>
      <c r="G19" s="787"/>
      <c r="H19" s="792" t="e">
        <f>ROUND('Estimate Details'!#REF!,-4)</f>
        <v>#REF!</v>
      </c>
      <c r="I19" s="787"/>
      <c r="J19" s="793" t="e">
        <f>'Estimate Details'!#REF!</f>
        <v>#REF!</v>
      </c>
      <c r="K19" s="787"/>
      <c r="L19" s="793" t="e">
        <f>ROUND('Estimate Details'!#REF!,-4)</f>
        <v>#REF!</v>
      </c>
      <c r="M19" s="787"/>
      <c r="N19" s="2675" t="e">
        <f>D19+F19+H19+L19</f>
        <v>#REF!</v>
      </c>
      <c r="O19" s="787"/>
      <c r="P19" s="789"/>
    </row>
    <row r="20" spans="1:16" ht="20.100000000000001" customHeight="1">
      <c r="A20" s="714"/>
      <c r="B20" s="790" t="s">
        <v>145</v>
      </c>
      <c r="C20" s="791"/>
      <c r="D20" s="792">
        <f>ROUND('Estimate Details'!$N$35,-4)</f>
        <v>0</v>
      </c>
      <c r="E20" s="787"/>
      <c r="F20" s="792">
        <f>ROUND('Estimate Details'!$O$35,-4)</f>
        <v>830000</v>
      </c>
      <c r="G20" s="787"/>
      <c r="H20" s="792">
        <f>ROUND('Estimate Details'!$R$35,-4)</f>
        <v>890000</v>
      </c>
      <c r="I20" s="787"/>
      <c r="J20" s="793">
        <f>'Estimate Details'!$S$35</f>
        <v>19838.715500000002</v>
      </c>
      <c r="K20" s="787"/>
      <c r="L20" s="793">
        <f>ROUND('Estimate Details'!$U$35,-4)</f>
        <v>520000</v>
      </c>
      <c r="M20" s="787"/>
      <c r="N20" s="2675">
        <f t="shared" si="0"/>
        <v>2240000</v>
      </c>
      <c r="O20" s="787"/>
      <c r="P20" s="789">
        <f>+'Estimate Details'!V35</f>
        <v>2240239.1143008373</v>
      </c>
    </row>
    <row r="21" spans="1:16" ht="20.100000000000001" customHeight="1">
      <c r="A21" s="714"/>
      <c r="B21" s="790" t="s">
        <v>282</v>
      </c>
      <c r="C21" s="791"/>
      <c r="D21" s="792" t="e">
        <f>ROUND('Estimate Details'!#REF!,-4)</f>
        <v>#REF!</v>
      </c>
      <c r="E21" s="787"/>
      <c r="F21" s="792" t="e">
        <f>ROUND('Estimate Details'!#REF!,-4)</f>
        <v>#REF!</v>
      </c>
      <c r="G21" s="787"/>
      <c r="H21" s="792" t="e">
        <f>ROUND('Estimate Details'!#REF!,-4)</f>
        <v>#REF!</v>
      </c>
      <c r="I21" s="787"/>
      <c r="J21" s="793" t="e">
        <f>'Estimate Details'!#REF!</f>
        <v>#REF!</v>
      </c>
      <c r="K21" s="787"/>
      <c r="L21" s="793" t="e">
        <f>ROUND('Estimate Details'!#REF!,-4)</f>
        <v>#REF!</v>
      </c>
      <c r="M21" s="787"/>
      <c r="N21" s="2675" t="e">
        <f t="shared" si="0"/>
        <v>#REF!</v>
      </c>
      <c r="O21" s="787"/>
      <c r="P21" s="789" t="e">
        <f>+'Estimate Details'!#REF!</f>
        <v>#REF!</v>
      </c>
    </row>
    <row r="22" spans="1:16" ht="20.100000000000001" customHeight="1">
      <c r="A22" s="714"/>
      <c r="B22" s="790" t="s">
        <v>1672</v>
      </c>
      <c r="C22" s="791"/>
      <c r="D22" s="792" t="e">
        <f>ROUND('Estimate Details'!#REF!,-4)</f>
        <v>#REF!</v>
      </c>
      <c r="E22" s="787"/>
      <c r="F22" s="792" t="e">
        <f>ROUND('Estimate Details'!#REF!,-4)</f>
        <v>#REF!</v>
      </c>
      <c r="G22" s="787"/>
      <c r="H22" s="792" t="e">
        <f>ROUND('Estimate Details'!#REF!,-4)</f>
        <v>#REF!</v>
      </c>
      <c r="I22" s="787"/>
      <c r="J22" s="793" t="e">
        <f>'Estimate Details'!#REF!</f>
        <v>#REF!</v>
      </c>
      <c r="K22" s="787"/>
      <c r="L22" s="793" t="e">
        <f>ROUND('Estimate Details'!#REF!,-4)</f>
        <v>#REF!</v>
      </c>
      <c r="M22" s="787"/>
      <c r="N22" s="2675" t="e">
        <f t="shared" si="0"/>
        <v>#REF!</v>
      </c>
      <c r="O22" s="787"/>
      <c r="P22" s="796" t="e">
        <f>+'Estimate Details'!#REF!-#REF!</f>
        <v>#REF!</v>
      </c>
    </row>
    <row r="23" spans="1:16" ht="20.100000000000001" customHeight="1">
      <c r="A23" s="714"/>
      <c r="B23" s="790" t="s">
        <v>2304</v>
      </c>
      <c r="C23" s="791"/>
      <c r="D23" s="792" t="e">
        <f>ROUND('Estimate Details'!#REF!,-4)</f>
        <v>#REF!</v>
      </c>
      <c r="E23" s="787"/>
      <c r="F23" s="792" t="e">
        <f>ROUND('Estimate Details'!#REF!,-4)</f>
        <v>#REF!</v>
      </c>
      <c r="G23" s="787"/>
      <c r="H23" s="792" t="e">
        <f>ROUND('Estimate Details'!#REF!,-4)</f>
        <v>#REF!</v>
      </c>
      <c r="I23" s="787"/>
      <c r="J23" s="793" t="e">
        <f>'Estimate Details'!#REF!</f>
        <v>#REF!</v>
      </c>
      <c r="K23" s="787"/>
      <c r="L23" s="793" t="e">
        <f>ROUND('Estimate Details'!#REF!,-4)</f>
        <v>#REF!</v>
      </c>
      <c r="M23" s="787"/>
      <c r="N23" s="2675" t="e">
        <f>D23+F23+H23+L23</f>
        <v>#REF!</v>
      </c>
      <c r="O23" s="787"/>
      <c r="P23" s="789" t="e">
        <f>+'Estimate Details'!#REF!</f>
        <v>#REF!</v>
      </c>
    </row>
    <row r="24" spans="1:16" ht="20.100000000000001" customHeight="1">
      <c r="A24" s="714"/>
      <c r="B24" s="790" t="s">
        <v>676</v>
      </c>
      <c r="C24" s="791"/>
      <c r="D24" s="792" t="e">
        <f>ROUND('Estimate Details'!#REF!,-4)</f>
        <v>#REF!</v>
      </c>
      <c r="E24" s="787"/>
      <c r="F24" s="792" t="e">
        <f>ROUND('Estimate Details'!#REF!,-4)</f>
        <v>#REF!</v>
      </c>
      <c r="G24" s="787"/>
      <c r="H24" s="792" t="e">
        <f>ROUND('Estimate Details'!#REF!,-4)</f>
        <v>#REF!</v>
      </c>
      <c r="I24" s="787"/>
      <c r="J24" s="793" t="e">
        <f>'Estimate Details'!#REF!</f>
        <v>#REF!</v>
      </c>
      <c r="K24" s="787"/>
      <c r="L24" s="793" t="e">
        <f>ROUND('Estimate Details'!#REF!,-4)</f>
        <v>#REF!</v>
      </c>
      <c r="M24" s="787"/>
      <c r="N24" s="2675" t="e">
        <f t="shared" si="0"/>
        <v>#REF!</v>
      </c>
      <c r="O24" s="787"/>
      <c r="P24" s="789" t="e">
        <f>+'Estimate Details'!#REF!</f>
        <v>#REF!</v>
      </c>
    </row>
    <row r="25" spans="1:16" ht="20.100000000000001" customHeight="1">
      <c r="A25" s="714"/>
      <c r="B25" s="790" t="s">
        <v>677</v>
      </c>
      <c r="C25" s="791"/>
      <c r="D25" s="792" t="e">
        <f>ROUND('Estimate Details'!#REF!,-4)</f>
        <v>#REF!</v>
      </c>
      <c r="E25" s="787"/>
      <c r="F25" s="792" t="e">
        <f>ROUND('Estimate Details'!#REF!,-4)</f>
        <v>#REF!</v>
      </c>
      <c r="G25" s="787"/>
      <c r="H25" s="792" t="e">
        <f>ROUND('Estimate Details'!#REF!,-4)</f>
        <v>#REF!</v>
      </c>
      <c r="I25" s="787"/>
      <c r="J25" s="793" t="e">
        <f>'Estimate Details'!#REF!</f>
        <v>#REF!</v>
      </c>
      <c r="K25" s="787"/>
      <c r="L25" s="793" t="e">
        <f>ROUND('Estimate Details'!#REF!,-4)</f>
        <v>#REF!</v>
      </c>
      <c r="M25" s="787"/>
      <c r="N25" s="2675" t="e">
        <f t="shared" si="0"/>
        <v>#REF!</v>
      </c>
      <c r="O25" s="787"/>
      <c r="P25" s="789" t="e">
        <f>+'Estimate Details'!#REF!</f>
        <v>#REF!</v>
      </c>
    </row>
    <row r="26" spans="1:16" ht="20.100000000000001" customHeight="1">
      <c r="A26" s="714"/>
      <c r="B26" s="790" t="s">
        <v>1757</v>
      </c>
      <c r="C26" s="791"/>
      <c r="D26" s="792" t="e">
        <f>ROUND('Estimate Details'!#REF!,-4)</f>
        <v>#REF!</v>
      </c>
      <c r="E26" s="787"/>
      <c r="F26" s="792" t="e">
        <f>ROUND('Estimate Details'!#REF!,-4)</f>
        <v>#REF!</v>
      </c>
      <c r="G26" s="787"/>
      <c r="H26" s="792" t="e">
        <f>ROUND('Estimate Details'!#REF!,-4)</f>
        <v>#REF!</v>
      </c>
      <c r="I26" s="787"/>
      <c r="J26" s="793" t="e">
        <f>'Estimate Details'!#REF!</f>
        <v>#REF!</v>
      </c>
      <c r="K26" s="787"/>
      <c r="L26" s="793" t="e">
        <f>ROUND('Estimate Details'!#REF!,-4)</f>
        <v>#REF!</v>
      </c>
      <c r="M26" s="787"/>
      <c r="N26" s="2675" t="e">
        <f t="shared" si="0"/>
        <v>#REF!</v>
      </c>
      <c r="O26" s="787"/>
      <c r="P26" s="789" t="e">
        <f>+'Estimate Details'!#REF!</f>
        <v>#REF!</v>
      </c>
    </row>
    <row r="27" spans="1:16" ht="20.100000000000001" customHeight="1">
      <c r="A27" s="714"/>
      <c r="B27" s="790" t="s">
        <v>1779</v>
      </c>
      <c r="C27" s="791"/>
      <c r="D27" s="792" t="e">
        <f>ROUND('Estimate Details'!#REF!,-4)</f>
        <v>#REF!</v>
      </c>
      <c r="E27" s="787"/>
      <c r="F27" s="792" t="e">
        <f>ROUND('Estimate Details'!#REF!,-4)</f>
        <v>#REF!</v>
      </c>
      <c r="G27" s="787"/>
      <c r="H27" s="792" t="e">
        <f>ROUND('Estimate Details'!#REF!,-4)</f>
        <v>#REF!</v>
      </c>
      <c r="I27" s="787"/>
      <c r="J27" s="793" t="e">
        <f>'Estimate Details'!#REF!</f>
        <v>#REF!</v>
      </c>
      <c r="K27" s="787"/>
      <c r="L27" s="793" t="e">
        <f>ROUND('Estimate Details'!#REF!,-4)</f>
        <v>#REF!</v>
      </c>
      <c r="M27" s="787"/>
      <c r="N27" s="2675" t="e">
        <f t="shared" si="0"/>
        <v>#REF!</v>
      </c>
      <c r="O27" s="787"/>
      <c r="P27" s="789" t="e">
        <f>+'Estimate Details'!#REF!</f>
        <v>#REF!</v>
      </c>
    </row>
    <row r="28" spans="1:16" ht="20.100000000000001" customHeight="1">
      <c r="A28" s="714"/>
      <c r="B28" s="790" t="s">
        <v>466</v>
      </c>
      <c r="C28" s="791"/>
      <c r="D28" s="792" t="e">
        <f>ROUND('Estimate Details'!#REF!,-4)</f>
        <v>#REF!</v>
      </c>
      <c r="E28" s="787"/>
      <c r="F28" s="792" t="e">
        <f>ROUND('Estimate Details'!#REF!,-4)</f>
        <v>#REF!</v>
      </c>
      <c r="G28" s="787"/>
      <c r="H28" s="792" t="e">
        <f>ROUND('Estimate Details'!#REF!,-4)</f>
        <v>#REF!</v>
      </c>
      <c r="I28" s="787"/>
      <c r="J28" s="793" t="e">
        <f>'Estimate Details'!#REF!</f>
        <v>#REF!</v>
      </c>
      <c r="K28" s="787"/>
      <c r="L28" s="793" t="e">
        <f>ROUND('Estimate Details'!#REF!,-4)</f>
        <v>#REF!</v>
      </c>
      <c r="M28" s="787"/>
      <c r="N28" s="2675" t="e">
        <f t="shared" si="0"/>
        <v>#REF!</v>
      </c>
      <c r="O28" s="787"/>
      <c r="P28" s="789" t="e">
        <f>+'Estimate Details'!#REF!</f>
        <v>#REF!</v>
      </c>
    </row>
    <row r="29" spans="1:16" ht="20.100000000000001" customHeight="1">
      <c r="A29" s="714"/>
      <c r="B29" s="790" t="s">
        <v>467</v>
      </c>
      <c r="C29" s="791"/>
      <c r="D29" s="792">
        <f>ROUND('Estimate Details'!$N$67,-4)</f>
        <v>0</v>
      </c>
      <c r="E29" s="787"/>
      <c r="F29" s="792">
        <f>ROUND('Estimate Details'!$O$67,-4)</f>
        <v>1840000</v>
      </c>
      <c r="G29" s="787"/>
      <c r="H29" s="792">
        <f>ROUND('Estimate Details'!$R$67,-4)</f>
        <v>1980000</v>
      </c>
      <c r="I29" s="787"/>
      <c r="J29" s="793">
        <f>'Estimate Details'!$S$67</f>
        <v>40529.6325</v>
      </c>
      <c r="K29" s="787"/>
      <c r="L29" s="793">
        <f>ROUND('Estimate Details'!$U$67,-4)</f>
        <v>0</v>
      </c>
      <c r="M29" s="787"/>
      <c r="N29" s="2675">
        <f t="shared" si="0"/>
        <v>3820000</v>
      </c>
      <c r="O29" s="787"/>
      <c r="P29" s="789">
        <f>+'Estimate Details'!V67</f>
        <v>3816421.0439583794</v>
      </c>
    </row>
    <row r="30" spans="1:16" ht="20.100000000000001" customHeight="1">
      <c r="A30" s="714"/>
      <c r="B30" s="790" t="s">
        <v>829</v>
      </c>
      <c r="C30" s="791"/>
      <c r="D30" s="792">
        <f>ROUND('Estimate Details'!$N$73,-4)</f>
        <v>0</v>
      </c>
      <c r="E30" s="787"/>
      <c r="F30" s="792">
        <f>ROUND('Estimate Details'!$O$73,-4)</f>
        <v>200000</v>
      </c>
      <c r="G30" s="787"/>
      <c r="H30" s="792">
        <f>ROUND('Estimate Details'!$R$73,-4)</f>
        <v>230000</v>
      </c>
      <c r="I30" s="787"/>
      <c r="J30" s="793">
        <f>+'Estimate Details'!$S$73</f>
        <v>4557</v>
      </c>
      <c r="K30" s="787"/>
      <c r="L30" s="793">
        <f>ROUND('Estimate Details'!$U$73,-3)</f>
        <v>0</v>
      </c>
      <c r="M30" s="787"/>
      <c r="N30" s="2675">
        <f t="shared" si="0"/>
        <v>430000</v>
      </c>
      <c r="O30" s="787"/>
      <c r="P30" s="789">
        <f>+'Estimate Details'!V73</f>
        <v>429451.12798990327</v>
      </c>
    </row>
    <row r="31" spans="1:16" ht="20.100000000000001" customHeight="1">
      <c r="A31" s="714"/>
      <c r="B31" s="790" t="s">
        <v>1503</v>
      </c>
      <c r="C31" s="791"/>
      <c r="D31" s="792" t="e">
        <f>ROUND('Estimate Details'!#REF!,-4)</f>
        <v>#REF!</v>
      </c>
      <c r="E31" s="787"/>
      <c r="F31" s="792" t="e">
        <f>ROUND('Estimate Details'!#REF!,-4)</f>
        <v>#REF!</v>
      </c>
      <c r="G31" s="787"/>
      <c r="H31" s="792" t="e">
        <f>ROUND('Estimate Details'!#REF!,-4)</f>
        <v>#REF!</v>
      </c>
      <c r="I31" s="787"/>
      <c r="J31" s="793" t="e">
        <f>'Estimate Details'!#REF!</f>
        <v>#REF!</v>
      </c>
      <c r="K31" s="787"/>
      <c r="L31" s="793" t="e">
        <f>ROUND('Estimate Details'!#REF!,-4)</f>
        <v>#REF!</v>
      </c>
      <c r="M31" s="787"/>
      <c r="N31" s="2675" t="e">
        <f t="shared" si="0"/>
        <v>#REF!</v>
      </c>
      <c r="O31" s="787"/>
      <c r="P31" s="789" t="e">
        <f>+'Estimate Details'!#REF!</f>
        <v>#REF!</v>
      </c>
    </row>
    <row r="32" spans="1:16" ht="20.100000000000001" customHeight="1">
      <c r="A32" s="779"/>
      <c r="B32" s="780" t="s">
        <v>1554</v>
      </c>
      <c r="C32" s="781"/>
      <c r="D32" s="799" t="e">
        <f>SUM(D18:D31)</f>
        <v>#REF!</v>
      </c>
      <c r="E32" s="800"/>
      <c r="F32" s="799" t="e">
        <f>SUM(F18:F31)</f>
        <v>#REF!</v>
      </c>
      <c r="G32" s="800"/>
      <c r="H32" s="799" t="e">
        <f>SUM(H18:H31)</f>
        <v>#REF!</v>
      </c>
      <c r="I32" s="800"/>
      <c r="J32" s="801" t="e">
        <f>SUM(J18:J31)</f>
        <v>#REF!</v>
      </c>
      <c r="K32" s="800"/>
      <c r="L32" s="799" t="e">
        <f>SUM(L18:L31)</f>
        <v>#REF!</v>
      </c>
      <c r="M32" s="783"/>
      <c r="N32" s="2676" t="e">
        <f>SUM(N18:N31)</f>
        <v>#REF!</v>
      </c>
      <c r="O32" s="787"/>
      <c r="P32" s="796">
        <f>+'Estimate Details'!V76</f>
        <v>20808304.226220451</v>
      </c>
    </row>
    <row r="33" spans="1:16" ht="20.100000000000001" customHeight="1">
      <c r="A33" s="714"/>
      <c r="B33" s="790" t="s">
        <v>2311</v>
      </c>
      <c r="C33" s="791"/>
      <c r="D33" s="788"/>
      <c r="E33" s="779"/>
      <c r="F33" s="788" t="str">
        <f>'Estimate Details'!$O$77</f>
        <v xml:space="preserve"> </v>
      </c>
      <c r="G33" s="787"/>
      <c r="H33" s="779"/>
      <c r="I33" s="779"/>
      <c r="J33" s="788"/>
      <c r="K33" s="779"/>
      <c r="L33" s="788" t="s">
        <v>305</v>
      </c>
      <c r="M33" s="787"/>
      <c r="N33" s="2675">
        <f>ROUND('Estimate Details'!V77,-4)</f>
        <v>50000</v>
      </c>
      <c r="O33" s="787"/>
      <c r="P33" s="802">
        <f>+'Estimate Details'!V78</f>
        <v>0</v>
      </c>
    </row>
    <row r="34" spans="1:16" ht="20.100000000000001" customHeight="1">
      <c r="A34" s="714"/>
      <c r="B34" s="803" t="s">
        <v>100</v>
      </c>
      <c r="C34" s="804"/>
      <c r="D34" s="805" t="e">
        <f>SUM(D32:D33)</f>
        <v>#REF!</v>
      </c>
      <c r="E34" s="806"/>
      <c r="F34" s="805" t="e">
        <f>SUM(F32:F33)</f>
        <v>#REF!</v>
      </c>
      <c r="G34" s="806"/>
      <c r="H34" s="805" t="e">
        <f>SUM(H32)</f>
        <v>#REF!</v>
      </c>
      <c r="I34" s="806"/>
      <c r="J34" s="807" t="e">
        <f>SUM(J32:J33)</f>
        <v>#REF!</v>
      </c>
      <c r="K34" s="806"/>
      <c r="L34" s="805" t="e">
        <f>SUM(L32)</f>
        <v>#REF!</v>
      </c>
      <c r="M34" s="806"/>
      <c r="N34" s="2677" t="e">
        <f>SUM(N32:N33)</f>
        <v>#REF!</v>
      </c>
      <c r="O34" s="787"/>
      <c r="P34" s="802">
        <f>+'Estimate Details'!V79</f>
        <v>20862525.914220452</v>
      </c>
    </row>
    <row r="35" spans="1:16" ht="20.100000000000001" customHeight="1">
      <c r="A35" s="714"/>
      <c r="B35" s="790" t="s">
        <v>391</v>
      </c>
      <c r="C35" s="791"/>
      <c r="D35" s="792"/>
      <c r="E35" s="809"/>
      <c r="F35" s="792"/>
      <c r="G35" s="809"/>
      <c r="H35" s="792"/>
      <c r="I35" s="809"/>
      <c r="J35" s="793"/>
      <c r="K35" s="809"/>
      <c r="L35" s="792"/>
      <c r="M35" s="809"/>
      <c r="N35" s="2678"/>
      <c r="O35" s="809"/>
    </row>
    <row r="36" spans="1:16" ht="20.100000000000001" customHeight="1">
      <c r="A36" s="714"/>
      <c r="B36" s="790" t="s">
        <v>278</v>
      </c>
      <c r="C36" s="791"/>
      <c r="D36" s="792"/>
      <c r="E36" s="809"/>
      <c r="F36" s="792"/>
      <c r="G36" s="809"/>
      <c r="H36" s="792" t="e">
        <f>ROUND('Estimate Details'!$R83,-4)</f>
        <v>#VALUE!</v>
      </c>
      <c r="I36" s="809"/>
      <c r="J36" s="793" t="str">
        <f>'Estimate Details'!$S83</f>
        <v xml:space="preserve"> </v>
      </c>
      <c r="K36" s="809"/>
      <c r="L36" s="792" t="e">
        <f>ROUND('Estimate Details'!#REF!,-4)</f>
        <v>#REF!</v>
      </c>
      <c r="M36" s="787"/>
      <c r="N36" s="2678" t="e">
        <f t="shared" ref="N36:N50" si="1">D36+F36+H36+L36</f>
        <v>#VALUE!</v>
      </c>
      <c r="O36" s="787"/>
      <c r="P36" s="798"/>
    </row>
    <row r="37" spans="1:16" ht="20.100000000000001" customHeight="1">
      <c r="A37" s="714"/>
      <c r="B37" s="790" t="s">
        <v>279</v>
      </c>
      <c r="C37" s="791"/>
      <c r="D37" s="792"/>
      <c r="E37" s="809"/>
      <c r="F37" s="792"/>
      <c r="G37" s="809"/>
      <c r="H37" s="792" t="e">
        <f>ROUND('Estimate Details'!#REF!,-4)</f>
        <v>#REF!</v>
      </c>
      <c r="I37" s="809"/>
      <c r="J37" s="793" t="e">
        <f>'Estimate Details'!#REF!</f>
        <v>#REF!</v>
      </c>
      <c r="K37" s="809"/>
      <c r="L37" s="792" t="e">
        <f>ROUND('Estimate Details'!#REF!,-4)</f>
        <v>#REF!</v>
      </c>
      <c r="M37" s="787"/>
      <c r="N37" s="2678" t="e">
        <f t="shared" si="1"/>
        <v>#REF!</v>
      </c>
      <c r="O37" s="787"/>
      <c r="P37" s="798"/>
    </row>
    <row r="38" spans="1:16" ht="20.100000000000001" customHeight="1">
      <c r="A38" s="714"/>
      <c r="B38" s="790" t="s">
        <v>280</v>
      </c>
      <c r="C38" s="791"/>
      <c r="D38" s="792"/>
      <c r="E38" s="809"/>
      <c r="F38" s="792"/>
      <c r="G38" s="809"/>
      <c r="H38" s="792" t="e">
        <f>ROUND('Estimate Details'!#REF!,-4)</f>
        <v>#REF!</v>
      </c>
      <c r="I38" s="809"/>
      <c r="J38" s="793" t="e">
        <f>'Estimate Details'!#REF!</f>
        <v>#REF!</v>
      </c>
      <c r="K38" s="809"/>
      <c r="L38" s="792">
        <f>ROUND('Estimate Details'!$U83,-4)</f>
        <v>3130000</v>
      </c>
      <c r="M38" s="787"/>
      <c r="N38" s="2678" t="e">
        <f t="shared" si="1"/>
        <v>#REF!</v>
      </c>
      <c r="O38" s="787"/>
      <c r="P38" s="798"/>
    </row>
    <row r="39" spans="1:16" ht="20.100000000000001" customHeight="1">
      <c r="A39" s="714"/>
      <c r="B39" s="790" t="s">
        <v>281</v>
      </c>
      <c r="C39" s="791"/>
      <c r="D39" s="792"/>
      <c r="E39" s="809"/>
      <c r="F39" s="792"/>
      <c r="G39" s="809"/>
      <c r="H39" s="792" t="e">
        <f>ROUND('Estimate Details'!#REF!,-4)</f>
        <v>#REF!</v>
      </c>
      <c r="I39" s="809"/>
      <c r="J39" s="793" t="e">
        <f>'Estimate Details'!#REF!</f>
        <v>#REF!</v>
      </c>
      <c r="K39" s="792"/>
      <c r="L39" s="792" t="e">
        <f>ROUND('Estimate Details'!#REF!,-4)</f>
        <v>#REF!</v>
      </c>
      <c r="M39" s="787"/>
      <c r="N39" s="2675" t="e">
        <f t="shared" si="1"/>
        <v>#REF!</v>
      </c>
      <c r="O39" s="787"/>
      <c r="P39" s="798"/>
    </row>
    <row r="40" spans="1:16" ht="20.100000000000001" customHeight="1">
      <c r="A40" s="714"/>
      <c r="B40" s="790" t="s">
        <v>1675</v>
      </c>
      <c r="C40" s="791"/>
      <c r="D40" s="792"/>
      <c r="E40" s="809"/>
      <c r="F40" s="792"/>
      <c r="G40" s="809"/>
      <c r="H40" s="792" t="e">
        <f>ROUND('Estimate Details'!#REF!,-4)</f>
        <v>#REF!</v>
      </c>
      <c r="I40" s="809"/>
      <c r="J40" s="793" t="e">
        <f>'Estimate Details'!#REF!</f>
        <v>#REF!</v>
      </c>
      <c r="K40" s="809"/>
      <c r="L40" s="792" t="e">
        <f>ROUND('Estimate Details'!#REF!,-4)</f>
        <v>#REF!</v>
      </c>
      <c r="M40" s="787"/>
      <c r="N40" s="2675" t="e">
        <f t="shared" si="1"/>
        <v>#REF!</v>
      </c>
      <c r="O40" s="787"/>
      <c r="P40" s="798"/>
    </row>
    <row r="41" spans="1:16" ht="20.100000000000001" customHeight="1">
      <c r="A41" s="714"/>
      <c r="B41" s="790" t="s">
        <v>949</v>
      </c>
      <c r="C41" s="791"/>
      <c r="D41" s="792"/>
      <c r="E41" s="809"/>
      <c r="F41" s="792" t="e">
        <f>ROUND('Estimate Details'!#REF!,-4)</f>
        <v>#REF!</v>
      </c>
      <c r="G41" s="809"/>
      <c r="H41" s="792" t="e">
        <f>ROUND('Estimate Details'!#REF!,-4)</f>
        <v>#REF!</v>
      </c>
      <c r="I41" s="809"/>
      <c r="J41" s="793" t="e">
        <f>'Estimate Details'!#REF!</f>
        <v>#REF!</v>
      </c>
      <c r="K41" s="809"/>
      <c r="L41" s="792" t="e">
        <f>ROUND('Estimate Details'!#REF!,-4)</f>
        <v>#REF!</v>
      </c>
      <c r="M41" s="787"/>
      <c r="N41" s="2675" t="e">
        <f t="shared" si="1"/>
        <v>#REF!</v>
      </c>
      <c r="O41" s="787"/>
      <c r="P41" s="798"/>
    </row>
    <row r="42" spans="1:16" ht="19.5" customHeight="1">
      <c r="A42" s="714"/>
      <c r="B42" s="790" t="s">
        <v>950</v>
      </c>
      <c r="C42" s="791"/>
      <c r="D42" s="792"/>
      <c r="E42" s="809"/>
      <c r="F42" s="792" t="e">
        <f>ROUND('Estimate Details'!#REF!,-4)</f>
        <v>#REF!</v>
      </c>
      <c r="G42" s="809"/>
      <c r="H42" s="792" t="e">
        <f>ROUND('Estimate Details'!#REF!,-4)</f>
        <v>#REF!</v>
      </c>
      <c r="I42" s="809"/>
      <c r="J42" s="793" t="e">
        <f>'Estimate Details'!#REF!</f>
        <v>#REF!</v>
      </c>
      <c r="K42" s="792"/>
      <c r="L42" s="792" t="e">
        <f>ROUND('Estimate Details'!#REF!,-4)</f>
        <v>#REF!</v>
      </c>
      <c r="M42" s="787"/>
      <c r="N42" s="2675" t="e">
        <f t="shared" si="1"/>
        <v>#REF!</v>
      </c>
      <c r="O42" s="787"/>
      <c r="P42" s="798"/>
    </row>
    <row r="43" spans="1:16" ht="20.100000000000001" customHeight="1">
      <c r="A43" s="714"/>
      <c r="B43" s="790" t="s">
        <v>951</v>
      </c>
      <c r="C43" s="791"/>
      <c r="D43" s="792"/>
      <c r="E43" s="809"/>
      <c r="F43" s="792" t="e">
        <f>ROUND('Estimate Details'!#REF!,-4)</f>
        <v>#REF!</v>
      </c>
      <c r="G43" s="809"/>
      <c r="H43" s="792" t="e">
        <f>ROUND('Estimate Details'!#REF!,-4)</f>
        <v>#REF!</v>
      </c>
      <c r="I43" s="787"/>
      <c r="J43" s="793" t="e">
        <f>'Estimate Details'!#REF!</f>
        <v>#REF!</v>
      </c>
      <c r="K43" s="787"/>
      <c r="L43" s="792" t="e">
        <f>ROUND('Estimate Details'!#REF!,-4)</f>
        <v>#REF!</v>
      </c>
      <c r="M43" s="787"/>
      <c r="N43" s="2675" t="e">
        <f t="shared" si="1"/>
        <v>#REF!</v>
      </c>
      <c r="O43" s="787"/>
      <c r="P43" s="798"/>
    </row>
    <row r="44" spans="1:16" ht="20.100000000000001" customHeight="1">
      <c r="A44" s="714"/>
      <c r="B44" s="790" t="s">
        <v>952</v>
      </c>
      <c r="C44" s="791"/>
      <c r="D44" s="792"/>
      <c r="E44" s="809"/>
      <c r="F44" s="792" t="e">
        <f>ROUND('Estimate Details'!#REF!,-4)</f>
        <v>#REF!</v>
      </c>
      <c r="G44" s="809"/>
      <c r="H44" s="792" t="e">
        <f>ROUND('Estimate Details'!#REF!,-4)</f>
        <v>#REF!</v>
      </c>
      <c r="I44" s="787"/>
      <c r="J44" s="793" t="e">
        <f>'Estimate Details'!#REF!</f>
        <v>#REF!</v>
      </c>
      <c r="K44" s="787"/>
      <c r="L44" s="792" t="e">
        <f>ROUND('Estimate Details'!#REF!,-4)</f>
        <v>#REF!</v>
      </c>
      <c r="M44" s="787"/>
      <c r="N44" s="2675" t="e">
        <f t="shared" si="1"/>
        <v>#REF!</v>
      </c>
      <c r="O44" s="787"/>
      <c r="P44" s="798"/>
    </row>
    <row r="45" spans="1:16" ht="20.100000000000001" customHeight="1">
      <c r="A45" s="714"/>
      <c r="B45" s="790" t="s">
        <v>953</v>
      </c>
      <c r="C45" s="791"/>
      <c r="D45" s="792"/>
      <c r="E45" s="809"/>
      <c r="F45" s="792" t="e">
        <f>ROUND('Estimate Details'!#REF!,-4)</f>
        <v>#REF!</v>
      </c>
      <c r="G45" s="809"/>
      <c r="H45" s="792" t="e">
        <f>ROUND('Estimate Details'!#REF!,-4)</f>
        <v>#REF!</v>
      </c>
      <c r="I45" s="787"/>
      <c r="J45" s="793" t="e">
        <f>'Estimate Details'!#REF!</f>
        <v>#REF!</v>
      </c>
      <c r="K45" s="787"/>
      <c r="L45" s="792" t="e">
        <f>ROUND('Estimate Details'!#REF!,-4)</f>
        <v>#REF!</v>
      </c>
      <c r="M45" s="787"/>
      <c r="N45" s="2675" t="e">
        <f t="shared" si="1"/>
        <v>#REF!</v>
      </c>
      <c r="O45" s="787"/>
      <c r="P45" s="798"/>
    </row>
    <row r="46" spans="1:16" ht="20.100000000000001" customHeight="1">
      <c r="A46" s="714"/>
      <c r="B46" s="790" t="s">
        <v>353</v>
      </c>
      <c r="C46" s="791"/>
      <c r="D46" s="792"/>
      <c r="E46" s="809"/>
      <c r="F46" s="792" t="e">
        <f>ROUND('Estimate Details'!#REF!,-4)</f>
        <v>#REF!</v>
      </c>
      <c r="G46" s="809"/>
      <c r="H46" s="792" t="e">
        <f>ROUND('Estimate Details'!#REF!,-4)</f>
        <v>#REF!</v>
      </c>
      <c r="I46" s="787"/>
      <c r="J46" s="793" t="e">
        <f>'Estimate Details'!#REF!</f>
        <v>#REF!</v>
      </c>
      <c r="K46" s="787"/>
      <c r="L46" s="792" t="e">
        <f>ROUND('Estimate Details'!#REF!,-4)</f>
        <v>#REF!</v>
      </c>
      <c r="M46" s="787"/>
      <c r="N46" s="2675" t="e">
        <f t="shared" si="1"/>
        <v>#REF!</v>
      </c>
      <c r="O46" s="787"/>
      <c r="P46" s="798"/>
    </row>
    <row r="47" spans="1:16" ht="20.100000000000001" customHeight="1">
      <c r="A47" s="714"/>
      <c r="B47" s="790" t="s">
        <v>354</v>
      </c>
      <c r="C47" s="791"/>
      <c r="D47" s="792"/>
      <c r="E47" s="809"/>
      <c r="F47" s="792" t="e">
        <f>ROUND('Estimate Details'!#REF!,-4)</f>
        <v>#REF!</v>
      </c>
      <c r="G47" s="809"/>
      <c r="H47" s="792" t="e">
        <f>ROUND('Estimate Details'!#REF!,-4)</f>
        <v>#REF!</v>
      </c>
      <c r="I47" s="787"/>
      <c r="J47" s="793" t="e">
        <f>'Estimate Details'!#REF!</f>
        <v>#REF!</v>
      </c>
      <c r="K47" s="787"/>
      <c r="L47" s="792" t="e">
        <f>ROUND('Estimate Details'!#REF!,-4)</f>
        <v>#REF!</v>
      </c>
      <c r="M47" s="787"/>
      <c r="N47" s="2675" t="e">
        <f t="shared" si="1"/>
        <v>#REF!</v>
      </c>
      <c r="O47" s="787"/>
      <c r="P47" s="798"/>
    </row>
    <row r="48" spans="1:16" ht="20.100000000000001" customHeight="1">
      <c r="A48" s="714"/>
      <c r="B48" s="790" t="s">
        <v>355</v>
      </c>
      <c r="C48" s="791"/>
      <c r="D48" s="792"/>
      <c r="E48" s="809"/>
      <c r="F48" s="792" t="e">
        <f>ROUND('Estimate Details'!#REF!,-4)</f>
        <v>#REF!</v>
      </c>
      <c r="G48" s="809"/>
      <c r="H48" s="792" t="e">
        <f>ROUND('Estimate Details'!#REF!,-4)</f>
        <v>#REF!</v>
      </c>
      <c r="I48" s="787"/>
      <c r="J48" s="793" t="e">
        <f>'Estimate Details'!#REF!</f>
        <v>#REF!</v>
      </c>
      <c r="K48" s="787"/>
      <c r="L48" s="792" t="e">
        <f>ROUND('Estimate Details'!#REF!,-4)</f>
        <v>#REF!</v>
      </c>
      <c r="M48" s="787"/>
      <c r="N48" s="2675" t="e">
        <f t="shared" si="1"/>
        <v>#REF!</v>
      </c>
      <c r="O48" s="787"/>
      <c r="P48" s="798"/>
    </row>
    <row r="49" spans="1:16" ht="20.100000000000001" customHeight="1">
      <c r="A49" s="714"/>
      <c r="B49" s="790" t="s">
        <v>356</v>
      </c>
      <c r="C49" s="791"/>
      <c r="D49" s="792"/>
      <c r="E49" s="809"/>
      <c r="F49" s="792" t="e">
        <f>ROUND('Estimate Details'!#REF!,-4)</f>
        <v>#REF!</v>
      </c>
      <c r="G49" s="809"/>
      <c r="H49" s="792" t="e">
        <f>ROUND('Estimate Details'!#REF!,-4)</f>
        <v>#REF!</v>
      </c>
      <c r="I49" s="787"/>
      <c r="J49" s="793" t="e">
        <f>'Estimate Details'!#REF!</f>
        <v>#REF!</v>
      </c>
      <c r="K49" s="787"/>
      <c r="L49" s="792" t="e">
        <f>ROUND('Estimate Details'!#REF!,-4)</f>
        <v>#REF!</v>
      </c>
      <c r="M49" s="787"/>
      <c r="N49" s="2675" t="e">
        <f t="shared" si="1"/>
        <v>#REF!</v>
      </c>
      <c r="O49" s="787"/>
      <c r="P49" s="798"/>
    </row>
    <row r="50" spans="1:16" ht="20.100000000000001" customHeight="1" thickBot="1">
      <c r="A50" s="714"/>
      <c r="B50" s="790" t="s">
        <v>954</v>
      </c>
      <c r="C50" s="791"/>
      <c r="D50" s="792"/>
      <c r="E50" s="809"/>
      <c r="F50" s="792" t="e">
        <f>ROUND('Estimate Details'!#REF!,-4)</f>
        <v>#REF!</v>
      </c>
      <c r="G50" s="809"/>
      <c r="H50" s="792" t="e">
        <f>ROUND('Estimate Details'!#REF!,-4)</f>
        <v>#REF!</v>
      </c>
      <c r="I50" s="809"/>
      <c r="J50" s="793" t="e">
        <f>'Estimate Details'!#REF!</f>
        <v>#REF!</v>
      </c>
      <c r="K50" s="809"/>
      <c r="L50" s="792" t="e">
        <f>ROUND('Estimate Details'!#REF!,-4)</f>
        <v>#REF!</v>
      </c>
      <c r="M50" s="787"/>
      <c r="N50" s="2675" t="e">
        <f t="shared" si="1"/>
        <v>#REF!</v>
      </c>
      <c r="O50" s="787"/>
      <c r="P50" s="798"/>
    </row>
    <row r="51" spans="1:16" ht="20.100000000000001" customHeight="1" thickTop="1">
      <c r="A51" s="714"/>
      <c r="B51" s="812" t="s">
        <v>101</v>
      </c>
      <c r="C51" s="813"/>
      <c r="D51" s="814"/>
      <c r="E51" s="815"/>
      <c r="F51" s="814" t="e">
        <f>SUM(F41:F50)</f>
        <v>#REF!</v>
      </c>
      <c r="G51" s="815"/>
      <c r="H51" s="814" t="e">
        <f>SUM(H35:H50)</f>
        <v>#VALUE!</v>
      </c>
      <c r="I51" s="815"/>
      <c r="J51" s="816" t="e">
        <f>SUM(J35:J50)</f>
        <v>#REF!</v>
      </c>
      <c r="K51" s="815"/>
      <c r="L51" s="814" t="e">
        <f>SUM(L35:L50)</f>
        <v>#REF!</v>
      </c>
      <c r="M51" s="817"/>
      <c r="N51" s="2679" t="e">
        <f>SUM(N35:N50)</f>
        <v>#VALUE!</v>
      </c>
      <c r="O51" s="787"/>
      <c r="P51" s="798">
        <f>+'Estimate Details'!V85</f>
        <v>3129378.8871330679</v>
      </c>
    </row>
    <row r="52" spans="1:16" ht="20.100000000000001" customHeight="1">
      <c r="A52" s="714"/>
      <c r="B52" s="803" t="s">
        <v>102</v>
      </c>
      <c r="C52" s="804"/>
      <c r="D52" s="805" t="e">
        <f>D51+D34</f>
        <v>#REF!</v>
      </c>
      <c r="E52" s="806"/>
      <c r="F52" s="805" t="e">
        <f>SUM(F51,F34)</f>
        <v>#REF!</v>
      </c>
      <c r="G52" s="806"/>
      <c r="H52" s="805" t="e">
        <f>H51+H34</f>
        <v>#VALUE!</v>
      </c>
      <c r="I52" s="806"/>
      <c r="J52" s="807" t="e">
        <f>J51+J34</f>
        <v>#REF!</v>
      </c>
      <c r="K52" s="806"/>
      <c r="L52" s="805" t="e">
        <f>L51+L34</f>
        <v>#REF!</v>
      </c>
      <c r="M52" s="819"/>
      <c r="N52" s="2677" t="e">
        <f>N51+N34</f>
        <v>#VALUE!</v>
      </c>
      <c r="O52" s="787"/>
      <c r="P52" s="802">
        <f>+'Estimate Details'!V87</f>
        <v>23991904.801353522</v>
      </c>
    </row>
    <row r="53" spans="1:16" ht="20.100000000000001" customHeight="1">
      <c r="A53" s="714"/>
      <c r="B53" s="790" t="s">
        <v>1295</v>
      </c>
      <c r="C53" s="791"/>
      <c r="D53" s="797"/>
      <c r="E53" s="779"/>
      <c r="F53" s="797"/>
      <c r="G53" s="779"/>
      <c r="H53" s="797"/>
      <c r="I53" s="779"/>
      <c r="J53" s="788" t="e">
        <f>(L32*0.45)/57</f>
        <v>#REF!</v>
      </c>
      <c r="K53" s="779"/>
      <c r="L53" s="797"/>
      <c r="M53" s="1864"/>
      <c r="N53" s="2680"/>
      <c r="O53" s="787"/>
      <c r="P53" s="802"/>
    </row>
    <row r="54" spans="1:16" ht="20.100000000000001" customHeight="1">
      <c r="A54" s="714"/>
      <c r="B54" s="790" t="s">
        <v>514</v>
      </c>
      <c r="C54" s="791"/>
      <c r="D54" s="792"/>
      <c r="E54" s="809"/>
      <c r="F54" s="792"/>
      <c r="G54" s="809"/>
      <c r="H54" s="792"/>
      <c r="I54" s="809"/>
      <c r="J54" s="793"/>
      <c r="K54" s="809"/>
      <c r="L54" s="792"/>
      <c r="M54" s="787"/>
      <c r="N54" s="2678"/>
      <c r="O54" s="787"/>
    </row>
    <row r="55" spans="1:16" ht="20.100000000000001" customHeight="1">
      <c r="A55" s="714"/>
      <c r="B55" s="790" t="s">
        <v>2100</v>
      </c>
      <c r="C55" s="791"/>
      <c r="D55" s="792"/>
      <c r="E55" s="809"/>
      <c r="F55" s="792"/>
      <c r="G55" s="809"/>
      <c r="H55" s="792"/>
      <c r="I55" s="809"/>
      <c r="J55" s="792"/>
      <c r="K55" s="809"/>
      <c r="L55" s="792">
        <f>ROUND('Estimate Details'!$U$91,-4)</f>
        <v>2160000</v>
      </c>
      <c r="M55" s="787"/>
      <c r="N55" s="2675">
        <f t="shared" ref="N55" si="2">D55+F55+H55+L55</f>
        <v>2160000</v>
      </c>
      <c r="O55" s="787"/>
      <c r="P55" s="798"/>
    </row>
    <row r="56" spans="1:16" ht="20.100000000000001" customHeight="1">
      <c r="A56" s="714"/>
      <c r="B56" s="803" t="s">
        <v>180</v>
      </c>
      <c r="C56" s="804"/>
      <c r="D56" s="821">
        <f>SUM(D55:D55)</f>
        <v>0</v>
      </c>
      <c r="E56" s="822"/>
      <c r="F56" s="821">
        <f>SUM(F55:F55)</f>
        <v>0</v>
      </c>
      <c r="G56" s="823"/>
      <c r="H56" s="821">
        <f>SUM(H55:H55)</f>
        <v>0</v>
      </c>
      <c r="I56" s="822"/>
      <c r="J56" s="824">
        <f>SUM(J55:J55)</f>
        <v>0</v>
      </c>
      <c r="K56" s="822"/>
      <c r="L56" s="821">
        <f>SUM(L54:L55)</f>
        <v>2160000</v>
      </c>
      <c r="M56" s="823"/>
      <c r="N56" s="2681">
        <f>SUM(N54:N55)</f>
        <v>2160000</v>
      </c>
      <c r="O56" s="787"/>
      <c r="P56" s="798">
        <f>+'Estimate Details'!V95</f>
        <v>2309271.432121817</v>
      </c>
    </row>
    <row r="57" spans="1:16" ht="20.100000000000001" customHeight="1">
      <c r="A57" s="714"/>
      <c r="B57" s="790" t="s">
        <v>1225</v>
      </c>
      <c r="C57" s="791"/>
      <c r="D57" s="792"/>
      <c r="E57" s="809"/>
      <c r="F57" s="792"/>
      <c r="G57" s="809"/>
      <c r="H57" s="792"/>
      <c r="I57" s="809"/>
      <c r="J57" s="793"/>
      <c r="K57" s="809"/>
      <c r="L57" s="792"/>
      <c r="M57" s="787"/>
      <c r="N57" s="2678"/>
      <c r="O57" s="787"/>
    </row>
    <row r="58" spans="1:16" ht="20.100000000000001" customHeight="1">
      <c r="A58" s="714"/>
      <c r="B58" s="790" t="s">
        <v>1172</v>
      </c>
      <c r="C58" s="791"/>
      <c r="D58" s="792"/>
      <c r="E58" s="809"/>
      <c r="F58" s="792"/>
      <c r="G58" s="809"/>
      <c r="H58" s="792"/>
      <c r="I58" s="809"/>
      <c r="J58" s="793"/>
      <c r="K58" s="809"/>
      <c r="L58" s="811">
        <f>ROUND('Estimate Details'!U99,-4)</f>
        <v>120000</v>
      </c>
      <c r="M58" s="787"/>
      <c r="N58" s="2678">
        <f>D58+F58+H58+L58</f>
        <v>120000</v>
      </c>
      <c r="O58" s="787"/>
      <c r="P58" s="798"/>
    </row>
    <row r="59" spans="1:16" ht="20.100000000000001" customHeight="1">
      <c r="A59" s="714"/>
      <c r="B59" s="790" t="s">
        <v>144</v>
      </c>
      <c r="C59" s="791"/>
      <c r="D59" s="792"/>
      <c r="E59" s="809"/>
      <c r="F59" s="792"/>
      <c r="G59" s="809"/>
      <c r="H59" s="792"/>
      <c r="I59" s="809"/>
      <c r="J59" s="793"/>
      <c r="K59" s="809"/>
      <c r="L59" s="792">
        <f>ROUND('Estimate Details'!U100,-4)</f>
        <v>120000</v>
      </c>
      <c r="M59" s="787"/>
      <c r="N59" s="2675">
        <f>D59+F59+H59+L59</f>
        <v>120000</v>
      </c>
      <c r="O59" s="787"/>
      <c r="P59" s="798"/>
    </row>
    <row r="60" spans="1:16" ht="20.100000000000001" customHeight="1">
      <c r="A60" s="714"/>
      <c r="B60" s="825" t="s">
        <v>955</v>
      </c>
      <c r="C60" s="826"/>
      <c r="D60" s="827"/>
      <c r="E60" s="828"/>
      <c r="F60" s="827"/>
      <c r="G60" s="828"/>
      <c r="H60" s="827"/>
      <c r="I60" s="828"/>
      <c r="J60" s="829"/>
      <c r="K60" s="828"/>
      <c r="L60" s="827">
        <f>ROUND('Estimate Details'!U101,-4)</f>
        <v>50000</v>
      </c>
      <c r="M60" s="830"/>
      <c r="N60" s="2682">
        <f>D60+F60+H60+L60</f>
        <v>50000</v>
      </c>
      <c r="O60" s="787"/>
      <c r="P60" s="798"/>
    </row>
    <row r="61" spans="1:16" ht="20.100000000000001" customHeight="1">
      <c r="A61" s="714"/>
      <c r="B61" s="803" t="s">
        <v>826</v>
      </c>
      <c r="C61" s="804"/>
      <c r="D61" s="821">
        <f>SUM(D58:D60)</f>
        <v>0</v>
      </c>
      <c r="E61" s="822"/>
      <c r="F61" s="821">
        <f>SUM(F58:F60)</f>
        <v>0</v>
      </c>
      <c r="G61" s="822"/>
      <c r="H61" s="821">
        <f>SUM(H58:H60)</f>
        <v>0</v>
      </c>
      <c r="I61" s="822"/>
      <c r="J61" s="824">
        <f>SUM(J58:J60)</f>
        <v>0</v>
      </c>
      <c r="K61" s="822"/>
      <c r="L61" s="821">
        <f>SUM(L57:L60)</f>
        <v>290000</v>
      </c>
      <c r="M61" s="823"/>
      <c r="N61" s="2681">
        <f>SUM(N57:N60)</f>
        <v>290000</v>
      </c>
      <c r="O61" s="787"/>
      <c r="P61" s="798">
        <f>+'Estimate Details'!V103</f>
        <v>289919.04801353521</v>
      </c>
    </row>
    <row r="62" spans="1:16" ht="20.100000000000001" customHeight="1">
      <c r="A62" s="714"/>
      <c r="B62" s="790" t="s">
        <v>147</v>
      </c>
      <c r="C62" s="791"/>
      <c r="D62" s="833">
        <f>SUM(D61,D56)</f>
        <v>0</v>
      </c>
      <c r="E62" s="834"/>
      <c r="F62" s="833">
        <f>SUM(F61,F56)</f>
        <v>0</v>
      </c>
      <c r="G62" s="834"/>
      <c r="H62" s="833">
        <f>SUM(H55:H60)</f>
        <v>0</v>
      </c>
      <c r="I62" s="834"/>
      <c r="J62" s="835">
        <f>SUM(J55:J60)</f>
        <v>0</v>
      </c>
      <c r="K62" s="834"/>
      <c r="L62" s="833">
        <f>SUM(L61,L56)</f>
        <v>2450000</v>
      </c>
      <c r="M62" s="787"/>
      <c r="N62" s="2678">
        <f>SUM(N61,N56)</f>
        <v>2450000</v>
      </c>
      <c r="O62" s="787"/>
      <c r="P62" s="798"/>
    </row>
    <row r="63" spans="1:16" ht="20.100000000000001" customHeight="1" thickBot="1">
      <c r="A63" s="714"/>
      <c r="B63" s="790" t="s">
        <v>2032</v>
      </c>
      <c r="C63" s="791"/>
      <c r="D63" s="833">
        <v>0</v>
      </c>
      <c r="E63" s="836"/>
      <c r="F63" s="833" t="e">
        <f>ROUND('Estimate Details'!#REF!,-4)</f>
        <v>#REF!</v>
      </c>
      <c r="G63" s="836"/>
      <c r="H63" s="833" t="e">
        <f>ROUND('Estimate Details'!#REF!,-4)</f>
        <v>#REF!</v>
      </c>
      <c r="I63" s="836"/>
      <c r="J63" s="833"/>
      <c r="K63" s="834"/>
      <c r="L63" s="833" t="e">
        <f>ROUND('Estimate Details'!#REF!,-4)</f>
        <v>#REF!</v>
      </c>
      <c r="M63" s="787"/>
      <c r="N63" s="2675" t="e">
        <f>D63+F63+H63+L63</f>
        <v>#REF!</v>
      </c>
      <c r="O63" s="787"/>
      <c r="P63" s="798"/>
    </row>
    <row r="64" spans="1:16" ht="20.100000000000001" customHeight="1" thickTop="1">
      <c r="A64" s="714"/>
      <c r="B64" s="812" t="s">
        <v>1293</v>
      </c>
      <c r="C64" s="813"/>
      <c r="D64" s="816" t="e">
        <f>SUM(D52,D62:D63)</f>
        <v>#REF!</v>
      </c>
      <c r="E64" s="816"/>
      <c r="F64" s="816" t="e">
        <f>SUM(F52,F62:F63)</f>
        <v>#REF!</v>
      </c>
      <c r="G64" s="816"/>
      <c r="H64" s="816" t="e">
        <f>SUM(H52,H62:H63)</f>
        <v>#VALUE!</v>
      </c>
      <c r="I64" s="816"/>
      <c r="J64" s="816" t="e">
        <f>SUM(J52:J53)</f>
        <v>#REF!</v>
      </c>
      <c r="K64" s="816"/>
      <c r="L64" s="816" t="e">
        <f>SUM(L52,L62:L63)</f>
        <v>#REF!</v>
      </c>
      <c r="M64" s="817"/>
      <c r="N64" s="2683" t="e">
        <f>SUM(N52,N62:N63)</f>
        <v>#VALUE!</v>
      </c>
      <c r="O64" s="787"/>
      <c r="P64" s="798" t="e">
        <f>+'Estimate Details'!#REF!</f>
        <v>#REF!</v>
      </c>
    </row>
    <row r="65" spans="1:16" ht="20.100000000000001" customHeight="1">
      <c r="A65" s="714"/>
      <c r="B65" s="790" t="s">
        <v>148</v>
      </c>
      <c r="C65" s="791"/>
      <c r="D65" s="833">
        <v>0</v>
      </c>
      <c r="E65" s="836"/>
      <c r="F65" s="833" t="e">
        <f>ROUND('Estimate Details'!#REF!,-4)</f>
        <v>#REF!</v>
      </c>
      <c r="G65" s="836"/>
      <c r="H65" s="833" t="e">
        <f>ROUND('Estimate Details'!#REF!,-4)</f>
        <v>#REF!</v>
      </c>
      <c r="I65" s="836"/>
      <c r="J65" s="833"/>
      <c r="K65" s="834"/>
      <c r="L65" s="833" t="e">
        <f>ROUND('Estimate Details'!#REF!,-4)</f>
        <v>#REF!</v>
      </c>
      <c r="M65" s="787"/>
      <c r="N65" s="2675" t="e">
        <f>D65+F65+H65+L65</f>
        <v>#REF!</v>
      </c>
      <c r="O65" s="787"/>
      <c r="P65" s="798" t="e">
        <f>+'Estimate Details'!#REF!</f>
        <v>#REF!</v>
      </c>
    </row>
    <row r="66" spans="1:16" ht="20.100000000000001" customHeight="1" thickBot="1">
      <c r="A66" s="714"/>
      <c r="B66" s="790" t="s">
        <v>666</v>
      </c>
      <c r="C66" s="791"/>
      <c r="D66" s="833" t="e">
        <f>ROUND('Estimate Details'!#REF!,-4)</f>
        <v>#REF!</v>
      </c>
      <c r="E66" s="834"/>
      <c r="F66" s="833" t="e">
        <f>ROUND('Estimate Details'!#REF!,-4)</f>
        <v>#REF!</v>
      </c>
      <c r="G66" s="836"/>
      <c r="H66" s="833" t="e">
        <f>ROUND('Estimate Details'!#REF!,-4)</f>
        <v>#REF!</v>
      </c>
      <c r="I66" s="836"/>
      <c r="J66" s="833"/>
      <c r="K66" s="834"/>
      <c r="L66" s="833" t="e">
        <f>ROUND('Estimate Details'!#REF!,-4)</f>
        <v>#REF!</v>
      </c>
      <c r="M66" s="787"/>
      <c r="N66" s="2675" t="e">
        <f>D66+F66+H66+L66</f>
        <v>#REF!</v>
      </c>
      <c r="O66" s="787"/>
      <c r="P66" s="798" t="e">
        <f>+'Estimate Details'!#REF!</f>
        <v>#REF!</v>
      </c>
    </row>
    <row r="67" spans="1:16" ht="20.100000000000001" customHeight="1" thickBot="1">
      <c r="A67" s="714"/>
      <c r="B67" s="839" t="s">
        <v>395</v>
      </c>
      <c r="C67" s="840"/>
      <c r="D67" s="841" t="e">
        <f>SUM(D64:D66)</f>
        <v>#REF!</v>
      </c>
      <c r="E67" s="842"/>
      <c r="F67" s="841" t="e">
        <f>SUM(F64:F66)</f>
        <v>#REF!</v>
      </c>
      <c r="G67" s="842"/>
      <c r="H67" s="841" t="e">
        <f>SUM(H64:H66)</f>
        <v>#VALUE!</v>
      </c>
      <c r="I67" s="842"/>
      <c r="J67" s="843" t="e">
        <f>SUM(J64:J66)</f>
        <v>#REF!</v>
      </c>
      <c r="K67" s="842"/>
      <c r="L67" s="841" t="e">
        <f>SUM(L64:L66)</f>
        <v>#REF!</v>
      </c>
      <c r="M67" s="844"/>
      <c r="N67" s="2684" t="e">
        <f>SUM(N64:N66)</f>
        <v>#VALUE!</v>
      </c>
      <c r="O67" s="787"/>
      <c r="P67" s="802">
        <f>+'Estimate Details'!V113</f>
        <v>28990285.761624224</v>
      </c>
    </row>
    <row r="68" spans="1:16" ht="20.100000000000001" customHeight="1" thickBot="1">
      <c r="A68" s="714"/>
      <c r="B68" s="848" t="s">
        <v>1552</v>
      </c>
      <c r="C68" s="849"/>
      <c r="D68" s="849"/>
      <c r="E68" s="850"/>
      <c r="F68" s="811"/>
      <c r="G68" s="850"/>
      <c r="H68" s="811"/>
      <c r="I68" s="850"/>
      <c r="J68" s="851"/>
      <c r="K68" s="850"/>
      <c r="L68" s="852"/>
      <c r="M68" s="852"/>
      <c r="N68" s="2685" t="e">
        <f>+$N$67/(L10*1000)</f>
        <v>#VALUE!</v>
      </c>
      <c r="O68" s="809"/>
      <c r="P68" s="798"/>
    </row>
    <row r="69" spans="1:16" ht="20.100000000000001" customHeight="1">
      <c r="A69" s="855"/>
      <c r="B69" s="3107" t="s">
        <v>1750</v>
      </c>
      <c r="C69" s="3108"/>
      <c r="D69" s="856"/>
      <c r="E69" s="856"/>
      <c r="F69" s="856"/>
      <c r="G69" s="856"/>
      <c r="H69" s="856"/>
      <c r="I69" s="856"/>
      <c r="J69" s="856"/>
      <c r="K69" s="856"/>
      <c r="L69" s="856"/>
      <c r="M69" s="856"/>
      <c r="N69" s="2686"/>
      <c r="O69" s="855"/>
    </row>
    <row r="70" spans="1:16" ht="20.100000000000001" customHeight="1">
      <c r="B70" s="858" t="s">
        <v>2301</v>
      </c>
      <c r="C70" s="859"/>
      <c r="D70" s="855"/>
      <c r="E70" s="855"/>
      <c r="F70" s="855"/>
      <c r="G70" s="855"/>
      <c r="H70" s="855"/>
      <c r="I70" s="855"/>
      <c r="J70" s="855"/>
      <c r="K70" s="855"/>
      <c r="L70" s="860"/>
      <c r="M70" s="861"/>
      <c r="N70" s="2687">
        <f>ROUND('Estimate Details'!$V$132,-4)</f>
        <v>2920000</v>
      </c>
      <c r="O70" s="855"/>
    </row>
    <row r="71" spans="1:16" ht="20.100000000000001" customHeight="1" thickBot="1">
      <c r="B71" s="858" t="s">
        <v>1772</v>
      </c>
      <c r="C71" s="859"/>
      <c r="D71" s="855"/>
      <c r="E71" s="855"/>
      <c r="F71" s="855"/>
      <c r="G71" s="855"/>
      <c r="H71" s="855"/>
      <c r="I71" s="855"/>
      <c r="J71" s="855"/>
      <c r="K71" s="855"/>
      <c r="L71" s="860"/>
      <c r="M71" s="860"/>
      <c r="N71" s="2687">
        <f>ROUND('Estimate Details'!$V$135,-4)</f>
        <v>4350000</v>
      </c>
      <c r="O71" s="855"/>
    </row>
    <row r="72" spans="1:16" ht="20.100000000000001" customHeight="1" thickBot="1">
      <c r="B72" s="864" t="s">
        <v>127</v>
      </c>
      <c r="C72" s="865"/>
      <c r="D72" s="865"/>
      <c r="E72" s="865"/>
      <c r="F72" s="865"/>
      <c r="G72" s="865"/>
      <c r="H72" s="865"/>
      <c r="I72" s="865"/>
      <c r="J72" s="865"/>
      <c r="K72" s="865"/>
      <c r="L72" s="865"/>
      <c r="M72" s="865"/>
      <c r="N72" s="2688" t="e">
        <f>SUM(N70:N71,N67)</f>
        <v>#VALUE!</v>
      </c>
      <c r="O72" s="855"/>
      <c r="P72" s="798">
        <f>+'Estimate Details'!V140</f>
        <v>36258828.625867859</v>
      </c>
    </row>
    <row r="73" spans="1:16" ht="20.100000000000001" customHeight="1" thickBot="1">
      <c r="B73" s="868" t="s">
        <v>1553</v>
      </c>
      <c r="C73" s="869"/>
      <c r="D73" s="870"/>
      <c r="E73" s="869"/>
      <c r="F73" s="869"/>
      <c r="G73" s="869"/>
      <c r="H73" s="869"/>
      <c r="I73" s="869"/>
      <c r="J73" s="871"/>
      <c r="K73" s="869"/>
      <c r="L73" s="872"/>
      <c r="M73" s="869"/>
      <c r="N73" s="2689" t="e">
        <f>+$N$72/(L10*1000)</f>
        <v>#VALUE!</v>
      </c>
      <c r="O73" s="855"/>
      <c r="P73" s="798">
        <f>+'Estimate Details'!V142</f>
        <v>3625.8828625867859</v>
      </c>
    </row>
    <row r="74" spans="1:16" ht="20.100000000000001" customHeight="1" thickBot="1">
      <c r="B74" s="874"/>
      <c r="C74" s="875"/>
      <c r="D74" s="876"/>
      <c r="E74" s="877"/>
      <c r="F74" s="878"/>
      <c r="G74" s="879"/>
      <c r="H74" s="879"/>
      <c r="I74" s="879"/>
      <c r="J74" s="879"/>
      <c r="K74" s="879"/>
      <c r="L74" s="879"/>
      <c r="M74" s="879"/>
      <c r="N74" s="2691"/>
      <c r="O74" s="855"/>
    </row>
    <row r="75" spans="1:16" ht="10.5" customHeight="1">
      <c r="B75" s="861"/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2690"/>
      <c r="O75" s="855"/>
    </row>
    <row r="76" spans="1:16">
      <c r="A76" s="714"/>
      <c r="B76" s="780" t="s">
        <v>1294</v>
      </c>
      <c r="C76" s="781"/>
      <c r="D76" s="784" t="e">
        <f>J67</f>
        <v>#REF!</v>
      </c>
      <c r="E76" s="882"/>
      <c r="F76" s="882"/>
      <c r="G76" s="883" t="s">
        <v>956</v>
      </c>
      <c r="H76" s="884"/>
      <c r="I76" s="804"/>
      <c r="J76" s="781"/>
      <c r="K76" s="882"/>
      <c r="L76" s="883" t="s">
        <v>606</v>
      </c>
      <c r="M76" s="885" t="s">
        <v>2454</v>
      </c>
      <c r="N76" s="2692"/>
      <c r="O76" s="888"/>
    </row>
    <row r="77" spans="1:16" ht="14.1" customHeight="1">
      <c r="A77" s="714"/>
      <c r="B77" s="790" t="s">
        <v>781</v>
      </c>
      <c r="C77" s="791"/>
      <c r="D77" s="889" t="e">
        <f>(H52+(L34*0.45))/D76</f>
        <v>#VALUE!</v>
      </c>
      <c r="E77" s="779"/>
      <c r="F77" s="779"/>
      <c r="G77" s="890" t="s">
        <v>957</v>
      </c>
      <c r="H77" s="891"/>
      <c r="I77" s="826"/>
      <c r="J77" s="791"/>
      <c r="K77" s="779"/>
      <c r="L77" s="890" t="s">
        <v>958</v>
      </c>
      <c r="M77" s="892" t="s">
        <v>2455</v>
      </c>
      <c r="N77" s="2693"/>
      <c r="O77" s="888"/>
      <c r="P77" s="802" t="e">
        <f>+N64-'Estimate Details'!#REF!</f>
        <v>#VALUE!</v>
      </c>
    </row>
    <row r="78" spans="1:16" ht="14.1" customHeight="1">
      <c r="A78" s="714"/>
      <c r="B78" s="790" t="s">
        <v>959</v>
      </c>
      <c r="C78" s="791"/>
      <c r="D78" s="895" t="s">
        <v>2453</v>
      </c>
      <c r="E78" s="779"/>
      <c r="F78" s="779"/>
      <c r="G78" s="890" t="s">
        <v>392</v>
      </c>
      <c r="H78" s="891"/>
      <c r="I78" s="826"/>
      <c r="J78" s="791"/>
      <c r="K78" s="779"/>
      <c r="L78" s="890" t="s">
        <v>1947</v>
      </c>
      <c r="M78" s="892" t="s">
        <v>2456</v>
      </c>
      <c r="N78" s="2693"/>
      <c r="O78" s="888"/>
    </row>
    <row r="79" spans="1:16" ht="13.5" customHeight="1">
      <c r="A79" s="714"/>
      <c r="B79" s="825" t="s">
        <v>600</v>
      </c>
      <c r="C79" s="826"/>
      <c r="D79" s="896">
        <f>'Estimate Details'!S87/'Estimate Details'!L87</f>
        <v>1.0647151902725747</v>
      </c>
      <c r="E79" s="897"/>
      <c r="F79" s="897"/>
      <c r="G79" s="898" t="s">
        <v>601</v>
      </c>
      <c r="H79" s="891"/>
      <c r="I79" s="826"/>
      <c r="J79" s="826"/>
      <c r="K79" s="897"/>
      <c r="L79" s="898" t="s">
        <v>602</v>
      </c>
      <c r="M79" s="892" t="s">
        <v>2295</v>
      </c>
      <c r="N79" s="2693"/>
      <c r="O79" s="888"/>
    </row>
    <row r="80" spans="1:16">
      <c r="A80" s="714"/>
      <c r="B80" s="714"/>
      <c r="C80" s="714"/>
      <c r="D80" s="714"/>
      <c r="E80" s="714"/>
      <c r="F80" s="714"/>
      <c r="G80" s="714"/>
      <c r="H80" s="714"/>
      <c r="I80" s="714"/>
      <c r="J80" s="714"/>
      <c r="K80" s="779"/>
      <c r="L80" s="779"/>
      <c r="M80" s="779"/>
      <c r="N80" s="899"/>
      <c r="O80" s="779"/>
    </row>
    <row r="81" spans="4:15">
      <c r="D81" s="900"/>
      <c r="O81" s="855"/>
    </row>
    <row r="82" spans="4:15" ht="9.75" customHeight="1">
      <c r="O82" s="855"/>
    </row>
    <row r="83" spans="4:15" hidden="1">
      <c r="K83" s="901" t="s">
        <v>1505</v>
      </c>
      <c r="L83" s="902"/>
      <c r="M83" s="806"/>
      <c r="N83" s="903" t="e">
        <f>N67-'Estimate Details'!V113</f>
        <v>#VALUE!</v>
      </c>
      <c r="O83" s="899"/>
    </row>
    <row r="84" spans="4:15">
      <c r="O84" s="855"/>
    </row>
    <row r="85" spans="4:15">
      <c r="O85" s="855"/>
    </row>
    <row r="86" spans="4:15">
      <c r="O86" s="855"/>
    </row>
    <row r="87" spans="4:15">
      <c r="O87" s="855"/>
    </row>
    <row r="88" spans="4:15">
      <c r="D88" s="668"/>
      <c r="N88" s="2831"/>
      <c r="O88" s="855"/>
    </row>
    <row r="89" spans="4:15">
      <c r="D89" s="668"/>
      <c r="N89" s="2830"/>
      <c r="O89" s="855"/>
    </row>
    <row r="90" spans="4:15">
      <c r="D90" s="668"/>
      <c r="N90" s="2830"/>
      <c r="O90" s="855"/>
    </row>
    <row r="91" spans="4:15">
      <c r="D91" s="668"/>
      <c r="N91" s="2830"/>
      <c r="O91" s="855"/>
    </row>
    <row r="92" spans="4:15">
      <c r="D92" s="668"/>
      <c r="N92" s="2830"/>
      <c r="O92" s="855"/>
    </row>
    <row r="93" spans="4:15">
      <c r="D93" s="668"/>
      <c r="N93" s="2830"/>
      <c r="O93" s="855"/>
    </row>
    <row r="94" spans="4:15">
      <c r="D94" s="668"/>
      <c r="N94" s="2830"/>
      <c r="O94" s="855"/>
    </row>
    <row r="95" spans="4:15">
      <c r="D95" s="668"/>
      <c r="N95" s="2830"/>
      <c r="O95" s="855"/>
    </row>
    <row r="96" spans="4:15">
      <c r="D96" s="668"/>
      <c r="N96" s="2830"/>
      <c r="O96" s="855"/>
    </row>
    <row r="97" spans="14:14">
      <c r="N97" s="2830"/>
    </row>
    <row r="98" spans="14:14">
      <c r="N98" s="2830"/>
    </row>
    <row r="99" spans="14:14">
      <c r="N99" s="1106"/>
    </row>
    <row r="100" spans="14:14">
      <c r="N100" s="1106"/>
    </row>
  </sheetData>
  <mergeCells count="8">
    <mergeCell ref="B69:C69"/>
    <mergeCell ref="H4:H6"/>
    <mergeCell ref="D9:F9"/>
    <mergeCell ref="D10:F10"/>
    <mergeCell ref="D11:F11"/>
    <mergeCell ref="D12:F12"/>
    <mergeCell ref="B14:C16"/>
    <mergeCell ref="D14:M14"/>
  </mergeCells>
  <printOptions horizontalCentered="1"/>
  <pageMargins left="0.5" right="0.5" top="1" bottom="1.5" header="1" footer="0.75"/>
  <pageSetup paperSize="3" scale="43" fitToHeight="2" orientation="landscape" r:id="rId1"/>
  <headerFooter alignWithMargins="0">
    <oddFooter>&amp;L&amp;6          &amp;F\ &amp;A
&amp;C&amp;"Arial MT,Bold"&amp;10&amp;G
&amp;18CONFIDENTIAL&amp;R&amp;10Page &amp;P of &amp;N</oddFooter>
  </headerFooter>
  <rowBreaks count="1" manualBreakCount="1">
    <brk id="51" max="20" man="1"/>
  </rowBreaks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W219"/>
  <sheetViews>
    <sheetView showGridLines="0" showOutlineSymbols="0" zoomScale="70" zoomScaleNormal="70" workbookViewId="0">
      <pane xSplit="2" ySplit="13" topLeftCell="C14" activePane="bottomRight" state="frozen"/>
      <selection activeCell="E99" sqref="E99"/>
      <selection pane="topRight" activeCell="E99" sqref="E99"/>
      <selection pane="bottomLeft" activeCell="E99" sqref="E99"/>
      <selection pane="bottomRight" activeCell="A3" sqref="A3"/>
    </sheetView>
  </sheetViews>
  <sheetFormatPr defaultColWidth="9.08984375" defaultRowHeight="16.2"/>
  <cols>
    <col min="1" max="1" width="2.81640625" style="1202" customWidth="1"/>
    <col min="2" max="2" width="32" style="1202" customWidth="1"/>
    <col min="3" max="3" width="8.6328125" style="1202" customWidth="1"/>
    <col min="4" max="4" width="7.81640625" style="1202" customWidth="1"/>
    <col min="5" max="5" width="9" style="1202" customWidth="1"/>
    <col min="6" max="6" width="8.453125" style="1202" customWidth="1"/>
    <col min="7" max="7" width="9.08984375" style="1202" customWidth="1"/>
    <col min="8" max="8" width="10.81640625" style="1202" customWidth="1"/>
    <col min="9" max="9" width="21.36328125" style="1202" bestFit="1" customWidth="1"/>
    <col min="10" max="10" width="12.90625" style="1202" customWidth="1"/>
    <col min="11" max="11" width="11.81640625" style="1202" customWidth="1"/>
    <col min="12" max="12" width="19.08984375" style="1202" bestFit="1" customWidth="1"/>
    <col min="13" max="13" width="16.453125" style="1202" bestFit="1" customWidth="1"/>
    <col min="14" max="14" width="2.453125" style="1202" customWidth="1"/>
    <col min="15" max="15" width="11.1796875" style="1202" customWidth="1"/>
    <col min="16" max="16" width="14.36328125" style="1202" customWidth="1"/>
    <col min="17" max="17" width="13.36328125" style="1202" customWidth="1"/>
    <col min="18" max="18" width="20.1796875" style="1202" bestFit="1" customWidth="1"/>
    <col min="19" max="19" width="13.1796875" style="1202" customWidth="1"/>
    <col min="20" max="20" width="13.6328125" style="1202" customWidth="1"/>
    <col min="21" max="21" width="14.6328125" style="1202" customWidth="1"/>
    <col min="22" max="22" width="14.54296875" style="1202" customWidth="1"/>
    <col min="23" max="23" width="13.6328125" style="1202" customWidth="1"/>
    <col min="24" max="24" width="10.453125" style="1202" customWidth="1"/>
    <col min="25" max="25" width="9.54296875" style="1202" customWidth="1"/>
    <col min="26" max="16384" width="9.08984375" style="1202"/>
  </cols>
  <sheetData>
    <row r="2" spans="1:23" ht="24.6">
      <c r="B2" s="905" t="s">
        <v>752</v>
      </c>
      <c r="C2" s="905"/>
      <c r="D2" s="912"/>
      <c r="E2" s="912"/>
      <c r="F2" s="779"/>
      <c r="G2" s="779"/>
      <c r="I2" s="908"/>
      <c r="J2" s="1203"/>
      <c r="K2" s="908"/>
      <c r="L2" s="908"/>
      <c r="M2" s="908"/>
      <c r="N2" s="908"/>
      <c r="O2" s="908"/>
      <c r="P2" s="908"/>
      <c r="Q2" s="779"/>
      <c r="R2" s="779"/>
      <c r="S2" s="1204"/>
      <c r="T2" s="1205"/>
      <c r="U2" s="1205"/>
      <c r="V2" s="1205"/>
    </row>
    <row r="3" spans="1:23" ht="22.5" customHeight="1">
      <c r="B3" s="911" t="s">
        <v>2025</v>
      </c>
      <c r="C3" s="912" t="str">
        <f>'Project Summary'!$C$2</f>
        <v>Kentucky</v>
      </c>
      <c r="D3" s="912"/>
      <c r="F3" s="779"/>
      <c r="G3" s="1206"/>
      <c r="H3" s="1207"/>
      <c r="I3" s="908"/>
      <c r="J3" s="908"/>
      <c r="K3" s="1207"/>
      <c r="L3" s="3306"/>
      <c r="M3" s="3307"/>
      <c r="N3" s="914"/>
      <c r="O3" s="914"/>
      <c r="P3" s="908"/>
      <c r="Q3" s="710"/>
      <c r="R3" s="710"/>
      <c r="S3" s="1204"/>
      <c r="T3" s="1205"/>
      <c r="U3" s="1205"/>
      <c r="V3" s="1205"/>
    </row>
    <row r="4" spans="1:23" ht="25.5" customHeight="1">
      <c r="B4" s="911" t="s">
        <v>517</v>
      </c>
      <c r="C4" s="1208">
        <f>'Project Summary'!$C$3</f>
        <v>221566</v>
      </c>
      <c r="D4" s="1208"/>
      <c r="F4" s="1209"/>
      <c r="G4" s="779"/>
      <c r="H4" s="779"/>
      <c r="I4" s="779"/>
      <c r="J4" s="779"/>
      <c r="K4" s="914"/>
      <c r="L4" s="3306"/>
      <c r="M4" s="3307"/>
      <c r="N4" s="914"/>
      <c r="O4" s="914"/>
      <c r="P4" s="779"/>
      <c r="Q4" s="1210" t="s">
        <v>2024</v>
      </c>
      <c r="R4" s="1211">
        <f>'Project Summary'!$P$6</f>
        <v>41681</v>
      </c>
      <c r="S4" s="1204"/>
      <c r="T4" s="1205"/>
      <c r="U4" s="1205"/>
      <c r="V4" s="1205"/>
    </row>
    <row r="5" spans="1:23" ht="25.5" customHeight="1">
      <c r="B5" s="911" t="s">
        <v>2026</v>
      </c>
      <c r="C5" s="912" t="str">
        <f>'Project Summary'!$C$4</f>
        <v>Solar PV</v>
      </c>
      <c r="D5" s="912"/>
      <c r="F5" s="1212"/>
      <c r="G5" s="779"/>
      <c r="H5" s="919"/>
      <c r="I5" s="919"/>
      <c r="J5" s="919"/>
      <c r="K5" s="914"/>
      <c r="L5" s="3304"/>
      <c r="M5" s="3305"/>
      <c r="N5" s="919"/>
      <c r="O5" s="919"/>
      <c r="P5" s="907"/>
      <c r="Q5" s="1210"/>
      <c r="R5" s="1211"/>
      <c r="S5" s="1204"/>
      <c r="T5" s="1205"/>
      <c r="U5" s="1205"/>
      <c r="V5" s="1205"/>
    </row>
    <row r="6" spans="1:23" ht="16.5" customHeight="1">
      <c r="B6" s="911" t="s">
        <v>2027</v>
      </c>
      <c r="C6" s="912" t="str">
        <f>'Project Summary'!$C$5</f>
        <v>LG&amp;E/KU</v>
      </c>
      <c r="D6" s="912"/>
      <c r="F6" s="791"/>
      <c r="G6" s="791"/>
      <c r="H6" s="908"/>
      <c r="I6" s="908"/>
      <c r="J6" s="908"/>
      <c r="K6" s="1207"/>
      <c r="L6" s="914"/>
      <c r="M6" s="914"/>
      <c r="N6" s="914"/>
      <c r="O6" s="914"/>
      <c r="P6" s="924"/>
      <c r="Q6" s="1210"/>
      <c r="R6" s="1213"/>
      <c r="S6" s="1204"/>
      <c r="T6" s="1205"/>
      <c r="U6" s="1205"/>
      <c r="V6" s="1205"/>
    </row>
    <row r="7" spans="1:23">
      <c r="B7" s="911" t="s">
        <v>2028</v>
      </c>
      <c r="C7" s="918" t="str">
        <f>'Project Summary'!$C$6</f>
        <v>Conceptual</v>
      </c>
      <c r="D7" s="918"/>
      <c r="F7" s="791"/>
      <c r="G7" s="791"/>
      <c r="H7" s="779"/>
      <c r="I7" s="779"/>
      <c r="J7" s="779"/>
      <c r="K7" s="779"/>
      <c r="L7" s="779"/>
      <c r="M7" s="779"/>
      <c r="N7" s="779"/>
      <c r="O7" s="791"/>
      <c r="P7" s="779"/>
      <c r="Q7" s="779"/>
      <c r="R7" s="779"/>
      <c r="S7" s="1204"/>
      <c r="T7" s="1205"/>
      <c r="U7" s="1205"/>
      <c r="V7" s="1205"/>
    </row>
    <row r="8" spans="1:23">
      <c r="A8" s="1214"/>
      <c r="B8" s="1202" t="s">
        <v>1903</v>
      </c>
      <c r="C8" s="1202" t="str">
        <f>'Project Summary'!$C$7</f>
        <v xml:space="preserve"> </v>
      </c>
      <c r="H8" s="1215"/>
      <c r="I8" s="1215"/>
      <c r="J8" s="1215"/>
      <c r="K8" s="1204"/>
      <c r="L8" s="1215"/>
      <c r="Q8" s="1204"/>
      <c r="R8" s="1204"/>
      <c r="S8" s="1204"/>
      <c r="T8" s="1205"/>
      <c r="U8" s="1205"/>
      <c r="V8" s="1205"/>
    </row>
    <row r="9" spans="1:23">
      <c r="H9" s="1215"/>
      <c r="I9" s="1672" t="s">
        <v>1117</v>
      </c>
      <c r="J9" s="1867" t="s">
        <v>771</v>
      </c>
      <c r="K9" s="1204"/>
      <c r="L9" s="1215"/>
      <c r="Q9" s="1204"/>
      <c r="R9" s="1204"/>
      <c r="S9" s="1204"/>
      <c r="T9" s="1205"/>
      <c r="U9" s="1205"/>
      <c r="V9" s="1205"/>
    </row>
    <row r="10" spans="1:23" ht="16.8" thickBot="1">
      <c r="I10" s="1673">
        <v>1.125</v>
      </c>
      <c r="J10" s="1868">
        <f>(10/40)</f>
        <v>0.25</v>
      </c>
      <c r="L10" s="1215"/>
      <c r="O10" s="1202">
        <v>1</v>
      </c>
    </row>
    <row r="11" spans="1:23" ht="16.8" thickTop="1">
      <c r="B11" s="1216"/>
      <c r="C11" s="1217"/>
      <c r="D11" s="1218"/>
      <c r="E11" s="1218"/>
      <c r="F11" s="1219" t="s">
        <v>1656</v>
      </c>
      <c r="G11" s="1219" t="s">
        <v>1657</v>
      </c>
      <c r="H11" s="1219" t="s">
        <v>1658</v>
      </c>
      <c r="I11" s="1229" t="s">
        <v>1659</v>
      </c>
      <c r="J11" s="1228" t="s">
        <v>1660</v>
      </c>
      <c r="K11" s="1218"/>
      <c r="L11" s="1219" t="s">
        <v>839</v>
      </c>
      <c r="M11" s="1220" t="s">
        <v>1661</v>
      </c>
      <c r="N11" s="1221"/>
      <c r="O11" s="1219" t="s">
        <v>1782</v>
      </c>
      <c r="P11" s="1219"/>
      <c r="Q11" s="1219" t="s">
        <v>329</v>
      </c>
      <c r="R11" s="1222" t="s">
        <v>839</v>
      </c>
      <c r="S11" s="1223" t="s">
        <v>387</v>
      </c>
      <c r="T11" s="1219" t="s">
        <v>1656</v>
      </c>
      <c r="U11" s="1224" t="s">
        <v>1372</v>
      </c>
      <c r="V11" s="1219" t="s">
        <v>1372</v>
      </c>
      <c r="W11" s="1225" t="s">
        <v>1372</v>
      </c>
    </row>
    <row r="12" spans="1:23">
      <c r="B12" s="1226"/>
      <c r="C12" s="1227"/>
      <c r="D12" s="1228" t="s">
        <v>388</v>
      </c>
      <c r="E12" s="1228" t="s">
        <v>1010</v>
      </c>
      <c r="F12" s="1228" t="s">
        <v>389</v>
      </c>
      <c r="G12" s="1228" t="s">
        <v>2168</v>
      </c>
      <c r="H12" s="1228" t="s">
        <v>2169</v>
      </c>
      <c r="I12" s="1229" t="s">
        <v>2170</v>
      </c>
      <c r="J12" s="1228" t="s">
        <v>2171</v>
      </c>
      <c r="K12" s="1230"/>
      <c r="L12" s="1228" t="s">
        <v>210</v>
      </c>
      <c r="M12" s="1231" t="s">
        <v>2172</v>
      </c>
      <c r="N12" s="1232"/>
      <c r="O12" s="1228" t="s">
        <v>2168</v>
      </c>
      <c r="P12" s="1228" t="s">
        <v>2173</v>
      </c>
      <c r="Q12" s="1228" t="s">
        <v>2174</v>
      </c>
      <c r="R12" s="1233" t="s">
        <v>2175</v>
      </c>
      <c r="S12" s="1234" t="s">
        <v>2176</v>
      </c>
      <c r="T12" s="1228" t="s">
        <v>2153</v>
      </c>
      <c r="U12" s="1235" t="s">
        <v>2154</v>
      </c>
      <c r="V12" s="1228" t="s">
        <v>2155</v>
      </c>
      <c r="W12" s="1236" t="s">
        <v>2156</v>
      </c>
    </row>
    <row r="13" spans="1:23" ht="16.8" thickBot="1">
      <c r="B13" s="1226"/>
      <c r="C13" s="1227"/>
      <c r="D13" s="1228" t="s">
        <v>2157</v>
      </c>
      <c r="E13" s="1228" t="s">
        <v>2169</v>
      </c>
      <c r="F13" s="1228" t="s">
        <v>2157</v>
      </c>
      <c r="G13" s="1228" t="s">
        <v>2158</v>
      </c>
      <c r="H13" s="1228" t="s">
        <v>1768</v>
      </c>
      <c r="I13" s="1237" t="s">
        <v>2159</v>
      </c>
      <c r="J13" s="1700">
        <f>J10*0.75</f>
        <v>0.1875</v>
      </c>
      <c r="K13" s="1238" t="s">
        <v>2160</v>
      </c>
      <c r="L13" s="1228" t="s">
        <v>1661</v>
      </c>
      <c r="M13" s="1869">
        <v>1.7250000000000001</v>
      </c>
      <c r="N13" s="1239"/>
      <c r="O13" s="1228" t="s">
        <v>2158</v>
      </c>
      <c r="P13" s="1240" t="s">
        <v>2159</v>
      </c>
      <c r="Q13" s="1238" t="s">
        <v>2159</v>
      </c>
      <c r="R13" s="1241" t="s">
        <v>2161</v>
      </c>
      <c r="S13" s="1242" t="s">
        <v>2162</v>
      </c>
      <c r="T13" s="1238" t="s">
        <v>2159</v>
      </c>
      <c r="U13" s="1243" t="s">
        <v>2159</v>
      </c>
      <c r="V13" s="1238" t="s">
        <v>2154</v>
      </c>
      <c r="W13" s="1244"/>
    </row>
    <row r="14" spans="1:23" ht="17.399999999999999" thickTop="1" thickBot="1">
      <c r="B14" s="1245" t="s">
        <v>1419</v>
      </c>
      <c r="C14" s="1246"/>
      <c r="D14" s="1247"/>
      <c r="E14" s="1247"/>
      <c r="F14" s="1247"/>
      <c r="G14" s="1247"/>
      <c r="H14" s="1247"/>
      <c r="I14" s="1248"/>
      <c r="J14" s="1249"/>
      <c r="K14" s="1250"/>
      <c r="L14" s="1247"/>
      <c r="M14" s="1251"/>
      <c r="N14" s="1252"/>
      <c r="O14" s="1247"/>
      <c r="P14" s="1253"/>
      <c r="Q14" s="1250"/>
      <c r="R14" s="1254"/>
      <c r="S14" s="1255"/>
      <c r="T14" s="1250"/>
      <c r="U14" s="1256"/>
      <c r="V14" s="1250"/>
      <c r="W14" s="1257"/>
    </row>
    <row r="15" spans="1:23" ht="16.8" thickTop="1">
      <c r="B15" s="1321" t="s">
        <v>763</v>
      </c>
      <c r="C15" s="2026">
        <v>1</v>
      </c>
      <c r="D15" s="1323" t="s">
        <v>2163</v>
      </c>
      <c r="E15" s="1323">
        <f>155</f>
        <v>155</v>
      </c>
      <c r="F15" s="1258" t="s">
        <v>2164</v>
      </c>
      <c r="G15" s="1870">
        <f>C15*104</f>
        <v>104</v>
      </c>
      <c r="H15" s="1260">
        <f>E15*13.45</f>
        <v>2084.75</v>
      </c>
      <c r="I15" s="1260">
        <f>G15*H15*$I$10</f>
        <v>243915.75</v>
      </c>
      <c r="J15" s="1260">
        <f>I15*0.125</f>
        <v>30489.46875</v>
      </c>
      <c r="K15" s="1260">
        <f t="shared" ref="K15:K50" si="0">(I15+J15)*$F$105</f>
        <v>0</v>
      </c>
      <c r="L15" s="1260">
        <f t="shared" ref="L15:L50" si="1">SUM(I15:K15)</f>
        <v>274405.21875</v>
      </c>
      <c r="M15" s="1261">
        <f t="shared" ref="M15:M50" si="2">((I15+K15)*$M$13)+(J15*0.15)</f>
        <v>425328.08906249999</v>
      </c>
      <c r="N15" s="1262"/>
      <c r="O15" s="1259">
        <f t="shared" ref="O15:O50" si="3">G15*$O$10</f>
        <v>104</v>
      </c>
      <c r="P15" s="1260">
        <f>+G15*125</f>
        <v>13000</v>
      </c>
      <c r="Q15" s="1260">
        <f>+P15*0.25</f>
        <v>3250</v>
      </c>
      <c r="R15" s="1263">
        <f t="shared" ref="R15:R50" si="4">P15+Q15</f>
        <v>16250</v>
      </c>
      <c r="S15" s="1264">
        <f t="shared" ref="S15:S50" si="5">L15*($Q$102+$Q$103)</f>
        <v>63799.213359374997</v>
      </c>
      <c r="T15" s="1265">
        <f t="shared" ref="T15:T50" si="6">IF(O15=0,0,IF(F15=$J$100,(G15*$K$100+L15*$M$100),IF(F15=$J$101,(G15*$K$101+L15*$M$101),IF(F15=$J$102,(G15*$K$102+L15*$M$102),IF(F15=$J$103,(G15*$K$103),IF(F15=$J$104,0,0))))))</f>
        <v>33800</v>
      </c>
      <c r="U15" s="1266">
        <f t="shared" ref="U15:U50" si="7">S15+T15</f>
        <v>97599.21335937499</v>
      </c>
      <c r="V15" s="1265">
        <f t="shared" ref="V15:V50" si="8">U15+L15</f>
        <v>372004.43210937502</v>
      </c>
      <c r="W15" s="1267">
        <f t="shared" ref="W15:W50" si="9">M15-V15</f>
        <v>53323.65695312497</v>
      </c>
    </row>
    <row r="16" spans="1:23">
      <c r="B16" s="1321" t="s">
        <v>718</v>
      </c>
      <c r="C16" s="2026">
        <v>0</v>
      </c>
      <c r="D16" s="1323" t="s">
        <v>2163</v>
      </c>
      <c r="E16" s="1323">
        <v>110</v>
      </c>
      <c r="F16" s="1258" t="s">
        <v>2164</v>
      </c>
      <c r="G16" s="1870">
        <f t="shared" ref="G16:G50" si="10">C16*156</f>
        <v>0</v>
      </c>
      <c r="H16" s="1260">
        <f t="shared" ref="H16:H50" si="11">E16*13.45</f>
        <v>1479.5</v>
      </c>
      <c r="I16" s="1260">
        <f t="shared" ref="I16:I29" si="12">G16*H16</f>
        <v>0</v>
      </c>
      <c r="J16" s="1260">
        <f>I16*$J$13</f>
        <v>0</v>
      </c>
      <c r="K16" s="1260">
        <f t="shared" si="0"/>
        <v>0</v>
      </c>
      <c r="L16" s="1260">
        <f t="shared" si="1"/>
        <v>0</v>
      </c>
      <c r="M16" s="1261">
        <f t="shared" si="2"/>
        <v>0</v>
      </c>
      <c r="N16" s="1262"/>
      <c r="O16" s="1259">
        <f t="shared" si="3"/>
        <v>0</v>
      </c>
      <c r="P16" s="1260">
        <f t="shared" ref="P16:P50" si="13">+G16*125</f>
        <v>0</v>
      </c>
      <c r="Q16" s="1260">
        <f>+P16*0.15</f>
        <v>0</v>
      </c>
      <c r="R16" s="1263">
        <f t="shared" si="4"/>
        <v>0</v>
      </c>
      <c r="S16" s="1264">
        <f t="shared" si="5"/>
        <v>0</v>
      </c>
      <c r="T16" s="1265">
        <f t="shared" si="6"/>
        <v>0</v>
      </c>
      <c r="U16" s="1266">
        <f t="shared" si="7"/>
        <v>0</v>
      </c>
      <c r="V16" s="1265">
        <f t="shared" si="8"/>
        <v>0</v>
      </c>
      <c r="W16" s="1267">
        <f t="shared" si="9"/>
        <v>0</v>
      </c>
    </row>
    <row r="17" spans="2:23">
      <c r="B17" s="1321" t="s">
        <v>719</v>
      </c>
      <c r="C17" s="2026">
        <v>0</v>
      </c>
      <c r="D17" s="1323" t="s">
        <v>2163</v>
      </c>
      <c r="E17" s="1323">
        <v>80</v>
      </c>
      <c r="F17" s="1323" t="s">
        <v>1321</v>
      </c>
      <c r="G17" s="1870">
        <f t="shared" si="10"/>
        <v>0</v>
      </c>
      <c r="H17" s="1260">
        <f t="shared" si="11"/>
        <v>1076</v>
      </c>
      <c r="I17" s="1260">
        <f t="shared" si="12"/>
        <v>0</v>
      </c>
      <c r="J17" s="1260">
        <f>I17*$J$13</f>
        <v>0</v>
      </c>
      <c r="K17" s="1260">
        <f t="shared" si="0"/>
        <v>0</v>
      </c>
      <c r="L17" s="1260">
        <f t="shared" si="1"/>
        <v>0</v>
      </c>
      <c r="M17" s="1261">
        <f t="shared" si="2"/>
        <v>0</v>
      </c>
      <c r="N17" s="1262"/>
      <c r="O17" s="1259">
        <f t="shared" si="3"/>
        <v>0</v>
      </c>
      <c r="P17" s="1260">
        <f t="shared" si="13"/>
        <v>0</v>
      </c>
      <c r="Q17" s="1260">
        <f>+P17*0.15</f>
        <v>0</v>
      </c>
      <c r="R17" s="1263">
        <f t="shared" si="4"/>
        <v>0</v>
      </c>
      <c r="S17" s="1264">
        <f t="shared" si="5"/>
        <v>0</v>
      </c>
      <c r="T17" s="1265">
        <f t="shared" si="6"/>
        <v>0</v>
      </c>
      <c r="U17" s="1266">
        <f t="shared" si="7"/>
        <v>0</v>
      </c>
      <c r="V17" s="1265">
        <f t="shared" si="8"/>
        <v>0</v>
      </c>
      <c r="W17" s="1267">
        <f t="shared" si="9"/>
        <v>0</v>
      </c>
    </row>
    <row r="18" spans="2:23">
      <c r="B18" s="1321" t="s">
        <v>896</v>
      </c>
      <c r="C18" s="2026">
        <v>1</v>
      </c>
      <c r="D18" s="1323" t="s">
        <v>2163</v>
      </c>
      <c r="E18" s="1323">
        <v>135</v>
      </c>
      <c r="F18" s="1323" t="s">
        <v>2164</v>
      </c>
      <c r="G18" s="1870">
        <f>C18*104</f>
        <v>104</v>
      </c>
      <c r="H18" s="1260">
        <f t="shared" si="11"/>
        <v>1815.75</v>
      </c>
      <c r="I18" s="1260">
        <f t="shared" si="12"/>
        <v>188838</v>
      </c>
      <c r="J18" s="1260">
        <f>I18*$J$13</f>
        <v>35407.125</v>
      </c>
      <c r="K18" s="1260">
        <f t="shared" si="0"/>
        <v>0</v>
      </c>
      <c r="L18" s="1260">
        <f t="shared" si="1"/>
        <v>224245.125</v>
      </c>
      <c r="M18" s="1261">
        <f t="shared" si="2"/>
        <v>331056.61874999997</v>
      </c>
      <c r="N18" s="1262"/>
      <c r="O18" s="1259">
        <f t="shared" si="3"/>
        <v>104</v>
      </c>
      <c r="P18" s="1260">
        <f t="shared" si="13"/>
        <v>13000</v>
      </c>
      <c r="Q18" s="1260">
        <f>+P18*0.25</f>
        <v>3250</v>
      </c>
      <c r="R18" s="1263">
        <f t="shared" si="4"/>
        <v>16250</v>
      </c>
      <c r="S18" s="1264">
        <f t="shared" si="5"/>
        <v>52136.991562499999</v>
      </c>
      <c r="T18" s="1265">
        <f t="shared" si="6"/>
        <v>33800</v>
      </c>
      <c r="U18" s="1266">
        <f t="shared" si="7"/>
        <v>85936.991562499999</v>
      </c>
      <c r="V18" s="1265">
        <f t="shared" si="8"/>
        <v>310182.11656250001</v>
      </c>
      <c r="W18" s="1267">
        <f t="shared" si="9"/>
        <v>20874.502187499951</v>
      </c>
    </row>
    <row r="19" spans="2:23">
      <c r="B19" s="1321" t="s">
        <v>720</v>
      </c>
      <c r="C19" s="2026">
        <v>0</v>
      </c>
      <c r="D19" s="1323" t="s">
        <v>2163</v>
      </c>
      <c r="E19" s="1323">
        <v>115</v>
      </c>
      <c r="F19" s="1323" t="s">
        <v>2164</v>
      </c>
      <c r="G19" s="1870">
        <f t="shared" si="10"/>
        <v>0</v>
      </c>
      <c r="H19" s="1260">
        <f t="shared" si="11"/>
        <v>1546.75</v>
      </c>
      <c r="I19" s="1260">
        <f t="shared" si="12"/>
        <v>0</v>
      </c>
      <c r="J19" s="1260">
        <f>I19*$J$13</f>
        <v>0</v>
      </c>
      <c r="K19" s="1260">
        <f t="shared" si="0"/>
        <v>0</v>
      </c>
      <c r="L19" s="1260">
        <f t="shared" si="1"/>
        <v>0</v>
      </c>
      <c r="M19" s="1261">
        <f t="shared" si="2"/>
        <v>0</v>
      </c>
      <c r="N19" s="1262"/>
      <c r="O19" s="1259">
        <f t="shared" si="3"/>
        <v>0</v>
      </c>
      <c r="P19" s="1260">
        <f t="shared" si="13"/>
        <v>0</v>
      </c>
      <c r="Q19" s="1260">
        <f>+P19*0.15</f>
        <v>0</v>
      </c>
      <c r="R19" s="1263">
        <f t="shared" si="4"/>
        <v>0</v>
      </c>
      <c r="S19" s="1264">
        <f t="shared" si="5"/>
        <v>0</v>
      </c>
      <c r="T19" s="1265">
        <f t="shared" si="6"/>
        <v>0</v>
      </c>
      <c r="U19" s="1266">
        <f t="shared" si="7"/>
        <v>0</v>
      </c>
      <c r="V19" s="1265">
        <f t="shared" si="8"/>
        <v>0</v>
      </c>
      <c r="W19" s="1267">
        <f t="shared" si="9"/>
        <v>0</v>
      </c>
    </row>
    <row r="20" spans="2:23">
      <c r="B20" s="1321" t="s">
        <v>1008</v>
      </c>
      <c r="C20" s="2026">
        <v>0</v>
      </c>
      <c r="D20" s="1323" t="s">
        <v>2163</v>
      </c>
      <c r="E20" s="1323">
        <v>100</v>
      </c>
      <c r="F20" s="1323" t="s">
        <v>2164</v>
      </c>
      <c r="G20" s="1870">
        <f t="shared" si="10"/>
        <v>0</v>
      </c>
      <c r="H20" s="1260">
        <f t="shared" si="11"/>
        <v>1345</v>
      </c>
      <c r="I20" s="1260">
        <f t="shared" si="12"/>
        <v>0</v>
      </c>
      <c r="J20" s="1260">
        <f>I20*$J$13</f>
        <v>0</v>
      </c>
      <c r="K20" s="1260">
        <f t="shared" si="0"/>
        <v>0</v>
      </c>
      <c r="L20" s="1260">
        <f t="shared" si="1"/>
        <v>0</v>
      </c>
      <c r="M20" s="1261">
        <f t="shared" si="2"/>
        <v>0</v>
      </c>
      <c r="N20" s="1262"/>
      <c r="O20" s="1259">
        <f t="shared" si="3"/>
        <v>0</v>
      </c>
      <c r="P20" s="1260">
        <f t="shared" si="13"/>
        <v>0</v>
      </c>
      <c r="Q20" s="1260">
        <f>+P20*0.25</f>
        <v>0</v>
      </c>
      <c r="R20" s="1263">
        <f t="shared" si="4"/>
        <v>0</v>
      </c>
      <c r="S20" s="1264">
        <f t="shared" si="5"/>
        <v>0</v>
      </c>
      <c r="T20" s="1265">
        <f t="shared" si="6"/>
        <v>0</v>
      </c>
      <c r="U20" s="1266">
        <f t="shared" si="7"/>
        <v>0</v>
      </c>
      <c r="V20" s="1265">
        <f t="shared" si="8"/>
        <v>0</v>
      </c>
      <c r="W20" s="1267">
        <f t="shared" si="9"/>
        <v>0</v>
      </c>
    </row>
    <row r="21" spans="2:23">
      <c r="B21" s="1321" t="s">
        <v>488</v>
      </c>
      <c r="C21" s="2026">
        <v>1</v>
      </c>
      <c r="D21" s="1323" t="s">
        <v>2163</v>
      </c>
      <c r="E21" s="1323">
        <v>140</v>
      </c>
      <c r="F21" s="1323" t="s">
        <v>2164</v>
      </c>
      <c r="G21" s="1870">
        <f t="shared" ref="G21:G28" si="14">C21*104</f>
        <v>104</v>
      </c>
      <c r="H21" s="1260">
        <f t="shared" si="11"/>
        <v>1883</v>
      </c>
      <c r="I21" s="1260">
        <f t="shared" si="12"/>
        <v>195832</v>
      </c>
      <c r="J21" s="1260">
        <f>I21*J13</f>
        <v>36718.5</v>
      </c>
      <c r="K21" s="1260">
        <f t="shared" si="0"/>
        <v>0</v>
      </c>
      <c r="L21" s="1260">
        <f t="shared" si="1"/>
        <v>232550.5</v>
      </c>
      <c r="M21" s="1261">
        <f t="shared" si="2"/>
        <v>343317.97500000003</v>
      </c>
      <c r="N21" s="1262"/>
      <c r="O21" s="1259">
        <f t="shared" si="3"/>
        <v>104</v>
      </c>
      <c r="P21" s="1260">
        <f t="shared" si="13"/>
        <v>13000</v>
      </c>
      <c r="Q21" s="1260">
        <f>+P21*0.15</f>
        <v>1950</v>
      </c>
      <c r="R21" s="1263">
        <f t="shared" si="4"/>
        <v>14950</v>
      </c>
      <c r="S21" s="1264">
        <f t="shared" si="5"/>
        <v>54067.991249999999</v>
      </c>
      <c r="T21" s="1265">
        <f t="shared" si="6"/>
        <v>33800</v>
      </c>
      <c r="U21" s="1266">
        <f t="shared" si="7"/>
        <v>87867.991249999992</v>
      </c>
      <c r="V21" s="1265">
        <f t="shared" si="8"/>
        <v>320418.49124999996</v>
      </c>
      <c r="W21" s="1267">
        <f t="shared" si="9"/>
        <v>22899.483750000072</v>
      </c>
    </row>
    <row r="22" spans="2:23">
      <c r="B22" s="1321" t="s">
        <v>897</v>
      </c>
      <c r="C22" s="2026">
        <v>1</v>
      </c>
      <c r="D22" s="1323" t="s">
        <v>2163</v>
      </c>
      <c r="E22" s="1323">
        <v>95</v>
      </c>
      <c r="F22" s="1323" t="s">
        <v>2164</v>
      </c>
      <c r="G22" s="1870">
        <f t="shared" si="14"/>
        <v>104</v>
      </c>
      <c r="H22" s="1260">
        <f t="shared" si="11"/>
        <v>1277.75</v>
      </c>
      <c r="I22" s="1260">
        <f t="shared" si="12"/>
        <v>132886</v>
      </c>
      <c r="J22" s="1260">
        <f>I22*J13</f>
        <v>24916.125</v>
      </c>
      <c r="K22" s="1260">
        <f t="shared" si="0"/>
        <v>0</v>
      </c>
      <c r="L22" s="1260">
        <f t="shared" si="1"/>
        <v>157802.125</v>
      </c>
      <c r="M22" s="1261">
        <f t="shared" si="2"/>
        <v>232965.76875000002</v>
      </c>
      <c r="N22" s="1262"/>
      <c r="O22" s="1259">
        <f t="shared" si="3"/>
        <v>104</v>
      </c>
      <c r="P22" s="1260">
        <f t="shared" si="13"/>
        <v>13000</v>
      </c>
      <c r="Q22" s="1260">
        <f>+P22*0.25</f>
        <v>3250</v>
      </c>
      <c r="R22" s="1263">
        <f t="shared" si="4"/>
        <v>16250</v>
      </c>
      <c r="S22" s="1264">
        <f t="shared" si="5"/>
        <v>36688.994062499994</v>
      </c>
      <c r="T22" s="1265">
        <f t="shared" si="6"/>
        <v>33800</v>
      </c>
      <c r="U22" s="1266">
        <f t="shared" si="7"/>
        <v>70488.994062499987</v>
      </c>
      <c r="V22" s="1265">
        <f t="shared" si="8"/>
        <v>228291.11906249999</v>
      </c>
      <c r="W22" s="1267">
        <f t="shared" si="9"/>
        <v>4674.6496875000303</v>
      </c>
    </row>
    <row r="23" spans="2:23">
      <c r="B23" s="1321" t="s">
        <v>762</v>
      </c>
      <c r="C23" s="2026">
        <v>1</v>
      </c>
      <c r="D23" s="1323" t="s">
        <v>2163</v>
      </c>
      <c r="E23" s="1323">
        <v>95</v>
      </c>
      <c r="F23" s="1323" t="s">
        <v>2164</v>
      </c>
      <c r="G23" s="1870">
        <f t="shared" si="14"/>
        <v>104</v>
      </c>
      <c r="H23" s="1260">
        <f t="shared" si="11"/>
        <v>1277.75</v>
      </c>
      <c r="I23" s="1260">
        <f t="shared" si="12"/>
        <v>132886</v>
      </c>
      <c r="J23" s="1260">
        <f>I23*J13</f>
        <v>24916.125</v>
      </c>
      <c r="K23" s="1260">
        <f t="shared" si="0"/>
        <v>0</v>
      </c>
      <c r="L23" s="1260">
        <f t="shared" si="1"/>
        <v>157802.125</v>
      </c>
      <c r="M23" s="1261">
        <f t="shared" si="2"/>
        <v>232965.76875000002</v>
      </c>
      <c r="N23" s="1262"/>
      <c r="O23" s="1259">
        <f t="shared" si="3"/>
        <v>104</v>
      </c>
      <c r="P23" s="1260">
        <f t="shared" si="13"/>
        <v>13000</v>
      </c>
      <c r="Q23" s="1260">
        <f t="shared" ref="Q23:Q29" si="15">+P23*0.15</f>
        <v>1950</v>
      </c>
      <c r="R23" s="1263">
        <f t="shared" si="4"/>
        <v>14950</v>
      </c>
      <c r="S23" s="1264">
        <f t="shared" si="5"/>
        <v>36688.994062499994</v>
      </c>
      <c r="T23" s="1265">
        <f t="shared" si="6"/>
        <v>33800</v>
      </c>
      <c r="U23" s="1266">
        <f t="shared" si="7"/>
        <v>70488.994062499987</v>
      </c>
      <c r="V23" s="1265">
        <f t="shared" si="8"/>
        <v>228291.11906249999</v>
      </c>
      <c r="W23" s="1267">
        <f t="shared" si="9"/>
        <v>4674.6496875000303</v>
      </c>
    </row>
    <row r="24" spans="2:23">
      <c r="B24" s="1321" t="s">
        <v>721</v>
      </c>
      <c r="C24" s="2026">
        <v>1</v>
      </c>
      <c r="D24" s="1323" t="s">
        <v>2163</v>
      </c>
      <c r="E24" s="1323">
        <v>70</v>
      </c>
      <c r="F24" s="1323" t="s">
        <v>1321</v>
      </c>
      <c r="G24" s="1870">
        <f t="shared" si="14"/>
        <v>104</v>
      </c>
      <c r="H24" s="1260">
        <f t="shared" si="11"/>
        <v>941.5</v>
      </c>
      <c r="I24" s="1260">
        <f t="shared" si="12"/>
        <v>97916</v>
      </c>
      <c r="J24" s="1260">
        <f>I24*J13</f>
        <v>18359.25</v>
      </c>
      <c r="K24" s="1260">
        <f t="shared" si="0"/>
        <v>0</v>
      </c>
      <c r="L24" s="1260">
        <f t="shared" si="1"/>
        <v>116275.25</v>
      </c>
      <c r="M24" s="1261">
        <f t="shared" si="2"/>
        <v>171658.98750000002</v>
      </c>
      <c r="N24" s="1262"/>
      <c r="O24" s="1259">
        <f t="shared" si="3"/>
        <v>104</v>
      </c>
      <c r="P24" s="1260">
        <f t="shared" si="13"/>
        <v>13000</v>
      </c>
      <c r="Q24" s="1260">
        <f t="shared" si="15"/>
        <v>1950</v>
      </c>
      <c r="R24" s="1263">
        <f t="shared" si="4"/>
        <v>14950</v>
      </c>
      <c r="S24" s="1264">
        <f t="shared" si="5"/>
        <v>27033.995625</v>
      </c>
      <c r="T24" s="1265">
        <f t="shared" si="6"/>
        <v>27560</v>
      </c>
      <c r="U24" s="1266">
        <f t="shared" si="7"/>
        <v>54593.995624999996</v>
      </c>
      <c r="V24" s="1265">
        <f t="shared" si="8"/>
        <v>170869.24562499998</v>
      </c>
      <c r="W24" s="1267">
        <f t="shared" si="9"/>
        <v>789.74187500003609</v>
      </c>
    </row>
    <row r="25" spans="2:23">
      <c r="B25" s="1321" t="s">
        <v>489</v>
      </c>
      <c r="C25" s="2026">
        <v>1</v>
      </c>
      <c r="D25" s="1323" t="s">
        <v>2163</v>
      </c>
      <c r="E25" s="1323">
        <v>85</v>
      </c>
      <c r="F25" s="1323" t="s">
        <v>2164</v>
      </c>
      <c r="G25" s="1870">
        <f t="shared" si="14"/>
        <v>104</v>
      </c>
      <c r="H25" s="1260">
        <f t="shared" si="11"/>
        <v>1143.25</v>
      </c>
      <c r="I25" s="1260">
        <f t="shared" si="12"/>
        <v>118898</v>
      </c>
      <c r="J25" s="1260">
        <f>I25*$J$13</f>
        <v>22293.375</v>
      </c>
      <c r="K25" s="1260">
        <f t="shared" si="0"/>
        <v>0</v>
      </c>
      <c r="L25" s="1260">
        <f t="shared" si="1"/>
        <v>141191.375</v>
      </c>
      <c r="M25" s="1261">
        <f t="shared" si="2"/>
        <v>208443.05625000002</v>
      </c>
      <c r="N25" s="1262"/>
      <c r="O25" s="1259">
        <f t="shared" si="3"/>
        <v>104</v>
      </c>
      <c r="P25" s="1260">
        <f t="shared" si="13"/>
        <v>13000</v>
      </c>
      <c r="Q25" s="1260">
        <f t="shared" si="15"/>
        <v>1950</v>
      </c>
      <c r="R25" s="1263">
        <f t="shared" si="4"/>
        <v>14950</v>
      </c>
      <c r="S25" s="1264">
        <f t="shared" si="5"/>
        <v>32826.994687499995</v>
      </c>
      <c r="T25" s="1265">
        <f t="shared" si="6"/>
        <v>33800</v>
      </c>
      <c r="U25" s="1266">
        <f t="shared" si="7"/>
        <v>66626.994687500002</v>
      </c>
      <c r="V25" s="1265">
        <f t="shared" si="8"/>
        <v>207818.3696875</v>
      </c>
      <c r="W25" s="1267">
        <f t="shared" si="9"/>
        <v>624.68656250002095</v>
      </c>
    </row>
    <row r="26" spans="2:23">
      <c r="B26" s="1321" t="s">
        <v>1753</v>
      </c>
      <c r="C26" s="2026">
        <v>1</v>
      </c>
      <c r="D26" s="1323" t="s">
        <v>2163</v>
      </c>
      <c r="E26" s="1323">
        <v>90</v>
      </c>
      <c r="F26" s="1323" t="s">
        <v>2164</v>
      </c>
      <c r="G26" s="1870">
        <f t="shared" si="14"/>
        <v>104</v>
      </c>
      <c r="H26" s="1260">
        <f t="shared" si="11"/>
        <v>1210.5</v>
      </c>
      <c r="I26" s="1260">
        <f t="shared" si="12"/>
        <v>125892</v>
      </c>
      <c r="J26" s="1260">
        <f>I26*$J$13</f>
        <v>23604.75</v>
      </c>
      <c r="K26" s="1260">
        <f t="shared" si="0"/>
        <v>0</v>
      </c>
      <c r="L26" s="1260">
        <f t="shared" si="1"/>
        <v>149496.75</v>
      </c>
      <c r="M26" s="1261">
        <f t="shared" si="2"/>
        <v>220704.41250000001</v>
      </c>
      <c r="N26" s="1262"/>
      <c r="O26" s="1259">
        <f t="shared" si="3"/>
        <v>104</v>
      </c>
      <c r="P26" s="1260">
        <f t="shared" si="13"/>
        <v>13000</v>
      </c>
      <c r="Q26" s="1260">
        <f t="shared" si="15"/>
        <v>1950</v>
      </c>
      <c r="R26" s="1263">
        <f t="shared" si="4"/>
        <v>14950</v>
      </c>
      <c r="S26" s="1264">
        <f t="shared" si="5"/>
        <v>34757.994374999995</v>
      </c>
      <c r="T26" s="1265">
        <f t="shared" si="6"/>
        <v>33800</v>
      </c>
      <c r="U26" s="1266">
        <f t="shared" si="7"/>
        <v>68557.994374999995</v>
      </c>
      <c r="V26" s="1265">
        <f t="shared" si="8"/>
        <v>218054.74437500001</v>
      </c>
      <c r="W26" s="1267">
        <f t="shared" si="9"/>
        <v>2649.6681249999965</v>
      </c>
    </row>
    <row r="27" spans="2:23">
      <c r="B27" s="1321" t="s">
        <v>722</v>
      </c>
      <c r="C27" s="2026">
        <v>3</v>
      </c>
      <c r="D27" s="1323" t="s">
        <v>2163</v>
      </c>
      <c r="E27" s="1323">
        <v>85</v>
      </c>
      <c r="F27" s="1323" t="s">
        <v>1321</v>
      </c>
      <c r="G27" s="1870">
        <f t="shared" si="14"/>
        <v>312</v>
      </c>
      <c r="H27" s="1260">
        <f t="shared" si="11"/>
        <v>1143.25</v>
      </c>
      <c r="I27" s="1260">
        <f t="shared" si="12"/>
        <v>356694</v>
      </c>
      <c r="J27" s="1260">
        <f>I27*$J$13</f>
        <v>66880.125</v>
      </c>
      <c r="K27" s="1260">
        <f t="shared" si="0"/>
        <v>0</v>
      </c>
      <c r="L27" s="1260">
        <f t="shared" si="1"/>
        <v>423574.125</v>
      </c>
      <c r="M27" s="1261">
        <f t="shared" si="2"/>
        <v>625329.16875000007</v>
      </c>
      <c r="N27" s="1262"/>
      <c r="O27" s="1259">
        <f t="shared" si="3"/>
        <v>312</v>
      </c>
      <c r="P27" s="1260">
        <f t="shared" si="13"/>
        <v>39000</v>
      </c>
      <c r="Q27" s="1260">
        <f t="shared" si="15"/>
        <v>5850</v>
      </c>
      <c r="R27" s="1263">
        <f t="shared" si="4"/>
        <v>44850</v>
      </c>
      <c r="S27" s="1264">
        <f t="shared" si="5"/>
        <v>98480.984062499992</v>
      </c>
      <c r="T27" s="1265">
        <f t="shared" si="6"/>
        <v>82680</v>
      </c>
      <c r="U27" s="1266">
        <f t="shared" si="7"/>
        <v>181160.98406250001</v>
      </c>
      <c r="V27" s="1265">
        <f t="shared" si="8"/>
        <v>604735.10906250007</v>
      </c>
      <c r="W27" s="1267">
        <f t="shared" si="9"/>
        <v>20594.059687500005</v>
      </c>
    </row>
    <row r="28" spans="2:23">
      <c r="B28" s="1321" t="s">
        <v>723</v>
      </c>
      <c r="C28" s="2026">
        <v>2</v>
      </c>
      <c r="D28" s="1323" t="s">
        <v>2163</v>
      </c>
      <c r="E28" s="1323">
        <v>80</v>
      </c>
      <c r="F28" s="1323" t="s">
        <v>1321</v>
      </c>
      <c r="G28" s="1870">
        <f t="shared" si="14"/>
        <v>208</v>
      </c>
      <c r="H28" s="1260">
        <f t="shared" si="11"/>
        <v>1076</v>
      </c>
      <c r="I28" s="1260">
        <f t="shared" si="12"/>
        <v>223808</v>
      </c>
      <c r="J28" s="1260">
        <f>I28*$J$13</f>
        <v>41964</v>
      </c>
      <c r="K28" s="1260">
        <f t="shared" si="0"/>
        <v>0</v>
      </c>
      <c r="L28" s="1260">
        <f t="shared" si="1"/>
        <v>265772</v>
      </c>
      <c r="M28" s="1261">
        <f t="shared" si="2"/>
        <v>392363.4</v>
      </c>
      <c r="N28" s="1262"/>
      <c r="O28" s="1259">
        <f t="shared" si="3"/>
        <v>208</v>
      </c>
      <c r="P28" s="1260">
        <f t="shared" si="13"/>
        <v>26000</v>
      </c>
      <c r="Q28" s="1260">
        <f t="shared" si="15"/>
        <v>3900</v>
      </c>
      <c r="R28" s="1263">
        <f t="shared" si="4"/>
        <v>29900</v>
      </c>
      <c r="S28" s="1264">
        <f t="shared" si="5"/>
        <v>61791.99</v>
      </c>
      <c r="T28" s="1265">
        <f t="shared" si="6"/>
        <v>55120</v>
      </c>
      <c r="U28" s="1266">
        <f t="shared" si="7"/>
        <v>116911.98999999999</v>
      </c>
      <c r="V28" s="1265">
        <f t="shared" si="8"/>
        <v>382683.99</v>
      </c>
      <c r="W28" s="1267">
        <f t="shared" si="9"/>
        <v>9679.4100000000326</v>
      </c>
    </row>
    <row r="29" spans="2:23">
      <c r="B29" s="1321" t="s">
        <v>724</v>
      </c>
      <c r="C29" s="2026">
        <v>0</v>
      </c>
      <c r="D29" s="1323" t="s">
        <v>2163</v>
      </c>
      <c r="E29" s="1323">
        <v>80</v>
      </c>
      <c r="F29" s="1323" t="s">
        <v>1321</v>
      </c>
      <c r="G29" s="1870">
        <f t="shared" si="10"/>
        <v>0</v>
      </c>
      <c r="H29" s="1260">
        <f t="shared" si="11"/>
        <v>1076</v>
      </c>
      <c r="I29" s="1260">
        <f t="shared" si="12"/>
        <v>0</v>
      </c>
      <c r="J29" s="1260">
        <f>I29*$J$13</f>
        <v>0</v>
      </c>
      <c r="K29" s="1260">
        <f t="shared" si="0"/>
        <v>0</v>
      </c>
      <c r="L29" s="1260">
        <f t="shared" si="1"/>
        <v>0</v>
      </c>
      <c r="M29" s="1261">
        <f t="shared" si="2"/>
        <v>0</v>
      </c>
      <c r="N29" s="1262"/>
      <c r="O29" s="1259">
        <f t="shared" si="3"/>
        <v>0</v>
      </c>
      <c r="P29" s="1260">
        <f t="shared" si="13"/>
        <v>0</v>
      </c>
      <c r="Q29" s="1260">
        <f t="shared" si="15"/>
        <v>0</v>
      </c>
      <c r="R29" s="1263">
        <f t="shared" si="4"/>
        <v>0</v>
      </c>
      <c r="S29" s="1264">
        <f t="shared" si="5"/>
        <v>0</v>
      </c>
      <c r="T29" s="1265">
        <f t="shared" si="6"/>
        <v>0</v>
      </c>
      <c r="U29" s="1266">
        <f t="shared" si="7"/>
        <v>0</v>
      </c>
      <c r="V29" s="1265">
        <f t="shared" si="8"/>
        <v>0</v>
      </c>
      <c r="W29" s="1267">
        <f t="shared" si="9"/>
        <v>0</v>
      </c>
    </row>
    <row r="30" spans="2:23">
      <c r="B30" s="1321" t="s">
        <v>1373</v>
      </c>
      <c r="C30" s="2026">
        <v>1</v>
      </c>
      <c r="D30" s="1323" t="s">
        <v>2163</v>
      </c>
      <c r="E30" s="1323">
        <v>90</v>
      </c>
      <c r="F30" s="1323" t="s">
        <v>2164</v>
      </c>
      <c r="G30" s="1870">
        <f>C30*104</f>
        <v>104</v>
      </c>
      <c r="H30" s="1260">
        <f t="shared" si="11"/>
        <v>1210.5</v>
      </c>
      <c r="I30" s="1260">
        <f>G30*H30*$I$10</f>
        <v>141628.5</v>
      </c>
      <c r="J30" s="1260"/>
      <c r="K30" s="1260">
        <f t="shared" si="0"/>
        <v>0</v>
      </c>
      <c r="L30" s="1260">
        <f t="shared" si="1"/>
        <v>141628.5</v>
      </c>
      <c r="M30" s="1261">
        <f t="shared" si="2"/>
        <v>244309.16250000001</v>
      </c>
      <c r="N30" s="1262"/>
      <c r="O30" s="1259">
        <f t="shared" si="3"/>
        <v>104</v>
      </c>
      <c r="P30" s="1260">
        <f t="shared" si="13"/>
        <v>13000</v>
      </c>
      <c r="Q30" s="1260">
        <f>+P30*0.25</f>
        <v>3250</v>
      </c>
      <c r="R30" s="1263">
        <f t="shared" si="4"/>
        <v>16250</v>
      </c>
      <c r="S30" s="1264">
        <f t="shared" si="5"/>
        <v>32928.626250000001</v>
      </c>
      <c r="T30" s="1265">
        <f t="shared" si="6"/>
        <v>33800</v>
      </c>
      <c r="U30" s="1266">
        <f t="shared" si="7"/>
        <v>66728.626250000001</v>
      </c>
      <c r="V30" s="1265">
        <f t="shared" si="8"/>
        <v>208357.12625</v>
      </c>
      <c r="W30" s="1267">
        <f t="shared" si="9"/>
        <v>35952.036250000005</v>
      </c>
    </row>
    <row r="31" spans="2:23">
      <c r="B31" s="1321" t="s">
        <v>725</v>
      </c>
      <c r="C31" s="2026">
        <v>1</v>
      </c>
      <c r="D31" s="1323" t="s">
        <v>2163</v>
      </c>
      <c r="E31" s="1323">
        <v>75</v>
      </c>
      <c r="F31" s="1323" t="s">
        <v>1321</v>
      </c>
      <c r="G31" s="1870">
        <f>C31*104</f>
        <v>104</v>
      </c>
      <c r="H31" s="1260">
        <f t="shared" si="11"/>
        <v>1008.75</v>
      </c>
      <c r="I31" s="1260">
        <f>G31*H31</f>
        <v>104910</v>
      </c>
      <c r="J31" s="1260">
        <f>I31*$J$13</f>
        <v>19670.625</v>
      </c>
      <c r="K31" s="1260">
        <f t="shared" si="0"/>
        <v>0</v>
      </c>
      <c r="L31" s="1260">
        <f t="shared" si="1"/>
        <v>124580.625</v>
      </c>
      <c r="M31" s="1261">
        <f t="shared" si="2"/>
        <v>183920.34375</v>
      </c>
      <c r="N31" s="1262"/>
      <c r="O31" s="1259">
        <f t="shared" si="3"/>
        <v>104</v>
      </c>
      <c r="P31" s="1260">
        <f t="shared" si="13"/>
        <v>13000</v>
      </c>
      <c r="Q31" s="1260">
        <f>+P31*0.15</f>
        <v>1950</v>
      </c>
      <c r="R31" s="1263">
        <f t="shared" si="4"/>
        <v>14950</v>
      </c>
      <c r="S31" s="1264">
        <f t="shared" si="5"/>
        <v>28964.995312499999</v>
      </c>
      <c r="T31" s="1265">
        <f t="shared" si="6"/>
        <v>27560</v>
      </c>
      <c r="U31" s="1266">
        <f t="shared" si="7"/>
        <v>56524.995312500003</v>
      </c>
      <c r="V31" s="1265">
        <f t="shared" si="8"/>
        <v>181105.62031249999</v>
      </c>
      <c r="W31" s="1267">
        <f t="shared" si="9"/>
        <v>2814.7234375000116</v>
      </c>
    </row>
    <row r="32" spans="2:23">
      <c r="B32" s="1321" t="s">
        <v>1374</v>
      </c>
      <c r="C32" s="2026">
        <v>1</v>
      </c>
      <c r="D32" s="1323" t="s">
        <v>2163</v>
      </c>
      <c r="E32" s="1323">
        <v>80</v>
      </c>
      <c r="F32" s="1323" t="s">
        <v>1321</v>
      </c>
      <c r="G32" s="1870">
        <f>C32*104</f>
        <v>104</v>
      </c>
      <c r="H32" s="1260">
        <f t="shared" si="11"/>
        <v>1076</v>
      </c>
      <c r="I32" s="1260">
        <f>G32*H32</f>
        <v>111904</v>
      </c>
      <c r="J32" s="1260">
        <f>I32*$J$13</f>
        <v>20982</v>
      </c>
      <c r="K32" s="1260">
        <f t="shared" si="0"/>
        <v>0</v>
      </c>
      <c r="L32" s="1260">
        <f t="shared" si="1"/>
        <v>132886</v>
      </c>
      <c r="M32" s="1261">
        <f t="shared" si="2"/>
        <v>196181.7</v>
      </c>
      <c r="N32" s="1262"/>
      <c r="O32" s="1259">
        <f t="shared" si="3"/>
        <v>104</v>
      </c>
      <c r="P32" s="1260">
        <f t="shared" si="13"/>
        <v>13000</v>
      </c>
      <c r="Q32" s="1260">
        <f>+P32*0.15</f>
        <v>1950</v>
      </c>
      <c r="R32" s="1263">
        <f t="shared" si="4"/>
        <v>14950</v>
      </c>
      <c r="S32" s="1264">
        <f t="shared" si="5"/>
        <v>30895.994999999999</v>
      </c>
      <c r="T32" s="1265">
        <f t="shared" si="6"/>
        <v>27560</v>
      </c>
      <c r="U32" s="1266">
        <f t="shared" si="7"/>
        <v>58455.994999999995</v>
      </c>
      <c r="V32" s="1265">
        <f t="shared" si="8"/>
        <v>191341.995</v>
      </c>
      <c r="W32" s="1267">
        <f t="shared" si="9"/>
        <v>4839.7050000000163</v>
      </c>
    </row>
    <row r="33" spans="2:23">
      <c r="B33" s="1321" t="s">
        <v>895</v>
      </c>
      <c r="C33" s="2026">
        <v>1</v>
      </c>
      <c r="D33" s="1323" t="s">
        <v>2163</v>
      </c>
      <c r="E33" s="1323">
        <v>110</v>
      </c>
      <c r="F33" s="1323" t="s">
        <v>2164</v>
      </c>
      <c r="G33" s="1870">
        <f>C33*104</f>
        <v>104</v>
      </c>
      <c r="H33" s="1260">
        <f t="shared" si="11"/>
        <v>1479.5</v>
      </c>
      <c r="I33" s="1260">
        <f>G33*H33*$I$10</f>
        <v>173101.5</v>
      </c>
      <c r="J33" s="1260">
        <f>I33*0.125</f>
        <v>21637.6875</v>
      </c>
      <c r="K33" s="1260">
        <f t="shared" si="0"/>
        <v>0</v>
      </c>
      <c r="L33" s="1260">
        <f t="shared" si="1"/>
        <v>194739.1875</v>
      </c>
      <c r="M33" s="1261">
        <f t="shared" si="2"/>
        <v>301845.74062500003</v>
      </c>
      <c r="N33" s="1262"/>
      <c r="O33" s="1259">
        <f t="shared" si="3"/>
        <v>104</v>
      </c>
      <c r="P33" s="1260">
        <f t="shared" si="13"/>
        <v>13000</v>
      </c>
      <c r="Q33" s="1260">
        <f>+P33*0.25</f>
        <v>3250</v>
      </c>
      <c r="R33" s="1263">
        <f t="shared" si="4"/>
        <v>16250</v>
      </c>
      <c r="S33" s="1264">
        <f t="shared" si="5"/>
        <v>45276.861093749998</v>
      </c>
      <c r="T33" s="1265">
        <f t="shared" si="6"/>
        <v>33800</v>
      </c>
      <c r="U33" s="1266">
        <f t="shared" si="7"/>
        <v>79076.861093749991</v>
      </c>
      <c r="V33" s="1265">
        <f t="shared" si="8"/>
        <v>273816.04859374999</v>
      </c>
      <c r="W33" s="1267">
        <f t="shared" si="9"/>
        <v>28029.692031250044</v>
      </c>
    </row>
    <row r="34" spans="2:23">
      <c r="B34" s="1321" t="s">
        <v>390</v>
      </c>
      <c r="C34" s="2026">
        <v>0</v>
      </c>
      <c r="D34" s="1323" t="s">
        <v>2163</v>
      </c>
      <c r="E34" s="1323">
        <v>105</v>
      </c>
      <c r="F34" s="1323" t="s">
        <v>2164</v>
      </c>
      <c r="G34" s="1870">
        <f t="shared" si="10"/>
        <v>0</v>
      </c>
      <c r="H34" s="1260">
        <f t="shared" si="11"/>
        <v>1412.25</v>
      </c>
      <c r="I34" s="1260">
        <f t="shared" ref="I34:I44" si="16">G34*H34</f>
        <v>0</v>
      </c>
      <c r="J34" s="1260">
        <f t="shared" ref="J34:J44" si="17">I34*$J$13</f>
        <v>0</v>
      </c>
      <c r="K34" s="1260">
        <f t="shared" si="0"/>
        <v>0</v>
      </c>
      <c r="L34" s="1260">
        <f t="shared" si="1"/>
        <v>0</v>
      </c>
      <c r="M34" s="1261">
        <f t="shared" si="2"/>
        <v>0</v>
      </c>
      <c r="N34" s="1262"/>
      <c r="O34" s="1259">
        <f t="shared" si="3"/>
        <v>0</v>
      </c>
      <c r="P34" s="1260">
        <f t="shared" si="13"/>
        <v>0</v>
      </c>
      <c r="Q34" s="1260">
        <f t="shared" ref="Q34:Q44" si="18">+P34*0.15</f>
        <v>0</v>
      </c>
      <c r="R34" s="1263">
        <f t="shared" si="4"/>
        <v>0</v>
      </c>
      <c r="S34" s="1264">
        <f t="shared" si="5"/>
        <v>0</v>
      </c>
      <c r="T34" s="1265">
        <f t="shared" si="6"/>
        <v>0</v>
      </c>
      <c r="U34" s="1266">
        <f t="shared" si="7"/>
        <v>0</v>
      </c>
      <c r="V34" s="1265">
        <f t="shared" si="8"/>
        <v>0</v>
      </c>
      <c r="W34" s="1267">
        <f t="shared" si="9"/>
        <v>0</v>
      </c>
    </row>
    <row r="35" spans="2:23">
      <c r="B35" s="1321" t="s">
        <v>726</v>
      </c>
      <c r="C35" s="2026">
        <v>4</v>
      </c>
      <c r="D35" s="1323" t="s">
        <v>2163</v>
      </c>
      <c r="E35" s="1323">
        <v>75</v>
      </c>
      <c r="F35" s="1323" t="s">
        <v>1321</v>
      </c>
      <c r="G35" s="1870">
        <f>C35*104</f>
        <v>416</v>
      </c>
      <c r="H35" s="1260">
        <f t="shared" si="11"/>
        <v>1008.75</v>
      </c>
      <c r="I35" s="1260">
        <f t="shared" si="16"/>
        <v>419640</v>
      </c>
      <c r="J35" s="1260">
        <f t="shared" si="17"/>
        <v>78682.5</v>
      </c>
      <c r="K35" s="1260">
        <f t="shared" si="0"/>
        <v>0</v>
      </c>
      <c r="L35" s="1260">
        <f t="shared" si="1"/>
        <v>498322.5</v>
      </c>
      <c r="M35" s="1261">
        <f t="shared" si="2"/>
        <v>735681.375</v>
      </c>
      <c r="N35" s="1262"/>
      <c r="O35" s="1259">
        <f t="shared" si="3"/>
        <v>416</v>
      </c>
      <c r="P35" s="1260">
        <f t="shared" si="13"/>
        <v>52000</v>
      </c>
      <c r="Q35" s="1260">
        <f t="shared" si="18"/>
        <v>7800</v>
      </c>
      <c r="R35" s="1263">
        <f t="shared" si="4"/>
        <v>59800</v>
      </c>
      <c r="S35" s="1264">
        <f t="shared" si="5"/>
        <v>115859.98125</v>
      </c>
      <c r="T35" s="1265">
        <f t="shared" si="6"/>
        <v>110240</v>
      </c>
      <c r="U35" s="1266">
        <f t="shared" si="7"/>
        <v>226099.98125000001</v>
      </c>
      <c r="V35" s="1265">
        <f t="shared" si="8"/>
        <v>724422.48124999995</v>
      </c>
      <c r="W35" s="1267">
        <f t="shared" si="9"/>
        <v>11258.893750000047</v>
      </c>
    </row>
    <row r="36" spans="2:23">
      <c r="B36" s="1321" t="s">
        <v>727</v>
      </c>
      <c r="C36" s="2026">
        <v>0</v>
      </c>
      <c r="D36" s="1323" t="s">
        <v>2163</v>
      </c>
      <c r="E36" s="1323">
        <v>85</v>
      </c>
      <c r="F36" s="1323" t="s">
        <v>2163</v>
      </c>
      <c r="G36" s="1870">
        <f t="shared" si="10"/>
        <v>0</v>
      </c>
      <c r="H36" s="1260">
        <f t="shared" si="11"/>
        <v>1143.25</v>
      </c>
      <c r="I36" s="1260">
        <f t="shared" si="16"/>
        <v>0</v>
      </c>
      <c r="J36" s="1260">
        <f t="shared" si="17"/>
        <v>0</v>
      </c>
      <c r="K36" s="1260">
        <f t="shared" si="0"/>
        <v>0</v>
      </c>
      <c r="L36" s="1260">
        <f t="shared" si="1"/>
        <v>0</v>
      </c>
      <c r="M36" s="1261">
        <f t="shared" si="2"/>
        <v>0</v>
      </c>
      <c r="N36" s="1262"/>
      <c r="O36" s="1259">
        <f t="shared" si="3"/>
        <v>0</v>
      </c>
      <c r="P36" s="1260">
        <f t="shared" si="13"/>
        <v>0</v>
      </c>
      <c r="Q36" s="1260">
        <f t="shared" si="18"/>
        <v>0</v>
      </c>
      <c r="R36" s="1263">
        <f t="shared" si="4"/>
        <v>0</v>
      </c>
      <c r="S36" s="1264">
        <f t="shared" si="5"/>
        <v>0</v>
      </c>
      <c r="T36" s="1265">
        <f t="shared" si="6"/>
        <v>0</v>
      </c>
      <c r="U36" s="1266">
        <f t="shared" si="7"/>
        <v>0</v>
      </c>
      <c r="V36" s="1265">
        <f t="shared" si="8"/>
        <v>0</v>
      </c>
      <c r="W36" s="1267">
        <f t="shared" si="9"/>
        <v>0</v>
      </c>
    </row>
    <row r="37" spans="2:23">
      <c r="B37" s="1321" t="s">
        <v>728</v>
      </c>
      <c r="C37" s="2026">
        <v>1</v>
      </c>
      <c r="D37" s="1323" t="s">
        <v>2163</v>
      </c>
      <c r="E37" s="1323">
        <v>75</v>
      </c>
      <c r="F37" s="1323" t="s">
        <v>2163</v>
      </c>
      <c r="G37" s="1870">
        <f>C37*104</f>
        <v>104</v>
      </c>
      <c r="H37" s="1260">
        <f t="shared" si="11"/>
        <v>1008.75</v>
      </c>
      <c r="I37" s="1260">
        <f t="shared" si="16"/>
        <v>104910</v>
      </c>
      <c r="J37" s="1260">
        <f t="shared" si="17"/>
        <v>19670.625</v>
      </c>
      <c r="K37" s="1260">
        <f t="shared" si="0"/>
        <v>0</v>
      </c>
      <c r="L37" s="1260">
        <f t="shared" si="1"/>
        <v>124580.625</v>
      </c>
      <c r="M37" s="1261">
        <f t="shared" si="2"/>
        <v>183920.34375</v>
      </c>
      <c r="N37" s="1262"/>
      <c r="O37" s="1259">
        <f t="shared" si="3"/>
        <v>104</v>
      </c>
      <c r="P37" s="1260">
        <f t="shared" si="13"/>
        <v>13000</v>
      </c>
      <c r="Q37" s="1260">
        <f t="shared" si="18"/>
        <v>1950</v>
      </c>
      <c r="R37" s="1263">
        <f t="shared" si="4"/>
        <v>14950</v>
      </c>
      <c r="S37" s="1264">
        <f t="shared" si="5"/>
        <v>28964.995312499999</v>
      </c>
      <c r="T37" s="1265">
        <f t="shared" si="6"/>
        <v>15600</v>
      </c>
      <c r="U37" s="1266">
        <f t="shared" si="7"/>
        <v>44564.995312500003</v>
      </c>
      <c r="V37" s="1265">
        <f t="shared" si="8"/>
        <v>169145.62031249999</v>
      </c>
      <c r="W37" s="1267">
        <f t="shared" si="9"/>
        <v>14774.723437500012</v>
      </c>
    </row>
    <row r="38" spans="2:23">
      <c r="B38" s="1321" t="s">
        <v>226</v>
      </c>
      <c r="C38" s="2026">
        <v>1</v>
      </c>
      <c r="D38" s="1323" t="s">
        <v>2163</v>
      </c>
      <c r="E38" s="1323">
        <v>80</v>
      </c>
      <c r="F38" s="1323" t="s">
        <v>2164</v>
      </c>
      <c r="G38" s="1870">
        <f>C38*104</f>
        <v>104</v>
      </c>
      <c r="H38" s="1260">
        <f t="shared" si="11"/>
        <v>1076</v>
      </c>
      <c r="I38" s="1260">
        <f t="shared" si="16"/>
        <v>111904</v>
      </c>
      <c r="J38" s="1260">
        <f t="shared" si="17"/>
        <v>20982</v>
      </c>
      <c r="K38" s="1260">
        <f t="shared" si="0"/>
        <v>0</v>
      </c>
      <c r="L38" s="1260">
        <f t="shared" si="1"/>
        <v>132886</v>
      </c>
      <c r="M38" s="1261">
        <f t="shared" si="2"/>
        <v>196181.7</v>
      </c>
      <c r="N38" s="1262"/>
      <c r="O38" s="1259">
        <f t="shared" si="3"/>
        <v>104</v>
      </c>
      <c r="P38" s="1260">
        <f t="shared" si="13"/>
        <v>13000</v>
      </c>
      <c r="Q38" s="1260">
        <f t="shared" si="18"/>
        <v>1950</v>
      </c>
      <c r="R38" s="1263">
        <f t="shared" si="4"/>
        <v>14950</v>
      </c>
      <c r="S38" s="1264">
        <f t="shared" si="5"/>
        <v>30895.994999999999</v>
      </c>
      <c r="T38" s="1265">
        <f t="shared" si="6"/>
        <v>33800</v>
      </c>
      <c r="U38" s="1266">
        <f t="shared" si="7"/>
        <v>64695.994999999995</v>
      </c>
      <c r="V38" s="1265">
        <f t="shared" si="8"/>
        <v>197581.995</v>
      </c>
      <c r="W38" s="1267">
        <f t="shared" si="9"/>
        <v>-1400.2949999999837</v>
      </c>
    </row>
    <row r="39" spans="2:23">
      <c r="B39" s="1321" t="s">
        <v>227</v>
      </c>
      <c r="C39" s="2026">
        <v>0</v>
      </c>
      <c r="D39" s="1323" t="s">
        <v>2163</v>
      </c>
      <c r="E39" s="1323">
        <v>80</v>
      </c>
      <c r="F39" s="1323" t="s">
        <v>2164</v>
      </c>
      <c r="G39" s="1870">
        <f t="shared" si="10"/>
        <v>0</v>
      </c>
      <c r="H39" s="1260">
        <f t="shared" si="11"/>
        <v>1076</v>
      </c>
      <c r="I39" s="1260">
        <f t="shared" si="16"/>
        <v>0</v>
      </c>
      <c r="J39" s="1260">
        <f t="shared" si="17"/>
        <v>0</v>
      </c>
      <c r="K39" s="1260">
        <f t="shared" si="0"/>
        <v>0</v>
      </c>
      <c r="L39" s="1260">
        <f t="shared" si="1"/>
        <v>0</v>
      </c>
      <c r="M39" s="1261">
        <f t="shared" si="2"/>
        <v>0</v>
      </c>
      <c r="N39" s="1262"/>
      <c r="O39" s="1259">
        <f t="shared" si="3"/>
        <v>0</v>
      </c>
      <c r="P39" s="1260">
        <f t="shared" si="13"/>
        <v>0</v>
      </c>
      <c r="Q39" s="1260">
        <f t="shared" si="18"/>
        <v>0</v>
      </c>
      <c r="R39" s="1263">
        <f t="shared" si="4"/>
        <v>0</v>
      </c>
      <c r="S39" s="1264">
        <f t="shared" si="5"/>
        <v>0</v>
      </c>
      <c r="T39" s="1265">
        <f t="shared" si="6"/>
        <v>0</v>
      </c>
      <c r="U39" s="1266">
        <f t="shared" si="7"/>
        <v>0</v>
      </c>
      <c r="V39" s="1265">
        <f t="shared" si="8"/>
        <v>0</v>
      </c>
      <c r="W39" s="1267">
        <f t="shared" si="9"/>
        <v>0</v>
      </c>
    </row>
    <row r="40" spans="2:23">
      <c r="B40" s="1321" t="s">
        <v>729</v>
      </c>
      <c r="C40" s="2026">
        <v>3</v>
      </c>
      <c r="D40" s="1323" t="s">
        <v>2163</v>
      </c>
      <c r="E40" s="1323">
        <v>70</v>
      </c>
      <c r="F40" s="1323" t="s">
        <v>1321</v>
      </c>
      <c r="G40" s="1870">
        <f>C40*104</f>
        <v>312</v>
      </c>
      <c r="H40" s="1260">
        <f t="shared" si="11"/>
        <v>941.5</v>
      </c>
      <c r="I40" s="1260">
        <f t="shared" si="16"/>
        <v>293748</v>
      </c>
      <c r="J40" s="1260">
        <f t="shared" si="17"/>
        <v>55077.75</v>
      </c>
      <c r="K40" s="1260">
        <f t="shared" si="0"/>
        <v>0</v>
      </c>
      <c r="L40" s="1260">
        <f t="shared" si="1"/>
        <v>348825.75</v>
      </c>
      <c r="M40" s="1261">
        <f t="shared" si="2"/>
        <v>514976.96250000002</v>
      </c>
      <c r="N40" s="1262"/>
      <c r="O40" s="1259">
        <f t="shared" si="3"/>
        <v>312</v>
      </c>
      <c r="P40" s="1260">
        <f t="shared" si="13"/>
        <v>39000</v>
      </c>
      <c r="Q40" s="1260">
        <f t="shared" si="18"/>
        <v>5850</v>
      </c>
      <c r="R40" s="1263">
        <f t="shared" si="4"/>
        <v>44850</v>
      </c>
      <c r="S40" s="1264">
        <f t="shared" si="5"/>
        <v>81101.986874999988</v>
      </c>
      <c r="T40" s="1265">
        <f t="shared" si="6"/>
        <v>82680</v>
      </c>
      <c r="U40" s="1266">
        <f t="shared" si="7"/>
        <v>163781.986875</v>
      </c>
      <c r="V40" s="1265">
        <f t="shared" si="8"/>
        <v>512607.736875</v>
      </c>
      <c r="W40" s="1267">
        <f t="shared" si="9"/>
        <v>2369.225625000021</v>
      </c>
    </row>
    <row r="41" spans="2:23">
      <c r="B41" s="1321" t="s">
        <v>1884</v>
      </c>
      <c r="C41" s="2026">
        <v>1</v>
      </c>
      <c r="D41" s="1323" t="s">
        <v>2163</v>
      </c>
      <c r="E41" s="1323">
        <v>80</v>
      </c>
      <c r="F41" s="1323" t="s">
        <v>2164</v>
      </c>
      <c r="G41" s="1870">
        <f>C41*104</f>
        <v>104</v>
      </c>
      <c r="H41" s="1260">
        <f t="shared" si="11"/>
        <v>1076</v>
      </c>
      <c r="I41" s="1260">
        <f t="shared" si="16"/>
        <v>111904</v>
      </c>
      <c r="J41" s="1260">
        <f t="shared" si="17"/>
        <v>20982</v>
      </c>
      <c r="K41" s="1260">
        <f t="shared" si="0"/>
        <v>0</v>
      </c>
      <c r="L41" s="1260">
        <f t="shared" si="1"/>
        <v>132886</v>
      </c>
      <c r="M41" s="1261">
        <f t="shared" si="2"/>
        <v>196181.7</v>
      </c>
      <c r="N41" s="1262"/>
      <c r="O41" s="1259">
        <f t="shared" si="3"/>
        <v>104</v>
      </c>
      <c r="P41" s="1260">
        <f t="shared" si="13"/>
        <v>13000</v>
      </c>
      <c r="Q41" s="1260">
        <f t="shared" si="18"/>
        <v>1950</v>
      </c>
      <c r="R41" s="1263">
        <f t="shared" si="4"/>
        <v>14950</v>
      </c>
      <c r="S41" s="1264">
        <f t="shared" si="5"/>
        <v>30895.994999999999</v>
      </c>
      <c r="T41" s="1265">
        <f t="shared" si="6"/>
        <v>33800</v>
      </c>
      <c r="U41" s="1266">
        <f t="shared" si="7"/>
        <v>64695.994999999995</v>
      </c>
      <c r="V41" s="1265">
        <f t="shared" si="8"/>
        <v>197581.995</v>
      </c>
      <c r="W41" s="1267">
        <f t="shared" si="9"/>
        <v>-1400.2949999999837</v>
      </c>
    </row>
    <row r="42" spans="2:23">
      <c r="B42" s="1321" t="s">
        <v>730</v>
      </c>
      <c r="C42" s="2026">
        <v>2</v>
      </c>
      <c r="D42" s="1323" t="s">
        <v>2163</v>
      </c>
      <c r="E42" s="1323">
        <v>70</v>
      </c>
      <c r="F42" s="1323" t="s">
        <v>2163</v>
      </c>
      <c r="G42" s="1870">
        <f>C42*104</f>
        <v>208</v>
      </c>
      <c r="H42" s="1260">
        <f t="shared" si="11"/>
        <v>941.5</v>
      </c>
      <c r="I42" s="1260">
        <f t="shared" si="16"/>
        <v>195832</v>
      </c>
      <c r="J42" s="1260">
        <f t="shared" si="17"/>
        <v>36718.5</v>
      </c>
      <c r="K42" s="1260">
        <f t="shared" si="0"/>
        <v>0</v>
      </c>
      <c r="L42" s="1260">
        <f t="shared" si="1"/>
        <v>232550.5</v>
      </c>
      <c r="M42" s="1261">
        <f t="shared" si="2"/>
        <v>343317.97500000003</v>
      </c>
      <c r="N42" s="1262"/>
      <c r="O42" s="1259">
        <f t="shared" si="3"/>
        <v>208</v>
      </c>
      <c r="P42" s="1260">
        <f t="shared" si="13"/>
        <v>26000</v>
      </c>
      <c r="Q42" s="1260">
        <f t="shared" si="18"/>
        <v>3900</v>
      </c>
      <c r="R42" s="1263">
        <f t="shared" si="4"/>
        <v>29900</v>
      </c>
      <c r="S42" s="1264">
        <f t="shared" si="5"/>
        <v>54067.991249999999</v>
      </c>
      <c r="T42" s="1265">
        <f t="shared" si="6"/>
        <v>31200</v>
      </c>
      <c r="U42" s="1266">
        <f t="shared" si="7"/>
        <v>85267.991249999992</v>
      </c>
      <c r="V42" s="1265">
        <f t="shared" si="8"/>
        <v>317818.49124999996</v>
      </c>
      <c r="W42" s="1267">
        <f t="shared" si="9"/>
        <v>25499.483750000072</v>
      </c>
    </row>
    <row r="43" spans="2:23">
      <c r="B43" s="1321" t="s">
        <v>1885</v>
      </c>
      <c r="C43" s="2026">
        <v>1</v>
      </c>
      <c r="D43" s="1323" t="s">
        <v>2163</v>
      </c>
      <c r="E43" s="1323">
        <v>75</v>
      </c>
      <c r="F43" s="1323" t="s">
        <v>2164</v>
      </c>
      <c r="G43" s="1870">
        <f>C43*104</f>
        <v>104</v>
      </c>
      <c r="H43" s="1260">
        <f t="shared" si="11"/>
        <v>1008.75</v>
      </c>
      <c r="I43" s="1260">
        <f t="shared" si="16"/>
        <v>104910</v>
      </c>
      <c r="J43" s="1260">
        <f t="shared" si="17"/>
        <v>19670.625</v>
      </c>
      <c r="K43" s="1260">
        <f t="shared" si="0"/>
        <v>0</v>
      </c>
      <c r="L43" s="1260">
        <f t="shared" si="1"/>
        <v>124580.625</v>
      </c>
      <c r="M43" s="1261">
        <f t="shared" si="2"/>
        <v>183920.34375</v>
      </c>
      <c r="N43" s="1262"/>
      <c r="O43" s="1259">
        <f t="shared" si="3"/>
        <v>104</v>
      </c>
      <c r="P43" s="1260">
        <f t="shared" si="13"/>
        <v>13000</v>
      </c>
      <c r="Q43" s="1260">
        <f t="shared" si="18"/>
        <v>1950</v>
      </c>
      <c r="R43" s="1263">
        <f t="shared" si="4"/>
        <v>14950</v>
      </c>
      <c r="S43" s="1264">
        <f t="shared" si="5"/>
        <v>28964.995312499999</v>
      </c>
      <c r="T43" s="1265">
        <f t="shared" si="6"/>
        <v>33800</v>
      </c>
      <c r="U43" s="1266">
        <f t="shared" si="7"/>
        <v>62764.995312500003</v>
      </c>
      <c r="V43" s="1265">
        <f t="shared" si="8"/>
        <v>187345.62031249999</v>
      </c>
      <c r="W43" s="1267">
        <f t="shared" si="9"/>
        <v>-3425.2765624999884</v>
      </c>
    </row>
    <row r="44" spans="2:23">
      <c r="B44" s="1321" t="s">
        <v>731</v>
      </c>
      <c r="C44" s="2026">
        <v>0</v>
      </c>
      <c r="D44" s="1323" t="s">
        <v>2163</v>
      </c>
      <c r="E44" s="1323">
        <v>75</v>
      </c>
      <c r="F44" s="1323" t="s">
        <v>2163</v>
      </c>
      <c r="G44" s="1870">
        <f t="shared" si="10"/>
        <v>0</v>
      </c>
      <c r="H44" s="1260">
        <f t="shared" si="11"/>
        <v>1008.75</v>
      </c>
      <c r="I44" s="1260">
        <f t="shared" si="16"/>
        <v>0</v>
      </c>
      <c r="J44" s="1260">
        <f t="shared" si="17"/>
        <v>0</v>
      </c>
      <c r="K44" s="1260">
        <f t="shared" si="0"/>
        <v>0</v>
      </c>
      <c r="L44" s="1260">
        <f t="shared" si="1"/>
        <v>0</v>
      </c>
      <c r="M44" s="1261">
        <f t="shared" si="2"/>
        <v>0</v>
      </c>
      <c r="N44" s="1262"/>
      <c r="O44" s="1259">
        <f t="shared" si="3"/>
        <v>0</v>
      </c>
      <c r="P44" s="1260">
        <f t="shared" si="13"/>
        <v>0</v>
      </c>
      <c r="Q44" s="1260">
        <f t="shared" si="18"/>
        <v>0</v>
      </c>
      <c r="R44" s="1263">
        <f t="shared" si="4"/>
        <v>0</v>
      </c>
      <c r="S44" s="1264">
        <f t="shared" si="5"/>
        <v>0</v>
      </c>
      <c r="T44" s="1265">
        <f t="shared" si="6"/>
        <v>0</v>
      </c>
      <c r="U44" s="1266">
        <f t="shared" si="7"/>
        <v>0</v>
      </c>
      <c r="V44" s="1265">
        <f t="shared" si="8"/>
        <v>0</v>
      </c>
      <c r="W44" s="1267">
        <f t="shared" si="9"/>
        <v>0</v>
      </c>
    </row>
    <row r="45" spans="2:23">
      <c r="B45" s="1321" t="s">
        <v>1886</v>
      </c>
      <c r="C45" s="2026">
        <v>1</v>
      </c>
      <c r="D45" s="1323" t="s">
        <v>2163</v>
      </c>
      <c r="E45" s="1323">
        <v>100</v>
      </c>
      <c r="F45" s="1323" t="s">
        <v>2164</v>
      </c>
      <c r="G45" s="1870">
        <f>C45*104</f>
        <v>104</v>
      </c>
      <c r="H45" s="1260">
        <f t="shared" si="11"/>
        <v>1345</v>
      </c>
      <c r="I45" s="1260">
        <f>G45*H45*$I$10</f>
        <v>157365</v>
      </c>
      <c r="J45" s="1260">
        <f>I45*0.125</f>
        <v>19670.625</v>
      </c>
      <c r="K45" s="1260">
        <f t="shared" si="0"/>
        <v>0</v>
      </c>
      <c r="L45" s="1260">
        <f t="shared" si="1"/>
        <v>177035.625</v>
      </c>
      <c r="M45" s="1261">
        <f t="shared" si="2"/>
        <v>274405.21875</v>
      </c>
      <c r="N45" s="1262"/>
      <c r="O45" s="1259">
        <f t="shared" si="3"/>
        <v>104</v>
      </c>
      <c r="P45" s="1260">
        <f t="shared" si="13"/>
        <v>13000</v>
      </c>
      <c r="Q45" s="1260">
        <f>+P45*0.25</f>
        <v>3250</v>
      </c>
      <c r="R45" s="1263">
        <f t="shared" si="4"/>
        <v>16250</v>
      </c>
      <c r="S45" s="1264">
        <f t="shared" si="5"/>
        <v>41160.782812499994</v>
      </c>
      <c r="T45" s="1265">
        <f t="shared" si="6"/>
        <v>33800</v>
      </c>
      <c r="U45" s="1266">
        <f t="shared" si="7"/>
        <v>74960.782812499994</v>
      </c>
      <c r="V45" s="1265">
        <f t="shared" si="8"/>
        <v>251996.40781249999</v>
      </c>
      <c r="W45" s="1267">
        <f t="shared" si="9"/>
        <v>22408.810937500006</v>
      </c>
    </row>
    <row r="46" spans="2:23">
      <c r="B46" s="1321" t="s">
        <v>1887</v>
      </c>
      <c r="C46" s="2026">
        <v>1</v>
      </c>
      <c r="D46" s="1323" t="s">
        <v>665</v>
      </c>
      <c r="E46" s="1323">
        <v>60</v>
      </c>
      <c r="F46" s="1323" t="s">
        <v>2164</v>
      </c>
      <c r="G46" s="1870">
        <f>C46*104</f>
        <v>104</v>
      </c>
      <c r="H46" s="1260">
        <f t="shared" si="11"/>
        <v>807</v>
      </c>
      <c r="I46" s="1260">
        <f>G46*H46</f>
        <v>83928</v>
      </c>
      <c r="J46" s="1260">
        <f>I46*$J$13</f>
        <v>15736.5</v>
      </c>
      <c r="K46" s="1260">
        <f t="shared" si="0"/>
        <v>0</v>
      </c>
      <c r="L46" s="1260">
        <f t="shared" si="1"/>
        <v>99664.5</v>
      </c>
      <c r="M46" s="1261">
        <f t="shared" si="2"/>
        <v>147136.27500000002</v>
      </c>
      <c r="N46" s="1262"/>
      <c r="O46" s="1259">
        <f t="shared" si="3"/>
        <v>104</v>
      </c>
      <c r="P46" s="1260">
        <f t="shared" si="13"/>
        <v>13000</v>
      </c>
      <c r="Q46" s="1260">
        <f>+P46*0.15</f>
        <v>1950</v>
      </c>
      <c r="R46" s="1263">
        <f t="shared" si="4"/>
        <v>14950</v>
      </c>
      <c r="S46" s="1264">
        <f t="shared" si="5"/>
        <v>23171.99625</v>
      </c>
      <c r="T46" s="1265">
        <f t="shared" si="6"/>
        <v>33800</v>
      </c>
      <c r="U46" s="1266">
        <f t="shared" si="7"/>
        <v>56971.996249999997</v>
      </c>
      <c r="V46" s="1265">
        <f t="shared" si="8"/>
        <v>156636.49625</v>
      </c>
      <c r="W46" s="1267">
        <f t="shared" si="9"/>
        <v>-9500.2212499999732</v>
      </c>
    </row>
    <row r="47" spans="2:23">
      <c r="B47" s="1321" t="s">
        <v>1007</v>
      </c>
      <c r="C47" s="2026">
        <v>1</v>
      </c>
      <c r="D47" s="1323" t="s">
        <v>2163</v>
      </c>
      <c r="E47" s="1323">
        <v>120</v>
      </c>
      <c r="F47" s="1323" t="s">
        <v>2164</v>
      </c>
      <c r="G47" s="1870">
        <f>C47*104</f>
        <v>104</v>
      </c>
      <c r="H47" s="1260">
        <f t="shared" si="11"/>
        <v>1614</v>
      </c>
      <c r="I47" s="1260">
        <f>G47*H47</f>
        <v>167856</v>
      </c>
      <c r="J47" s="1260">
        <f>I47*$J$13</f>
        <v>31473</v>
      </c>
      <c r="K47" s="1260">
        <f t="shared" si="0"/>
        <v>0</v>
      </c>
      <c r="L47" s="1260">
        <f t="shared" si="1"/>
        <v>199329</v>
      </c>
      <c r="M47" s="1261">
        <f t="shared" si="2"/>
        <v>294272.55000000005</v>
      </c>
      <c r="N47" s="1268"/>
      <c r="O47" s="1259">
        <f t="shared" si="3"/>
        <v>104</v>
      </c>
      <c r="P47" s="1260">
        <f t="shared" si="13"/>
        <v>13000</v>
      </c>
      <c r="Q47" s="1260">
        <f>+P47*0.25</f>
        <v>3250</v>
      </c>
      <c r="R47" s="1263">
        <f t="shared" si="4"/>
        <v>16250</v>
      </c>
      <c r="S47" s="1264">
        <f t="shared" si="5"/>
        <v>46343.9925</v>
      </c>
      <c r="T47" s="1265">
        <f t="shared" si="6"/>
        <v>33800</v>
      </c>
      <c r="U47" s="1266">
        <f t="shared" si="7"/>
        <v>80143.992499999993</v>
      </c>
      <c r="V47" s="1265">
        <f t="shared" si="8"/>
        <v>279472.99249999999</v>
      </c>
      <c r="W47" s="1267">
        <f t="shared" si="9"/>
        <v>14799.557500000054</v>
      </c>
    </row>
    <row r="48" spans="2:23">
      <c r="B48" s="1321" t="s">
        <v>1888</v>
      </c>
      <c r="C48" s="2026">
        <v>1</v>
      </c>
      <c r="D48" s="1323" t="s">
        <v>2163</v>
      </c>
      <c r="E48" s="1323">
        <v>100</v>
      </c>
      <c r="F48" s="1323" t="s">
        <v>2164</v>
      </c>
      <c r="G48" s="1870">
        <f>C48*104</f>
        <v>104</v>
      </c>
      <c r="H48" s="1260">
        <f t="shared" si="11"/>
        <v>1345</v>
      </c>
      <c r="I48" s="1260">
        <f>G48*H48</f>
        <v>139880</v>
      </c>
      <c r="J48" s="1260">
        <f>I48*$J$13</f>
        <v>26227.5</v>
      </c>
      <c r="K48" s="1260">
        <f t="shared" si="0"/>
        <v>0</v>
      </c>
      <c r="L48" s="1260">
        <f t="shared" si="1"/>
        <v>166107.5</v>
      </c>
      <c r="M48" s="1261">
        <f t="shared" si="2"/>
        <v>245227.125</v>
      </c>
      <c r="N48" s="1268"/>
      <c r="O48" s="1259">
        <f t="shared" si="3"/>
        <v>104</v>
      </c>
      <c r="P48" s="1260">
        <f t="shared" si="13"/>
        <v>13000</v>
      </c>
      <c r="Q48" s="1260">
        <f>+P48*0.25</f>
        <v>3250</v>
      </c>
      <c r="R48" s="1263">
        <f t="shared" si="4"/>
        <v>16250</v>
      </c>
      <c r="S48" s="1264">
        <f t="shared" si="5"/>
        <v>38619.993749999994</v>
      </c>
      <c r="T48" s="1265">
        <f t="shared" si="6"/>
        <v>33800</v>
      </c>
      <c r="U48" s="1266">
        <f t="shared" si="7"/>
        <v>72419.993749999994</v>
      </c>
      <c r="V48" s="1265">
        <f t="shared" si="8"/>
        <v>238527.49374999999</v>
      </c>
      <c r="W48" s="1267">
        <f t="shared" si="9"/>
        <v>6699.6312500000058</v>
      </c>
    </row>
    <row r="49" spans="2:23">
      <c r="B49" s="1321" t="s">
        <v>1889</v>
      </c>
      <c r="C49" s="2026">
        <v>1</v>
      </c>
      <c r="D49" s="1323" t="s">
        <v>2163</v>
      </c>
      <c r="E49" s="1323">
        <v>90</v>
      </c>
      <c r="F49" s="1323" t="s">
        <v>2164</v>
      </c>
      <c r="G49" s="1870">
        <f>C49*104</f>
        <v>104</v>
      </c>
      <c r="H49" s="1260">
        <f t="shared" si="11"/>
        <v>1210.5</v>
      </c>
      <c r="I49" s="1260">
        <f>G49*H49</f>
        <v>125892</v>
      </c>
      <c r="J49" s="1260">
        <f>I49*$J$13</f>
        <v>23604.75</v>
      </c>
      <c r="K49" s="1260">
        <f t="shared" si="0"/>
        <v>0</v>
      </c>
      <c r="L49" s="1260">
        <f t="shared" si="1"/>
        <v>149496.75</v>
      </c>
      <c r="M49" s="1261">
        <f t="shared" si="2"/>
        <v>220704.41250000001</v>
      </c>
      <c r="N49" s="1268"/>
      <c r="O49" s="1259">
        <f t="shared" si="3"/>
        <v>104</v>
      </c>
      <c r="P49" s="1260">
        <f t="shared" si="13"/>
        <v>13000</v>
      </c>
      <c r="Q49" s="1260">
        <f>+P49*0.25</f>
        <v>3250</v>
      </c>
      <c r="R49" s="1263">
        <f t="shared" si="4"/>
        <v>16250</v>
      </c>
      <c r="S49" s="1264">
        <f t="shared" si="5"/>
        <v>34757.994374999995</v>
      </c>
      <c r="T49" s="1265">
        <f t="shared" si="6"/>
        <v>33800</v>
      </c>
      <c r="U49" s="1266">
        <f t="shared" si="7"/>
        <v>68557.994374999995</v>
      </c>
      <c r="V49" s="1265">
        <f t="shared" si="8"/>
        <v>218054.74437500001</v>
      </c>
      <c r="W49" s="1267">
        <f t="shared" si="9"/>
        <v>2649.6681249999965</v>
      </c>
    </row>
    <row r="50" spans="2:23" ht="16.8" thickBot="1">
      <c r="B50" s="1321" t="s">
        <v>1726</v>
      </c>
      <c r="C50" s="2026">
        <v>0</v>
      </c>
      <c r="D50" s="1323" t="s">
        <v>2163</v>
      </c>
      <c r="E50" s="1323">
        <v>70</v>
      </c>
      <c r="F50" s="1323" t="s">
        <v>2164</v>
      </c>
      <c r="G50" s="1870">
        <f t="shared" si="10"/>
        <v>0</v>
      </c>
      <c r="H50" s="1260">
        <f t="shared" si="11"/>
        <v>941.5</v>
      </c>
      <c r="I50" s="1260">
        <f>G50*H50</f>
        <v>0</v>
      </c>
      <c r="J50" s="1260">
        <f>I50*$J$13</f>
        <v>0</v>
      </c>
      <c r="K50" s="1260">
        <f t="shared" si="0"/>
        <v>0</v>
      </c>
      <c r="L50" s="1260">
        <f t="shared" si="1"/>
        <v>0</v>
      </c>
      <c r="M50" s="1261">
        <f t="shared" si="2"/>
        <v>0</v>
      </c>
      <c r="N50" s="1268"/>
      <c r="O50" s="1259">
        <f t="shared" si="3"/>
        <v>0</v>
      </c>
      <c r="P50" s="1260">
        <f t="shared" si="13"/>
        <v>0</v>
      </c>
      <c r="Q50" s="1260">
        <f>+P50*0.15</f>
        <v>0</v>
      </c>
      <c r="R50" s="1263">
        <f t="shared" si="4"/>
        <v>0</v>
      </c>
      <c r="S50" s="1264">
        <f t="shared" si="5"/>
        <v>0</v>
      </c>
      <c r="T50" s="1265">
        <f t="shared" si="6"/>
        <v>0</v>
      </c>
      <c r="U50" s="1266">
        <f t="shared" si="7"/>
        <v>0</v>
      </c>
      <c r="V50" s="1265">
        <f t="shared" si="8"/>
        <v>0</v>
      </c>
      <c r="W50" s="1267">
        <f t="shared" si="9"/>
        <v>0</v>
      </c>
    </row>
    <row r="51" spans="2:23" ht="17.399999999999999" thickTop="1" thickBot="1">
      <c r="B51" s="2027" t="s">
        <v>1421</v>
      </c>
      <c r="C51" s="1270">
        <f>SUM(C15:C50)</f>
        <v>35</v>
      </c>
      <c r="D51" s="2028"/>
      <c r="E51" s="1338"/>
      <c r="F51" s="1338"/>
      <c r="G51" s="1269">
        <f>SUM(G15:G50)</f>
        <v>3640</v>
      </c>
      <c r="H51" s="1270" t="s">
        <v>664</v>
      </c>
      <c r="I51" s="1271">
        <f>SUM(I15:I50)</f>
        <v>4366878.75</v>
      </c>
      <c r="J51" s="1271">
        <f>SUM(J15:J50)</f>
        <v>756335.53125</v>
      </c>
      <c r="K51" s="1271">
        <f>SUM(K15:K50)</f>
        <v>0</v>
      </c>
      <c r="L51" s="1271">
        <f>SUM(L15:L50)</f>
        <v>5123214.28125</v>
      </c>
      <c r="M51" s="1272">
        <f>SUM(M15:M50)</f>
        <v>7646316.1734375013</v>
      </c>
      <c r="N51" s="1273"/>
      <c r="O51" s="1269">
        <f t="shared" ref="O51:W51" si="19">SUM(O15:O50)</f>
        <v>3640</v>
      </c>
      <c r="P51" s="1271">
        <f t="shared" si="19"/>
        <v>455000</v>
      </c>
      <c r="Q51" s="1271">
        <f t="shared" si="19"/>
        <v>79950</v>
      </c>
      <c r="R51" s="1274">
        <f t="shared" si="19"/>
        <v>534950</v>
      </c>
      <c r="S51" s="1275">
        <f t="shared" si="19"/>
        <v>1191147.3203906249</v>
      </c>
      <c r="T51" s="1276">
        <f t="shared" si="19"/>
        <v>1034800</v>
      </c>
      <c r="U51" s="1277">
        <f t="shared" si="19"/>
        <v>2225947.3203906249</v>
      </c>
      <c r="V51" s="1277">
        <f t="shared" si="19"/>
        <v>7349161.6016406259</v>
      </c>
      <c r="W51" s="1278">
        <f t="shared" si="19"/>
        <v>297154.57179687556</v>
      </c>
    </row>
    <row r="52" spans="2:23" ht="17.399999999999999" thickTop="1" thickBot="1">
      <c r="B52" s="1281"/>
      <c r="C52" s="1328"/>
      <c r="D52" s="1279"/>
      <c r="E52" s="1279"/>
      <c r="F52" s="1279"/>
      <c r="G52" s="1279"/>
      <c r="H52" s="1279"/>
      <c r="I52" s="1280" t="s">
        <v>209</v>
      </c>
      <c r="J52" s="1280"/>
      <c r="K52" s="1279"/>
      <c r="L52" s="1279"/>
      <c r="M52" s="1279"/>
      <c r="N52" s="1281"/>
      <c r="O52" s="1279"/>
      <c r="P52" s="1279"/>
      <c r="Q52" s="1279"/>
      <c r="R52" s="1282"/>
      <c r="U52" s="1283"/>
      <c r="W52" s="1284"/>
    </row>
    <row r="53" spans="2:23" ht="17.399999999999999" thickTop="1" thickBot="1">
      <c r="B53" s="2029" t="s">
        <v>1420</v>
      </c>
      <c r="C53" s="2030"/>
      <c r="D53" s="1286"/>
      <c r="E53" s="1286"/>
      <c r="F53" s="1286"/>
      <c r="G53" s="1286"/>
      <c r="H53" s="1286"/>
      <c r="I53" s="1286"/>
      <c r="J53" s="2037">
        <f>37.5%*0.85</f>
        <v>0.31874999999999998</v>
      </c>
      <c r="K53" s="1286"/>
      <c r="L53" s="1286"/>
      <c r="M53" s="1286"/>
      <c r="N53" s="1287"/>
      <c r="O53" s="1286"/>
      <c r="P53" s="1286"/>
      <c r="Q53" s="1286"/>
      <c r="R53" s="1288"/>
      <c r="S53" s="1285"/>
      <c r="T53" s="1285"/>
      <c r="U53" s="1289"/>
      <c r="V53" s="1285"/>
      <c r="W53" s="1290"/>
    </row>
    <row r="54" spans="2:23" ht="16.8" thickTop="1">
      <c r="B54" s="2031" t="s">
        <v>732</v>
      </c>
      <c r="C54" s="1322">
        <v>0</v>
      </c>
      <c r="D54" s="1323" t="s">
        <v>2163</v>
      </c>
      <c r="E54" s="1323">
        <v>50</v>
      </c>
      <c r="F54" s="1323" t="s">
        <v>2164</v>
      </c>
      <c r="G54" s="1870">
        <f t="shared" ref="G54:G72" si="20">C54*156</f>
        <v>0</v>
      </c>
      <c r="H54" s="1260">
        <f t="shared" ref="H54:H82" si="21">E54*13.45</f>
        <v>672.5</v>
      </c>
      <c r="I54" s="1260">
        <f t="shared" ref="I54:I82" si="22">(G54*H54)</f>
        <v>0</v>
      </c>
      <c r="J54" s="1260">
        <f t="shared" ref="J54:J67" si="23">I54*$J$53</f>
        <v>0</v>
      </c>
      <c r="K54" s="1260">
        <f t="shared" ref="K54:K73" si="24">(I54+J54)*$F$105</f>
        <v>0</v>
      </c>
      <c r="L54" s="1260">
        <f t="shared" ref="L54:L73" si="25">SUM(I54:K54)</f>
        <v>0</v>
      </c>
      <c r="M54" s="1261">
        <f t="shared" ref="M54:M73" si="26">((I54+K54)*$M$13)+(J54*0.15)</f>
        <v>0</v>
      </c>
      <c r="N54" s="1262"/>
      <c r="O54" s="1259">
        <f t="shared" ref="O54:O73" si="27">G54*$O$10</f>
        <v>0</v>
      </c>
      <c r="P54" s="1260">
        <f>(G54*125)*0.75</f>
        <v>0</v>
      </c>
      <c r="Q54" s="1260">
        <f t="shared" ref="Q54:Q73" si="28">+P54*0.15</f>
        <v>0</v>
      </c>
      <c r="R54" s="1263">
        <f t="shared" ref="R54:R73" si="29">P54+Q54</f>
        <v>0</v>
      </c>
      <c r="S54" s="1264">
        <f t="shared" ref="S54:S73" si="30">L54*($Q$102+$Q$103)</f>
        <v>0</v>
      </c>
      <c r="T54" s="1265">
        <f t="shared" ref="T54:T73" si="31">IF(O54=0,0,IF(F54=$J$100,(G54*$K$100+L54*$M$100),IF(F54=$J$101,(G54*$K$101+L54*$M$101),IF(F54=$J$102,(G54*$K$102+L54*$M$102),IF(F54=$J$103,(G54*$K$103),IF(F54=$J$104,0,0))))))</f>
        <v>0</v>
      </c>
      <c r="U54" s="1266">
        <f t="shared" ref="U54:U73" si="32">S54+T54</f>
        <v>0</v>
      </c>
      <c r="V54" s="1265">
        <f t="shared" ref="V54:V73" si="33">U54+L54</f>
        <v>0</v>
      </c>
      <c r="W54" s="1291">
        <f t="shared" ref="W54:W73" si="34">M54-V54</f>
        <v>0</v>
      </c>
    </row>
    <row r="55" spans="2:23">
      <c r="B55" s="2032" t="s">
        <v>2302</v>
      </c>
      <c r="C55" s="1322">
        <v>1</v>
      </c>
      <c r="D55" s="1323" t="s">
        <v>2163</v>
      </c>
      <c r="E55" s="1323">
        <v>55</v>
      </c>
      <c r="F55" s="1323" t="s">
        <v>2164</v>
      </c>
      <c r="G55" s="1870">
        <f>C55*104</f>
        <v>104</v>
      </c>
      <c r="H55" s="1260">
        <f t="shared" si="21"/>
        <v>739.75</v>
      </c>
      <c r="I55" s="1260">
        <f t="shared" si="22"/>
        <v>76934</v>
      </c>
      <c r="J55" s="1260">
        <f t="shared" si="23"/>
        <v>24522.712499999998</v>
      </c>
      <c r="K55" s="1260">
        <f t="shared" si="24"/>
        <v>0</v>
      </c>
      <c r="L55" s="1260">
        <f t="shared" si="25"/>
        <v>101456.71249999999</v>
      </c>
      <c r="M55" s="1261">
        <f t="shared" si="26"/>
        <v>136389.55687499998</v>
      </c>
      <c r="N55" s="1262"/>
      <c r="O55" s="1259">
        <f t="shared" si="27"/>
        <v>104</v>
      </c>
      <c r="P55" s="1260">
        <f t="shared" ref="P55:P73" si="35">(G55*125)*0.75</f>
        <v>9750</v>
      </c>
      <c r="Q55" s="1260">
        <f t="shared" si="28"/>
        <v>1462.5</v>
      </c>
      <c r="R55" s="1263">
        <f t="shared" si="29"/>
        <v>11212.5</v>
      </c>
      <c r="S55" s="1264">
        <f t="shared" si="30"/>
        <v>23588.685656249996</v>
      </c>
      <c r="T55" s="1265">
        <f t="shared" si="31"/>
        <v>33800</v>
      </c>
      <c r="U55" s="1266">
        <f t="shared" si="32"/>
        <v>57388.685656249996</v>
      </c>
      <c r="V55" s="1265">
        <f t="shared" si="33"/>
        <v>158845.39815624998</v>
      </c>
      <c r="W55" s="1291">
        <f t="shared" si="34"/>
        <v>-22455.841281250003</v>
      </c>
    </row>
    <row r="56" spans="2:23">
      <c r="B56" s="2031" t="s">
        <v>733</v>
      </c>
      <c r="C56" s="1322">
        <v>0</v>
      </c>
      <c r="D56" s="1323" t="s">
        <v>2163</v>
      </c>
      <c r="E56" s="2033">
        <v>55</v>
      </c>
      <c r="F56" s="1323" t="s">
        <v>2164</v>
      </c>
      <c r="G56" s="1870">
        <f t="shared" si="20"/>
        <v>0</v>
      </c>
      <c r="H56" s="1260">
        <f t="shared" si="21"/>
        <v>739.75</v>
      </c>
      <c r="I56" s="1260">
        <f t="shared" si="22"/>
        <v>0</v>
      </c>
      <c r="J56" s="1260">
        <f t="shared" si="23"/>
        <v>0</v>
      </c>
      <c r="K56" s="1260">
        <f t="shared" si="24"/>
        <v>0</v>
      </c>
      <c r="L56" s="1260">
        <f t="shared" si="25"/>
        <v>0</v>
      </c>
      <c r="M56" s="1261">
        <f t="shared" si="26"/>
        <v>0</v>
      </c>
      <c r="N56" s="1262"/>
      <c r="O56" s="1259">
        <f t="shared" si="27"/>
        <v>0</v>
      </c>
      <c r="P56" s="1260">
        <f t="shared" si="35"/>
        <v>0</v>
      </c>
      <c r="Q56" s="1260">
        <f t="shared" si="28"/>
        <v>0</v>
      </c>
      <c r="R56" s="1263">
        <f t="shared" si="29"/>
        <v>0</v>
      </c>
      <c r="S56" s="1264">
        <f t="shared" si="30"/>
        <v>0</v>
      </c>
      <c r="T56" s="1265">
        <f t="shared" si="31"/>
        <v>0</v>
      </c>
      <c r="U56" s="1266">
        <f t="shared" si="32"/>
        <v>0</v>
      </c>
      <c r="V56" s="1265">
        <f t="shared" si="33"/>
        <v>0</v>
      </c>
      <c r="W56" s="1291">
        <f t="shared" si="34"/>
        <v>0</v>
      </c>
    </row>
    <row r="57" spans="2:23">
      <c r="B57" s="2031" t="s">
        <v>734</v>
      </c>
      <c r="C57" s="1322">
        <v>2</v>
      </c>
      <c r="D57" s="1323" t="s">
        <v>2163</v>
      </c>
      <c r="E57" s="2033">
        <v>50</v>
      </c>
      <c r="F57" s="1323" t="s">
        <v>2164</v>
      </c>
      <c r="G57" s="1870">
        <f>C57*104</f>
        <v>208</v>
      </c>
      <c r="H57" s="1260">
        <f t="shared" si="21"/>
        <v>672.5</v>
      </c>
      <c r="I57" s="1260">
        <f t="shared" si="22"/>
        <v>139880</v>
      </c>
      <c r="J57" s="1260">
        <f t="shared" si="23"/>
        <v>44586.75</v>
      </c>
      <c r="K57" s="1260">
        <f t="shared" si="24"/>
        <v>0</v>
      </c>
      <c r="L57" s="1260">
        <f t="shared" si="25"/>
        <v>184466.75</v>
      </c>
      <c r="M57" s="1261">
        <f t="shared" si="26"/>
        <v>247981.01250000001</v>
      </c>
      <c r="N57" s="1262"/>
      <c r="O57" s="1259">
        <f t="shared" si="27"/>
        <v>208</v>
      </c>
      <c r="P57" s="1260">
        <f t="shared" si="35"/>
        <v>19500</v>
      </c>
      <c r="Q57" s="1260">
        <f t="shared" si="28"/>
        <v>2925</v>
      </c>
      <c r="R57" s="1263">
        <f t="shared" si="29"/>
        <v>22425</v>
      </c>
      <c r="S57" s="1264">
        <f t="shared" si="30"/>
        <v>42888.519374999996</v>
      </c>
      <c r="T57" s="1265">
        <f t="shared" si="31"/>
        <v>67600</v>
      </c>
      <c r="U57" s="1266">
        <f t="shared" si="32"/>
        <v>110488.519375</v>
      </c>
      <c r="V57" s="1265">
        <f t="shared" si="33"/>
        <v>294955.26937500003</v>
      </c>
      <c r="W57" s="1291">
        <f t="shared" si="34"/>
        <v>-46974.256875000021</v>
      </c>
    </row>
    <row r="58" spans="2:23">
      <c r="B58" s="2031" t="s">
        <v>735</v>
      </c>
      <c r="C58" s="1322">
        <v>1</v>
      </c>
      <c r="D58" s="1323" t="s">
        <v>2163</v>
      </c>
      <c r="E58" s="1323">
        <v>50</v>
      </c>
      <c r="F58" s="1323" t="s">
        <v>2164</v>
      </c>
      <c r="G58" s="1870">
        <f>C58*104</f>
        <v>104</v>
      </c>
      <c r="H58" s="1260">
        <f t="shared" si="21"/>
        <v>672.5</v>
      </c>
      <c r="I58" s="1260">
        <f t="shared" si="22"/>
        <v>69940</v>
      </c>
      <c r="J58" s="1260">
        <f t="shared" si="23"/>
        <v>22293.375</v>
      </c>
      <c r="K58" s="1260">
        <f t="shared" si="24"/>
        <v>0</v>
      </c>
      <c r="L58" s="1260">
        <f t="shared" si="25"/>
        <v>92233.375</v>
      </c>
      <c r="M58" s="1261">
        <f t="shared" si="26"/>
        <v>123990.50625000001</v>
      </c>
      <c r="N58" s="1262"/>
      <c r="O58" s="1259">
        <f t="shared" si="27"/>
        <v>104</v>
      </c>
      <c r="P58" s="1260">
        <f t="shared" si="35"/>
        <v>9750</v>
      </c>
      <c r="Q58" s="1260">
        <f t="shared" si="28"/>
        <v>1462.5</v>
      </c>
      <c r="R58" s="1263">
        <f t="shared" si="29"/>
        <v>11212.5</v>
      </c>
      <c r="S58" s="1264">
        <f t="shared" si="30"/>
        <v>21444.259687499998</v>
      </c>
      <c r="T58" s="1265">
        <f t="shared" si="31"/>
        <v>33800</v>
      </c>
      <c r="U58" s="1266">
        <f t="shared" si="32"/>
        <v>55244.259687500002</v>
      </c>
      <c r="V58" s="1265">
        <f t="shared" si="33"/>
        <v>147477.63468750002</v>
      </c>
      <c r="W58" s="1291">
        <f t="shared" si="34"/>
        <v>-23487.12843750001</v>
      </c>
    </row>
    <row r="59" spans="2:23">
      <c r="B59" s="2031" t="s">
        <v>736</v>
      </c>
      <c r="C59" s="1322">
        <v>2</v>
      </c>
      <c r="D59" s="1323" t="s">
        <v>2163</v>
      </c>
      <c r="E59" s="2033">
        <v>50</v>
      </c>
      <c r="F59" s="1323" t="s">
        <v>2164</v>
      </c>
      <c r="G59" s="1870">
        <f>C59*104</f>
        <v>208</v>
      </c>
      <c r="H59" s="1260">
        <f t="shared" si="21"/>
        <v>672.5</v>
      </c>
      <c r="I59" s="1260">
        <f t="shared" si="22"/>
        <v>139880</v>
      </c>
      <c r="J59" s="1260">
        <f t="shared" si="23"/>
        <v>44586.75</v>
      </c>
      <c r="K59" s="1260">
        <f t="shared" si="24"/>
        <v>0</v>
      </c>
      <c r="L59" s="1260">
        <f t="shared" si="25"/>
        <v>184466.75</v>
      </c>
      <c r="M59" s="1261">
        <f t="shared" si="26"/>
        <v>247981.01250000001</v>
      </c>
      <c r="N59" s="1262"/>
      <c r="O59" s="1259">
        <f t="shared" si="27"/>
        <v>208</v>
      </c>
      <c r="P59" s="1260">
        <f t="shared" si="35"/>
        <v>19500</v>
      </c>
      <c r="Q59" s="1260">
        <f t="shared" si="28"/>
        <v>2925</v>
      </c>
      <c r="R59" s="1263">
        <f t="shared" si="29"/>
        <v>22425</v>
      </c>
      <c r="S59" s="1264">
        <f t="shared" si="30"/>
        <v>42888.519374999996</v>
      </c>
      <c r="T59" s="1265">
        <f t="shared" si="31"/>
        <v>67600</v>
      </c>
      <c r="U59" s="1266">
        <f t="shared" si="32"/>
        <v>110488.519375</v>
      </c>
      <c r="V59" s="1265">
        <f t="shared" si="33"/>
        <v>294955.26937500003</v>
      </c>
      <c r="W59" s="1291">
        <f t="shared" si="34"/>
        <v>-46974.256875000021</v>
      </c>
    </row>
    <row r="60" spans="2:23">
      <c r="B60" s="2031" t="s">
        <v>1009</v>
      </c>
      <c r="C60" s="1322">
        <v>2</v>
      </c>
      <c r="D60" s="1323" t="s">
        <v>2163</v>
      </c>
      <c r="E60" s="1323">
        <v>60</v>
      </c>
      <c r="F60" s="1323" t="s">
        <v>2164</v>
      </c>
      <c r="G60" s="1870">
        <f>C60*104</f>
        <v>208</v>
      </c>
      <c r="H60" s="1260">
        <f t="shared" si="21"/>
        <v>807</v>
      </c>
      <c r="I60" s="1260">
        <f t="shared" si="22"/>
        <v>167856</v>
      </c>
      <c r="J60" s="1260">
        <f t="shared" si="23"/>
        <v>53504.1</v>
      </c>
      <c r="K60" s="1260">
        <f t="shared" si="24"/>
        <v>0</v>
      </c>
      <c r="L60" s="1260">
        <f t="shared" si="25"/>
        <v>221360.1</v>
      </c>
      <c r="M60" s="1261">
        <f t="shared" si="26"/>
        <v>297577.21500000003</v>
      </c>
      <c r="N60" s="1262"/>
      <c r="O60" s="1259">
        <f t="shared" si="27"/>
        <v>208</v>
      </c>
      <c r="P60" s="1260">
        <f t="shared" si="35"/>
        <v>19500</v>
      </c>
      <c r="Q60" s="1260">
        <f t="shared" si="28"/>
        <v>2925</v>
      </c>
      <c r="R60" s="1263">
        <f t="shared" si="29"/>
        <v>22425</v>
      </c>
      <c r="S60" s="1264">
        <f t="shared" si="30"/>
        <v>51466.223249999995</v>
      </c>
      <c r="T60" s="1265">
        <f t="shared" si="31"/>
        <v>67600</v>
      </c>
      <c r="U60" s="1266">
        <f t="shared" si="32"/>
        <v>119066.22325</v>
      </c>
      <c r="V60" s="1265">
        <f t="shared" si="33"/>
        <v>340426.32325000002</v>
      </c>
      <c r="W60" s="1291">
        <f t="shared" si="34"/>
        <v>-42849.10824999999</v>
      </c>
    </row>
    <row r="61" spans="2:23">
      <c r="B61" s="2031" t="s">
        <v>737</v>
      </c>
      <c r="C61" s="1322">
        <v>0</v>
      </c>
      <c r="D61" s="1323" t="s">
        <v>2163</v>
      </c>
      <c r="E61" s="1323">
        <v>55</v>
      </c>
      <c r="F61" s="1323" t="s">
        <v>2164</v>
      </c>
      <c r="G61" s="1870">
        <f t="shared" si="20"/>
        <v>0</v>
      </c>
      <c r="H61" s="1260">
        <f t="shared" si="21"/>
        <v>739.75</v>
      </c>
      <c r="I61" s="1260">
        <f t="shared" si="22"/>
        <v>0</v>
      </c>
      <c r="J61" s="1260">
        <f t="shared" si="23"/>
        <v>0</v>
      </c>
      <c r="K61" s="1260">
        <f t="shared" si="24"/>
        <v>0</v>
      </c>
      <c r="L61" s="1260">
        <f t="shared" si="25"/>
        <v>0</v>
      </c>
      <c r="M61" s="1261">
        <f t="shared" si="26"/>
        <v>0</v>
      </c>
      <c r="N61" s="1262"/>
      <c r="O61" s="1259">
        <f t="shared" si="27"/>
        <v>0</v>
      </c>
      <c r="P61" s="1260">
        <f t="shared" si="35"/>
        <v>0</v>
      </c>
      <c r="Q61" s="1260">
        <f t="shared" si="28"/>
        <v>0</v>
      </c>
      <c r="R61" s="1263">
        <f t="shared" si="29"/>
        <v>0</v>
      </c>
      <c r="S61" s="1264">
        <f t="shared" si="30"/>
        <v>0</v>
      </c>
      <c r="T61" s="1265">
        <f t="shared" si="31"/>
        <v>0</v>
      </c>
      <c r="U61" s="1266">
        <f t="shared" si="32"/>
        <v>0</v>
      </c>
      <c r="V61" s="1265">
        <f t="shared" si="33"/>
        <v>0</v>
      </c>
      <c r="W61" s="1291">
        <f t="shared" si="34"/>
        <v>0</v>
      </c>
    </row>
    <row r="62" spans="2:23">
      <c r="B62" s="2031" t="s">
        <v>1727</v>
      </c>
      <c r="C62" s="1322">
        <v>1</v>
      </c>
      <c r="D62" s="1323" t="s">
        <v>2163</v>
      </c>
      <c r="E62" s="2033">
        <v>55</v>
      </c>
      <c r="F62" s="1323" t="s">
        <v>2164</v>
      </c>
      <c r="G62" s="1870">
        <f>C62*104</f>
        <v>104</v>
      </c>
      <c r="H62" s="1260">
        <f t="shared" si="21"/>
        <v>739.75</v>
      </c>
      <c r="I62" s="1260">
        <f t="shared" si="22"/>
        <v>76934</v>
      </c>
      <c r="J62" s="1260">
        <f t="shared" si="23"/>
        <v>24522.712499999998</v>
      </c>
      <c r="K62" s="1260">
        <f t="shared" si="24"/>
        <v>0</v>
      </c>
      <c r="L62" s="1260">
        <f t="shared" si="25"/>
        <v>101456.71249999999</v>
      </c>
      <c r="M62" s="1261">
        <f t="shared" si="26"/>
        <v>136389.55687499998</v>
      </c>
      <c r="N62" s="1262"/>
      <c r="O62" s="1259">
        <f t="shared" si="27"/>
        <v>104</v>
      </c>
      <c r="P62" s="1260">
        <f t="shared" si="35"/>
        <v>9750</v>
      </c>
      <c r="Q62" s="1260">
        <f t="shared" si="28"/>
        <v>1462.5</v>
      </c>
      <c r="R62" s="1263">
        <f t="shared" si="29"/>
        <v>11212.5</v>
      </c>
      <c r="S62" s="1264">
        <f t="shared" si="30"/>
        <v>23588.685656249996</v>
      </c>
      <c r="T62" s="1265">
        <f t="shared" si="31"/>
        <v>33800</v>
      </c>
      <c r="U62" s="1266">
        <f t="shared" si="32"/>
        <v>57388.685656249996</v>
      </c>
      <c r="V62" s="1265">
        <f t="shared" si="33"/>
        <v>158845.39815624998</v>
      </c>
      <c r="W62" s="1291">
        <f t="shared" si="34"/>
        <v>-22455.841281250003</v>
      </c>
    </row>
    <row r="63" spans="2:23">
      <c r="B63" s="2031" t="s">
        <v>738</v>
      </c>
      <c r="C63" s="1322">
        <v>0</v>
      </c>
      <c r="D63" s="1323" t="s">
        <v>2163</v>
      </c>
      <c r="E63" s="2033">
        <v>60</v>
      </c>
      <c r="F63" s="1323" t="s">
        <v>2164</v>
      </c>
      <c r="G63" s="1870">
        <f t="shared" si="20"/>
        <v>0</v>
      </c>
      <c r="H63" s="1260">
        <f t="shared" si="21"/>
        <v>807</v>
      </c>
      <c r="I63" s="1260">
        <f t="shared" si="22"/>
        <v>0</v>
      </c>
      <c r="J63" s="1260">
        <f t="shared" si="23"/>
        <v>0</v>
      </c>
      <c r="K63" s="1260">
        <f t="shared" si="24"/>
        <v>0</v>
      </c>
      <c r="L63" s="1260">
        <f t="shared" si="25"/>
        <v>0</v>
      </c>
      <c r="M63" s="1261">
        <f t="shared" si="26"/>
        <v>0</v>
      </c>
      <c r="N63" s="1262"/>
      <c r="O63" s="1259">
        <f t="shared" si="27"/>
        <v>0</v>
      </c>
      <c r="P63" s="1260">
        <f t="shared" si="35"/>
        <v>0</v>
      </c>
      <c r="Q63" s="1260">
        <f t="shared" si="28"/>
        <v>0</v>
      </c>
      <c r="R63" s="1263">
        <f t="shared" si="29"/>
        <v>0</v>
      </c>
      <c r="S63" s="1264">
        <f t="shared" si="30"/>
        <v>0</v>
      </c>
      <c r="T63" s="1265">
        <f t="shared" si="31"/>
        <v>0</v>
      </c>
      <c r="U63" s="1266">
        <f t="shared" si="32"/>
        <v>0</v>
      </c>
      <c r="V63" s="1265">
        <f t="shared" si="33"/>
        <v>0</v>
      </c>
      <c r="W63" s="1291">
        <f t="shared" si="34"/>
        <v>0</v>
      </c>
    </row>
    <row r="64" spans="2:23">
      <c r="B64" s="2031" t="s">
        <v>739</v>
      </c>
      <c r="C64" s="1322">
        <v>0</v>
      </c>
      <c r="D64" s="1323" t="s">
        <v>2163</v>
      </c>
      <c r="E64" s="2033">
        <v>60</v>
      </c>
      <c r="F64" s="1323" t="s">
        <v>2164</v>
      </c>
      <c r="G64" s="1870">
        <f t="shared" si="20"/>
        <v>0</v>
      </c>
      <c r="H64" s="1260">
        <f t="shared" si="21"/>
        <v>807</v>
      </c>
      <c r="I64" s="1260">
        <f t="shared" si="22"/>
        <v>0</v>
      </c>
      <c r="J64" s="1260">
        <f t="shared" si="23"/>
        <v>0</v>
      </c>
      <c r="K64" s="1260">
        <f t="shared" si="24"/>
        <v>0</v>
      </c>
      <c r="L64" s="1260">
        <f t="shared" si="25"/>
        <v>0</v>
      </c>
      <c r="M64" s="1261">
        <f t="shared" si="26"/>
        <v>0</v>
      </c>
      <c r="N64" s="1262"/>
      <c r="O64" s="1259">
        <f t="shared" si="27"/>
        <v>0</v>
      </c>
      <c r="P64" s="1260">
        <f t="shared" si="35"/>
        <v>0</v>
      </c>
      <c r="Q64" s="1260">
        <f t="shared" si="28"/>
        <v>0</v>
      </c>
      <c r="R64" s="1263">
        <f t="shared" si="29"/>
        <v>0</v>
      </c>
      <c r="S64" s="1264">
        <f t="shared" si="30"/>
        <v>0</v>
      </c>
      <c r="T64" s="1265">
        <f t="shared" si="31"/>
        <v>0</v>
      </c>
      <c r="U64" s="1266">
        <f t="shared" si="32"/>
        <v>0</v>
      </c>
      <c r="V64" s="1265">
        <f t="shared" si="33"/>
        <v>0</v>
      </c>
      <c r="W64" s="1291">
        <f t="shared" si="34"/>
        <v>0</v>
      </c>
    </row>
    <row r="65" spans="2:23">
      <c r="B65" s="2031" t="s">
        <v>740</v>
      </c>
      <c r="C65" s="1322">
        <v>0</v>
      </c>
      <c r="D65" s="1323" t="s">
        <v>2163</v>
      </c>
      <c r="E65" s="2033">
        <v>65</v>
      </c>
      <c r="F65" s="1323" t="s">
        <v>2164</v>
      </c>
      <c r="G65" s="1870">
        <f t="shared" si="20"/>
        <v>0</v>
      </c>
      <c r="H65" s="1260">
        <f t="shared" si="21"/>
        <v>874.25</v>
      </c>
      <c r="I65" s="1260">
        <f t="shared" si="22"/>
        <v>0</v>
      </c>
      <c r="J65" s="1260">
        <f t="shared" si="23"/>
        <v>0</v>
      </c>
      <c r="K65" s="1260">
        <f t="shared" si="24"/>
        <v>0</v>
      </c>
      <c r="L65" s="1260">
        <f t="shared" si="25"/>
        <v>0</v>
      </c>
      <c r="M65" s="1261">
        <f t="shared" si="26"/>
        <v>0</v>
      </c>
      <c r="N65" s="1262"/>
      <c r="O65" s="1259">
        <f t="shared" si="27"/>
        <v>0</v>
      </c>
      <c r="P65" s="1260">
        <f t="shared" si="35"/>
        <v>0</v>
      </c>
      <c r="Q65" s="1260">
        <f t="shared" si="28"/>
        <v>0</v>
      </c>
      <c r="R65" s="1263">
        <f t="shared" si="29"/>
        <v>0</v>
      </c>
      <c r="S65" s="1264">
        <f t="shared" si="30"/>
        <v>0</v>
      </c>
      <c r="T65" s="1265">
        <f t="shared" si="31"/>
        <v>0</v>
      </c>
      <c r="U65" s="1266">
        <f t="shared" si="32"/>
        <v>0</v>
      </c>
      <c r="V65" s="1265">
        <f t="shared" si="33"/>
        <v>0</v>
      </c>
      <c r="W65" s="1291">
        <f t="shared" si="34"/>
        <v>0</v>
      </c>
    </row>
    <row r="66" spans="2:23">
      <c r="B66" s="2031" t="s">
        <v>741</v>
      </c>
      <c r="C66" s="1322">
        <v>2</v>
      </c>
      <c r="D66" s="1323" t="s">
        <v>2163</v>
      </c>
      <c r="E66" s="2033">
        <v>65</v>
      </c>
      <c r="F66" s="1323" t="s">
        <v>2164</v>
      </c>
      <c r="G66" s="1870">
        <f>C66*104</f>
        <v>208</v>
      </c>
      <c r="H66" s="1260">
        <f t="shared" si="21"/>
        <v>874.25</v>
      </c>
      <c r="I66" s="1260">
        <f t="shared" si="22"/>
        <v>181844</v>
      </c>
      <c r="J66" s="1260">
        <f t="shared" si="23"/>
        <v>57962.774999999994</v>
      </c>
      <c r="K66" s="1260">
        <f t="shared" si="24"/>
        <v>0</v>
      </c>
      <c r="L66" s="1260">
        <f t="shared" si="25"/>
        <v>239806.77499999999</v>
      </c>
      <c r="M66" s="1261">
        <f t="shared" si="26"/>
        <v>322375.31625000003</v>
      </c>
      <c r="N66" s="1262"/>
      <c r="O66" s="1259">
        <f t="shared" si="27"/>
        <v>208</v>
      </c>
      <c r="P66" s="1260">
        <f t="shared" si="35"/>
        <v>19500</v>
      </c>
      <c r="Q66" s="1260">
        <f t="shared" si="28"/>
        <v>2925</v>
      </c>
      <c r="R66" s="1263">
        <f t="shared" si="29"/>
        <v>22425</v>
      </c>
      <c r="S66" s="1264">
        <f t="shared" si="30"/>
        <v>55755.075187499991</v>
      </c>
      <c r="T66" s="1265">
        <f t="shared" si="31"/>
        <v>67600</v>
      </c>
      <c r="U66" s="1266">
        <f t="shared" si="32"/>
        <v>123355.07518749998</v>
      </c>
      <c r="V66" s="1265">
        <f t="shared" si="33"/>
        <v>363161.85018750001</v>
      </c>
      <c r="W66" s="1291">
        <f t="shared" si="34"/>
        <v>-40786.533937499975</v>
      </c>
    </row>
    <row r="67" spans="2:23">
      <c r="B67" s="2031" t="s">
        <v>742</v>
      </c>
      <c r="C67" s="1322">
        <v>2</v>
      </c>
      <c r="D67" s="1323" t="s">
        <v>2163</v>
      </c>
      <c r="E67" s="2033">
        <v>70</v>
      </c>
      <c r="F67" s="1323" t="s">
        <v>2164</v>
      </c>
      <c r="G67" s="1870">
        <f>C67*104</f>
        <v>208</v>
      </c>
      <c r="H67" s="1260">
        <f t="shared" si="21"/>
        <v>941.5</v>
      </c>
      <c r="I67" s="1260">
        <f t="shared" si="22"/>
        <v>195832</v>
      </c>
      <c r="J67" s="1260">
        <f t="shared" si="23"/>
        <v>62421.45</v>
      </c>
      <c r="K67" s="1260">
        <f t="shared" si="24"/>
        <v>0</v>
      </c>
      <c r="L67" s="1260">
        <f t="shared" si="25"/>
        <v>258253.45</v>
      </c>
      <c r="M67" s="1261">
        <f t="shared" si="26"/>
        <v>347173.41749999998</v>
      </c>
      <c r="N67" s="1262"/>
      <c r="O67" s="1259">
        <f t="shared" si="27"/>
        <v>208</v>
      </c>
      <c r="P67" s="1260">
        <f t="shared" si="35"/>
        <v>19500</v>
      </c>
      <c r="Q67" s="1260">
        <f t="shared" si="28"/>
        <v>2925</v>
      </c>
      <c r="R67" s="1263">
        <f t="shared" si="29"/>
        <v>22425</v>
      </c>
      <c r="S67" s="1264">
        <f t="shared" si="30"/>
        <v>60043.927125000002</v>
      </c>
      <c r="T67" s="1265">
        <f t="shared" si="31"/>
        <v>67600</v>
      </c>
      <c r="U67" s="1266">
        <f t="shared" si="32"/>
        <v>127643.927125</v>
      </c>
      <c r="V67" s="1265">
        <f t="shared" si="33"/>
        <v>385897.377125</v>
      </c>
      <c r="W67" s="1291">
        <f t="shared" si="34"/>
        <v>-38723.959625000018</v>
      </c>
    </row>
    <row r="68" spans="2:23">
      <c r="B68" s="2031" t="s">
        <v>743</v>
      </c>
      <c r="C68" s="1322">
        <v>1</v>
      </c>
      <c r="D68" s="1323" t="s">
        <v>2163</v>
      </c>
      <c r="E68" s="2033">
        <v>80</v>
      </c>
      <c r="F68" s="1323" t="s">
        <v>2164</v>
      </c>
      <c r="G68" s="1870">
        <f>C68*104</f>
        <v>104</v>
      </c>
      <c r="H68" s="1260">
        <f t="shared" si="21"/>
        <v>1076</v>
      </c>
      <c r="I68" s="1260">
        <f t="shared" si="22"/>
        <v>111904</v>
      </c>
      <c r="J68" s="1260">
        <f>I68*$J$13</f>
        <v>20982</v>
      </c>
      <c r="K68" s="1260">
        <f t="shared" si="24"/>
        <v>0</v>
      </c>
      <c r="L68" s="1260">
        <f t="shared" si="25"/>
        <v>132886</v>
      </c>
      <c r="M68" s="1261">
        <f t="shared" si="26"/>
        <v>196181.7</v>
      </c>
      <c r="N68" s="1262"/>
      <c r="O68" s="1259">
        <f t="shared" si="27"/>
        <v>104</v>
      </c>
      <c r="P68" s="1260">
        <f t="shared" si="35"/>
        <v>9750</v>
      </c>
      <c r="Q68" s="1260">
        <f t="shared" si="28"/>
        <v>1462.5</v>
      </c>
      <c r="R68" s="1263">
        <f t="shared" si="29"/>
        <v>11212.5</v>
      </c>
      <c r="S68" s="1264">
        <f t="shared" si="30"/>
        <v>30895.994999999999</v>
      </c>
      <c r="T68" s="1265">
        <f t="shared" si="31"/>
        <v>33800</v>
      </c>
      <c r="U68" s="1266">
        <f t="shared" si="32"/>
        <v>64695.994999999995</v>
      </c>
      <c r="V68" s="1265">
        <f t="shared" si="33"/>
        <v>197581.995</v>
      </c>
      <c r="W68" s="1291">
        <f t="shared" si="34"/>
        <v>-1400.2949999999837</v>
      </c>
    </row>
    <row r="69" spans="2:23">
      <c r="B69" s="2031" t="s">
        <v>744</v>
      </c>
      <c r="C69" s="1322">
        <v>1</v>
      </c>
      <c r="D69" s="1323" t="s">
        <v>2163</v>
      </c>
      <c r="E69" s="2033">
        <v>45</v>
      </c>
      <c r="F69" s="1323" t="s">
        <v>1321</v>
      </c>
      <c r="G69" s="1870">
        <f>C69*104</f>
        <v>104</v>
      </c>
      <c r="H69" s="1260">
        <f t="shared" si="21"/>
        <v>605.25</v>
      </c>
      <c r="I69" s="1260">
        <f t="shared" si="22"/>
        <v>62946</v>
      </c>
      <c r="J69" s="1260">
        <f>I69*$J$53</f>
        <v>20064.037499999999</v>
      </c>
      <c r="K69" s="1260">
        <f t="shared" si="24"/>
        <v>0</v>
      </c>
      <c r="L69" s="1260">
        <f t="shared" si="25"/>
        <v>83010.037500000006</v>
      </c>
      <c r="M69" s="1261">
        <f t="shared" si="26"/>
        <v>111591.455625</v>
      </c>
      <c r="N69" s="1262"/>
      <c r="O69" s="1259">
        <f t="shared" si="27"/>
        <v>104</v>
      </c>
      <c r="P69" s="1260">
        <f t="shared" si="35"/>
        <v>9750</v>
      </c>
      <c r="Q69" s="1260">
        <f t="shared" si="28"/>
        <v>1462.5</v>
      </c>
      <c r="R69" s="1263">
        <f t="shared" si="29"/>
        <v>11212.5</v>
      </c>
      <c r="S69" s="1264">
        <f t="shared" si="30"/>
        <v>19299.83371875</v>
      </c>
      <c r="T69" s="1265">
        <f t="shared" si="31"/>
        <v>27560</v>
      </c>
      <c r="U69" s="1266">
        <f t="shared" si="32"/>
        <v>46859.83371875</v>
      </c>
      <c r="V69" s="1265">
        <f t="shared" si="33"/>
        <v>129869.87121875001</v>
      </c>
      <c r="W69" s="1291">
        <f t="shared" si="34"/>
        <v>-18278.415593750004</v>
      </c>
    </row>
    <row r="70" spans="2:23">
      <c r="B70" s="2031" t="s">
        <v>1728</v>
      </c>
      <c r="C70" s="1322">
        <v>1</v>
      </c>
      <c r="D70" s="1323" t="s">
        <v>2163</v>
      </c>
      <c r="E70" s="2033">
        <v>70</v>
      </c>
      <c r="F70" s="1323" t="s">
        <v>2164</v>
      </c>
      <c r="G70" s="1870">
        <f>C70*104</f>
        <v>104</v>
      </c>
      <c r="H70" s="1260">
        <f t="shared" si="21"/>
        <v>941.5</v>
      </c>
      <c r="I70" s="1260">
        <f t="shared" si="22"/>
        <v>97916</v>
      </c>
      <c r="J70" s="1260">
        <f>I70*$J$53</f>
        <v>31210.724999999999</v>
      </c>
      <c r="K70" s="1260">
        <f t="shared" si="24"/>
        <v>0</v>
      </c>
      <c r="L70" s="1260">
        <f t="shared" si="25"/>
        <v>129126.72500000001</v>
      </c>
      <c r="M70" s="1261">
        <f t="shared" si="26"/>
        <v>173586.70874999999</v>
      </c>
      <c r="N70" s="1262"/>
      <c r="O70" s="1259">
        <f t="shared" si="27"/>
        <v>104</v>
      </c>
      <c r="P70" s="1260">
        <f t="shared" si="35"/>
        <v>9750</v>
      </c>
      <c r="Q70" s="1260">
        <f t="shared" si="28"/>
        <v>1462.5</v>
      </c>
      <c r="R70" s="1263">
        <f t="shared" si="29"/>
        <v>11212.5</v>
      </c>
      <c r="S70" s="1264">
        <f t="shared" si="30"/>
        <v>30021.963562500001</v>
      </c>
      <c r="T70" s="1265">
        <f t="shared" si="31"/>
        <v>33800</v>
      </c>
      <c r="U70" s="1266">
        <f t="shared" si="32"/>
        <v>63821.963562500001</v>
      </c>
      <c r="V70" s="1265">
        <f t="shared" si="33"/>
        <v>192948.6885625</v>
      </c>
      <c r="W70" s="1291">
        <f t="shared" si="34"/>
        <v>-19361.979812500009</v>
      </c>
    </row>
    <row r="71" spans="2:23">
      <c r="B71" s="2031" t="s">
        <v>745</v>
      </c>
      <c r="C71" s="1322">
        <v>0</v>
      </c>
      <c r="D71" s="1323" t="s">
        <v>2163</v>
      </c>
      <c r="E71" s="2033">
        <v>65</v>
      </c>
      <c r="F71" s="1323" t="s">
        <v>2164</v>
      </c>
      <c r="G71" s="1870">
        <f t="shared" si="20"/>
        <v>0</v>
      </c>
      <c r="H71" s="1260">
        <f t="shared" si="21"/>
        <v>874.25</v>
      </c>
      <c r="I71" s="1260">
        <f t="shared" si="22"/>
        <v>0</v>
      </c>
      <c r="J71" s="1260">
        <f>I71*$J$53</f>
        <v>0</v>
      </c>
      <c r="K71" s="1260">
        <f t="shared" si="24"/>
        <v>0</v>
      </c>
      <c r="L71" s="1260">
        <f t="shared" si="25"/>
        <v>0</v>
      </c>
      <c r="M71" s="1261">
        <f t="shared" si="26"/>
        <v>0</v>
      </c>
      <c r="N71" s="1262"/>
      <c r="O71" s="1259">
        <f t="shared" si="27"/>
        <v>0</v>
      </c>
      <c r="P71" s="1260">
        <f t="shared" si="35"/>
        <v>0</v>
      </c>
      <c r="Q71" s="1260">
        <f t="shared" si="28"/>
        <v>0</v>
      </c>
      <c r="R71" s="1263">
        <f t="shared" si="29"/>
        <v>0</v>
      </c>
      <c r="S71" s="1264">
        <f t="shared" si="30"/>
        <v>0</v>
      </c>
      <c r="T71" s="1265">
        <f t="shared" si="31"/>
        <v>0</v>
      </c>
      <c r="U71" s="1266">
        <f t="shared" si="32"/>
        <v>0</v>
      </c>
      <c r="V71" s="1265">
        <f t="shared" si="33"/>
        <v>0</v>
      </c>
      <c r="W71" s="1291">
        <f t="shared" si="34"/>
        <v>0</v>
      </c>
    </row>
    <row r="72" spans="2:23">
      <c r="B72" s="2031" t="s">
        <v>746</v>
      </c>
      <c r="C72" s="1322">
        <v>0</v>
      </c>
      <c r="D72" s="1323" t="s">
        <v>2163</v>
      </c>
      <c r="E72" s="2033">
        <v>55</v>
      </c>
      <c r="F72" s="1323" t="s">
        <v>2164</v>
      </c>
      <c r="G72" s="1870">
        <f t="shared" si="20"/>
        <v>0</v>
      </c>
      <c r="H72" s="1260">
        <f t="shared" si="21"/>
        <v>739.75</v>
      </c>
      <c r="I72" s="1260">
        <f t="shared" si="22"/>
        <v>0</v>
      </c>
      <c r="J72" s="1260">
        <f>I72*$J$53</f>
        <v>0</v>
      </c>
      <c r="K72" s="1260">
        <f t="shared" si="24"/>
        <v>0</v>
      </c>
      <c r="L72" s="1260">
        <f t="shared" si="25"/>
        <v>0</v>
      </c>
      <c r="M72" s="1261">
        <f t="shared" si="26"/>
        <v>0</v>
      </c>
      <c r="N72" s="1262"/>
      <c r="O72" s="1259">
        <f t="shared" si="27"/>
        <v>0</v>
      </c>
      <c r="P72" s="1260">
        <f t="shared" si="35"/>
        <v>0</v>
      </c>
      <c r="Q72" s="1260">
        <f t="shared" si="28"/>
        <v>0</v>
      </c>
      <c r="R72" s="1263">
        <f t="shared" si="29"/>
        <v>0</v>
      </c>
      <c r="S72" s="1264">
        <f t="shared" si="30"/>
        <v>0</v>
      </c>
      <c r="T72" s="1265">
        <f t="shared" si="31"/>
        <v>0</v>
      </c>
      <c r="U72" s="1266">
        <f t="shared" si="32"/>
        <v>0</v>
      </c>
      <c r="V72" s="1265">
        <f t="shared" si="33"/>
        <v>0</v>
      </c>
      <c r="W72" s="1291">
        <f t="shared" si="34"/>
        <v>0</v>
      </c>
    </row>
    <row r="73" spans="2:23">
      <c r="B73" s="2031" t="s">
        <v>747</v>
      </c>
      <c r="C73" s="1322">
        <v>2</v>
      </c>
      <c r="D73" s="1323" t="s">
        <v>2163</v>
      </c>
      <c r="E73" s="2033">
        <v>45</v>
      </c>
      <c r="F73" s="1323" t="s">
        <v>1321</v>
      </c>
      <c r="G73" s="1870">
        <f>C73*104</f>
        <v>208</v>
      </c>
      <c r="H73" s="1260">
        <f t="shared" si="21"/>
        <v>605.25</v>
      </c>
      <c r="I73" s="1260">
        <f t="shared" si="22"/>
        <v>125892</v>
      </c>
      <c r="J73" s="1260">
        <f>I73*$J$53</f>
        <v>40128.074999999997</v>
      </c>
      <c r="K73" s="1260">
        <f t="shared" si="24"/>
        <v>0</v>
      </c>
      <c r="L73" s="1260">
        <f t="shared" si="25"/>
        <v>166020.07500000001</v>
      </c>
      <c r="M73" s="1261">
        <f t="shared" si="26"/>
        <v>223182.91125</v>
      </c>
      <c r="N73" s="1262"/>
      <c r="O73" s="1259">
        <f t="shared" si="27"/>
        <v>208</v>
      </c>
      <c r="P73" s="1260">
        <f t="shared" si="35"/>
        <v>19500</v>
      </c>
      <c r="Q73" s="1260">
        <f t="shared" si="28"/>
        <v>2925</v>
      </c>
      <c r="R73" s="1263">
        <f t="shared" si="29"/>
        <v>22425</v>
      </c>
      <c r="S73" s="1264">
        <f t="shared" si="30"/>
        <v>38599.6674375</v>
      </c>
      <c r="T73" s="1265">
        <f t="shared" si="31"/>
        <v>55120</v>
      </c>
      <c r="U73" s="1266">
        <f t="shared" si="32"/>
        <v>93719.6674375</v>
      </c>
      <c r="V73" s="1265">
        <f t="shared" si="33"/>
        <v>259739.74243750001</v>
      </c>
      <c r="W73" s="1291">
        <f t="shared" si="34"/>
        <v>-36556.831187500007</v>
      </c>
    </row>
    <row r="74" spans="2:23">
      <c r="B74" s="2031"/>
      <c r="C74" s="1322"/>
      <c r="D74" s="1323"/>
      <c r="E74" s="2033"/>
      <c r="F74" s="1323"/>
      <c r="G74" s="1259"/>
      <c r="H74" s="1260">
        <f t="shared" si="21"/>
        <v>0</v>
      </c>
      <c r="I74" s="1260">
        <f t="shared" si="22"/>
        <v>0</v>
      </c>
      <c r="J74" s="1260"/>
      <c r="K74" s="1260"/>
      <c r="L74" s="1260"/>
      <c r="M74" s="1261"/>
      <c r="N74" s="1262"/>
      <c r="O74" s="1259"/>
      <c r="P74" s="1260"/>
      <c r="Q74" s="1260"/>
      <c r="R74" s="1263"/>
      <c r="S74" s="1264"/>
      <c r="T74" s="1265"/>
      <c r="U74" s="1266"/>
      <c r="V74" s="1265"/>
      <c r="W74" s="1291"/>
    </row>
    <row r="75" spans="2:23">
      <c r="B75" s="2031"/>
      <c r="C75" s="1322"/>
      <c r="D75" s="1323"/>
      <c r="E75" s="2033"/>
      <c r="F75" s="1323"/>
      <c r="G75" s="1259"/>
      <c r="H75" s="1260">
        <f t="shared" si="21"/>
        <v>0</v>
      </c>
      <c r="I75" s="1260">
        <f t="shared" si="22"/>
        <v>0</v>
      </c>
      <c r="J75" s="1260"/>
      <c r="K75" s="1260"/>
      <c r="L75" s="1260"/>
      <c r="M75" s="1261"/>
      <c r="N75" s="1262"/>
      <c r="O75" s="1259"/>
      <c r="P75" s="1260"/>
      <c r="Q75" s="1260"/>
      <c r="R75" s="1263"/>
      <c r="S75" s="1264"/>
      <c r="T75" s="1265"/>
      <c r="U75" s="1266"/>
      <c r="V75" s="1265"/>
      <c r="W75" s="1291"/>
    </row>
    <row r="76" spans="2:23">
      <c r="B76" s="2031"/>
      <c r="C76" s="1322"/>
      <c r="D76" s="1323"/>
      <c r="E76" s="2033"/>
      <c r="F76" s="1323"/>
      <c r="G76" s="1259"/>
      <c r="H76" s="1260">
        <f t="shared" si="21"/>
        <v>0</v>
      </c>
      <c r="I76" s="1260">
        <f t="shared" si="22"/>
        <v>0</v>
      </c>
      <c r="J76" s="1260"/>
      <c r="K76" s="1260"/>
      <c r="L76" s="1260"/>
      <c r="M76" s="1261"/>
      <c r="N76" s="1262"/>
      <c r="O76" s="1259"/>
      <c r="P76" s="1260"/>
      <c r="Q76" s="1260"/>
      <c r="R76" s="1263"/>
      <c r="S76" s="1264"/>
      <c r="T76" s="1265"/>
      <c r="U76" s="1266"/>
      <c r="V76" s="1265"/>
      <c r="W76" s="1291"/>
    </row>
    <row r="77" spans="2:23">
      <c r="B77" s="2031" t="s">
        <v>748</v>
      </c>
      <c r="C77" s="1322">
        <v>3</v>
      </c>
      <c r="D77" s="1323" t="s">
        <v>2163</v>
      </c>
      <c r="E77" s="2033">
        <v>40</v>
      </c>
      <c r="F77" s="1323" t="s">
        <v>1321</v>
      </c>
      <c r="G77" s="1870">
        <f>C77*104</f>
        <v>312</v>
      </c>
      <c r="H77" s="1260">
        <f t="shared" si="21"/>
        <v>538</v>
      </c>
      <c r="I77" s="1260">
        <f t="shared" si="22"/>
        <v>167856</v>
      </c>
      <c r="J77" s="1260">
        <f>I77*$J$53</f>
        <v>53504.1</v>
      </c>
      <c r="K77" s="1260">
        <f t="shared" ref="K77:K82" si="36">(I77+J77)*$F$105</f>
        <v>0</v>
      </c>
      <c r="L77" s="1260">
        <f t="shared" ref="L77:L82" si="37">SUM(I77:K77)</f>
        <v>221360.1</v>
      </c>
      <c r="M77" s="1261">
        <f t="shared" ref="M77:M82" si="38">((I77+K77)*$M$13)+(J77*0.15)</f>
        <v>297577.21500000003</v>
      </c>
      <c r="N77" s="1262"/>
      <c r="O77" s="1259">
        <f t="shared" ref="O77:O82" si="39">G77*$O$10</f>
        <v>312</v>
      </c>
      <c r="P77" s="1260">
        <f t="shared" ref="P77:P82" si="40">(G77*125)*0.75</f>
        <v>29250</v>
      </c>
      <c r="Q77" s="1260">
        <f>+P77*0.15</f>
        <v>4387.5</v>
      </c>
      <c r="R77" s="1263">
        <f t="shared" ref="R77:R82" si="41">P77+Q77</f>
        <v>33637.5</v>
      </c>
      <c r="S77" s="1264">
        <f t="shared" ref="S77:S82" si="42">L77*($Q$102+$Q$103)</f>
        <v>51466.223249999995</v>
      </c>
      <c r="T77" s="1265">
        <f t="shared" ref="T77:T82" si="43">IF(O77=0,0,IF(F77=$J$100,(G77*$K$100+L77*$M$100),IF(F77=$J$101,(G77*$K$101+L77*$M$101),IF(F77=$J$102,(G77*$K$102+L77*$M$102),IF(F77=$J$103,(G77*$K$103),IF(F77=$J$104,0,0))))))</f>
        <v>82680</v>
      </c>
      <c r="U77" s="1266">
        <f t="shared" ref="U77:U82" si="44">S77+T77</f>
        <v>134146.22324999998</v>
      </c>
      <c r="V77" s="1265">
        <f t="shared" ref="V77:V82" si="45">U77+L77</f>
        <v>355506.32325000002</v>
      </c>
      <c r="W77" s="1291">
        <f t="shared" ref="W77:W82" si="46">M77-V77</f>
        <v>-57929.10824999999</v>
      </c>
    </row>
    <row r="78" spans="2:23">
      <c r="B78" s="2031" t="s">
        <v>749</v>
      </c>
      <c r="C78" s="1322">
        <v>0</v>
      </c>
      <c r="D78" s="1323" t="s">
        <v>2163</v>
      </c>
      <c r="E78" s="2033">
        <v>40</v>
      </c>
      <c r="F78" s="1323" t="s">
        <v>1321</v>
      </c>
      <c r="G78" s="1870">
        <f t="shared" ref="G78:G82" si="47">C78*156</f>
        <v>0</v>
      </c>
      <c r="H78" s="1260">
        <f t="shared" si="21"/>
        <v>538</v>
      </c>
      <c r="I78" s="1260">
        <f t="shared" si="22"/>
        <v>0</v>
      </c>
      <c r="J78" s="1260">
        <f>I78*$J$53</f>
        <v>0</v>
      </c>
      <c r="K78" s="1260">
        <f t="shared" si="36"/>
        <v>0</v>
      </c>
      <c r="L78" s="1260">
        <f t="shared" si="37"/>
        <v>0</v>
      </c>
      <c r="M78" s="1261">
        <f t="shared" si="38"/>
        <v>0</v>
      </c>
      <c r="N78" s="1262"/>
      <c r="O78" s="1259">
        <f t="shared" si="39"/>
        <v>0</v>
      </c>
      <c r="P78" s="1260">
        <f t="shared" si="40"/>
        <v>0</v>
      </c>
      <c r="Q78" s="1260">
        <f>+P78*0.15</f>
        <v>0</v>
      </c>
      <c r="R78" s="1263">
        <f t="shared" si="41"/>
        <v>0</v>
      </c>
      <c r="S78" s="1264">
        <f t="shared" si="42"/>
        <v>0</v>
      </c>
      <c r="T78" s="1265">
        <f t="shared" si="43"/>
        <v>0</v>
      </c>
      <c r="U78" s="1266">
        <f t="shared" si="44"/>
        <v>0</v>
      </c>
      <c r="V78" s="1265">
        <f t="shared" si="45"/>
        <v>0</v>
      </c>
      <c r="W78" s="1291">
        <f t="shared" si="46"/>
        <v>0</v>
      </c>
    </row>
    <row r="79" spans="2:23">
      <c r="B79" s="2031" t="s">
        <v>2111</v>
      </c>
      <c r="C79" s="1322">
        <v>0</v>
      </c>
      <c r="D79" s="1323" t="s">
        <v>2163</v>
      </c>
      <c r="E79" s="2033">
        <v>40</v>
      </c>
      <c r="F79" s="1323" t="s">
        <v>1321</v>
      </c>
      <c r="G79" s="1870">
        <f t="shared" si="47"/>
        <v>0</v>
      </c>
      <c r="H79" s="1260">
        <f t="shared" si="21"/>
        <v>538</v>
      </c>
      <c r="I79" s="1260">
        <f t="shared" si="22"/>
        <v>0</v>
      </c>
      <c r="J79" s="1260">
        <f>I79*$J$53</f>
        <v>0</v>
      </c>
      <c r="K79" s="1260">
        <f t="shared" si="36"/>
        <v>0</v>
      </c>
      <c r="L79" s="1260">
        <f t="shared" si="37"/>
        <v>0</v>
      </c>
      <c r="M79" s="1261">
        <f t="shared" si="38"/>
        <v>0</v>
      </c>
      <c r="N79" s="1262"/>
      <c r="O79" s="1259">
        <f t="shared" si="39"/>
        <v>0</v>
      </c>
      <c r="P79" s="1260">
        <f t="shared" si="40"/>
        <v>0</v>
      </c>
      <c r="Q79" s="1260">
        <f>+P79*0.15</f>
        <v>0</v>
      </c>
      <c r="R79" s="1263">
        <f t="shared" si="41"/>
        <v>0</v>
      </c>
      <c r="S79" s="1264">
        <f t="shared" si="42"/>
        <v>0</v>
      </c>
      <c r="T79" s="1265">
        <f t="shared" si="43"/>
        <v>0</v>
      </c>
      <c r="U79" s="1266">
        <f t="shared" si="44"/>
        <v>0</v>
      </c>
      <c r="V79" s="1265">
        <f t="shared" si="45"/>
        <v>0</v>
      </c>
      <c r="W79" s="1291">
        <f t="shared" si="46"/>
        <v>0</v>
      </c>
    </row>
    <row r="80" spans="2:23">
      <c r="B80" s="2031" t="s">
        <v>2112</v>
      </c>
      <c r="C80" s="1322">
        <v>1</v>
      </c>
      <c r="D80" s="1323" t="s">
        <v>2163</v>
      </c>
      <c r="E80" s="2033">
        <v>55</v>
      </c>
      <c r="F80" s="1323" t="s">
        <v>2164</v>
      </c>
      <c r="G80" s="1870">
        <f>C80*104</f>
        <v>104</v>
      </c>
      <c r="H80" s="1260">
        <f t="shared" si="21"/>
        <v>739.75</v>
      </c>
      <c r="I80" s="1260">
        <f t="shared" si="22"/>
        <v>76934</v>
      </c>
      <c r="J80" s="1260">
        <f>I80*$J$13</f>
        <v>14425.125</v>
      </c>
      <c r="K80" s="1260">
        <f t="shared" si="36"/>
        <v>0</v>
      </c>
      <c r="L80" s="1260">
        <f t="shared" si="37"/>
        <v>91359.125</v>
      </c>
      <c r="M80" s="1261">
        <f t="shared" si="38"/>
        <v>134874.91874999998</v>
      </c>
      <c r="N80" s="1262"/>
      <c r="O80" s="1259">
        <f t="shared" si="39"/>
        <v>104</v>
      </c>
      <c r="P80" s="1260">
        <f t="shared" si="40"/>
        <v>9750</v>
      </c>
      <c r="Q80" s="1260">
        <f>+P80*0.25</f>
        <v>2437.5</v>
      </c>
      <c r="R80" s="1263">
        <f t="shared" si="41"/>
        <v>12187.5</v>
      </c>
      <c r="S80" s="1264">
        <f t="shared" si="42"/>
        <v>21240.996562499997</v>
      </c>
      <c r="T80" s="1265">
        <f t="shared" si="43"/>
        <v>33800</v>
      </c>
      <c r="U80" s="1266">
        <f t="shared" si="44"/>
        <v>55040.996562499997</v>
      </c>
      <c r="V80" s="1265">
        <f t="shared" si="45"/>
        <v>146400.12156249999</v>
      </c>
      <c r="W80" s="1291">
        <f t="shared" si="46"/>
        <v>-11525.202812500007</v>
      </c>
    </row>
    <row r="81" spans="2:23">
      <c r="B81" s="2031" t="s">
        <v>750</v>
      </c>
      <c r="C81" s="1322">
        <v>0</v>
      </c>
      <c r="D81" s="1323" t="s">
        <v>2163</v>
      </c>
      <c r="E81" s="2033">
        <v>40</v>
      </c>
      <c r="F81" s="1323" t="s">
        <v>2164</v>
      </c>
      <c r="G81" s="1870">
        <f t="shared" si="47"/>
        <v>0</v>
      </c>
      <c r="H81" s="1260">
        <f t="shared" si="21"/>
        <v>538</v>
      </c>
      <c r="I81" s="1260">
        <f t="shared" si="22"/>
        <v>0</v>
      </c>
      <c r="J81" s="1260">
        <f>I81*$J$53</f>
        <v>0</v>
      </c>
      <c r="K81" s="1260">
        <f t="shared" si="36"/>
        <v>0</v>
      </c>
      <c r="L81" s="1260">
        <f t="shared" si="37"/>
        <v>0</v>
      </c>
      <c r="M81" s="1261">
        <f t="shared" si="38"/>
        <v>0</v>
      </c>
      <c r="N81" s="1262"/>
      <c r="O81" s="1259">
        <f t="shared" si="39"/>
        <v>0</v>
      </c>
      <c r="P81" s="1260">
        <f t="shared" si="40"/>
        <v>0</v>
      </c>
      <c r="Q81" s="1260">
        <f>+P81*0.25</f>
        <v>0</v>
      </c>
      <c r="R81" s="1263">
        <f t="shared" si="41"/>
        <v>0</v>
      </c>
      <c r="S81" s="1264">
        <f t="shared" si="42"/>
        <v>0</v>
      </c>
      <c r="T81" s="1265">
        <f t="shared" si="43"/>
        <v>0</v>
      </c>
      <c r="U81" s="1266">
        <f t="shared" si="44"/>
        <v>0</v>
      </c>
      <c r="V81" s="1265">
        <f t="shared" si="45"/>
        <v>0</v>
      </c>
      <c r="W81" s="1291">
        <f t="shared" si="46"/>
        <v>0</v>
      </c>
    </row>
    <row r="82" spans="2:23" ht="16.8" thickBot="1">
      <c r="B82" s="2031" t="s">
        <v>751</v>
      </c>
      <c r="C82" s="1322">
        <v>0</v>
      </c>
      <c r="D82" s="1323" t="s">
        <v>2163</v>
      </c>
      <c r="E82" s="2033">
        <v>40</v>
      </c>
      <c r="F82" s="1323" t="s">
        <v>1321</v>
      </c>
      <c r="G82" s="1870">
        <f t="shared" si="47"/>
        <v>0</v>
      </c>
      <c r="H82" s="1260">
        <f t="shared" si="21"/>
        <v>538</v>
      </c>
      <c r="I82" s="1260">
        <f t="shared" si="22"/>
        <v>0</v>
      </c>
      <c r="J82" s="1260">
        <f>I82*$J$53</f>
        <v>0</v>
      </c>
      <c r="K82" s="1260">
        <f t="shared" si="36"/>
        <v>0</v>
      </c>
      <c r="L82" s="1260">
        <f t="shared" si="37"/>
        <v>0</v>
      </c>
      <c r="M82" s="1261">
        <f t="shared" si="38"/>
        <v>0</v>
      </c>
      <c r="N82" s="1262"/>
      <c r="O82" s="1259">
        <f t="shared" si="39"/>
        <v>0</v>
      </c>
      <c r="P82" s="1260">
        <f t="shared" si="40"/>
        <v>0</v>
      </c>
      <c r="Q82" s="1260">
        <f>+P82*0.15</f>
        <v>0</v>
      </c>
      <c r="R82" s="1263">
        <f t="shared" si="41"/>
        <v>0</v>
      </c>
      <c r="S82" s="1264">
        <f t="shared" si="42"/>
        <v>0</v>
      </c>
      <c r="T82" s="1265">
        <f t="shared" si="43"/>
        <v>0</v>
      </c>
      <c r="U82" s="1266">
        <f t="shared" si="44"/>
        <v>0</v>
      </c>
      <c r="V82" s="1265">
        <f t="shared" si="45"/>
        <v>0</v>
      </c>
      <c r="W82" s="1291">
        <f t="shared" si="46"/>
        <v>0</v>
      </c>
    </row>
    <row r="83" spans="2:23" ht="17.399999999999999" thickTop="1" thickBot="1">
      <c r="B83" s="2034" t="s">
        <v>1882</v>
      </c>
      <c r="C83" s="1407">
        <f>SUM(C54:C82)</f>
        <v>22</v>
      </c>
      <c r="D83" s="1408"/>
      <c r="E83" s="1407"/>
      <c r="F83" s="1407"/>
      <c r="G83" s="1292">
        <f>SUM(G54:G82)</f>
        <v>2288</v>
      </c>
      <c r="H83" s="1293" t="s">
        <v>664</v>
      </c>
      <c r="I83" s="1294">
        <f>SUM(I54:I82)</f>
        <v>1692548</v>
      </c>
      <c r="J83" s="1294">
        <f>SUM(J54:J82)</f>
        <v>514714.68749999994</v>
      </c>
      <c r="K83" s="1294">
        <f>SUM(K54:K82)</f>
        <v>0</v>
      </c>
      <c r="L83" s="1294">
        <f>SUM(L54:L82)</f>
        <v>2207262.6875</v>
      </c>
      <c r="M83" s="1295">
        <f>SUM(M54:M82)</f>
        <v>2996852.5031249998</v>
      </c>
      <c r="N83" s="1296"/>
      <c r="O83" s="1292">
        <f t="shared" ref="O83:W83" si="48">SUM(O54:O82)</f>
        <v>2288</v>
      </c>
      <c r="P83" s="1294">
        <f t="shared" si="48"/>
        <v>214500</v>
      </c>
      <c r="Q83" s="1294">
        <f t="shared" si="48"/>
        <v>33150</v>
      </c>
      <c r="R83" s="1297">
        <f t="shared" si="48"/>
        <v>247650</v>
      </c>
      <c r="S83" s="1298">
        <f t="shared" si="48"/>
        <v>513188.57484374993</v>
      </c>
      <c r="T83" s="1299">
        <f t="shared" si="48"/>
        <v>706160</v>
      </c>
      <c r="U83" s="1300">
        <f t="shared" si="48"/>
        <v>1219348.5748437501</v>
      </c>
      <c r="V83" s="1300">
        <f t="shared" si="48"/>
        <v>3426611.2623437499</v>
      </c>
      <c r="W83" s="1301">
        <f t="shared" si="48"/>
        <v>-429758.75921875006</v>
      </c>
    </row>
    <row r="84" spans="2:23" ht="17.399999999999999" thickTop="1" thickBot="1">
      <c r="B84" s="2035" t="s">
        <v>1883</v>
      </c>
      <c r="C84" s="2036"/>
      <c r="D84" s="2036"/>
      <c r="E84" s="2036"/>
      <c r="F84" s="2036"/>
      <c r="G84" s="1302">
        <f>G51+G83</f>
        <v>5928</v>
      </c>
      <c r="H84" s="1303" t="s">
        <v>664</v>
      </c>
      <c r="I84" s="1304">
        <f>I51+I83</f>
        <v>6059426.75</v>
      </c>
      <c r="J84" s="1304">
        <f>J51+J83</f>
        <v>1271050.21875</v>
      </c>
      <c r="K84" s="1304">
        <f>K51+K83</f>
        <v>0</v>
      </c>
      <c r="L84" s="1304">
        <f>L51+L83</f>
        <v>7330476.96875</v>
      </c>
      <c r="M84" s="1305">
        <f>M83+M51</f>
        <v>10643168.676562501</v>
      </c>
      <c r="N84" s="1306"/>
      <c r="O84" s="1302">
        <f t="shared" ref="O84:V84" si="49">O51+O83</f>
        <v>5928</v>
      </c>
      <c r="P84" s="1304">
        <f t="shared" si="49"/>
        <v>669500</v>
      </c>
      <c r="Q84" s="1304">
        <f t="shared" si="49"/>
        <v>113100</v>
      </c>
      <c r="R84" s="1304">
        <f t="shared" si="49"/>
        <v>782600</v>
      </c>
      <c r="S84" s="1307">
        <f t="shared" si="49"/>
        <v>1704335.8952343748</v>
      </c>
      <c r="T84" s="1308">
        <f t="shared" si="49"/>
        <v>1740960</v>
      </c>
      <c r="U84" s="1309">
        <f t="shared" si="49"/>
        <v>3445295.8952343753</v>
      </c>
      <c r="V84" s="1309">
        <f t="shared" si="49"/>
        <v>10775772.863984376</v>
      </c>
      <c r="W84" s="1871">
        <f>W51+W83+W116+W91</f>
        <v>-118302.63899609321</v>
      </c>
    </row>
    <row r="85" spans="2:23" ht="16.8" thickTop="1">
      <c r="B85" s="1279"/>
      <c r="C85" s="1279"/>
      <c r="D85" s="1279"/>
      <c r="E85" s="1279"/>
      <c r="F85" s="1279"/>
      <c r="G85" s="1279"/>
      <c r="H85" s="1279"/>
      <c r="I85" s="1279"/>
      <c r="J85" s="1279"/>
      <c r="K85" s="1310"/>
      <c r="L85" s="1311"/>
      <c r="M85" s="1310"/>
      <c r="N85" s="1312"/>
      <c r="O85" s="1311"/>
      <c r="P85" s="1279"/>
      <c r="Q85" s="1279"/>
      <c r="R85" s="1279"/>
      <c r="W85" s="1313"/>
    </row>
    <row r="86" spans="2:23" ht="16.8" thickBot="1">
      <c r="B86" s="1279"/>
      <c r="C86" s="1279"/>
      <c r="D86" s="1279"/>
      <c r="E86" s="1279"/>
      <c r="F86" s="1279"/>
      <c r="G86" s="1279"/>
      <c r="H86" s="1279"/>
      <c r="I86" s="1279"/>
      <c r="J86" s="1279"/>
      <c r="K86" s="1310"/>
      <c r="L86" s="1311"/>
      <c r="M86" s="1310"/>
      <c r="N86" s="1314"/>
      <c r="O86" s="1311"/>
      <c r="P86" s="1279"/>
      <c r="Q86" s="1279"/>
      <c r="R86" s="1279"/>
      <c r="W86" s="1313"/>
    </row>
    <row r="87" spans="2:23" ht="17.399999999999999" thickTop="1" thickBot="1">
      <c r="B87" s="1315" t="s">
        <v>1914</v>
      </c>
      <c r="C87" s="1316"/>
      <c r="D87" s="1317" t="s">
        <v>1915</v>
      </c>
      <c r="E87" s="1317" t="s">
        <v>1916</v>
      </c>
      <c r="F87" s="1317" t="s">
        <v>1917</v>
      </c>
      <c r="G87" s="1317" t="s">
        <v>2168</v>
      </c>
      <c r="H87" s="1317" t="s">
        <v>1918</v>
      </c>
      <c r="I87" s="1316"/>
      <c r="J87" s="1318">
        <v>0</v>
      </c>
      <c r="K87" s="1316"/>
      <c r="L87" s="1316"/>
      <c r="M87" s="1316"/>
      <c r="N87" s="1315"/>
      <c r="O87" s="1316"/>
      <c r="P87" s="1317" t="s">
        <v>388</v>
      </c>
      <c r="Q87" s="1317" t="s">
        <v>2174</v>
      </c>
      <c r="R87" s="1317" t="s">
        <v>1372</v>
      </c>
      <c r="S87" s="1319"/>
      <c r="T87" s="1319"/>
      <c r="U87" s="1319"/>
      <c r="V87" s="1319"/>
      <c r="W87" s="1320"/>
    </row>
    <row r="88" spans="2:23" ht="16.8" thickTop="1">
      <c r="B88" s="1321"/>
      <c r="C88" s="1322"/>
      <c r="D88" s="1323"/>
      <c r="E88" s="1323"/>
      <c r="F88" s="1323"/>
      <c r="G88" s="1259">
        <v>0</v>
      </c>
      <c r="H88" s="1324">
        <v>0</v>
      </c>
      <c r="I88" s="1260">
        <f>G88*H88</f>
        <v>0</v>
      </c>
      <c r="J88" s="1260">
        <f>I88*$J$87</f>
        <v>0</v>
      </c>
      <c r="K88" s="1260">
        <f>(I88+J88)*$F$105</f>
        <v>0</v>
      </c>
      <c r="L88" s="1260">
        <f>SUM(I88:K88)</f>
        <v>0</v>
      </c>
      <c r="M88" s="1261">
        <f>L88*$M$13</f>
        <v>0</v>
      </c>
      <c r="N88" s="1262"/>
      <c r="O88" s="1325"/>
      <c r="P88" s="1260">
        <f>D88*E88</f>
        <v>0</v>
      </c>
      <c r="Q88" s="1260">
        <f>D88*F88</f>
        <v>0</v>
      </c>
      <c r="R88" s="1263">
        <f>P88+Q88</f>
        <v>0</v>
      </c>
      <c r="S88" s="1264">
        <f>L88*($Q$102+$Q$104)-J88*$Q$104</f>
        <v>0</v>
      </c>
      <c r="T88" s="1265">
        <f>IF(O88=0,0,IF(F88=$J$100,(O88*$K$100+Z88*$M$100),IF(F88=$J$101,(O88*$K$101+Z88*$M$101),IF(F88=$J$102,(O88*$K$102+Z88*$M$102),IF(F88=$J$103,(O88*$K$103),IF(F88=$J$104,0,0))))))</f>
        <v>0</v>
      </c>
      <c r="U88" s="1266">
        <f>S88+T88</f>
        <v>0</v>
      </c>
      <c r="V88" s="1265">
        <f>U88+L88</f>
        <v>0</v>
      </c>
      <c r="W88" s="1267">
        <f>M88-V88</f>
        <v>0</v>
      </c>
    </row>
    <row r="89" spans="2:23">
      <c r="B89" s="1321" t="s">
        <v>1417</v>
      </c>
      <c r="C89" s="1322"/>
      <c r="D89" s="1872">
        <v>36</v>
      </c>
      <c r="E89" s="1326">
        <v>500</v>
      </c>
      <c r="F89" s="1326">
        <v>980</v>
      </c>
      <c r="G89" s="1872">
        <f>D89</f>
        <v>36</v>
      </c>
      <c r="H89" s="1327">
        <f>H90/2</f>
        <v>1625</v>
      </c>
      <c r="I89" s="1260">
        <f>G89*H89</f>
        <v>58500</v>
      </c>
      <c r="J89" s="1260">
        <f>I89*$J$87</f>
        <v>0</v>
      </c>
      <c r="K89" s="1260">
        <f>SUM(I89:J89)*$F$105</f>
        <v>0</v>
      </c>
      <c r="L89" s="1260">
        <f>SUM(I89:K89)</f>
        <v>58500</v>
      </c>
      <c r="M89" s="1261">
        <f>L89*$M$13</f>
        <v>100912.5</v>
      </c>
      <c r="N89" s="1262"/>
      <c r="O89" s="1325"/>
      <c r="P89" s="1260">
        <f>D89*E89</f>
        <v>18000</v>
      </c>
      <c r="Q89" s="1260">
        <f>D89*F89</f>
        <v>35280</v>
      </c>
      <c r="R89" s="1263">
        <f>P89+Q89</f>
        <v>53280</v>
      </c>
      <c r="S89" s="1264">
        <f>L89*($Q$102+$Q$104)-J89*$Q$104</f>
        <v>11407.5</v>
      </c>
      <c r="T89" s="1265">
        <f>IF(O89=0,0,IF(F89=$J$100,(O89*$K$100+Z89*$M$100),IF(F89=$J$101,(O89*$K$101+Z89*$M$101),IF(F89=$J$102,(O89*$K$102+Z89*$M$102),IF(F89=$J$103,(O89*$K$103),IF(F89=$J$104,0,0))))))</f>
        <v>0</v>
      </c>
      <c r="U89" s="1266">
        <f>S89+T89</f>
        <v>11407.5</v>
      </c>
      <c r="V89" s="1265">
        <f>U89+L89</f>
        <v>69907.5</v>
      </c>
      <c r="W89" s="1267">
        <f>M89-V89</f>
        <v>31005</v>
      </c>
    </row>
    <row r="90" spans="2:23" ht="16.8" thickBot="1">
      <c r="B90" s="1281" t="s">
        <v>1418</v>
      </c>
      <c r="C90" s="1328"/>
      <c r="D90" s="1872">
        <v>36</v>
      </c>
      <c r="E90" s="1329">
        <v>500</v>
      </c>
      <c r="F90" s="1329">
        <v>500</v>
      </c>
      <c r="G90" s="1330">
        <f>D90</f>
        <v>36</v>
      </c>
      <c r="H90" s="1331">
        <v>3250</v>
      </c>
      <c r="I90" s="1332">
        <f>+G90*H90</f>
        <v>117000</v>
      </c>
      <c r="J90" s="1332">
        <f>I90*$J$87</f>
        <v>0</v>
      </c>
      <c r="K90" s="1260">
        <f>SUM(I90:J90)*$F$105</f>
        <v>0</v>
      </c>
      <c r="L90" s="1260">
        <f>SUM(I90:K90)</f>
        <v>117000</v>
      </c>
      <c r="M90" s="1261">
        <f>L90*$M$13</f>
        <v>201825</v>
      </c>
      <c r="N90" s="1268"/>
      <c r="O90" s="1325"/>
      <c r="P90" s="1332">
        <f>D90*E90</f>
        <v>18000</v>
      </c>
      <c r="Q90" s="1332">
        <f>D90*F90</f>
        <v>18000</v>
      </c>
      <c r="R90" s="1333">
        <f>P90+Q90</f>
        <v>36000</v>
      </c>
      <c r="S90" s="1264">
        <f>L90*($Q$102+$Q$104)-J90*$Q$104</f>
        <v>22815</v>
      </c>
      <c r="T90" s="1334">
        <f>IF(O90=0,0,IF(F90=$J$100,(O90*$K$100+Z90*$M$100),IF(F90=$J$101,(O90*$K$101+Z90*$M$101),IF(F90=$J$102,(O90*$K$102+Z90*$M$102),IF(F90=$J$103,(O90*$K$103),IF(F90=$J$104,0,0))))))</f>
        <v>0</v>
      </c>
      <c r="U90" s="1335">
        <f>S90+T90</f>
        <v>22815</v>
      </c>
      <c r="V90" s="1334">
        <f>U90+L90</f>
        <v>139815</v>
      </c>
      <c r="W90" s="1336">
        <f>M90-V90</f>
        <v>62010</v>
      </c>
    </row>
    <row r="91" spans="2:23" ht="17.399999999999999" thickTop="1" thickBot="1">
      <c r="B91" s="1337" t="s">
        <v>478</v>
      </c>
      <c r="C91" s="1338"/>
      <c r="D91" s="1338"/>
      <c r="E91" s="1338"/>
      <c r="F91" s="1338"/>
      <c r="G91" s="1269">
        <f>SUM(G89:G90)</f>
        <v>72</v>
      </c>
      <c r="H91" s="1270" t="s">
        <v>664</v>
      </c>
      <c r="I91" s="1271">
        <f>SUM(I88:I90)</f>
        <v>175500</v>
      </c>
      <c r="J91" s="1271">
        <f>SUM(J88:J90)</f>
        <v>0</v>
      </c>
      <c r="K91" s="1271">
        <f>SUM(K88:K90)</f>
        <v>0</v>
      </c>
      <c r="L91" s="1271">
        <f>SUM(L88:L90)</f>
        <v>175500</v>
      </c>
      <c r="M91" s="1272">
        <f>SUM(M88:M90)</f>
        <v>302737.5</v>
      </c>
      <c r="N91" s="1273"/>
      <c r="O91" s="1269"/>
      <c r="P91" s="1269">
        <f t="shared" ref="P91:W91" si="50">SUM(P88:P90)</f>
        <v>36000</v>
      </c>
      <c r="Q91" s="1269">
        <f t="shared" si="50"/>
        <v>53280</v>
      </c>
      <c r="R91" s="1274">
        <f t="shared" si="50"/>
        <v>89280</v>
      </c>
      <c r="S91" s="1275">
        <f t="shared" si="50"/>
        <v>34222.5</v>
      </c>
      <c r="T91" s="1276">
        <f t="shared" si="50"/>
        <v>0</v>
      </c>
      <c r="U91" s="1277">
        <f t="shared" si="50"/>
        <v>34222.5</v>
      </c>
      <c r="V91" s="1277">
        <f t="shared" si="50"/>
        <v>209722.5</v>
      </c>
      <c r="W91" s="1278">
        <f t="shared" si="50"/>
        <v>93015</v>
      </c>
    </row>
    <row r="92" spans="2:23" ht="17.399999999999999" thickTop="1" thickBot="1">
      <c r="B92" s="1279"/>
      <c r="C92" s="1279"/>
      <c r="D92" s="1279"/>
      <c r="E92" s="1279"/>
      <c r="F92" s="1279"/>
      <c r="G92" s="1279"/>
      <c r="H92" s="1279"/>
      <c r="I92" s="1279"/>
      <c r="J92" s="1279"/>
      <c r="K92" s="1279"/>
      <c r="L92" s="1279"/>
      <c r="M92" s="1279"/>
      <c r="N92" s="1279"/>
      <c r="O92" s="1279"/>
      <c r="P92" s="1279"/>
      <c r="Q92" s="1279"/>
      <c r="R92" s="1279"/>
    </row>
    <row r="93" spans="2:23" ht="18" thickBot="1">
      <c r="B93" s="1279"/>
      <c r="C93" s="1279"/>
      <c r="D93" s="1279"/>
      <c r="E93" s="1279"/>
      <c r="F93" s="1279"/>
      <c r="G93" s="1279"/>
      <c r="H93" s="1279"/>
      <c r="I93" s="1279"/>
      <c r="J93" s="1339" t="s">
        <v>1422</v>
      </c>
      <c r="K93" s="1279"/>
      <c r="L93" s="1340">
        <f>+L91+L84+L116</f>
        <v>8379791.1734375004</v>
      </c>
      <c r="M93" s="1340">
        <f>(+M91+M84+M116)*1.1</f>
        <v>13294098.10549219</v>
      </c>
      <c r="N93" s="1279"/>
      <c r="O93" s="1279"/>
      <c r="P93" s="1341" t="s">
        <v>479</v>
      </c>
      <c r="Q93" s="1279"/>
      <c r="R93" s="1340">
        <f>+R91+R84+R116</f>
        <v>1228248.75</v>
      </c>
    </row>
    <row r="94" spans="2:23" ht="17.399999999999999">
      <c r="B94" s="1279"/>
      <c r="C94" s="1279"/>
      <c r="D94" s="1279"/>
      <c r="E94" s="1279"/>
      <c r="F94" s="1279"/>
      <c r="G94" s="1279"/>
      <c r="H94" s="1279"/>
      <c r="I94" s="1279"/>
      <c r="J94" s="1339"/>
      <c r="K94" s="1279"/>
      <c r="L94" s="1342"/>
      <c r="M94" s="1342"/>
      <c r="N94" s="1279"/>
      <c r="O94" s="1279"/>
      <c r="P94" s="1341"/>
      <c r="Q94" s="1279"/>
      <c r="R94" s="1342"/>
    </row>
    <row r="95" spans="2:23" ht="17.399999999999999">
      <c r="B95" s="1279"/>
      <c r="C95" s="1279"/>
      <c r="D95" s="1279"/>
      <c r="E95" s="1279"/>
      <c r="F95" s="1279"/>
      <c r="G95" s="1279"/>
      <c r="H95" s="1279"/>
      <c r="I95" s="1279"/>
      <c r="J95" s="1339"/>
      <c r="K95" s="1279"/>
      <c r="L95" s="1342"/>
      <c r="M95" s="1342"/>
      <c r="N95" s="1279"/>
      <c r="O95" s="1279"/>
      <c r="P95" s="1341"/>
      <c r="Q95" s="1279"/>
      <c r="R95" s="1342"/>
    </row>
    <row r="96" spans="2:23" ht="16.8" thickBot="1">
      <c r="B96" s="1279"/>
      <c r="C96" s="1279"/>
      <c r="D96" s="1279"/>
      <c r="E96" s="1279"/>
      <c r="F96" s="1279"/>
      <c r="G96" s="1279"/>
      <c r="H96" s="1279"/>
      <c r="I96" s="1279"/>
      <c r="J96" s="1279"/>
      <c r="K96" s="1341"/>
      <c r="L96" s="1279"/>
      <c r="M96" s="1279"/>
      <c r="N96" s="1279"/>
      <c r="O96" s="1279"/>
      <c r="P96" s="1279"/>
      <c r="Q96" s="1279"/>
      <c r="R96" s="1279"/>
    </row>
    <row r="97" spans="2:23" ht="17.399999999999999" thickTop="1" thickBot="1">
      <c r="B97" s="1279"/>
      <c r="C97" s="1279"/>
      <c r="D97" s="1279"/>
      <c r="E97" s="1279"/>
      <c r="F97" s="1279"/>
      <c r="G97" s="1279"/>
      <c r="H97" s="1279"/>
      <c r="I97" s="1279"/>
      <c r="J97" s="1279"/>
      <c r="K97" s="1279"/>
      <c r="L97" s="1279"/>
      <c r="M97" s="1279"/>
      <c r="N97" s="1279"/>
      <c r="O97" s="1315" t="s">
        <v>480</v>
      </c>
      <c r="P97" s="1316"/>
      <c r="Q97" s="1317" t="s">
        <v>481</v>
      </c>
      <c r="R97" s="1343" t="s">
        <v>330</v>
      </c>
      <c r="S97" s="1344" t="s">
        <v>554</v>
      </c>
      <c r="T97" s="1345" t="s">
        <v>482</v>
      </c>
    </row>
    <row r="98" spans="2:23" ht="17.399999999999999" thickTop="1" thickBot="1">
      <c r="B98" s="1279"/>
      <c r="C98" s="1279"/>
      <c r="D98" s="1279"/>
      <c r="E98" s="1279"/>
      <c r="F98" s="1279"/>
      <c r="G98" s="1279"/>
      <c r="H98" s="1279"/>
      <c r="I98" s="1279"/>
      <c r="J98" s="1279"/>
      <c r="K98" s="1279"/>
      <c r="L98" s="1279"/>
      <c r="M98" s="1279"/>
      <c r="N98" s="1279"/>
      <c r="O98" s="1281" t="s">
        <v>1759</v>
      </c>
      <c r="P98" s="1346" t="s">
        <v>483</v>
      </c>
      <c r="Q98" s="1347">
        <v>7.2999999999999995E-2</v>
      </c>
      <c r="R98" s="1348">
        <v>9000</v>
      </c>
      <c r="S98" s="1349"/>
      <c r="T98" s="1284"/>
    </row>
    <row r="99" spans="2:23" ht="17.399999999999999" thickTop="1" thickBot="1">
      <c r="B99" s="1350" t="s">
        <v>484</v>
      </c>
      <c r="C99" s="1317"/>
      <c r="D99" s="1317" t="s">
        <v>2096</v>
      </c>
      <c r="E99" s="1317" t="s">
        <v>2159</v>
      </c>
      <c r="F99" s="1316"/>
      <c r="G99" s="1317" t="s">
        <v>2097</v>
      </c>
      <c r="H99" s="1343" t="s">
        <v>2098</v>
      </c>
      <c r="I99" s="1351" t="s">
        <v>1838</v>
      </c>
      <c r="J99" s="1317" t="s">
        <v>2096</v>
      </c>
      <c r="K99" s="1317" t="s">
        <v>2159</v>
      </c>
      <c r="L99" s="1316"/>
      <c r="M99" s="1352"/>
      <c r="N99" s="1279"/>
      <c r="O99" s="1281" t="s">
        <v>1760</v>
      </c>
      <c r="P99" s="1279" t="s">
        <v>1839</v>
      </c>
      <c r="Q99" s="1353">
        <v>8.0000000000000002E-3</v>
      </c>
      <c r="R99" s="1354">
        <v>7000</v>
      </c>
      <c r="S99" s="1349"/>
      <c r="T99" s="1284"/>
    </row>
    <row r="100" spans="2:23" ht="16.8" thickTop="1">
      <c r="B100" s="1281" t="s">
        <v>1769</v>
      </c>
      <c r="C100" s="1328"/>
      <c r="D100" s="1355" t="s">
        <v>2163</v>
      </c>
      <c r="E100" s="1356">
        <f>G100*H100</f>
        <v>525</v>
      </c>
      <c r="F100" s="1279" t="s">
        <v>1840</v>
      </c>
      <c r="G100" s="1357">
        <f>87.5</f>
        <v>87.5</v>
      </c>
      <c r="H100" s="1358">
        <v>6</v>
      </c>
      <c r="I100" s="1281" t="s">
        <v>1841</v>
      </c>
      <c r="J100" s="1355" t="s">
        <v>2164</v>
      </c>
      <c r="K100" s="2038">
        <v>325</v>
      </c>
      <c r="L100" s="1279" t="s">
        <v>1842</v>
      </c>
      <c r="M100" s="1359">
        <v>0</v>
      </c>
      <c r="N100" s="1279"/>
      <c r="O100" s="1281" t="s">
        <v>1843</v>
      </c>
      <c r="P100" s="1279" t="s">
        <v>1839</v>
      </c>
      <c r="Q100" s="1353">
        <v>6.2E-2</v>
      </c>
      <c r="R100" s="1354">
        <v>90000</v>
      </c>
      <c r="S100" s="1349"/>
      <c r="T100" s="1284"/>
    </row>
    <row r="101" spans="2:23">
      <c r="B101" s="1281" t="s">
        <v>890</v>
      </c>
      <c r="C101" s="1328"/>
      <c r="D101" s="1355" t="s">
        <v>2165</v>
      </c>
      <c r="E101" s="1360">
        <f>17500*1.04</f>
        <v>18200</v>
      </c>
      <c r="F101" s="1279" t="s">
        <v>891</v>
      </c>
      <c r="G101" s="1279"/>
      <c r="H101" s="1282"/>
      <c r="I101" s="1281" t="s">
        <v>1320</v>
      </c>
      <c r="J101" s="1355" t="s">
        <v>1321</v>
      </c>
      <c r="K101" s="2038">
        <v>265</v>
      </c>
      <c r="L101" s="1279" t="s">
        <v>1842</v>
      </c>
      <c r="M101" s="1359">
        <v>0</v>
      </c>
      <c r="N101" s="1279"/>
      <c r="O101" s="1281" t="s">
        <v>1322</v>
      </c>
      <c r="P101" s="1279" t="s">
        <v>1839</v>
      </c>
      <c r="Q101" s="1353">
        <v>1.4500000000000001E-2</v>
      </c>
      <c r="R101" s="1361" t="s">
        <v>1323</v>
      </c>
      <c r="T101" s="1284"/>
    </row>
    <row r="102" spans="2:23">
      <c r="B102" s="1281" t="s">
        <v>1324</v>
      </c>
      <c r="C102" s="1328"/>
      <c r="D102" s="1355" t="s">
        <v>665</v>
      </c>
      <c r="E102" s="1279">
        <f>0*1.04</f>
        <v>0</v>
      </c>
      <c r="F102" s="1279"/>
      <c r="G102" s="1279"/>
      <c r="H102" s="1282"/>
      <c r="I102" s="1281" t="s">
        <v>1325</v>
      </c>
      <c r="J102" s="1355" t="s">
        <v>2163</v>
      </c>
      <c r="K102" s="2038">
        <v>150</v>
      </c>
      <c r="L102" s="1279" t="s">
        <v>1842</v>
      </c>
      <c r="M102" s="1359">
        <v>0</v>
      </c>
      <c r="N102" s="1279"/>
      <c r="O102" s="1362" t="s">
        <v>1776</v>
      </c>
      <c r="P102" s="1279"/>
      <c r="Q102" s="1353">
        <f>SUM(Q98:Q101)</f>
        <v>0.1575</v>
      </c>
      <c r="R102" s="1361"/>
      <c r="T102" s="1284"/>
    </row>
    <row r="103" spans="2:23">
      <c r="B103" s="1281" t="s">
        <v>328</v>
      </c>
      <c r="C103" s="1328"/>
      <c r="D103" s="1355" t="s">
        <v>1326</v>
      </c>
      <c r="E103" s="1356">
        <v>850</v>
      </c>
      <c r="F103" s="1279" t="s">
        <v>891</v>
      </c>
      <c r="G103" s="1279"/>
      <c r="H103" s="1282"/>
      <c r="I103" s="1281" t="s">
        <v>923</v>
      </c>
      <c r="J103" s="1355" t="s">
        <v>114</v>
      </c>
      <c r="K103" s="1363">
        <v>0</v>
      </c>
      <c r="L103" s="1279" t="s">
        <v>1842</v>
      </c>
      <c r="M103" s="1359">
        <v>0</v>
      </c>
      <c r="N103" s="1279"/>
      <c r="O103" s="1281" t="s">
        <v>115</v>
      </c>
      <c r="P103" s="1346" t="s">
        <v>483</v>
      </c>
      <c r="Q103" s="1353">
        <f>(+S103*T103)/100</f>
        <v>7.4999999999999997E-2</v>
      </c>
      <c r="R103" s="1361" t="s">
        <v>1323</v>
      </c>
      <c r="S103" s="1364">
        <v>7.5</v>
      </c>
      <c r="T103" s="1284">
        <v>1</v>
      </c>
    </row>
    <row r="104" spans="2:23" ht="16.8" thickBot="1">
      <c r="B104" s="1365"/>
      <c r="C104" s="1366"/>
      <c r="D104" s="1366"/>
      <c r="E104" s="1366"/>
      <c r="F104" s="1366"/>
      <c r="G104" s="1366"/>
      <c r="H104" s="1367"/>
      <c r="I104" s="1365" t="s">
        <v>116</v>
      </c>
      <c r="J104" s="1368" t="s">
        <v>524</v>
      </c>
      <c r="K104" s="1369">
        <v>0</v>
      </c>
      <c r="L104" s="1366" t="s">
        <v>1842</v>
      </c>
      <c r="M104" s="1370">
        <v>0</v>
      </c>
      <c r="N104" s="1279"/>
      <c r="O104" s="1365" t="s">
        <v>525</v>
      </c>
      <c r="P104" s="1371" t="s">
        <v>483</v>
      </c>
      <c r="Q104" s="1372">
        <f>(+S104*T104)/100</f>
        <v>3.7499999999999999E-2</v>
      </c>
      <c r="R104" s="1373" t="s">
        <v>1323</v>
      </c>
      <c r="S104" s="1374">
        <v>3.75</v>
      </c>
      <c r="T104" s="1375">
        <v>1</v>
      </c>
    </row>
    <row r="105" spans="2:23" ht="17.399999999999999" thickTop="1" thickBot="1">
      <c r="B105" s="1279" t="s">
        <v>2160</v>
      </c>
      <c r="C105" s="1279"/>
      <c r="D105" s="1279" t="s">
        <v>526</v>
      </c>
      <c r="E105" s="1347"/>
      <c r="F105" s="1353">
        <v>0</v>
      </c>
      <c r="G105" s="1376" t="s">
        <v>527</v>
      </c>
      <c r="H105" s="1279"/>
      <c r="I105" s="1279"/>
      <c r="J105" s="1279"/>
      <c r="K105" s="1279"/>
      <c r="L105" s="1279"/>
      <c r="M105" s="1279"/>
      <c r="N105" s="1279"/>
      <c r="O105" s="1279"/>
      <c r="P105" s="1279"/>
      <c r="Q105" s="1279"/>
      <c r="R105" s="1279"/>
    </row>
    <row r="106" spans="2:23" ht="20.399999999999999" thickBot="1">
      <c r="B106" s="1279"/>
      <c r="C106" s="1279"/>
      <c r="D106" s="1279"/>
      <c r="E106" s="1279"/>
      <c r="F106" s="1279"/>
      <c r="G106" s="1279"/>
      <c r="H106" s="1279"/>
      <c r="I106" s="1280">
        <f>L93-(J83+J116)</f>
        <v>7631621.28125</v>
      </c>
      <c r="J106" s="1377">
        <f>R106/I106</f>
        <v>1.902917652789178</v>
      </c>
      <c r="K106" s="1279"/>
      <c r="L106" s="1279">
        <f>R106/L93</f>
        <v>1.7330201379630481</v>
      </c>
      <c r="M106" s="1279"/>
      <c r="N106" s="1279"/>
      <c r="O106" s="3308" t="s">
        <v>1426</v>
      </c>
      <c r="P106" s="3309"/>
      <c r="Q106" s="3310"/>
      <c r="R106" s="1873">
        <f>R93+M93</f>
        <v>14522346.85549219</v>
      </c>
    </row>
    <row r="107" spans="2:23" ht="16.8" thickBot="1">
      <c r="B107" s="1279"/>
      <c r="C107" s="1279"/>
      <c r="D107" s="1279"/>
      <c r="E107" s="1279"/>
      <c r="F107" s="1279"/>
      <c r="G107" s="1279"/>
      <c r="H107" s="1279"/>
      <c r="I107" s="1279"/>
      <c r="J107" s="1279"/>
      <c r="K107" s="1279"/>
      <c r="L107" s="1279"/>
      <c r="M107" s="1279"/>
      <c r="N107" s="1279"/>
      <c r="O107" s="1279"/>
      <c r="P107" s="1279"/>
      <c r="Q107" s="1279"/>
      <c r="R107" s="1279"/>
    </row>
    <row r="108" spans="2:23" ht="17.399999999999999" thickTop="1" thickBot="1">
      <c r="B108" s="1378" t="s">
        <v>1164</v>
      </c>
      <c r="C108" s="1379"/>
      <c r="D108" s="1380"/>
      <c r="E108" s="1380"/>
      <c r="F108" s="1381" t="s">
        <v>1656</v>
      </c>
      <c r="G108" s="1381" t="s">
        <v>1657</v>
      </c>
      <c r="H108" s="1381" t="s">
        <v>1658</v>
      </c>
      <c r="I108" s="1382" t="s">
        <v>1659</v>
      </c>
      <c r="J108" s="1380" t="s">
        <v>1660</v>
      </c>
      <c r="K108" s="1380"/>
      <c r="L108" s="1381" t="s">
        <v>839</v>
      </c>
      <c r="M108" s="1383" t="s">
        <v>1661</v>
      </c>
      <c r="N108" s="1384"/>
      <c r="O108" s="1381" t="s">
        <v>1782</v>
      </c>
      <c r="P108" s="1381"/>
      <c r="Q108" s="1381" t="s">
        <v>329</v>
      </c>
      <c r="R108" s="1385" t="s">
        <v>839</v>
      </c>
      <c r="S108" s="1223" t="s">
        <v>387</v>
      </c>
      <c r="T108" s="1219" t="s">
        <v>1656</v>
      </c>
      <c r="U108" s="1224" t="s">
        <v>1372</v>
      </c>
      <c r="V108" s="1219" t="s">
        <v>1372</v>
      </c>
      <c r="W108" s="1225" t="s">
        <v>1372</v>
      </c>
    </row>
    <row r="109" spans="2:23" ht="16.8" thickTop="1">
      <c r="B109" s="1386"/>
      <c r="C109" s="1328"/>
      <c r="D109" s="1387" t="s">
        <v>388</v>
      </c>
      <c r="E109" s="1387"/>
      <c r="F109" s="1387" t="s">
        <v>389</v>
      </c>
      <c r="G109" s="1387" t="s">
        <v>2168</v>
      </c>
      <c r="H109" s="1387" t="s">
        <v>2169</v>
      </c>
      <c r="I109" s="1388" t="s">
        <v>2170</v>
      </c>
      <c r="J109" s="1387" t="s">
        <v>2171</v>
      </c>
      <c r="K109" s="1389"/>
      <c r="L109" s="1387" t="s">
        <v>210</v>
      </c>
      <c r="M109" s="1390" t="s">
        <v>2172</v>
      </c>
      <c r="N109" s="1362"/>
      <c r="O109" s="1387" t="s">
        <v>2168</v>
      </c>
      <c r="P109" s="1387" t="s">
        <v>2173</v>
      </c>
      <c r="Q109" s="1387" t="s">
        <v>2174</v>
      </c>
      <c r="R109" s="1391" t="s">
        <v>2175</v>
      </c>
      <c r="S109" s="1234" t="s">
        <v>2176</v>
      </c>
      <c r="T109" s="1228" t="s">
        <v>2153</v>
      </c>
      <c r="U109" s="1235" t="s">
        <v>2154</v>
      </c>
      <c r="V109" s="1228" t="s">
        <v>2155</v>
      </c>
      <c r="W109" s="1236" t="s">
        <v>2156</v>
      </c>
    </row>
    <row r="110" spans="2:23" ht="16.8" thickBot="1">
      <c r="B110" s="1392" t="s">
        <v>474</v>
      </c>
      <c r="C110" s="1393"/>
      <c r="D110" s="1394" t="s">
        <v>2157</v>
      </c>
      <c r="E110" s="1394"/>
      <c r="F110" s="1394" t="s">
        <v>2157</v>
      </c>
      <c r="G110" s="1394" t="s">
        <v>2158</v>
      </c>
      <c r="H110" s="1394" t="s">
        <v>1768</v>
      </c>
      <c r="I110" s="1395" t="s">
        <v>2159</v>
      </c>
      <c r="J110" s="1396">
        <v>0.375</v>
      </c>
      <c r="K110" s="1397" t="s">
        <v>2160</v>
      </c>
      <c r="L110" s="1394" t="s">
        <v>1661</v>
      </c>
      <c r="M110" s="1398"/>
      <c r="N110" s="1399"/>
      <c r="O110" s="1394" t="s">
        <v>2158</v>
      </c>
      <c r="P110" s="1400" t="s">
        <v>2159</v>
      </c>
      <c r="Q110" s="1397" t="s">
        <v>2159</v>
      </c>
      <c r="R110" s="1401" t="s">
        <v>2161</v>
      </c>
      <c r="S110" s="1402" t="s">
        <v>2162</v>
      </c>
      <c r="T110" s="1403" t="s">
        <v>2159</v>
      </c>
      <c r="U110" s="1404" t="s">
        <v>2159</v>
      </c>
      <c r="V110" s="1403" t="s">
        <v>2154</v>
      </c>
      <c r="W110" s="1405"/>
    </row>
    <row r="111" spans="2:23" ht="16.8" thickTop="1">
      <c r="B111" s="1321" t="s">
        <v>1487</v>
      </c>
      <c r="C111" s="1322">
        <v>1</v>
      </c>
      <c r="D111" s="1323" t="s">
        <v>2163</v>
      </c>
      <c r="E111" s="1259">
        <v>120</v>
      </c>
      <c r="F111" s="1323" t="s">
        <v>2164</v>
      </c>
      <c r="G111" s="1259">
        <v>75</v>
      </c>
      <c r="H111" s="1260">
        <f>E111*19.23</f>
        <v>2307.6</v>
      </c>
      <c r="I111" s="1260">
        <f>G111*H111</f>
        <v>173070</v>
      </c>
      <c r="J111" s="1260">
        <f>I111*$J$110</f>
        <v>64901.25</v>
      </c>
      <c r="K111" s="1260">
        <f>(I111+J111)*$F$105</f>
        <v>0</v>
      </c>
      <c r="L111" s="1260">
        <f>SUM(I111:K111)</f>
        <v>237971.25</v>
      </c>
      <c r="M111" s="1261">
        <f>((I111+K111)*$M$13)+(J111*0.15)</f>
        <v>308280.9375</v>
      </c>
      <c r="N111" s="1262"/>
      <c r="O111" s="1259">
        <f>G111*$O$10</f>
        <v>75</v>
      </c>
      <c r="P111" s="1671">
        <f>+G111*725</f>
        <v>54375</v>
      </c>
      <c r="Q111" s="1260">
        <f>+P111*0.33</f>
        <v>17943.75</v>
      </c>
      <c r="R111" s="1263">
        <f>P111+Q111</f>
        <v>72318.75</v>
      </c>
      <c r="S111" s="1264">
        <f>L111*($Q$102+$Q$103)</f>
        <v>55328.315624999996</v>
      </c>
      <c r="T111" s="1265">
        <f>IF(O111=0,0,IF(F111=$J$100,(G111*$K$100+L111*$M$100),IF(F111=$J$101,(G111*$K$101+L111*$M$101),IF(F111=$J$102,(G111*$K$102+L111*$M$102),IF(F111=$J$103,(G111*$K$103),IF(F111=$J$104,0,0))))))</f>
        <v>24375</v>
      </c>
      <c r="U111" s="1266">
        <f>S111+T111</f>
        <v>79703.315624999988</v>
      </c>
      <c r="V111" s="1265">
        <f>U111+L111</f>
        <v>317674.56562499999</v>
      </c>
      <c r="W111" s="1267">
        <f>M111-V111</f>
        <v>-9393.6281249999884</v>
      </c>
    </row>
    <row r="112" spans="2:23">
      <c r="B112" s="1321" t="s">
        <v>1118</v>
      </c>
      <c r="C112" s="1322">
        <v>3</v>
      </c>
      <c r="D112" s="1323" t="s">
        <v>2163</v>
      </c>
      <c r="E112" s="1259">
        <v>75</v>
      </c>
      <c r="F112" s="1323" t="s">
        <v>2164</v>
      </c>
      <c r="G112" s="1259">
        <f>C112*45</f>
        <v>135</v>
      </c>
      <c r="H112" s="1260">
        <f>E112*19.23</f>
        <v>1442.25</v>
      </c>
      <c r="I112" s="1260">
        <f>G112*H112</f>
        <v>194703.75</v>
      </c>
      <c r="J112" s="1260">
        <f>I112*$J$110</f>
        <v>73013.90625</v>
      </c>
      <c r="K112" s="1260">
        <f>(I112+J112)*$F$105</f>
        <v>0</v>
      </c>
      <c r="L112" s="1260">
        <f>SUM(I112:K112)</f>
        <v>267717.65625</v>
      </c>
      <c r="M112" s="1261">
        <f>((I112+K112)*$M$13)+(J112*0.15)</f>
        <v>346816.0546875</v>
      </c>
      <c r="N112" s="1262"/>
      <c r="O112" s="1259">
        <f>G112*$O$10</f>
        <v>135</v>
      </c>
      <c r="P112" s="1671">
        <f>+G112*725</f>
        <v>97875</v>
      </c>
      <c r="Q112" s="1260">
        <f>+P112*0.15</f>
        <v>14681.25</v>
      </c>
      <c r="R112" s="1263">
        <f>P112+Q112</f>
        <v>112556.25</v>
      </c>
      <c r="S112" s="1264">
        <f>L112*($Q$102+$Q$103)</f>
        <v>62244.355078124994</v>
      </c>
      <c r="T112" s="1265">
        <f>IF(O112=0,0,IF(F112=$J$100,(G112*$K$100+L112*$M$100),IF(F112=$J$101,(G112*$K$101+L112*$M$101),IF(F112=$J$102,(G112*$K$102+L112*$M$102),IF(F112=$J$103,(G112*$K$103),IF(F112=$J$104,0,0))))))</f>
        <v>43875</v>
      </c>
      <c r="U112" s="1266">
        <f>S112+T112</f>
        <v>106119.35507812499</v>
      </c>
      <c r="V112" s="1265">
        <f>U112+L112</f>
        <v>373837.01132812502</v>
      </c>
      <c r="W112" s="1267">
        <f>M112-V112</f>
        <v>-27020.956640625023</v>
      </c>
    </row>
    <row r="113" spans="2:23">
      <c r="B113" s="1321" t="s">
        <v>2113</v>
      </c>
      <c r="C113" s="1322">
        <v>2</v>
      </c>
      <c r="D113" s="1323" t="s">
        <v>2163</v>
      </c>
      <c r="E113" s="1259">
        <v>80</v>
      </c>
      <c r="F113" s="1323" t="s">
        <v>2164</v>
      </c>
      <c r="G113" s="1259">
        <f>C113*50</f>
        <v>100</v>
      </c>
      <c r="H113" s="1260">
        <f>E113*19.23</f>
        <v>1538.4</v>
      </c>
      <c r="I113" s="1260">
        <f>G113*H113</f>
        <v>153840</v>
      </c>
      <c r="J113" s="1260">
        <f>I113*$J$110</f>
        <v>57690</v>
      </c>
      <c r="K113" s="1260">
        <f>(I113+J113)*$F$105</f>
        <v>0</v>
      </c>
      <c r="L113" s="1260">
        <f>SUM(I113:K113)</f>
        <v>211530</v>
      </c>
      <c r="M113" s="1261">
        <f>((I113+K113)*$M$13)+(J113*0.15)</f>
        <v>274027.5</v>
      </c>
      <c r="N113" s="1262"/>
      <c r="O113" s="1259">
        <f>G113*$O$10</f>
        <v>100</v>
      </c>
      <c r="P113" s="1671">
        <f>+G113*725</f>
        <v>72500</v>
      </c>
      <c r="Q113" s="1260">
        <f>+P113*0.15</f>
        <v>10875</v>
      </c>
      <c r="R113" s="1263">
        <f>P113+Q113</f>
        <v>83375</v>
      </c>
      <c r="S113" s="1264">
        <f>L113*($Q$102+$Q$103)</f>
        <v>49180.724999999999</v>
      </c>
      <c r="T113" s="1265">
        <f>IF(O113=0,0,IF(F113=$J$100,(G113*$K$100+L113*$M$100),IF(F113=$J$101,(G113*$K$101+L113*$M$101),IF(F113=$J$102,(G113*$K$102+L113*$M$102),IF(F113=$J$103,(G113*$K$103),IF(F113=$J$104,0,0))))))</f>
        <v>32500</v>
      </c>
      <c r="U113" s="1266">
        <f>S113+T113</f>
        <v>81680.725000000006</v>
      </c>
      <c r="V113" s="1265">
        <f>U113+L113</f>
        <v>293210.72499999998</v>
      </c>
      <c r="W113" s="1267">
        <f>M113-V113</f>
        <v>-19183.224999999977</v>
      </c>
    </row>
    <row r="114" spans="2:23">
      <c r="B114" s="1321" t="s">
        <v>2114</v>
      </c>
      <c r="C114" s="1322">
        <v>1</v>
      </c>
      <c r="D114" s="1323" t="s">
        <v>2163</v>
      </c>
      <c r="E114" s="1259">
        <v>55</v>
      </c>
      <c r="F114" s="1323" t="s">
        <v>2164</v>
      </c>
      <c r="G114" s="1259">
        <f>C114*55</f>
        <v>55</v>
      </c>
      <c r="H114" s="1260">
        <f>E114*19.23</f>
        <v>1057.6500000000001</v>
      </c>
      <c r="I114" s="1260">
        <f>G114*H114</f>
        <v>58170.750000000007</v>
      </c>
      <c r="J114" s="1260">
        <f>I114*$J$53</f>
        <v>18541.926562500001</v>
      </c>
      <c r="K114" s="1260">
        <f>(I114+J114)*$F$105</f>
        <v>0</v>
      </c>
      <c r="L114" s="1260">
        <f>SUM(I114:K114)</f>
        <v>76712.676562500012</v>
      </c>
      <c r="M114" s="1261">
        <f>((I114+K114)*$M$13)+(J114*0.15)</f>
        <v>103125.83273437501</v>
      </c>
      <c r="N114" s="1262"/>
      <c r="O114" s="1259">
        <f>G114*$O$10</f>
        <v>55</v>
      </c>
      <c r="P114" s="1671">
        <f>+G114*725</f>
        <v>39875</v>
      </c>
      <c r="Q114" s="1260">
        <f>+P114*0.15</f>
        <v>5981.25</v>
      </c>
      <c r="R114" s="1263">
        <f>P114+Q114</f>
        <v>45856.25</v>
      </c>
      <c r="S114" s="1264">
        <f>L114*($Q$102+$Q$103)</f>
        <v>17835.697300781252</v>
      </c>
      <c r="T114" s="1265">
        <f>IF(O114=0,0,IF(F114=$J$100,(G114*$K$100+L114*$M$100),IF(F114=$J$101,(G114*$K$101+L114*$M$101),IF(F114=$J$102,(G114*$K$102+L114*$M$102),IF(F114=$J$103,(G114*$K$103),IF(F114=$J$104,0,0))))))</f>
        <v>17875</v>
      </c>
      <c r="U114" s="1266">
        <f>S114+T114</f>
        <v>35710.697300781248</v>
      </c>
      <c r="V114" s="1265">
        <f>U114+L114</f>
        <v>112423.37386328126</v>
      </c>
      <c r="W114" s="1267">
        <f>M114-V114</f>
        <v>-9297.5411289062467</v>
      </c>
    </row>
    <row r="115" spans="2:23" ht="16.8" thickBot="1">
      <c r="B115" s="1321" t="s">
        <v>1725</v>
      </c>
      <c r="C115" s="1322">
        <v>1</v>
      </c>
      <c r="D115" s="1323" t="s">
        <v>2163</v>
      </c>
      <c r="E115" s="1259">
        <v>45</v>
      </c>
      <c r="F115" s="1323" t="s">
        <v>2164</v>
      </c>
      <c r="G115" s="1259">
        <f>C115*70</f>
        <v>70</v>
      </c>
      <c r="H115" s="1260">
        <f>E115*19.23</f>
        <v>865.35</v>
      </c>
      <c r="I115" s="1260">
        <f>G115*H115</f>
        <v>60574.5</v>
      </c>
      <c r="J115" s="1260">
        <f>I115*$J$53</f>
        <v>19308.121874999997</v>
      </c>
      <c r="K115" s="1260">
        <f>(I115+J115)*$F$105</f>
        <v>0</v>
      </c>
      <c r="L115" s="1260">
        <f>SUM(I115:K115)</f>
        <v>79882.621874999997</v>
      </c>
      <c r="M115" s="1261">
        <f>((I115+K115)*$M$13)+(J115*0.15)</f>
        <v>107387.23078125001</v>
      </c>
      <c r="N115" s="1262"/>
      <c r="O115" s="1259">
        <f>G115*$O$10</f>
        <v>70</v>
      </c>
      <c r="P115" s="1671">
        <f>+G115*525</f>
        <v>36750</v>
      </c>
      <c r="Q115" s="1260">
        <f>+P115*0.15</f>
        <v>5512.5</v>
      </c>
      <c r="R115" s="1263">
        <f>P115+Q115</f>
        <v>42262.5</v>
      </c>
      <c r="S115" s="1264">
        <f>L115*($Q$102+$Q$103)</f>
        <v>18572.709585937497</v>
      </c>
      <c r="T115" s="1265">
        <f>IF(O115=0,0,IF(F115=$J$100,(G115*$K$100+L115*$M$100),IF(F115=$J$101,(G115*$K$101+L115*$M$101),IF(F115=$J$102,(G115*$K$102+L115*$M$102),IF(F115=$J$103,(G115*$K$103),IF(F115=$J$104,0,0))))))</f>
        <v>22750</v>
      </c>
      <c r="U115" s="1266">
        <f>S115+T115</f>
        <v>41322.709585937497</v>
      </c>
      <c r="V115" s="1265">
        <f>U115+L115</f>
        <v>121205.33146093749</v>
      </c>
      <c r="W115" s="1267">
        <f>M115-V115</f>
        <v>-13818.100679687486</v>
      </c>
    </row>
    <row r="116" spans="2:23" ht="17.399999999999999" thickTop="1" thickBot="1">
      <c r="B116" s="1406" t="s">
        <v>1488</v>
      </c>
      <c r="C116" s="1407">
        <f>SUM(C111:C115)</f>
        <v>8</v>
      </c>
      <c r="D116" s="1408"/>
      <c r="E116" s="1338"/>
      <c r="F116" s="1338"/>
      <c r="G116" s="1269">
        <f>SUM(G111:G115)</f>
        <v>435</v>
      </c>
      <c r="H116" s="1270" t="s">
        <v>664</v>
      </c>
      <c r="I116" s="1271">
        <f>SUM(I111:I115)</f>
        <v>640359</v>
      </c>
      <c r="J116" s="1271">
        <f>SUM(J111:J115)</f>
        <v>233455.20468750002</v>
      </c>
      <c r="K116" s="1271">
        <f>SUM(K111:K115)</f>
        <v>0</v>
      </c>
      <c r="L116" s="1271">
        <f>SUM(L111:L115)</f>
        <v>873814.20468749991</v>
      </c>
      <c r="M116" s="1272">
        <f>SUM(M111:M115)</f>
        <v>1139637.555703125</v>
      </c>
      <c r="N116" s="1273"/>
      <c r="O116" s="1292">
        <f t="shared" ref="O116:W116" si="51">SUM(O111:O115)</f>
        <v>435</v>
      </c>
      <c r="P116" s="1294">
        <f t="shared" si="51"/>
        <v>301375</v>
      </c>
      <c r="Q116" s="1294">
        <f t="shared" si="51"/>
        <v>54993.75</v>
      </c>
      <c r="R116" s="1274">
        <f t="shared" si="51"/>
        <v>356368.75</v>
      </c>
      <c r="S116" s="1275">
        <f t="shared" si="51"/>
        <v>203161.80258984375</v>
      </c>
      <c r="T116" s="1276">
        <f t="shared" si="51"/>
        <v>141375</v>
      </c>
      <c r="U116" s="1277">
        <f t="shared" si="51"/>
        <v>344536.80258984375</v>
      </c>
      <c r="V116" s="1277">
        <f t="shared" si="51"/>
        <v>1218351.0072773437</v>
      </c>
      <c r="W116" s="1278">
        <f t="shared" si="51"/>
        <v>-78713.451574218721</v>
      </c>
    </row>
    <row r="117" spans="2:23" ht="17.399999999999999" thickTop="1" thickBot="1">
      <c r="B117" s="1409" t="s">
        <v>1427</v>
      </c>
      <c r="C117" s="1410">
        <f>+C116+C83+C51</f>
        <v>65</v>
      </c>
      <c r="D117" s="1411"/>
      <c r="E117" s="1279"/>
      <c r="F117" s="1279"/>
      <c r="G117" s="1280">
        <f>G91+G84+G116</f>
        <v>6435</v>
      </c>
      <c r="H117" s="1412" t="s">
        <v>664</v>
      </c>
      <c r="I117" s="1413">
        <f>G117</f>
        <v>6435</v>
      </c>
      <c r="J117" s="1414" t="s">
        <v>1770</v>
      </c>
      <c r="K117" s="1415">
        <f>(I117/4.33)</f>
        <v>1486.1431870669746</v>
      </c>
      <c r="L117" s="1416" t="s">
        <v>1423</v>
      </c>
      <c r="M117" s="1417">
        <f>(L84+L116+L91)/G117</f>
        <v>1302.2208505730382</v>
      </c>
      <c r="N117" s="1279"/>
      <c r="O117" s="1418">
        <f>M117/50</f>
        <v>26.044417011460766</v>
      </c>
      <c r="P117" s="1419" t="s">
        <v>2166</v>
      </c>
      <c r="Q117" s="1420"/>
      <c r="R117" s="1279"/>
      <c r="T117" s="1421" t="s">
        <v>1424</v>
      </c>
      <c r="U117" s="1422">
        <f>SUM(W84,W91,W116)</f>
        <v>-104001.09057031194</v>
      </c>
    </row>
    <row r="118" spans="2:23" ht="17.399999999999999" thickTop="1" thickBot="1">
      <c r="B118" s="1279"/>
      <c r="C118" s="1279"/>
      <c r="D118" s="1279"/>
      <c r="E118" s="1279"/>
      <c r="F118" s="1279"/>
      <c r="G118" s="1279"/>
      <c r="H118" s="1412" t="s">
        <v>2059</v>
      </c>
      <c r="I118" s="1415">
        <f>(I117*40)</f>
        <v>257400</v>
      </c>
      <c r="J118" s="1414" t="s">
        <v>772</v>
      </c>
      <c r="K118" s="1423">
        <f>K117/50</f>
        <v>29.722863741339491</v>
      </c>
      <c r="L118" s="1416" t="s">
        <v>1425</v>
      </c>
      <c r="M118" s="1417">
        <f>R106/G117</f>
        <v>2256.7749581184444</v>
      </c>
      <c r="N118" s="1279"/>
      <c r="O118" s="1418">
        <f>M118/40</f>
        <v>56.419373952961109</v>
      </c>
      <c r="P118" s="1419" t="s">
        <v>2167</v>
      </c>
      <c r="Q118" s="1420"/>
      <c r="R118" s="1279"/>
    </row>
    <row r="119" spans="2:23">
      <c r="B119" s="1279"/>
      <c r="C119" s="1279"/>
      <c r="D119" s="1279"/>
      <c r="E119" s="1279"/>
      <c r="F119" s="1279"/>
      <c r="G119" s="1279"/>
      <c r="H119" s="1279"/>
      <c r="I119" s="1279"/>
      <c r="J119" s="1279"/>
      <c r="K119" s="1279"/>
      <c r="L119" s="1279"/>
      <c r="M119" s="1279"/>
      <c r="N119" s="1279"/>
      <c r="O119" s="1418">
        <f>M118/50</f>
        <v>45.135499162368887</v>
      </c>
      <c r="P119" s="1419" t="s">
        <v>645</v>
      </c>
      <c r="Q119" s="1420"/>
      <c r="R119" s="1279"/>
    </row>
    <row r="120" spans="2:23">
      <c r="B120" s="1279"/>
      <c r="C120" s="1279"/>
      <c r="D120" s="1279"/>
      <c r="E120" s="1279"/>
      <c r="F120" s="1279"/>
      <c r="G120" s="1279"/>
      <c r="H120" s="1279"/>
      <c r="I120" s="1279"/>
      <c r="J120" s="1279"/>
      <c r="K120" s="1279"/>
      <c r="L120" s="1279"/>
      <c r="M120" s="1279"/>
      <c r="N120" s="1279"/>
      <c r="O120" s="1279"/>
      <c r="P120" s="1279"/>
      <c r="Q120" s="1279"/>
      <c r="R120" s="1279"/>
    </row>
    <row r="121" spans="2:23">
      <c r="B121" s="1279"/>
      <c r="C121" s="1279"/>
      <c r="D121" s="1279"/>
      <c r="E121" s="1279"/>
      <c r="F121" s="1279"/>
      <c r="G121" s="1279"/>
      <c r="H121" s="1279"/>
      <c r="I121" s="1279"/>
      <c r="J121" s="1279"/>
      <c r="K121" s="1279"/>
      <c r="L121" s="1279"/>
      <c r="M121" s="1424"/>
      <c r="N121" s="1419"/>
      <c r="O121" s="1425" t="s">
        <v>604</v>
      </c>
      <c r="P121" s="1426">
        <f>+M116+P116</f>
        <v>1441012.555703125</v>
      </c>
      <c r="Q121" s="1279"/>
      <c r="R121" s="1279"/>
    </row>
    <row r="122" spans="2:23">
      <c r="B122" s="1279"/>
      <c r="C122" s="1279"/>
      <c r="D122" s="1279"/>
      <c r="E122" s="1279"/>
      <c r="F122" s="1279"/>
      <c r="G122" s="1279"/>
      <c r="H122" s="1279"/>
      <c r="I122" s="1279"/>
      <c r="J122" s="1279"/>
      <c r="K122" s="1279"/>
      <c r="L122" s="1279"/>
      <c r="M122" s="1279" t="s">
        <v>1262</v>
      </c>
      <c r="N122" s="1279"/>
      <c r="O122" s="1279"/>
      <c r="P122" s="1280">
        <f>P121*0.9</f>
        <v>1296911.3001328125</v>
      </c>
      <c r="Q122" s="1279"/>
      <c r="R122" s="1279"/>
    </row>
    <row r="123" spans="2:23">
      <c r="B123" s="1279"/>
      <c r="C123" s="1279"/>
      <c r="D123" s="1279"/>
      <c r="E123" s="1279"/>
      <c r="F123" s="1279"/>
      <c r="G123" s="1279"/>
      <c r="H123" s="1279"/>
      <c r="I123" s="1279"/>
      <c r="J123" s="1279"/>
      <c r="K123" s="1279"/>
      <c r="L123" s="1279"/>
      <c r="M123" s="1279"/>
      <c r="N123" s="1279"/>
      <c r="O123" s="1279"/>
      <c r="P123" s="1279"/>
      <c r="Q123" s="1279"/>
      <c r="R123" s="1279"/>
    </row>
    <row r="124" spans="2:23">
      <c r="J124" s="1279"/>
    </row>
    <row r="125" spans="2:23">
      <c r="J125" s="1279"/>
    </row>
    <row r="126" spans="2:23">
      <c r="J126" s="1279"/>
    </row>
    <row r="127" spans="2:23">
      <c r="J127" s="1279"/>
    </row>
    <row r="128" spans="2:23">
      <c r="J128" s="1279"/>
    </row>
    <row r="129" spans="10:10">
      <c r="J129" s="1279"/>
    </row>
    <row r="130" spans="10:10">
      <c r="J130" s="1279"/>
    </row>
    <row r="131" spans="10:10">
      <c r="J131" s="1279"/>
    </row>
    <row r="132" spans="10:10">
      <c r="J132" s="1279"/>
    </row>
    <row r="133" spans="10:10">
      <c r="J133" s="1279"/>
    </row>
    <row r="134" spans="10:10">
      <c r="J134" s="1279"/>
    </row>
    <row r="135" spans="10:10">
      <c r="J135" s="1279"/>
    </row>
    <row r="136" spans="10:10">
      <c r="J136" s="1279"/>
    </row>
    <row r="137" spans="10:10">
      <c r="J137" s="1279"/>
    </row>
    <row r="138" spans="10:10">
      <c r="J138" s="1279"/>
    </row>
    <row r="139" spans="10:10">
      <c r="J139" s="1279"/>
    </row>
    <row r="140" spans="10:10">
      <c r="J140" s="1279"/>
    </row>
    <row r="141" spans="10:10">
      <c r="J141" s="1279"/>
    </row>
    <row r="142" spans="10:10">
      <c r="J142" s="1279"/>
    </row>
    <row r="143" spans="10:10">
      <c r="J143" s="1279"/>
    </row>
    <row r="144" spans="10:10">
      <c r="J144" s="1279"/>
    </row>
    <row r="145" spans="10:10">
      <c r="J145" s="1279"/>
    </row>
    <row r="146" spans="10:10">
      <c r="J146" s="1279"/>
    </row>
    <row r="147" spans="10:10">
      <c r="J147" s="1279"/>
    </row>
    <row r="148" spans="10:10">
      <c r="J148" s="1279"/>
    </row>
    <row r="149" spans="10:10">
      <c r="J149" s="1279"/>
    </row>
    <row r="150" spans="10:10">
      <c r="J150" s="1279"/>
    </row>
    <row r="151" spans="10:10">
      <c r="J151" s="1279"/>
    </row>
    <row r="152" spans="10:10">
      <c r="J152" s="1279"/>
    </row>
    <row r="153" spans="10:10">
      <c r="J153" s="1279"/>
    </row>
    <row r="154" spans="10:10">
      <c r="J154" s="1279"/>
    </row>
    <row r="155" spans="10:10">
      <c r="J155" s="1279"/>
    </row>
    <row r="156" spans="10:10">
      <c r="J156" s="1279"/>
    </row>
    <row r="157" spans="10:10">
      <c r="J157" s="1279"/>
    </row>
    <row r="158" spans="10:10">
      <c r="J158" s="1279"/>
    </row>
    <row r="159" spans="10:10">
      <c r="J159" s="1279"/>
    </row>
    <row r="160" spans="10:10">
      <c r="J160" s="1279"/>
    </row>
    <row r="161" spans="10:10">
      <c r="J161" s="1279"/>
    </row>
    <row r="162" spans="10:10">
      <c r="J162" s="1279"/>
    </row>
    <row r="163" spans="10:10">
      <c r="J163" s="1279"/>
    </row>
    <row r="164" spans="10:10">
      <c r="J164" s="1279"/>
    </row>
    <row r="165" spans="10:10">
      <c r="J165" s="1279"/>
    </row>
    <row r="166" spans="10:10">
      <c r="J166" s="1279"/>
    </row>
    <row r="167" spans="10:10">
      <c r="J167" s="1279"/>
    </row>
    <row r="168" spans="10:10">
      <c r="J168" s="1279"/>
    </row>
    <row r="169" spans="10:10">
      <c r="J169" s="1279"/>
    </row>
    <row r="170" spans="10:10">
      <c r="J170" s="1279"/>
    </row>
    <row r="171" spans="10:10">
      <c r="J171" s="1279"/>
    </row>
    <row r="172" spans="10:10">
      <c r="J172" s="1279"/>
    </row>
    <row r="173" spans="10:10">
      <c r="J173" s="1279"/>
    </row>
    <row r="174" spans="10:10">
      <c r="J174" s="1279"/>
    </row>
    <row r="175" spans="10:10">
      <c r="J175" s="1279"/>
    </row>
    <row r="176" spans="10:10">
      <c r="J176" s="1279"/>
    </row>
    <row r="177" spans="10:10">
      <c r="J177" s="1279"/>
    </row>
    <row r="178" spans="10:10">
      <c r="J178" s="1279"/>
    </row>
    <row r="179" spans="10:10">
      <c r="J179" s="1279"/>
    </row>
    <row r="180" spans="10:10">
      <c r="J180" s="1279"/>
    </row>
    <row r="181" spans="10:10">
      <c r="J181" s="1279"/>
    </row>
    <row r="182" spans="10:10">
      <c r="J182" s="1279"/>
    </row>
    <row r="183" spans="10:10">
      <c r="J183" s="1279"/>
    </row>
    <row r="184" spans="10:10">
      <c r="J184" s="1279"/>
    </row>
    <row r="185" spans="10:10">
      <c r="J185" s="1279"/>
    </row>
    <row r="186" spans="10:10">
      <c r="J186" s="1279"/>
    </row>
    <row r="187" spans="10:10">
      <c r="J187" s="1279"/>
    </row>
    <row r="188" spans="10:10">
      <c r="J188" s="1279"/>
    </row>
    <row r="189" spans="10:10">
      <c r="J189" s="1279"/>
    </row>
    <row r="190" spans="10:10">
      <c r="J190" s="1279"/>
    </row>
    <row r="191" spans="10:10">
      <c r="J191" s="1279"/>
    </row>
    <row r="192" spans="10:10">
      <c r="J192" s="1279"/>
    </row>
    <row r="193" spans="10:10">
      <c r="J193" s="1279"/>
    </row>
    <row r="194" spans="10:10">
      <c r="J194" s="1279"/>
    </row>
    <row r="195" spans="10:10">
      <c r="J195" s="1279"/>
    </row>
    <row r="196" spans="10:10">
      <c r="J196" s="1279"/>
    </row>
    <row r="197" spans="10:10">
      <c r="J197" s="1279"/>
    </row>
    <row r="198" spans="10:10">
      <c r="J198" s="1279"/>
    </row>
    <row r="199" spans="10:10">
      <c r="J199" s="1279"/>
    </row>
    <row r="200" spans="10:10">
      <c r="J200" s="1279"/>
    </row>
    <row r="201" spans="10:10">
      <c r="J201" s="1279"/>
    </row>
    <row r="202" spans="10:10">
      <c r="J202" s="1279"/>
    </row>
    <row r="203" spans="10:10">
      <c r="J203" s="1279"/>
    </row>
    <row r="204" spans="10:10">
      <c r="J204" s="1279"/>
    </row>
    <row r="205" spans="10:10">
      <c r="J205" s="1279"/>
    </row>
    <row r="206" spans="10:10">
      <c r="J206" s="1279"/>
    </row>
    <row r="207" spans="10:10">
      <c r="J207" s="1279"/>
    </row>
    <row r="208" spans="10:10">
      <c r="J208" s="1279"/>
    </row>
    <row r="209" spans="10:10">
      <c r="J209" s="1279"/>
    </row>
    <row r="210" spans="10:10">
      <c r="J210" s="1279"/>
    </row>
    <row r="211" spans="10:10">
      <c r="J211" s="1279"/>
    </row>
    <row r="212" spans="10:10">
      <c r="J212" s="1279"/>
    </row>
    <row r="213" spans="10:10">
      <c r="J213" s="1279"/>
    </row>
    <row r="214" spans="10:10">
      <c r="J214" s="1279"/>
    </row>
    <row r="215" spans="10:10">
      <c r="J215" s="1279"/>
    </row>
    <row r="216" spans="10:10">
      <c r="J216" s="1279"/>
    </row>
    <row r="217" spans="10:10">
      <c r="J217" s="1279"/>
    </row>
    <row r="218" spans="10:10">
      <c r="J218" s="1279"/>
    </row>
    <row r="219" spans="10:10">
      <c r="J219" s="1279"/>
    </row>
  </sheetData>
  <mergeCells count="4">
    <mergeCell ref="L5:M5"/>
    <mergeCell ref="L3:M3"/>
    <mergeCell ref="L4:M4"/>
    <mergeCell ref="O106:Q106"/>
  </mergeCells>
  <phoneticPr fontId="0" type="noConversion"/>
  <printOptions horizontalCentered="1"/>
  <pageMargins left="0.5" right="0.5" top="1.25" bottom="1.25" header="1" footer="0.75"/>
  <pageSetup paperSize="3" scale="35" firstPageNumber="10" fitToHeight="2" orientation="landscape" r:id="rId1"/>
  <headerFooter alignWithMargins="0">
    <oddHeader>&amp;C&amp;"Arial MT,Bold"&amp;A
PRELIMINARY FOR PLANNING PURPOSES&amp;RPrint Date: &amp;D</oddHeader>
    <oddFooter>&amp;L&amp;6          &amp;F\ &amp;A
&amp;C&amp;"Arial MT,Bold"&amp;10&amp;G&amp;R&amp;"Arial MT,Bold"&amp;14Confidential&amp;"Arial MT,Regular"&amp;10
Page &amp;P of &amp;N</oddFooter>
  </headerFooter>
  <rowBreaks count="2" manualBreakCount="2">
    <brk id="52" max="16383" man="1"/>
    <brk id="93" max="16383" man="1"/>
  </rowBreaks>
  <legacy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181"/>
  <sheetViews>
    <sheetView showGridLines="0" showOutlineSymbols="0" zoomScale="80" zoomScaleNormal="80" zoomScaleSheetLayoutView="75" workbookViewId="0">
      <pane xSplit="1" ySplit="11" topLeftCell="B39" activePane="bottomRight" state="frozen"/>
      <selection activeCell="E99" sqref="E99"/>
      <selection pane="topRight" activeCell="E99" sqref="E99"/>
      <selection pane="bottomLeft" activeCell="E99" sqref="E99"/>
      <selection pane="bottomRight" activeCell="G185" sqref="G185"/>
    </sheetView>
  </sheetViews>
  <sheetFormatPr defaultColWidth="9.08984375" defaultRowHeight="16.2"/>
  <cols>
    <col min="1" max="1" width="51.90625" style="1428" customWidth="1"/>
    <col min="2" max="2" width="9.08984375" style="1428" customWidth="1"/>
    <col min="3" max="3" width="5.81640625" style="1430" customWidth="1"/>
    <col min="4" max="4" width="9.08984375" style="1428" customWidth="1"/>
    <col min="5" max="5" width="9.453125" style="1428" customWidth="1"/>
    <col min="6" max="7" width="10.90625" style="1428" customWidth="1"/>
    <col min="8" max="8" width="11.6328125" style="1428" customWidth="1"/>
    <col min="9" max="9" width="10.6328125" style="1428" customWidth="1"/>
    <col min="10" max="10" width="13.6328125" style="1428" customWidth="1"/>
    <col min="11" max="11" width="15.90625" style="1428" customWidth="1"/>
    <col min="12" max="12" width="15.54296875" style="1428" customWidth="1"/>
    <col min="13" max="13" width="15" style="1428" customWidth="1"/>
    <col min="14" max="14" width="11" style="1428" customWidth="1"/>
    <col min="15" max="16" width="9.08984375" style="1428" customWidth="1"/>
    <col min="17" max="17" width="13.08984375" style="1428" customWidth="1"/>
    <col min="18" max="16384" width="9.08984375" style="1428"/>
  </cols>
  <sheetData>
    <row r="2" spans="1:17" ht="24.6">
      <c r="A2" s="905" t="str">
        <f>'Project Summary'!$B$1</f>
        <v>10 MW PV Solar  - Standard Efficiency Crystalline Panels</v>
      </c>
      <c r="B2" s="912"/>
      <c r="C2" s="912"/>
      <c r="D2" s="779"/>
      <c r="E2" s="1427"/>
      <c r="F2" s="1427"/>
      <c r="G2" s="1427"/>
      <c r="H2" s="1427"/>
      <c r="I2" s="1427"/>
      <c r="J2" s="1427"/>
      <c r="K2" s="1427"/>
      <c r="L2" s="1427"/>
      <c r="M2" s="1427"/>
      <c r="N2" s="908"/>
      <c r="O2" s="908"/>
      <c r="P2" s="779"/>
      <c r="Q2" s="779"/>
    </row>
    <row r="3" spans="1:17" ht="17.399999999999999">
      <c r="A3" s="911" t="s">
        <v>2025</v>
      </c>
      <c r="B3" s="912" t="str">
        <f>'Project Summary'!$C$2</f>
        <v>Kentucky</v>
      </c>
      <c r="C3" s="1428"/>
      <c r="D3" s="779"/>
      <c r="E3" s="3312"/>
      <c r="F3" s="3312"/>
      <c r="G3" s="3312"/>
      <c r="H3" s="3312"/>
      <c r="I3" s="3312"/>
      <c r="J3" s="3312"/>
      <c r="K3" s="3312"/>
      <c r="L3" s="3312"/>
      <c r="M3" s="3312"/>
      <c r="N3" s="914"/>
      <c r="O3" s="908"/>
      <c r="P3" s="710"/>
      <c r="Q3" s="710"/>
    </row>
    <row r="4" spans="1:17" ht="16.5" customHeight="1">
      <c r="A4" s="911" t="s">
        <v>517</v>
      </c>
      <c r="B4" s="1208">
        <f>'Project Summary'!$C$3</f>
        <v>221566</v>
      </c>
      <c r="C4" s="1428"/>
      <c r="D4" s="1209"/>
      <c r="E4" s="779"/>
      <c r="F4" s="779"/>
      <c r="G4" s="779"/>
      <c r="H4" s="779"/>
      <c r="I4" s="779"/>
      <c r="J4" s="914"/>
      <c r="L4" s="726" t="s">
        <v>2024</v>
      </c>
      <c r="M4" s="725">
        <f>'Project Summary'!$P$6</f>
        <v>41681</v>
      </c>
      <c r="N4" s="914"/>
      <c r="O4" s="779"/>
    </row>
    <row r="5" spans="1:17" ht="16.5" customHeight="1">
      <c r="A5" s="911" t="s">
        <v>2026</v>
      </c>
      <c r="B5" s="912" t="str">
        <f>'Project Summary'!$C$4</f>
        <v>Solar PV</v>
      </c>
      <c r="C5" s="1428"/>
      <c r="D5" s="1212"/>
      <c r="E5" s="779"/>
      <c r="F5" s="919"/>
      <c r="G5" s="919"/>
      <c r="H5" s="919"/>
      <c r="I5" s="919"/>
      <c r="J5" s="914"/>
      <c r="L5" s="726"/>
      <c r="M5" s="725"/>
      <c r="N5" s="919"/>
      <c r="O5" s="907"/>
    </row>
    <row r="6" spans="1:17" ht="16.5" customHeight="1">
      <c r="A6" s="911" t="s">
        <v>2027</v>
      </c>
      <c r="B6" s="912" t="str">
        <f>'Project Summary'!$C$5</f>
        <v>LG&amp;E/KU</v>
      </c>
      <c r="C6" s="1428"/>
      <c r="D6" s="791"/>
      <c r="E6" s="791"/>
      <c r="F6" s="908"/>
      <c r="G6" s="908"/>
      <c r="H6" s="908"/>
      <c r="I6" s="908"/>
      <c r="J6" s="1207"/>
      <c r="K6" s="1210"/>
      <c r="L6" s="1213"/>
      <c r="M6" s="914"/>
      <c r="N6" s="914"/>
      <c r="O6" s="924"/>
    </row>
    <row r="7" spans="1:17">
      <c r="A7" s="911" t="s">
        <v>2028</v>
      </c>
      <c r="B7" s="918" t="str">
        <f>'Project Summary'!$C$6</f>
        <v>Conceptual</v>
      </c>
      <c r="C7" s="1428"/>
      <c r="D7" s="791"/>
      <c r="E7" s="791"/>
      <c r="F7" s="779"/>
      <c r="G7" s="779"/>
      <c r="H7" s="779"/>
      <c r="I7" s="779"/>
      <c r="J7" s="779"/>
      <c r="K7" s="779"/>
      <c r="L7" s="779"/>
      <c r="M7" s="779"/>
      <c r="N7" s="791"/>
      <c r="O7" s="779"/>
      <c r="P7" s="779"/>
      <c r="Q7" s="779"/>
    </row>
    <row r="8" spans="1:17">
      <c r="A8" s="1429" t="s">
        <v>1903</v>
      </c>
      <c r="B8" s="1428" t="str">
        <f>'Project Summary'!$C$7</f>
        <v xml:space="preserve"> </v>
      </c>
      <c r="I8" s="1431"/>
      <c r="J8" s="1432"/>
    </row>
    <row r="9" spans="1:17">
      <c r="I9" s="1431"/>
      <c r="J9" s="1432"/>
    </row>
    <row r="10" spans="1:17" ht="16.8" thickBot="1">
      <c r="A10" s="1433" t="s">
        <v>1489</v>
      </c>
      <c r="B10" s="1433"/>
      <c r="C10" s="1434"/>
      <c r="D10" s="1433"/>
      <c r="E10" s="1433"/>
      <c r="F10" s="1433"/>
      <c r="G10" s="1433"/>
      <c r="H10" s="1433"/>
      <c r="I10" s="1435">
        <f>'Wage Rates'!$O$92</f>
        <v>54.871239264995687</v>
      </c>
      <c r="J10" s="1433"/>
      <c r="K10" s="1433"/>
      <c r="L10" s="1433"/>
      <c r="M10" s="1433"/>
      <c r="N10" s="1433"/>
    </row>
    <row r="11" spans="1:17" ht="16.8" thickTop="1">
      <c r="A11" s="1436" t="s">
        <v>1494</v>
      </c>
      <c r="B11" s="1436" t="s">
        <v>1495</v>
      </c>
      <c r="C11" s="1436" t="s">
        <v>1496</v>
      </c>
      <c r="D11" s="1437" t="s">
        <v>2168</v>
      </c>
      <c r="E11" s="1436" t="s">
        <v>1497</v>
      </c>
      <c r="F11" s="1436" t="s">
        <v>1498</v>
      </c>
      <c r="G11" s="1436" t="s">
        <v>2334</v>
      </c>
      <c r="H11" s="1436" t="s">
        <v>2059</v>
      </c>
      <c r="I11" s="1436" t="s">
        <v>1724</v>
      </c>
      <c r="J11" s="1438" t="s">
        <v>1499</v>
      </c>
      <c r="K11" s="1439" t="s">
        <v>1500</v>
      </c>
      <c r="L11" s="1438" t="s">
        <v>1501</v>
      </c>
      <c r="M11" s="1438" t="s">
        <v>1502</v>
      </c>
      <c r="N11" s="1438" t="s">
        <v>2059</v>
      </c>
    </row>
    <row r="12" spans="1:17">
      <c r="A12" s="1440"/>
      <c r="B12" s="1441"/>
      <c r="C12" s="1442"/>
      <c r="D12" s="1443"/>
      <c r="E12" s="1444"/>
      <c r="F12" s="1444"/>
      <c r="G12" s="2667"/>
      <c r="H12" s="1445"/>
      <c r="I12" s="1446"/>
      <c r="J12" s="1447"/>
      <c r="K12" s="1447"/>
      <c r="L12" s="1447"/>
      <c r="M12" s="1447"/>
      <c r="N12" s="1448"/>
    </row>
    <row r="13" spans="1:17">
      <c r="A13" s="1449" t="s">
        <v>659</v>
      </c>
      <c r="B13" s="1441"/>
      <c r="C13" s="1442"/>
      <c r="D13" s="1874">
        <v>24</v>
      </c>
      <c r="E13" s="1444"/>
      <c r="F13" s="1444"/>
      <c r="G13" s="2667"/>
      <c r="H13" s="1445"/>
      <c r="I13" s="1446"/>
      <c r="J13" s="1447"/>
      <c r="K13" s="1447"/>
      <c r="L13" s="1447"/>
      <c r="M13" s="1447"/>
      <c r="N13" s="1448"/>
    </row>
    <row r="14" spans="1:17">
      <c r="A14" s="1440" t="s">
        <v>198</v>
      </c>
      <c r="B14" s="1441">
        <v>8</v>
      </c>
      <c r="C14" s="1442" t="s">
        <v>1569</v>
      </c>
      <c r="D14" s="1443">
        <v>1</v>
      </c>
      <c r="E14" s="1444">
        <v>0</v>
      </c>
      <c r="F14" s="1444">
        <v>17500</v>
      </c>
      <c r="G14" s="2667">
        <f>SUM(F14*0.06)</f>
        <v>1050</v>
      </c>
      <c r="H14" s="1445">
        <v>120</v>
      </c>
      <c r="I14" s="1446">
        <f t="shared" ref="I14:I38" si="0">+$I$10</f>
        <v>54.871239264995687</v>
      </c>
      <c r="J14" s="1447">
        <f t="shared" ref="J14:J38" si="1">B14*D14*E14</f>
        <v>0</v>
      </c>
      <c r="K14" s="1447">
        <f>(B14*D14*F14)+G14</f>
        <v>141050</v>
      </c>
      <c r="L14" s="1447">
        <f t="shared" ref="L14:L38" si="2">B14*D14*H14*I14</f>
        <v>52676.389694395861</v>
      </c>
      <c r="M14" s="1447">
        <f t="shared" ref="M14:M38" si="3">SUM(J14:L14)</f>
        <v>193726.38969439585</v>
      </c>
      <c r="N14" s="1448">
        <f t="shared" ref="N14:N38" si="4">B14*D14*H14</f>
        <v>960</v>
      </c>
    </row>
    <row r="15" spans="1:17">
      <c r="A15" s="1440" t="s">
        <v>1428</v>
      </c>
      <c r="B15" s="1441">
        <v>0</v>
      </c>
      <c r="C15" s="1442" t="s">
        <v>1035</v>
      </c>
      <c r="D15" s="1443">
        <v>1</v>
      </c>
      <c r="E15" s="1444">
        <v>0</v>
      </c>
      <c r="F15" s="1444">
        <v>50</v>
      </c>
      <c r="G15" s="2667">
        <f t="shared" ref="G15:G38" si="5">SUM(F15*0.06)</f>
        <v>3</v>
      </c>
      <c r="H15" s="1445">
        <v>0.02</v>
      </c>
      <c r="I15" s="1446">
        <f t="shared" si="0"/>
        <v>54.871239264995687</v>
      </c>
      <c r="J15" s="1447">
        <f t="shared" si="1"/>
        <v>0</v>
      </c>
      <c r="K15" s="1447">
        <f t="shared" ref="K15:K38" si="6">(B15*D15*F15)+G15</f>
        <v>3</v>
      </c>
      <c r="L15" s="1447">
        <f t="shared" si="2"/>
        <v>0</v>
      </c>
      <c r="M15" s="1447">
        <f t="shared" si="3"/>
        <v>3</v>
      </c>
      <c r="N15" s="1448">
        <f t="shared" si="4"/>
        <v>0</v>
      </c>
    </row>
    <row r="16" spans="1:17">
      <c r="A16" s="1440" t="s">
        <v>228</v>
      </c>
      <c r="B16" s="1441">
        <v>0</v>
      </c>
      <c r="C16" s="1442" t="s">
        <v>1035</v>
      </c>
      <c r="D16" s="1443">
        <v>1</v>
      </c>
      <c r="E16" s="1444">
        <v>0</v>
      </c>
      <c r="F16" s="1444">
        <v>12.5</v>
      </c>
      <c r="G16" s="2667">
        <f t="shared" si="5"/>
        <v>0.75</v>
      </c>
      <c r="H16" s="1445">
        <v>0.125</v>
      </c>
      <c r="I16" s="1446">
        <f t="shared" si="0"/>
        <v>54.871239264995687</v>
      </c>
      <c r="J16" s="1447">
        <f t="shared" si="1"/>
        <v>0</v>
      </c>
      <c r="K16" s="1447">
        <f t="shared" si="6"/>
        <v>0.75</v>
      </c>
      <c r="L16" s="1447">
        <f t="shared" si="2"/>
        <v>0</v>
      </c>
      <c r="M16" s="1447">
        <f t="shared" si="3"/>
        <v>0.75</v>
      </c>
      <c r="N16" s="1448">
        <f t="shared" si="4"/>
        <v>0</v>
      </c>
    </row>
    <row r="17" spans="1:14">
      <c r="A17" s="1440" t="s">
        <v>229</v>
      </c>
      <c r="B17" s="1441">
        <v>3000</v>
      </c>
      <c r="C17" s="1442" t="s">
        <v>1569</v>
      </c>
      <c r="D17" s="1443">
        <v>1</v>
      </c>
      <c r="E17" s="1444">
        <v>0</v>
      </c>
      <c r="F17" s="1444">
        <v>45</v>
      </c>
      <c r="G17" s="2667">
        <f t="shared" si="5"/>
        <v>2.6999999999999997</v>
      </c>
      <c r="H17" s="1445">
        <v>0.01</v>
      </c>
      <c r="I17" s="1446">
        <f t="shared" si="0"/>
        <v>54.871239264995687</v>
      </c>
      <c r="J17" s="1447">
        <f t="shared" si="1"/>
        <v>0</v>
      </c>
      <c r="K17" s="1447">
        <f t="shared" si="6"/>
        <v>135002.70000000001</v>
      </c>
      <c r="L17" s="1447">
        <f t="shared" si="2"/>
        <v>1646.1371779498706</v>
      </c>
      <c r="M17" s="1447">
        <f t="shared" si="3"/>
        <v>136648.83717794987</v>
      </c>
      <c r="N17" s="1448">
        <f t="shared" si="4"/>
        <v>30</v>
      </c>
    </row>
    <row r="18" spans="1:14">
      <c r="A18" s="1440" t="s">
        <v>230</v>
      </c>
      <c r="B18" s="1441">
        <v>0</v>
      </c>
      <c r="C18" s="1442" t="s">
        <v>1569</v>
      </c>
      <c r="D18" s="1443">
        <v>1</v>
      </c>
      <c r="E18" s="1444">
        <v>0</v>
      </c>
      <c r="F18" s="1444">
        <v>7.5</v>
      </c>
      <c r="G18" s="2667">
        <f t="shared" si="5"/>
        <v>0.44999999999999996</v>
      </c>
      <c r="H18" s="1445">
        <v>0.125</v>
      </c>
      <c r="I18" s="1446">
        <f t="shared" si="0"/>
        <v>54.871239264995687</v>
      </c>
      <c r="J18" s="1447">
        <f t="shared" si="1"/>
        <v>0</v>
      </c>
      <c r="K18" s="1447">
        <f t="shared" si="6"/>
        <v>0.44999999999999996</v>
      </c>
      <c r="L18" s="1447">
        <f t="shared" si="2"/>
        <v>0</v>
      </c>
      <c r="M18" s="1447">
        <f t="shared" si="3"/>
        <v>0.44999999999999996</v>
      </c>
      <c r="N18" s="1448">
        <f t="shared" si="4"/>
        <v>0</v>
      </c>
    </row>
    <row r="19" spans="1:14">
      <c r="A19" s="1440" t="s">
        <v>199</v>
      </c>
      <c r="B19" s="1441">
        <v>77</v>
      </c>
      <c r="C19" s="1442" t="s">
        <v>1569</v>
      </c>
      <c r="D19" s="1443">
        <v>1.1499999999999999</v>
      </c>
      <c r="E19" s="1444">
        <v>0</v>
      </c>
      <c r="F19" s="1444">
        <v>500</v>
      </c>
      <c r="G19" s="2667">
        <f t="shared" si="5"/>
        <v>30</v>
      </c>
      <c r="H19" s="1445">
        <v>1</v>
      </c>
      <c r="I19" s="1446">
        <f t="shared" si="0"/>
        <v>54.871239264995687</v>
      </c>
      <c r="J19" s="1447">
        <f t="shared" si="1"/>
        <v>0</v>
      </c>
      <c r="K19" s="1447">
        <f t="shared" si="6"/>
        <v>44305</v>
      </c>
      <c r="L19" s="1447">
        <f t="shared" si="2"/>
        <v>4858.848236915368</v>
      </c>
      <c r="M19" s="1447">
        <f t="shared" si="3"/>
        <v>49163.848236915364</v>
      </c>
      <c r="N19" s="1448">
        <f t="shared" si="4"/>
        <v>88.55</v>
      </c>
    </row>
    <row r="20" spans="1:14">
      <c r="A20" s="1440" t="s">
        <v>200</v>
      </c>
      <c r="B20" s="1441">
        <v>6</v>
      </c>
      <c r="C20" s="1442" t="s">
        <v>1569</v>
      </c>
      <c r="D20" s="1443">
        <v>2</v>
      </c>
      <c r="E20" s="1444">
        <v>0</v>
      </c>
      <c r="F20" s="1444">
        <v>7500</v>
      </c>
      <c r="G20" s="2667">
        <f t="shared" si="5"/>
        <v>450</v>
      </c>
      <c r="H20" s="1445">
        <v>5</v>
      </c>
      <c r="I20" s="1446">
        <f t="shared" si="0"/>
        <v>54.871239264995687</v>
      </c>
      <c r="J20" s="1447">
        <f t="shared" si="1"/>
        <v>0</v>
      </c>
      <c r="K20" s="1447">
        <f t="shared" si="6"/>
        <v>90450</v>
      </c>
      <c r="L20" s="1447">
        <f t="shared" si="2"/>
        <v>3292.2743558997413</v>
      </c>
      <c r="M20" s="1447">
        <f t="shared" si="3"/>
        <v>93742.274355899746</v>
      </c>
      <c r="N20" s="1448">
        <f t="shared" si="4"/>
        <v>60</v>
      </c>
    </row>
    <row r="21" spans="1:14">
      <c r="A21" s="1440" t="s">
        <v>201</v>
      </c>
      <c r="B21" s="1441">
        <v>2</v>
      </c>
      <c r="C21" s="1442" t="s">
        <v>1569</v>
      </c>
      <c r="D21" s="1443">
        <v>2</v>
      </c>
      <c r="E21" s="1444">
        <v>0</v>
      </c>
      <c r="F21" s="1444">
        <v>780</v>
      </c>
      <c r="G21" s="2667">
        <f t="shared" si="5"/>
        <v>46.8</v>
      </c>
      <c r="H21" s="1445">
        <v>5</v>
      </c>
      <c r="I21" s="1446">
        <f t="shared" si="0"/>
        <v>54.871239264995687</v>
      </c>
      <c r="J21" s="1447">
        <f t="shared" si="1"/>
        <v>0</v>
      </c>
      <c r="K21" s="1447">
        <f t="shared" si="6"/>
        <v>3166.8</v>
      </c>
      <c r="L21" s="1447">
        <f t="shared" si="2"/>
        <v>1097.4247852999138</v>
      </c>
      <c r="M21" s="1447">
        <f t="shared" si="3"/>
        <v>4264.2247852999135</v>
      </c>
      <c r="N21" s="1448">
        <f t="shared" si="4"/>
        <v>20</v>
      </c>
    </row>
    <row r="22" spans="1:14">
      <c r="A22" s="1440" t="s">
        <v>202</v>
      </c>
      <c r="B22" s="1441">
        <v>77</v>
      </c>
      <c r="C22" s="1442" t="s">
        <v>1569</v>
      </c>
      <c r="D22" s="1443">
        <v>1.5</v>
      </c>
      <c r="E22" s="1444">
        <v>0</v>
      </c>
      <c r="F22" s="1444">
        <v>2000</v>
      </c>
      <c r="G22" s="2667">
        <f t="shared" si="5"/>
        <v>120</v>
      </c>
      <c r="H22" s="1445">
        <v>0.75</v>
      </c>
      <c r="I22" s="1446">
        <f t="shared" si="0"/>
        <v>54.871239264995687</v>
      </c>
      <c r="J22" s="1447">
        <f t="shared" si="1"/>
        <v>0</v>
      </c>
      <c r="K22" s="1447">
        <f t="shared" si="6"/>
        <v>231120</v>
      </c>
      <c r="L22" s="1447">
        <f t="shared" si="2"/>
        <v>4753.2211013302513</v>
      </c>
      <c r="M22" s="1447">
        <f t="shared" si="3"/>
        <v>235873.22110133024</v>
      </c>
      <c r="N22" s="1448">
        <f t="shared" si="4"/>
        <v>86.625</v>
      </c>
    </row>
    <row r="23" spans="1:14">
      <c r="A23" s="1440" t="s">
        <v>231</v>
      </c>
      <c r="B23" s="1441">
        <v>15</v>
      </c>
      <c r="C23" s="1442" t="s">
        <v>1569</v>
      </c>
      <c r="D23" s="1443">
        <v>1.5</v>
      </c>
      <c r="E23" s="1444">
        <v>0</v>
      </c>
      <c r="F23" s="1444">
        <v>450</v>
      </c>
      <c r="G23" s="2667">
        <f t="shared" si="5"/>
        <v>27</v>
      </c>
      <c r="H23" s="1445">
        <v>0.75</v>
      </c>
      <c r="I23" s="1446">
        <f t="shared" si="0"/>
        <v>54.871239264995687</v>
      </c>
      <c r="J23" s="1447">
        <f t="shared" si="1"/>
        <v>0</v>
      </c>
      <c r="K23" s="1447">
        <f t="shared" si="6"/>
        <v>10152</v>
      </c>
      <c r="L23" s="1447">
        <f t="shared" si="2"/>
        <v>925.95216259680217</v>
      </c>
      <c r="M23" s="1447">
        <f t="shared" si="3"/>
        <v>11077.952162596803</v>
      </c>
      <c r="N23" s="1448">
        <f t="shared" si="4"/>
        <v>16.875</v>
      </c>
    </row>
    <row r="24" spans="1:14">
      <c r="A24" s="1440" t="s">
        <v>203</v>
      </c>
      <c r="B24" s="1441">
        <v>3</v>
      </c>
      <c r="C24" s="1442" t="s">
        <v>1569</v>
      </c>
      <c r="D24" s="1443">
        <v>1.5</v>
      </c>
      <c r="E24" s="1444">
        <v>0</v>
      </c>
      <c r="F24" s="1444">
        <v>10000</v>
      </c>
      <c r="G24" s="2667">
        <f t="shared" si="5"/>
        <v>600</v>
      </c>
      <c r="H24" s="1445">
        <v>5</v>
      </c>
      <c r="I24" s="1446">
        <f t="shared" si="0"/>
        <v>54.871239264995687</v>
      </c>
      <c r="J24" s="1447">
        <f t="shared" si="1"/>
        <v>0</v>
      </c>
      <c r="K24" s="1447">
        <f t="shared" si="6"/>
        <v>45600</v>
      </c>
      <c r="L24" s="1447">
        <f t="shared" si="2"/>
        <v>1234.602883462403</v>
      </c>
      <c r="M24" s="1447">
        <f t="shared" si="3"/>
        <v>46834.602883462401</v>
      </c>
      <c r="N24" s="1448">
        <f t="shared" si="4"/>
        <v>22.5</v>
      </c>
    </row>
    <row r="25" spans="1:14">
      <c r="A25" s="1440" t="s">
        <v>204</v>
      </c>
      <c r="B25" s="1441">
        <v>77</v>
      </c>
      <c r="C25" s="1442" t="s">
        <v>1569</v>
      </c>
      <c r="D25" s="1443">
        <v>1.5</v>
      </c>
      <c r="E25" s="1444">
        <v>0</v>
      </c>
      <c r="F25" s="1444">
        <v>75</v>
      </c>
      <c r="G25" s="2667">
        <f t="shared" si="5"/>
        <v>4.5</v>
      </c>
      <c r="H25" s="1445">
        <v>0.75</v>
      </c>
      <c r="I25" s="1446">
        <f t="shared" si="0"/>
        <v>54.871239264995687</v>
      </c>
      <c r="J25" s="1447">
        <f t="shared" si="1"/>
        <v>0</v>
      </c>
      <c r="K25" s="1447">
        <f t="shared" si="6"/>
        <v>8667</v>
      </c>
      <c r="L25" s="1447">
        <f t="shared" si="2"/>
        <v>4753.2211013302513</v>
      </c>
      <c r="M25" s="1447">
        <f t="shared" si="3"/>
        <v>13420.221101330251</v>
      </c>
      <c r="N25" s="1448">
        <f t="shared" si="4"/>
        <v>86.625</v>
      </c>
    </row>
    <row r="26" spans="1:14">
      <c r="A26" s="1440" t="s">
        <v>205</v>
      </c>
      <c r="B26" s="1441">
        <v>77</v>
      </c>
      <c r="C26" s="1442" t="s">
        <v>1569</v>
      </c>
      <c r="D26" s="1443">
        <f>$D$13</f>
        <v>24</v>
      </c>
      <c r="E26" s="1444">
        <v>0</v>
      </c>
      <c r="F26" s="1444">
        <v>20</v>
      </c>
      <c r="G26" s="2667">
        <f t="shared" si="5"/>
        <v>1.2</v>
      </c>
      <c r="H26" s="1445">
        <v>5.0000000000000001E-3</v>
      </c>
      <c r="I26" s="1446">
        <f t="shared" si="0"/>
        <v>54.871239264995687</v>
      </c>
      <c r="J26" s="1447">
        <f t="shared" si="1"/>
        <v>0</v>
      </c>
      <c r="K26" s="1447">
        <f t="shared" si="6"/>
        <v>36961.199999999997</v>
      </c>
      <c r="L26" s="1447">
        <f t="shared" si="2"/>
        <v>507.01025080856016</v>
      </c>
      <c r="M26" s="1447">
        <f t="shared" si="3"/>
        <v>37468.210250808559</v>
      </c>
      <c r="N26" s="1448">
        <f t="shared" si="4"/>
        <v>9.24</v>
      </c>
    </row>
    <row r="27" spans="1:14">
      <c r="A27" s="1440" t="s">
        <v>141</v>
      </c>
      <c r="B27" s="1441">
        <v>20</v>
      </c>
      <c r="C27" s="1442" t="s">
        <v>1569</v>
      </c>
      <c r="D27" s="1443">
        <v>1.5</v>
      </c>
      <c r="E27" s="1444">
        <v>0</v>
      </c>
      <c r="F27" s="1444">
        <v>1250</v>
      </c>
      <c r="G27" s="2667">
        <f t="shared" si="5"/>
        <v>75</v>
      </c>
      <c r="H27" s="1445">
        <v>1</v>
      </c>
      <c r="I27" s="1446">
        <f t="shared" si="0"/>
        <v>54.871239264995687</v>
      </c>
      <c r="J27" s="1447">
        <f t="shared" si="1"/>
        <v>0</v>
      </c>
      <c r="K27" s="1447">
        <f t="shared" si="6"/>
        <v>37575</v>
      </c>
      <c r="L27" s="1447">
        <f t="shared" si="2"/>
        <v>1646.1371779498706</v>
      </c>
      <c r="M27" s="1447">
        <f t="shared" si="3"/>
        <v>39221.137177949873</v>
      </c>
      <c r="N27" s="1448">
        <f t="shared" si="4"/>
        <v>30</v>
      </c>
    </row>
    <row r="28" spans="1:14">
      <c r="A28" s="1440" t="s">
        <v>2134</v>
      </c>
      <c r="B28" s="1441">
        <v>77</v>
      </c>
      <c r="C28" s="1442" t="s">
        <v>1569</v>
      </c>
      <c r="D28" s="1443">
        <f>$D$13</f>
        <v>24</v>
      </c>
      <c r="E28" s="1444">
        <v>0</v>
      </c>
      <c r="F28" s="1444">
        <v>10</v>
      </c>
      <c r="G28" s="2667">
        <f t="shared" si="5"/>
        <v>0.6</v>
      </c>
      <c r="H28" s="1445">
        <v>2.5000000000000001E-2</v>
      </c>
      <c r="I28" s="1446">
        <f t="shared" si="0"/>
        <v>54.871239264995687</v>
      </c>
      <c r="J28" s="1447">
        <f t="shared" si="1"/>
        <v>0</v>
      </c>
      <c r="K28" s="1447">
        <f t="shared" si="6"/>
        <v>18480.599999999999</v>
      </c>
      <c r="L28" s="1447">
        <f t="shared" si="2"/>
        <v>2535.0512540428008</v>
      </c>
      <c r="M28" s="1447">
        <f t="shared" si="3"/>
        <v>21015.651254042801</v>
      </c>
      <c r="N28" s="1448">
        <f t="shared" si="4"/>
        <v>46.2</v>
      </c>
    </row>
    <row r="29" spans="1:14">
      <c r="A29" s="1440" t="s">
        <v>1771</v>
      </c>
      <c r="B29" s="1441">
        <v>1</v>
      </c>
      <c r="C29" s="1442" t="s">
        <v>1569</v>
      </c>
      <c r="D29" s="1443">
        <f>$D$13</f>
        <v>24</v>
      </c>
      <c r="E29" s="1444">
        <v>433</v>
      </c>
      <c r="F29" s="1444">
        <v>1250</v>
      </c>
      <c r="G29" s="2667">
        <f t="shared" si="5"/>
        <v>75</v>
      </c>
      <c r="H29" s="1445">
        <v>0.5</v>
      </c>
      <c r="I29" s="1446">
        <f t="shared" si="0"/>
        <v>54.871239264995687</v>
      </c>
      <c r="J29" s="1447">
        <f t="shared" si="1"/>
        <v>10392</v>
      </c>
      <c r="K29" s="1447">
        <f t="shared" si="6"/>
        <v>30075</v>
      </c>
      <c r="L29" s="1447">
        <f t="shared" si="2"/>
        <v>658.45487117994821</v>
      </c>
      <c r="M29" s="1447">
        <f t="shared" si="3"/>
        <v>41125.454871179951</v>
      </c>
      <c r="N29" s="1448">
        <f t="shared" si="4"/>
        <v>12</v>
      </c>
    </row>
    <row r="30" spans="1:14">
      <c r="A30" s="1440" t="s">
        <v>142</v>
      </c>
      <c r="B30" s="1441">
        <v>1</v>
      </c>
      <c r="C30" s="1442" t="s">
        <v>1569</v>
      </c>
      <c r="D30" s="1443">
        <f>$D$13</f>
        <v>24</v>
      </c>
      <c r="E30" s="1444">
        <v>0</v>
      </c>
      <c r="F30" s="1444">
        <v>750</v>
      </c>
      <c r="G30" s="2667">
        <f t="shared" si="5"/>
        <v>45</v>
      </c>
      <c r="H30" s="1445">
        <v>0.5</v>
      </c>
      <c r="I30" s="1446">
        <f t="shared" si="0"/>
        <v>54.871239264995687</v>
      </c>
      <c r="J30" s="1447">
        <f t="shared" si="1"/>
        <v>0</v>
      </c>
      <c r="K30" s="1447">
        <f t="shared" si="6"/>
        <v>18045</v>
      </c>
      <c r="L30" s="1447">
        <f t="shared" si="2"/>
        <v>658.45487117994821</v>
      </c>
      <c r="M30" s="1447">
        <f t="shared" si="3"/>
        <v>18703.454871179947</v>
      </c>
      <c r="N30" s="1448">
        <f t="shared" si="4"/>
        <v>12</v>
      </c>
    </row>
    <row r="31" spans="1:14">
      <c r="A31" s="1440" t="s">
        <v>117</v>
      </c>
      <c r="B31" s="1441">
        <v>60</v>
      </c>
      <c r="C31" s="1442" t="s">
        <v>1569</v>
      </c>
      <c r="D31" s="1443">
        <v>1.25</v>
      </c>
      <c r="E31" s="1444">
        <v>0</v>
      </c>
      <c r="F31" s="1444">
        <v>300</v>
      </c>
      <c r="G31" s="2667">
        <f t="shared" si="5"/>
        <v>18</v>
      </c>
      <c r="H31" s="1445">
        <v>0.5</v>
      </c>
      <c r="I31" s="1446">
        <f t="shared" si="0"/>
        <v>54.871239264995687</v>
      </c>
      <c r="J31" s="1447">
        <f t="shared" si="1"/>
        <v>0</v>
      </c>
      <c r="K31" s="1447">
        <f t="shared" si="6"/>
        <v>22518</v>
      </c>
      <c r="L31" s="1447">
        <f t="shared" si="2"/>
        <v>2057.6714724373383</v>
      </c>
      <c r="M31" s="1447">
        <f t="shared" si="3"/>
        <v>24575.671472437338</v>
      </c>
      <c r="N31" s="1448">
        <f t="shared" si="4"/>
        <v>37.5</v>
      </c>
    </row>
    <row r="32" spans="1:14">
      <c r="A32" s="1440" t="s">
        <v>1797</v>
      </c>
      <c r="B32" s="1441">
        <v>6</v>
      </c>
      <c r="C32" s="1442" t="s">
        <v>1569</v>
      </c>
      <c r="D32" s="1443">
        <f>$D$13</f>
        <v>24</v>
      </c>
      <c r="E32" s="1444">
        <v>45</v>
      </c>
      <c r="F32" s="1444">
        <v>10</v>
      </c>
      <c r="G32" s="2667">
        <f t="shared" si="5"/>
        <v>0.6</v>
      </c>
      <c r="H32" s="1445">
        <v>5.0000000000000001E-3</v>
      </c>
      <c r="I32" s="1446">
        <f t="shared" si="0"/>
        <v>54.871239264995687</v>
      </c>
      <c r="J32" s="1447">
        <f t="shared" si="1"/>
        <v>6480</v>
      </c>
      <c r="K32" s="1447">
        <f t="shared" si="6"/>
        <v>1440.6</v>
      </c>
      <c r="L32" s="1447">
        <f t="shared" si="2"/>
        <v>39.507292270796896</v>
      </c>
      <c r="M32" s="1447">
        <f t="shared" si="3"/>
        <v>7960.1072922707972</v>
      </c>
      <c r="N32" s="1448">
        <f t="shared" si="4"/>
        <v>0.72</v>
      </c>
    </row>
    <row r="33" spans="1:14">
      <c r="A33" s="1440" t="s">
        <v>1120</v>
      </c>
      <c r="B33" s="1441">
        <v>1</v>
      </c>
      <c r="C33" s="1442" t="s">
        <v>1569</v>
      </c>
      <c r="D33" s="1443">
        <f>$D$13</f>
        <v>24</v>
      </c>
      <c r="E33" s="1444">
        <v>0</v>
      </c>
      <c r="F33" s="1444">
        <v>0</v>
      </c>
      <c r="G33" s="2667">
        <f t="shared" si="5"/>
        <v>0</v>
      </c>
      <c r="H33" s="1445">
        <v>30</v>
      </c>
      <c r="I33" s="1446">
        <f t="shared" si="0"/>
        <v>54.871239264995687</v>
      </c>
      <c r="J33" s="1447">
        <f t="shared" si="1"/>
        <v>0</v>
      </c>
      <c r="K33" s="1447">
        <f t="shared" si="6"/>
        <v>0</v>
      </c>
      <c r="L33" s="1447">
        <f t="shared" si="2"/>
        <v>39507.292270796897</v>
      </c>
      <c r="M33" s="1447">
        <f t="shared" si="3"/>
        <v>39507.292270796897</v>
      </c>
      <c r="N33" s="1448">
        <f t="shared" si="4"/>
        <v>720</v>
      </c>
    </row>
    <row r="34" spans="1:14">
      <c r="A34" s="1440" t="s">
        <v>1798</v>
      </c>
      <c r="B34" s="1441">
        <v>0.33</v>
      </c>
      <c r="C34" s="1442" t="s">
        <v>1569</v>
      </c>
      <c r="D34" s="1443">
        <f>$D$13</f>
        <v>24</v>
      </c>
      <c r="E34" s="1444">
        <v>250</v>
      </c>
      <c r="F34" s="1444">
        <v>7500</v>
      </c>
      <c r="G34" s="2667">
        <f t="shared" si="5"/>
        <v>450</v>
      </c>
      <c r="H34" s="1445">
        <v>5</v>
      </c>
      <c r="I34" s="1446">
        <f t="shared" si="0"/>
        <v>54.871239264995687</v>
      </c>
      <c r="J34" s="1447">
        <f t="shared" si="1"/>
        <v>1980</v>
      </c>
      <c r="K34" s="1447">
        <f t="shared" si="6"/>
        <v>59850</v>
      </c>
      <c r="L34" s="1447">
        <f t="shared" si="2"/>
        <v>2172.9010748938294</v>
      </c>
      <c r="M34" s="1447">
        <f t="shared" si="3"/>
        <v>64002.901074893831</v>
      </c>
      <c r="N34" s="1448">
        <f t="shared" si="4"/>
        <v>39.6</v>
      </c>
    </row>
    <row r="35" spans="1:14">
      <c r="A35" s="1440" t="s">
        <v>1799</v>
      </c>
      <c r="B35" s="1441">
        <v>15</v>
      </c>
      <c r="C35" s="1442" t="s">
        <v>1569</v>
      </c>
      <c r="D35" s="1443">
        <f>$D$13</f>
        <v>24</v>
      </c>
      <c r="E35" s="1444">
        <v>5</v>
      </c>
      <c r="F35" s="1444">
        <v>104</v>
      </c>
      <c r="G35" s="2667">
        <f t="shared" si="5"/>
        <v>6.24</v>
      </c>
      <c r="H35" s="1445">
        <v>2.5000000000000001E-2</v>
      </c>
      <c r="I35" s="1446">
        <f t="shared" si="0"/>
        <v>54.871239264995687</v>
      </c>
      <c r="J35" s="1447">
        <f t="shared" si="1"/>
        <v>1800</v>
      </c>
      <c r="K35" s="1447">
        <f t="shared" si="6"/>
        <v>37446.239999999998</v>
      </c>
      <c r="L35" s="1447">
        <f t="shared" si="2"/>
        <v>493.84115338496116</v>
      </c>
      <c r="M35" s="1447">
        <f t="shared" si="3"/>
        <v>39740.081153384956</v>
      </c>
      <c r="N35" s="1448">
        <f t="shared" si="4"/>
        <v>9</v>
      </c>
    </row>
    <row r="36" spans="1:14">
      <c r="A36" s="1440" t="s">
        <v>84</v>
      </c>
      <c r="B36" s="1441">
        <v>77</v>
      </c>
      <c r="C36" s="1442" t="s">
        <v>1569</v>
      </c>
      <c r="D36" s="1443">
        <v>1</v>
      </c>
      <c r="E36" s="1444">
        <v>0</v>
      </c>
      <c r="F36" s="1444">
        <v>70</v>
      </c>
      <c r="G36" s="2667">
        <f t="shared" si="5"/>
        <v>4.2</v>
      </c>
      <c r="H36" s="1445">
        <v>5</v>
      </c>
      <c r="I36" s="1446">
        <f t="shared" si="0"/>
        <v>54.871239264995687</v>
      </c>
      <c r="J36" s="1447">
        <f t="shared" si="1"/>
        <v>0</v>
      </c>
      <c r="K36" s="1447">
        <f t="shared" si="6"/>
        <v>5394.2</v>
      </c>
      <c r="L36" s="1447">
        <f t="shared" si="2"/>
        <v>21125.427117023341</v>
      </c>
      <c r="M36" s="1447">
        <f t="shared" si="3"/>
        <v>26519.627117023341</v>
      </c>
      <c r="N36" s="1448">
        <f t="shared" si="4"/>
        <v>385</v>
      </c>
    </row>
    <row r="37" spans="1:14">
      <c r="A37" s="1440" t="s">
        <v>1734</v>
      </c>
      <c r="B37" s="1441">
        <v>77</v>
      </c>
      <c r="C37" s="1442" t="s">
        <v>1127</v>
      </c>
      <c r="D37" s="1443">
        <v>1</v>
      </c>
      <c r="E37" s="1444">
        <v>0</v>
      </c>
      <c r="F37" s="1444">
        <v>5</v>
      </c>
      <c r="G37" s="2667">
        <f t="shared" si="5"/>
        <v>0.3</v>
      </c>
      <c r="H37" s="1445">
        <v>5</v>
      </c>
      <c r="I37" s="1446">
        <f t="shared" si="0"/>
        <v>54.871239264995687</v>
      </c>
      <c r="J37" s="1447">
        <f t="shared" si="1"/>
        <v>0</v>
      </c>
      <c r="K37" s="1447">
        <f t="shared" si="6"/>
        <v>385.3</v>
      </c>
      <c r="L37" s="1447">
        <f t="shared" si="2"/>
        <v>21125.427117023341</v>
      </c>
      <c r="M37" s="1447">
        <f t="shared" si="3"/>
        <v>21510.72711702334</v>
      </c>
      <c r="N37" s="1448">
        <f t="shared" si="4"/>
        <v>385</v>
      </c>
    </row>
    <row r="38" spans="1:14">
      <c r="A38" s="1440" t="s">
        <v>143</v>
      </c>
      <c r="B38" s="1441">
        <v>1</v>
      </c>
      <c r="C38" s="1442" t="s">
        <v>1569</v>
      </c>
      <c r="D38" s="1443">
        <f>$D$13</f>
        <v>24</v>
      </c>
      <c r="E38" s="1444">
        <v>0</v>
      </c>
      <c r="F38" s="1444">
        <v>4500</v>
      </c>
      <c r="G38" s="2667">
        <f t="shared" si="5"/>
        <v>270</v>
      </c>
      <c r="H38" s="1445">
        <v>0.5</v>
      </c>
      <c r="I38" s="1446">
        <f t="shared" si="0"/>
        <v>54.871239264995687</v>
      </c>
      <c r="J38" s="1447">
        <f t="shared" si="1"/>
        <v>0</v>
      </c>
      <c r="K38" s="1447">
        <f t="shared" si="6"/>
        <v>108270</v>
      </c>
      <c r="L38" s="1447">
        <f t="shared" si="2"/>
        <v>658.45487117994821</v>
      </c>
      <c r="M38" s="1447">
        <f t="shared" si="3"/>
        <v>108928.45487117994</v>
      </c>
      <c r="N38" s="1448">
        <f t="shared" si="4"/>
        <v>12</v>
      </c>
    </row>
    <row r="39" spans="1:14">
      <c r="A39" s="1440" t="s">
        <v>1262</v>
      </c>
      <c r="B39" s="1441"/>
      <c r="C39" s="1442"/>
      <c r="D39" s="1443"/>
      <c r="E39" s="1444"/>
      <c r="F39" s="1444"/>
      <c r="G39" s="2667"/>
      <c r="H39" s="1445"/>
      <c r="I39" s="1446"/>
      <c r="J39" s="1447">
        <f>SUM(J14:J38)*-0.1</f>
        <v>-2065.2000000000003</v>
      </c>
      <c r="K39" s="1447">
        <f>SUM(K14:K38)*-0.1</f>
        <v>-108595.88399999999</v>
      </c>
      <c r="L39" s="1447">
        <f>SUM(L14:L38)*-0.1</f>
        <v>-16842.3702293352</v>
      </c>
      <c r="M39" s="1447">
        <f>SUM(M14:M38)*-0.1</f>
        <v>-127503.45422933518</v>
      </c>
      <c r="N39" s="1448">
        <f>SUM(N14:N38)*-0.1</f>
        <v>-306.94350000000003</v>
      </c>
    </row>
    <row r="40" spans="1:14" s="1429" customFormat="1">
      <c r="A40" s="1449" t="s">
        <v>1735</v>
      </c>
      <c r="B40" s="1450"/>
      <c r="C40" s="1451"/>
      <c r="D40" s="1452"/>
      <c r="E40" s="1453"/>
      <c r="F40" s="1453"/>
      <c r="G40" s="2668"/>
      <c r="H40" s="1454"/>
      <c r="I40" s="1455"/>
      <c r="J40" s="1456">
        <f>SUM(J14:J39)</f>
        <v>18586.8</v>
      </c>
      <c r="K40" s="1456">
        <f>SUM(K14:K39)</f>
        <v>977362.95599999989</v>
      </c>
      <c r="L40" s="1456">
        <f>SUM(L14:L39)</f>
        <v>151581.33206401678</v>
      </c>
      <c r="M40" s="1456">
        <f>SUM(M14:M39)</f>
        <v>1147531.0880640168</v>
      </c>
      <c r="N40" s="1457">
        <f>SUM(N14:N39)</f>
        <v>2762.4915000000001</v>
      </c>
    </row>
    <row r="41" spans="1:14">
      <c r="A41" s="1440"/>
      <c r="B41" s="1441"/>
      <c r="C41" s="1442"/>
      <c r="D41" s="1443"/>
      <c r="E41" s="1444"/>
      <c r="F41" s="1444"/>
      <c r="G41" s="2667"/>
      <c r="H41" s="1445"/>
      <c r="I41" s="1446"/>
      <c r="J41" s="1447"/>
      <c r="K41" s="1447"/>
      <c r="L41" s="1447"/>
      <c r="M41" s="1447"/>
      <c r="N41" s="1448"/>
    </row>
    <row r="42" spans="1:14">
      <c r="A42" s="1449" t="s">
        <v>660</v>
      </c>
      <c r="B42" s="1441"/>
      <c r="C42" s="1442"/>
      <c r="D42" s="1443"/>
      <c r="E42" s="1444"/>
      <c r="F42" s="1444"/>
      <c r="G42" s="2667"/>
      <c r="H42" s="1445"/>
      <c r="I42" s="1446"/>
      <c r="J42" s="1447"/>
      <c r="K42" s="1447"/>
      <c r="L42" s="1447"/>
      <c r="M42" s="1447"/>
      <c r="N42" s="1448"/>
    </row>
    <row r="43" spans="1:14">
      <c r="A43" s="1440" t="s">
        <v>582</v>
      </c>
      <c r="B43" s="1441">
        <v>7500</v>
      </c>
      <c r="C43" s="1442" t="s">
        <v>1035</v>
      </c>
      <c r="D43" s="1443">
        <v>1</v>
      </c>
      <c r="E43" s="1444">
        <v>0</v>
      </c>
      <c r="F43" s="1444">
        <f>50*1.04</f>
        <v>52</v>
      </c>
      <c r="G43" s="2667">
        <v>0</v>
      </c>
      <c r="H43" s="1445">
        <v>3.5000000000000003E-2</v>
      </c>
      <c r="I43" s="1446">
        <f t="shared" ref="I43:I48" si="7">+$I$10</f>
        <v>54.871239264995687</v>
      </c>
      <c r="J43" s="1447">
        <f t="shared" ref="J43:J48" si="8">B43*D43*E43</f>
        <v>0</v>
      </c>
      <c r="K43" s="1447">
        <f t="shared" ref="K43:K48" si="9">B43*D43*F43</f>
        <v>390000</v>
      </c>
      <c r="L43" s="1447">
        <f t="shared" ref="L43:L48" si="10">B43*D43*H43*I43</f>
        <v>14403.700307061368</v>
      </c>
      <c r="M43" s="1447">
        <f t="shared" ref="M43:M48" si="11">SUM(J43:L43)</f>
        <v>404403.70030706137</v>
      </c>
      <c r="N43" s="1448">
        <f t="shared" ref="N43:N48" si="12">B43*D43*H43</f>
        <v>262.5</v>
      </c>
    </row>
    <row r="44" spans="1:14">
      <c r="A44" s="1440" t="s">
        <v>582</v>
      </c>
      <c r="B44" s="1441">
        <v>0</v>
      </c>
      <c r="C44" s="1442" t="s">
        <v>1035</v>
      </c>
      <c r="D44" s="1443">
        <v>1</v>
      </c>
      <c r="E44" s="1444">
        <v>0</v>
      </c>
      <c r="F44" s="1444">
        <v>5</v>
      </c>
      <c r="G44" s="2667">
        <v>0</v>
      </c>
      <c r="H44" s="1445">
        <v>1.4999999999999999E-2</v>
      </c>
      <c r="I44" s="1446">
        <f t="shared" si="7"/>
        <v>54.871239264995687</v>
      </c>
      <c r="J44" s="1447">
        <f t="shared" si="8"/>
        <v>0</v>
      </c>
      <c r="K44" s="1447">
        <f t="shared" si="9"/>
        <v>0</v>
      </c>
      <c r="L44" s="1447">
        <f t="shared" si="10"/>
        <v>0</v>
      </c>
      <c r="M44" s="1447">
        <f t="shared" si="11"/>
        <v>0</v>
      </c>
      <c r="N44" s="1448">
        <f t="shared" si="12"/>
        <v>0</v>
      </c>
    </row>
    <row r="45" spans="1:14">
      <c r="A45" s="1440" t="s">
        <v>773</v>
      </c>
      <c r="B45" s="1441">
        <v>12500</v>
      </c>
      <c r="C45" s="1442" t="s">
        <v>1035</v>
      </c>
      <c r="D45" s="1443">
        <v>1</v>
      </c>
      <c r="E45" s="1444">
        <v>0</v>
      </c>
      <c r="F45" s="1444">
        <v>7.5</v>
      </c>
      <c r="G45" s="2667">
        <v>0</v>
      </c>
      <c r="H45" s="1445">
        <v>4.4999999999999998E-2</v>
      </c>
      <c r="I45" s="1446">
        <f t="shared" si="7"/>
        <v>54.871239264995687</v>
      </c>
      <c r="J45" s="1447">
        <f t="shared" si="8"/>
        <v>0</v>
      </c>
      <c r="K45" s="1447">
        <f t="shared" si="9"/>
        <v>93750</v>
      </c>
      <c r="L45" s="1447">
        <f t="shared" si="10"/>
        <v>30865.072086560074</v>
      </c>
      <c r="M45" s="1447">
        <f t="shared" si="11"/>
        <v>124615.07208656007</v>
      </c>
      <c r="N45" s="1448">
        <f t="shared" si="12"/>
        <v>562.5</v>
      </c>
    </row>
    <row r="46" spans="1:14">
      <c r="A46" s="1440" t="s">
        <v>2303</v>
      </c>
      <c r="B46" s="1441">
        <v>5000</v>
      </c>
      <c r="C46" s="1442" t="s">
        <v>1035</v>
      </c>
      <c r="D46" s="1443">
        <v>1</v>
      </c>
      <c r="E46" s="1444">
        <v>0</v>
      </c>
      <c r="F46" s="1444">
        <v>30</v>
      </c>
      <c r="G46" s="2667">
        <v>0</v>
      </c>
      <c r="H46" s="1445">
        <v>4.4999999999999998E-2</v>
      </c>
      <c r="I46" s="1446">
        <f t="shared" si="7"/>
        <v>54.871239264995687</v>
      </c>
      <c r="J46" s="1447">
        <f t="shared" si="8"/>
        <v>0</v>
      </c>
      <c r="K46" s="1447">
        <f t="shared" si="9"/>
        <v>150000</v>
      </c>
      <c r="L46" s="1447">
        <f t="shared" si="10"/>
        <v>12346.02883462403</v>
      </c>
      <c r="M46" s="1447">
        <f t="shared" si="11"/>
        <v>162346.02883462404</v>
      </c>
      <c r="N46" s="1448">
        <f t="shared" si="12"/>
        <v>225</v>
      </c>
    </row>
    <row r="47" spans="1:14">
      <c r="A47" s="1440" t="s">
        <v>1281</v>
      </c>
      <c r="B47" s="1441">
        <v>1000</v>
      </c>
      <c r="C47" s="1442" t="s">
        <v>1035</v>
      </c>
      <c r="D47" s="1443">
        <v>1</v>
      </c>
      <c r="E47" s="1444">
        <v>0</v>
      </c>
      <c r="F47" s="1444">
        <v>75</v>
      </c>
      <c r="G47" s="2667">
        <v>0</v>
      </c>
      <c r="H47" s="1445">
        <v>4.4999999999999998E-2</v>
      </c>
      <c r="I47" s="1446">
        <f t="shared" si="7"/>
        <v>54.871239264995687</v>
      </c>
      <c r="J47" s="1447">
        <f t="shared" si="8"/>
        <v>0</v>
      </c>
      <c r="K47" s="1447">
        <f t="shared" si="9"/>
        <v>75000</v>
      </c>
      <c r="L47" s="1447">
        <f t="shared" si="10"/>
        <v>2469.2057669248061</v>
      </c>
      <c r="M47" s="1447">
        <f t="shared" si="11"/>
        <v>77469.205766924802</v>
      </c>
      <c r="N47" s="1448">
        <f t="shared" si="12"/>
        <v>45</v>
      </c>
    </row>
    <row r="48" spans="1:14">
      <c r="A48" s="1440" t="s">
        <v>830</v>
      </c>
      <c r="B48" s="1441">
        <v>500</v>
      </c>
      <c r="C48" s="1442" t="s">
        <v>1569</v>
      </c>
      <c r="D48" s="1443">
        <v>1.1000000000000001</v>
      </c>
      <c r="E48" s="1444">
        <v>150</v>
      </c>
      <c r="F48" s="1444">
        <v>25</v>
      </c>
      <c r="G48" s="2667">
        <v>0</v>
      </c>
      <c r="H48" s="1445">
        <v>0.05</v>
      </c>
      <c r="I48" s="1446">
        <f t="shared" si="7"/>
        <v>54.871239264995687</v>
      </c>
      <c r="J48" s="1447">
        <f t="shared" si="8"/>
        <v>82500</v>
      </c>
      <c r="K48" s="1447">
        <f t="shared" si="9"/>
        <v>13750</v>
      </c>
      <c r="L48" s="1447">
        <f t="shared" si="10"/>
        <v>1508.9590797873814</v>
      </c>
      <c r="M48" s="1447">
        <f t="shared" si="11"/>
        <v>97758.959079787383</v>
      </c>
      <c r="N48" s="1448">
        <f t="shared" si="12"/>
        <v>27.5</v>
      </c>
    </row>
    <row r="49" spans="1:14">
      <c r="A49" s="1440" t="s">
        <v>831</v>
      </c>
      <c r="B49" s="1875"/>
      <c r="C49" s="1877"/>
      <c r="D49" s="1878"/>
      <c r="E49" s="1703"/>
      <c r="F49" s="1703"/>
      <c r="G49" s="1703">
        <v>0</v>
      </c>
      <c r="H49" s="1704"/>
      <c r="I49" s="1708"/>
      <c r="J49" s="1709"/>
      <c r="K49" s="1709"/>
      <c r="L49" s="1709"/>
      <c r="M49" s="1709"/>
      <c r="N49" s="1702"/>
    </row>
    <row r="50" spans="1:14">
      <c r="A50" s="1440" t="s">
        <v>832</v>
      </c>
      <c r="B50" s="1441">
        <v>0</v>
      </c>
      <c r="C50" s="1442" t="s">
        <v>1569</v>
      </c>
      <c r="D50" s="1443">
        <v>1</v>
      </c>
      <c r="E50" s="1444">
        <v>0</v>
      </c>
      <c r="F50" s="1444">
        <v>100000</v>
      </c>
      <c r="G50" s="2667">
        <v>0</v>
      </c>
      <c r="H50" s="1445">
        <v>500</v>
      </c>
      <c r="I50" s="1446">
        <f>+$I$10</f>
        <v>54.871239264995687</v>
      </c>
      <c r="J50" s="1447">
        <f>B50*D50*E50</f>
        <v>0</v>
      </c>
      <c r="K50" s="1447">
        <f>B50*D50*F50</f>
        <v>0</v>
      </c>
      <c r="L50" s="1447">
        <f>B50*D50*H50*I50</f>
        <v>0</v>
      </c>
      <c r="M50" s="1447">
        <f>SUM(J50:L50)</f>
        <v>0</v>
      </c>
      <c r="N50" s="1448">
        <f>B50*D50*H50</f>
        <v>0</v>
      </c>
    </row>
    <row r="51" spans="1:14">
      <c r="A51" s="1440" t="s">
        <v>833</v>
      </c>
      <c r="B51" s="1441">
        <v>1</v>
      </c>
      <c r="C51" s="1442" t="s">
        <v>1569</v>
      </c>
      <c r="D51" s="1443">
        <v>1</v>
      </c>
      <c r="E51" s="1444">
        <v>0</v>
      </c>
      <c r="F51" s="1444">
        <v>45000</v>
      </c>
      <c r="G51" s="2667">
        <v>0</v>
      </c>
      <c r="H51" s="1445">
        <v>500</v>
      </c>
      <c r="I51" s="1446">
        <f>+$I$10</f>
        <v>54.871239264995687</v>
      </c>
      <c r="J51" s="1447">
        <f>B51*D51*E51</f>
        <v>0</v>
      </c>
      <c r="K51" s="1447">
        <f>B51*D51*F51</f>
        <v>45000</v>
      </c>
      <c r="L51" s="1447">
        <f>B51*D51*H51*I51</f>
        <v>27435.619632497845</v>
      </c>
      <c r="M51" s="1447">
        <f>SUM(J51:L51)</f>
        <v>72435.619632497837</v>
      </c>
      <c r="N51" s="1448">
        <f>B51*D51*H51</f>
        <v>500</v>
      </c>
    </row>
    <row r="52" spans="1:14">
      <c r="A52" s="1440" t="s">
        <v>1731</v>
      </c>
      <c r="B52" s="1875"/>
      <c r="C52" s="1877"/>
      <c r="D52" s="1878"/>
      <c r="E52" s="1703"/>
      <c r="F52" s="1703"/>
      <c r="G52" s="1703">
        <v>0</v>
      </c>
      <c r="H52" s="1704"/>
      <c r="I52" s="1708"/>
      <c r="J52" s="1709"/>
      <c r="K52" s="1709"/>
      <c r="L52" s="1709"/>
      <c r="M52" s="1709"/>
      <c r="N52" s="1702"/>
    </row>
    <row r="53" spans="1:14">
      <c r="A53" s="1440" t="s">
        <v>1732</v>
      </c>
      <c r="B53" s="1441">
        <v>1</v>
      </c>
      <c r="C53" s="1442" t="s">
        <v>1569</v>
      </c>
      <c r="D53" s="1443">
        <v>1</v>
      </c>
      <c r="E53" s="1444">
        <v>0</v>
      </c>
      <c r="F53" s="1444">
        <v>250000</v>
      </c>
      <c r="G53" s="2667">
        <v>0</v>
      </c>
      <c r="H53" s="1445">
        <v>500</v>
      </c>
      <c r="I53" s="1446">
        <f t="shared" ref="I53:I65" si="13">+$I$10</f>
        <v>54.871239264995687</v>
      </c>
      <c r="J53" s="1447">
        <f t="shared" ref="J53:J72" si="14">B53*D53*E53</f>
        <v>0</v>
      </c>
      <c r="K53" s="1447">
        <f t="shared" ref="K53:K72" si="15">B53*D53*F53</f>
        <v>250000</v>
      </c>
      <c r="L53" s="1447">
        <f t="shared" ref="L53:L72" si="16">B53*D53*H53*I53</f>
        <v>27435.619632497845</v>
      </c>
      <c r="M53" s="1447">
        <f t="shared" ref="M53:M72" si="17">SUM(J53:L53)</f>
        <v>277435.61963249784</v>
      </c>
      <c r="N53" s="1448">
        <f t="shared" ref="N53:N72" si="18">B53*D53*H53</f>
        <v>500</v>
      </c>
    </row>
    <row r="54" spans="1:14">
      <c r="A54" s="1440" t="s">
        <v>1208</v>
      </c>
      <c r="B54" s="1441">
        <v>1</v>
      </c>
      <c r="C54" s="1442" t="s">
        <v>1569</v>
      </c>
      <c r="D54" s="1443">
        <v>1</v>
      </c>
      <c r="E54" s="1444">
        <v>0</v>
      </c>
      <c r="F54" s="1444">
        <v>400000</v>
      </c>
      <c r="G54" s="2667">
        <v>0</v>
      </c>
      <c r="H54" s="1445">
        <v>250</v>
      </c>
      <c r="I54" s="1446">
        <f t="shared" si="13"/>
        <v>54.871239264995687</v>
      </c>
      <c r="J54" s="1447">
        <f t="shared" si="14"/>
        <v>0</v>
      </c>
      <c r="K54" s="1447">
        <f t="shared" si="15"/>
        <v>400000</v>
      </c>
      <c r="L54" s="1447">
        <f t="shared" si="16"/>
        <v>13717.809816248922</v>
      </c>
      <c r="M54" s="1447">
        <f t="shared" si="17"/>
        <v>413717.80981624895</v>
      </c>
      <c r="N54" s="1448">
        <f t="shared" si="18"/>
        <v>250</v>
      </c>
    </row>
    <row r="55" spans="1:14">
      <c r="A55" s="1440" t="s">
        <v>1733</v>
      </c>
      <c r="B55" s="1441">
        <v>1</v>
      </c>
      <c r="C55" s="1442" t="s">
        <v>1569</v>
      </c>
      <c r="D55" s="1443">
        <v>1</v>
      </c>
      <c r="E55" s="1444">
        <v>0</v>
      </c>
      <c r="F55" s="1444">
        <v>300000</v>
      </c>
      <c r="G55" s="2667">
        <v>0</v>
      </c>
      <c r="H55" s="1445">
        <v>3750</v>
      </c>
      <c r="I55" s="1446">
        <f t="shared" si="13"/>
        <v>54.871239264995687</v>
      </c>
      <c r="J55" s="1447">
        <f t="shared" si="14"/>
        <v>0</v>
      </c>
      <c r="K55" s="1447">
        <f t="shared" si="15"/>
        <v>300000</v>
      </c>
      <c r="L55" s="1447">
        <f t="shared" si="16"/>
        <v>205767.14724373384</v>
      </c>
      <c r="M55" s="1447">
        <f t="shared" si="17"/>
        <v>505767.14724373387</v>
      </c>
      <c r="N55" s="1448">
        <f t="shared" si="18"/>
        <v>3750</v>
      </c>
    </row>
    <row r="56" spans="1:14">
      <c r="A56" s="1440" t="s">
        <v>1244</v>
      </c>
      <c r="B56" s="1441">
        <v>1</v>
      </c>
      <c r="C56" s="1442" t="s">
        <v>1569</v>
      </c>
      <c r="D56" s="1443">
        <v>1</v>
      </c>
      <c r="E56" s="1444">
        <v>0</v>
      </c>
      <c r="F56" s="1444">
        <v>24000</v>
      </c>
      <c r="G56" s="2667">
        <v>0</v>
      </c>
      <c r="H56" s="1445">
        <v>200</v>
      </c>
      <c r="I56" s="1446">
        <f t="shared" si="13"/>
        <v>54.871239264995687</v>
      </c>
      <c r="J56" s="1447">
        <f t="shared" si="14"/>
        <v>0</v>
      </c>
      <c r="K56" s="1447">
        <f t="shared" si="15"/>
        <v>24000</v>
      </c>
      <c r="L56" s="1447">
        <f t="shared" si="16"/>
        <v>10974.247852999137</v>
      </c>
      <c r="M56" s="1447">
        <f t="shared" si="17"/>
        <v>34974.247852999135</v>
      </c>
      <c r="N56" s="1448">
        <f t="shared" si="18"/>
        <v>200</v>
      </c>
    </row>
    <row r="57" spans="1:14">
      <c r="A57" s="1440" t="s">
        <v>1245</v>
      </c>
      <c r="B57" s="1441">
        <v>0</v>
      </c>
      <c r="C57" s="1442" t="s">
        <v>1569</v>
      </c>
      <c r="D57" s="1443">
        <v>1</v>
      </c>
      <c r="E57" s="1444">
        <v>0</v>
      </c>
      <c r="F57" s="1444">
        <v>2500</v>
      </c>
      <c r="G57" s="2667">
        <v>0</v>
      </c>
      <c r="H57" s="1445">
        <v>200</v>
      </c>
      <c r="I57" s="1446">
        <f t="shared" si="13"/>
        <v>54.871239264995687</v>
      </c>
      <c r="J57" s="1447">
        <f t="shared" si="14"/>
        <v>0</v>
      </c>
      <c r="K57" s="1447">
        <f t="shared" si="15"/>
        <v>0</v>
      </c>
      <c r="L57" s="1447">
        <f t="shared" si="16"/>
        <v>0</v>
      </c>
      <c r="M57" s="1447">
        <f t="shared" si="17"/>
        <v>0</v>
      </c>
      <c r="N57" s="1448">
        <f t="shared" si="18"/>
        <v>0</v>
      </c>
    </row>
    <row r="58" spans="1:14">
      <c r="A58" s="1440" t="s">
        <v>1246</v>
      </c>
      <c r="B58" s="1441">
        <v>1</v>
      </c>
      <c r="C58" s="1442" t="s">
        <v>1569</v>
      </c>
      <c r="D58" s="1443">
        <v>1</v>
      </c>
      <c r="E58" s="1444">
        <v>0</v>
      </c>
      <c r="F58" s="1444">
        <v>15000</v>
      </c>
      <c r="G58" s="2667">
        <v>0</v>
      </c>
      <c r="H58" s="1445">
        <v>120</v>
      </c>
      <c r="I58" s="1446">
        <f t="shared" si="13"/>
        <v>54.871239264995687</v>
      </c>
      <c r="J58" s="1447">
        <f t="shared" si="14"/>
        <v>0</v>
      </c>
      <c r="K58" s="1447">
        <f t="shared" si="15"/>
        <v>15000</v>
      </c>
      <c r="L58" s="1447">
        <f t="shared" si="16"/>
        <v>6584.5487117994826</v>
      </c>
      <c r="M58" s="1447">
        <f t="shared" si="17"/>
        <v>21584.548711799482</v>
      </c>
      <c r="N58" s="1448">
        <f t="shared" si="18"/>
        <v>120</v>
      </c>
    </row>
    <row r="59" spans="1:14">
      <c r="A59" s="1440" t="s">
        <v>1247</v>
      </c>
      <c r="B59" s="1441">
        <v>20</v>
      </c>
      <c r="C59" s="1442" t="s">
        <v>1569</v>
      </c>
      <c r="D59" s="1443">
        <f>+D13</f>
        <v>24</v>
      </c>
      <c r="E59" s="1444">
        <v>0</v>
      </c>
      <c r="F59" s="1444">
        <v>100</v>
      </c>
      <c r="G59" s="2667">
        <v>0</v>
      </c>
      <c r="H59" s="1445">
        <v>0.05</v>
      </c>
      <c r="I59" s="1446">
        <f t="shared" si="13"/>
        <v>54.871239264995687</v>
      </c>
      <c r="J59" s="1447">
        <f t="shared" si="14"/>
        <v>0</v>
      </c>
      <c r="K59" s="1447">
        <f t="shared" si="15"/>
        <v>48000</v>
      </c>
      <c r="L59" s="1447">
        <f t="shared" si="16"/>
        <v>1316.9097423598964</v>
      </c>
      <c r="M59" s="1447">
        <f t="shared" si="17"/>
        <v>49316.909742359894</v>
      </c>
      <c r="N59" s="1448">
        <f t="shared" si="18"/>
        <v>24</v>
      </c>
    </row>
    <row r="60" spans="1:14">
      <c r="A60" s="1440" t="s">
        <v>1248</v>
      </c>
      <c r="B60" s="1441">
        <v>0</v>
      </c>
      <c r="C60" s="1442" t="s">
        <v>1569</v>
      </c>
      <c r="D60" s="1443">
        <v>1</v>
      </c>
      <c r="E60" s="1444">
        <v>0</v>
      </c>
      <c r="F60" s="1444">
        <v>15000</v>
      </c>
      <c r="G60" s="2667">
        <v>0</v>
      </c>
      <c r="H60" s="1445">
        <v>200</v>
      </c>
      <c r="I60" s="1446">
        <f t="shared" si="13"/>
        <v>54.871239264995687</v>
      </c>
      <c r="J60" s="1447">
        <f t="shared" si="14"/>
        <v>0</v>
      </c>
      <c r="K60" s="1447">
        <f t="shared" si="15"/>
        <v>0</v>
      </c>
      <c r="L60" s="1447">
        <f t="shared" si="16"/>
        <v>0</v>
      </c>
      <c r="M60" s="1447">
        <f t="shared" si="17"/>
        <v>0</v>
      </c>
      <c r="N60" s="1448">
        <f t="shared" si="18"/>
        <v>0</v>
      </c>
    </row>
    <row r="61" spans="1:14">
      <c r="A61" s="1440" t="s">
        <v>1283</v>
      </c>
      <c r="B61" s="1441">
        <v>0</v>
      </c>
      <c r="C61" s="1442" t="s">
        <v>1569</v>
      </c>
      <c r="D61" s="1443">
        <f>+D13</f>
        <v>24</v>
      </c>
      <c r="E61" s="1444">
        <v>0</v>
      </c>
      <c r="F61" s="1444">
        <v>2165</v>
      </c>
      <c r="G61" s="2667">
        <v>0</v>
      </c>
      <c r="H61" s="1445">
        <v>25</v>
      </c>
      <c r="I61" s="1446">
        <f t="shared" si="13"/>
        <v>54.871239264995687</v>
      </c>
      <c r="J61" s="1447">
        <f t="shared" si="14"/>
        <v>0</v>
      </c>
      <c r="K61" s="1447">
        <f t="shared" si="15"/>
        <v>0</v>
      </c>
      <c r="L61" s="1447">
        <f t="shared" si="16"/>
        <v>0</v>
      </c>
      <c r="M61" s="1447">
        <f t="shared" si="17"/>
        <v>0</v>
      </c>
      <c r="N61" s="1448">
        <f t="shared" si="18"/>
        <v>0</v>
      </c>
    </row>
    <row r="62" spans="1:14">
      <c r="A62" s="1440" t="s">
        <v>1284</v>
      </c>
      <c r="B62" s="1441">
        <v>0</v>
      </c>
      <c r="C62" s="1442" t="s">
        <v>1569</v>
      </c>
      <c r="D62" s="1443">
        <v>1</v>
      </c>
      <c r="E62" s="1444">
        <v>0</v>
      </c>
      <c r="F62" s="1444">
        <v>12000</v>
      </c>
      <c r="G62" s="2667">
        <v>0</v>
      </c>
      <c r="H62" s="1445">
        <v>150</v>
      </c>
      <c r="I62" s="1446">
        <f t="shared" si="13"/>
        <v>54.871239264995687</v>
      </c>
      <c r="J62" s="1447">
        <f t="shared" si="14"/>
        <v>0</v>
      </c>
      <c r="K62" s="1447">
        <f t="shared" si="15"/>
        <v>0</v>
      </c>
      <c r="L62" s="1447">
        <f t="shared" si="16"/>
        <v>0</v>
      </c>
      <c r="M62" s="1447">
        <f t="shared" si="17"/>
        <v>0</v>
      </c>
      <c r="N62" s="1448">
        <f t="shared" si="18"/>
        <v>0</v>
      </c>
    </row>
    <row r="63" spans="1:14">
      <c r="A63" s="1440" t="s">
        <v>1285</v>
      </c>
      <c r="B63" s="1441">
        <v>4</v>
      </c>
      <c r="C63" s="1442" t="s">
        <v>1569</v>
      </c>
      <c r="D63" s="1443">
        <v>1</v>
      </c>
      <c r="E63" s="1444">
        <v>0</v>
      </c>
      <c r="F63" s="1444">
        <v>7500</v>
      </c>
      <c r="G63" s="2667">
        <v>0</v>
      </c>
      <c r="H63" s="1445">
        <v>45</v>
      </c>
      <c r="I63" s="1446">
        <f t="shared" si="13"/>
        <v>54.871239264995687</v>
      </c>
      <c r="J63" s="1447">
        <f t="shared" si="14"/>
        <v>0</v>
      </c>
      <c r="K63" s="1447">
        <f t="shared" si="15"/>
        <v>30000</v>
      </c>
      <c r="L63" s="1447">
        <f t="shared" si="16"/>
        <v>9876.8230676992243</v>
      </c>
      <c r="M63" s="1447">
        <f t="shared" si="17"/>
        <v>39876.823067699224</v>
      </c>
      <c r="N63" s="1448">
        <f t="shared" si="18"/>
        <v>180</v>
      </c>
    </row>
    <row r="64" spans="1:14">
      <c r="A64" s="1440" t="s">
        <v>1286</v>
      </c>
      <c r="B64" s="1441">
        <v>10</v>
      </c>
      <c r="C64" s="1442" t="s">
        <v>1569</v>
      </c>
      <c r="D64" s="1443">
        <v>1</v>
      </c>
      <c r="E64" s="1444">
        <v>0</v>
      </c>
      <c r="F64" s="1444">
        <v>3500</v>
      </c>
      <c r="G64" s="2667">
        <v>0</v>
      </c>
      <c r="H64" s="1445">
        <v>45</v>
      </c>
      <c r="I64" s="1446">
        <f t="shared" si="13"/>
        <v>54.871239264995687</v>
      </c>
      <c r="J64" s="1447">
        <f t="shared" si="14"/>
        <v>0</v>
      </c>
      <c r="K64" s="1447">
        <f t="shared" si="15"/>
        <v>35000</v>
      </c>
      <c r="L64" s="1447">
        <f t="shared" si="16"/>
        <v>24692.057669248061</v>
      </c>
      <c r="M64" s="1447">
        <f t="shared" si="17"/>
        <v>59692.057669248061</v>
      </c>
      <c r="N64" s="1448">
        <f t="shared" si="18"/>
        <v>450</v>
      </c>
    </row>
    <row r="65" spans="1:14">
      <c r="A65" s="1440" t="s">
        <v>1282</v>
      </c>
      <c r="B65" s="1441">
        <v>2000</v>
      </c>
      <c r="C65" s="1442" t="s">
        <v>62</v>
      </c>
      <c r="D65" s="1443">
        <v>1</v>
      </c>
      <c r="E65" s="1444">
        <v>0</v>
      </c>
      <c r="F65" s="2039">
        <v>17.5</v>
      </c>
      <c r="G65" s="2667">
        <v>0</v>
      </c>
      <c r="H65" s="1445">
        <v>0.05</v>
      </c>
      <c r="I65" s="1446">
        <f t="shared" si="13"/>
        <v>54.871239264995687</v>
      </c>
      <c r="J65" s="1447">
        <f t="shared" si="14"/>
        <v>0</v>
      </c>
      <c r="K65" s="1447">
        <f t="shared" si="15"/>
        <v>35000</v>
      </c>
      <c r="L65" s="1447">
        <f t="shared" si="16"/>
        <v>5487.1239264995684</v>
      </c>
      <c r="M65" s="1447">
        <f t="shared" si="17"/>
        <v>40487.123926499567</v>
      </c>
      <c r="N65" s="1448">
        <f t="shared" si="18"/>
        <v>100</v>
      </c>
    </row>
    <row r="66" spans="1:14">
      <c r="A66" s="1440" t="s">
        <v>1287</v>
      </c>
      <c r="B66" s="1879">
        <v>0.1</v>
      </c>
      <c r="C66" s="1442" t="s">
        <v>1569</v>
      </c>
      <c r="D66" s="1443">
        <f>+D13</f>
        <v>24</v>
      </c>
      <c r="E66" s="1444">
        <v>0</v>
      </c>
      <c r="F66" s="1444">
        <v>7500</v>
      </c>
      <c r="G66" s="2667">
        <v>0</v>
      </c>
      <c r="H66" s="1445">
        <v>700</v>
      </c>
      <c r="I66" s="1446">
        <v>35</v>
      </c>
      <c r="J66" s="1447">
        <f t="shared" si="14"/>
        <v>0</v>
      </c>
      <c r="K66" s="1447">
        <f t="shared" si="15"/>
        <v>18000.000000000004</v>
      </c>
      <c r="L66" s="1447">
        <f t="shared" si="16"/>
        <v>58800.000000000007</v>
      </c>
      <c r="M66" s="1447">
        <f t="shared" si="17"/>
        <v>76800.000000000015</v>
      </c>
      <c r="N66" s="1448">
        <f t="shared" si="18"/>
        <v>1680.0000000000002</v>
      </c>
    </row>
    <row r="67" spans="1:14">
      <c r="A67" s="1440" t="s">
        <v>1288</v>
      </c>
      <c r="B67" s="1879">
        <v>0.67</v>
      </c>
      <c r="C67" s="1442" t="s">
        <v>1569</v>
      </c>
      <c r="D67" s="1443">
        <f>+D13</f>
        <v>24</v>
      </c>
      <c r="E67" s="1444">
        <v>0</v>
      </c>
      <c r="F67" s="1444">
        <v>4500</v>
      </c>
      <c r="G67" s="2667">
        <v>0</v>
      </c>
      <c r="H67" s="1445">
        <v>350</v>
      </c>
      <c r="I67" s="1446">
        <f>+$I$10</f>
        <v>54.871239264995687</v>
      </c>
      <c r="J67" s="1447">
        <f t="shared" si="14"/>
        <v>0</v>
      </c>
      <c r="K67" s="1447">
        <f t="shared" si="15"/>
        <v>72360.000000000015</v>
      </c>
      <c r="L67" s="1447">
        <f t="shared" si="16"/>
        <v>308815.3345833958</v>
      </c>
      <c r="M67" s="1447">
        <f t="shared" si="17"/>
        <v>381175.3345833958</v>
      </c>
      <c r="N67" s="1448">
        <f t="shared" si="18"/>
        <v>5628.0000000000009</v>
      </c>
    </row>
    <row r="68" spans="1:14">
      <c r="A68" s="1440" t="s">
        <v>1209</v>
      </c>
      <c r="B68" s="1441">
        <v>15000</v>
      </c>
      <c r="C68" s="1442" t="s">
        <v>62</v>
      </c>
      <c r="D68" s="1443">
        <v>1</v>
      </c>
      <c r="E68" s="1444">
        <v>0</v>
      </c>
      <c r="F68" s="2040">
        <v>0.75</v>
      </c>
      <c r="G68" s="2667">
        <v>0</v>
      </c>
      <c r="H68" s="1445">
        <v>0.01</v>
      </c>
      <c r="I68" s="1446">
        <f>+$I$10</f>
        <v>54.871239264995687</v>
      </c>
      <c r="J68" s="1447">
        <f t="shared" si="14"/>
        <v>0</v>
      </c>
      <c r="K68" s="1447">
        <f t="shared" si="15"/>
        <v>11250</v>
      </c>
      <c r="L68" s="1447">
        <f t="shared" si="16"/>
        <v>8230.685889749353</v>
      </c>
      <c r="M68" s="1447">
        <f t="shared" si="17"/>
        <v>19480.685889749351</v>
      </c>
      <c r="N68" s="1448">
        <f t="shared" si="18"/>
        <v>150</v>
      </c>
    </row>
    <row r="69" spans="1:14">
      <c r="A69" s="1440" t="s">
        <v>1197</v>
      </c>
      <c r="B69" s="1441">
        <v>2000</v>
      </c>
      <c r="C69" s="1442" t="s">
        <v>62</v>
      </c>
      <c r="D69" s="1443">
        <v>1</v>
      </c>
      <c r="E69" s="1444">
        <v>0</v>
      </c>
      <c r="F69" s="1444">
        <v>5</v>
      </c>
      <c r="G69" s="2667">
        <v>0</v>
      </c>
      <c r="H69" s="1445">
        <v>0.01</v>
      </c>
      <c r="I69" s="1446">
        <f>+$I$10</f>
        <v>54.871239264995687</v>
      </c>
      <c r="J69" s="1447">
        <f t="shared" si="14"/>
        <v>0</v>
      </c>
      <c r="K69" s="1447">
        <f t="shared" si="15"/>
        <v>10000</v>
      </c>
      <c r="L69" s="1447">
        <f t="shared" si="16"/>
        <v>1097.4247852999138</v>
      </c>
      <c r="M69" s="1447">
        <f t="shared" si="17"/>
        <v>11097.424785299914</v>
      </c>
      <c r="N69" s="1448">
        <f t="shared" si="18"/>
        <v>20</v>
      </c>
    </row>
    <row r="70" spans="1:14">
      <c r="A70" s="1440" t="s">
        <v>384</v>
      </c>
      <c r="B70" s="1441">
        <v>500</v>
      </c>
      <c r="C70" s="1442" t="s">
        <v>62</v>
      </c>
      <c r="D70" s="1443">
        <v>1</v>
      </c>
      <c r="E70" s="1444">
        <v>0</v>
      </c>
      <c r="F70" s="1444">
        <v>1.56</v>
      </c>
      <c r="G70" s="2667">
        <v>0</v>
      </c>
      <c r="H70" s="1445">
        <v>2.5000000000000001E-2</v>
      </c>
      <c r="I70" s="1446">
        <f>+$I$10</f>
        <v>54.871239264995687</v>
      </c>
      <c r="J70" s="1447">
        <f t="shared" si="14"/>
        <v>0</v>
      </c>
      <c r="K70" s="1447">
        <f t="shared" si="15"/>
        <v>780</v>
      </c>
      <c r="L70" s="1447">
        <f t="shared" si="16"/>
        <v>685.89049081244605</v>
      </c>
      <c r="M70" s="1447">
        <f t="shared" si="17"/>
        <v>1465.8904908124459</v>
      </c>
      <c r="N70" s="1448">
        <f t="shared" si="18"/>
        <v>12.5</v>
      </c>
    </row>
    <row r="71" spans="1:14">
      <c r="A71" s="1440" t="s">
        <v>385</v>
      </c>
      <c r="B71" s="1441">
        <v>15000</v>
      </c>
      <c r="C71" s="1442" t="s">
        <v>62</v>
      </c>
      <c r="D71" s="1443">
        <v>1</v>
      </c>
      <c r="E71" s="1444">
        <v>0</v>
      </c>
      <c r="F71" s="1444">
        <v>1</v>
      </c>
      <c r="G71" s="2667">
        <v>0</v>
      </c>
      <c r="H71" s="1445">
        <v>5.0000000000000001E-3</v>
      </c>
      <c r="I71" s="1446">
        <v>50</v>
      </c>
      <c r="J71" s="1447">
        <f t="shared" si="14"/>
        <v>0</v>
      </c>
      <c r="K71" s="1447">
        <f t="shared" si="15"/>
        <v>15000</v>
      </c>
      <c r="L71" s="1447">
        <f t="shared" si="16"/>
        <v>3750</v>
      </c>
      <c r="M71" s="1447">
        <f t="shared" si="17"/>
        <v>18750</v>
      </c>
      <c r="N71" s="1448">
        <f t="shared" si="18"/>
        <v>75</v>
      </c>
    </row>
    <row r="72" spans="1:14">
      <c r="A72" s="1440" t="s">
        <v>386</v>
      </c>
      <c r="B72" s="1441">
        <v>50000</v>
      </c>
      <c r="C72" s="1442" t="s">
        <v>1037</v>
      </c>
      <c r="D72" s="1443">
        <v>1</v>
      </c>
      <c r="E72" s="1444">
        <v>0</v>
      </c>
      <c r="F72" s="1444">
        <v>1</v>
      </c>
      <c r="G72" s="2667">
        <v>0</v>
      </c>
      <c r="H72" s="1445">
        <v>7.4999999999999997E-3</v>
      </c>
      <c r="I72" s="1446">
        <f>+$I$10</f>
        <v>54.871239264995687</v>
      </c>
      <c r="J72" s="1447">
        <f t="shared" si="14"/>
        <v>0</v>
      </c>
      <c r="K72" s="1447">
        <f t="shared" si="15"/>
        <v>50000</v>
      </c>
      <c r="L72" s="1447">
        <f t="shared" si="16"/>
        <v>20576.714724373382</v>
      </c>
      <c r="M72" s="1447">
        <f t="shared" si="17"/>
        <v>70576.714724373378</v>
      </c>
      <c r="N72" s="1448">
        <f t="shared" si="18"/>
        <v>375</v>
      </c>
    </row>
    <row r="73" spans="1:14">
      <c r="A73" s="1440"/>
      <c r="B73" s="1441"/>
      <c r="C73" s="1442"/>
      <c r="D73" s="1443"/>
      <c r="E73" s="1444"/>
      <c r="F73" s="1444"/>
      <c r="G73" s="2667"/>
      <c r="H73" s="1445"/>
      <c r="I73" s="1446"/>
      <c r="J73" s="1458">
        <v>0</v>
      </c>
      <c r="K73" s="1447"/>
      <c r="L73" s="1447"/>
      <c r="M73" s="1447"/>
      <c r="N73" s="1448"/>
    </row>
    <row r="74" spans="1:14">
      <c r="A74" s="1440"/>
      <c r="B74" s="1441"/>
      <c r="C74" s="1442"/>
      <c r="D74" s="1443"/>
      <c r="E74" s="1444"/>
      <c r="F74" s="1444"/>
      <c r="G74" s="2667"/>
      <c r="H74" s="1445"/>
      <c r="I74" s="1446"/>
      <c r="J74" s="1447"/>
      <c r="K74" s="1447"/>
      <c r="L74" s="1447"/>
      <c r="M74" s="1447"/>
      <c r="N74" s="1448"/>
    </row>
    <row r="75" spans="1:14">
      <c r="A75" s="1440"/>
      <c r="B75" s="1441"/>
      <c r="C75" s="1442"/>
      <c r="D75" s="1443"/>
      <c r="E75" s="1444"/>
      <c r="F75" s="1444"/>
      <c r="G75" s="2667"/>
      <c r="H75" s="1445"/>
      <c r="I75" s="1446"/>
      <c r="J75" s="1447"/>
      <c r="K75" s="1447"/>
      <c r="L75" s="1447"/>
      <c r="M75" s="1447"/>
      <c r="N75" s="1448"/>
    </row>
    <row r="76" spans="1:14">
      <c r="A76" s="1440" t="s">
        <v>620</v>
      </c>
      <c r="B76" s="1441">
        <v>12000</v>
      </c>
      <c r="C76" s="1442" t="s">
        <v>1123</v>
      </c>
      <c r="D76" s="1443">
        <v>1</v>
      </c>
      <c r="E76" s="1444">
        <v>0</v>
      </c>
      <c r="F76" s="1444">
        <v>17.5</v>
      </c>
      <c r="G76" s="2667">
        <v>0</v>
      </c>
      <c r="H76" s="1445">
        <v>2.5000000000000001E-2</v>
      </c>
      <c r="I76" s="1446">
        <f>+$I$10</f>
        <v>54.871239264995687</v>
      </c>
      <c r="J76" s="1447">
        <f>B76*D76*E76</f>
        <v>0</v>
      </c>
      <c r="K76" s="1447">
        <f>B76*D76*F76</f>
        <v>210000</v>
      </c>
      <c r="L76" s="1447">
        <f>B76*D76*H76*I76</f>
        <v>16461.371779498706</v>
      </c>
      <c r="M76" s="1447">
        <f>SUM(J76:L76)</f>
        <v>226461.3717794987</v>
      </c>
      <c r="N76" s="1448">
        <f>B76*D76*H76</f>
        <v>300</v>
      </c>
    </row>
    <row r="77" spans="1:14">
      <c r="A77" s="1440" t="s">
        <v>1207</v>
      </c>
      <c r="B77" s="1880">
        <v>0.125</v>
      </c>
      <c r="C77" s="1442" t="s">
        <v>1127</v>
      </c>
      <c r="D77" s="1443">
        <v>1</v>
      </c>
      <c r="E77" s="1444">
        <v>2695799</v>
      </c>
      <c r="F77" s="1444">
        <v>1797199</v>
      </c>
      <c r="G77" s="2667">
        <v>0</v>
      </c>
      <c r="H77" s="1445">
        <v>91392</v>
      </c>
      <c r="I77" s="1446">
        <f>+$I$10</f>
        <v>54.871239264995687</v>
      </c>
      <c r="J77" s="1447">
        <f>B77*D77*E77</f>
        <v>336974.875</v>
      </c>
      <c r="K77" s="1447">
        <f>B77*D77*F77</f>
        <v>224649.875</v>
      </c>
      <c r="L77" s="1447">
        <f>B77*D77*H77*I77</f>
        <v>626849.03736331069</v>
      </c>
      <c r="M77" s="1447">
        <f>SUM(J77:L77)</f>
        <v>1188473.7873633108</v>
      </c>
      <c r="N77" s="1448">
        <f>B77*D77*H77</f>
        <v>11424</v>
      </c>
    </row>
    <row r="78" spans="1:14">
      <c r="A78" s="1440"/>
      <c r="B78" s="1441"/>
      <c r="C78" s="1442"/>
      <c r="D78" s="1874"/>
      <c r="E78" s="1444"/>
      <c r="F78" s="1444"/>
      <c r="G78" s="2667"/>
      <c r="H78" s="1445"/>
      <c r="I78" s="1446"/>
      <c r="J78" s="1447"/>
      <c r="K78" s="1447"/>
      <c r="L78" s="1447"/>
      <c r="M78" s="1447"/>
      <c r="N78" s="1448"/>
    </row>
    <row r="79" spans="1:14" s="1429" customFormat="1">
      <c r="A79" s="1449" t="s">
        <v>621</v>
      </c>
      <c r="B79" s="1450"/>
      <c r="C79" s="1451"/>
      <c r="D79" s="1452"/>
      <c r="E79" s="1453"/>
      <c r="F79" s="1453"/>
      <c r="G79" s="2668"/>
      <c r="H79" s="1454"/>
      <c r="I79" s="1455"/>
      <c r="J79" s="1456">
        <f>SUM(J43:J78)</f>
        <v>419474.875</v>
      </c>
      <c r="K79" s="1456">
        <f>SUM(K43:K78)</f>
        <v>2516539.875</v>
      </c>
      <c r="L79" s="1456">
        <f>SUM(L43:L78)</f>
        <v>1440147.3329869821</v>
      </c>
      <c r="M79" s="1456">
        <f>SUM(M43:M78)</f>
        <v>4376162.0829869807</v>
      </c>
      <c r="N79" s="1457">
        <f>SUM(N43:N78)</f>
        <v>26861</v>
      </c>
    </row>
    <row r="80" spans="1:14">
      <c r="A80" s="1440"/>
      <c r="B80" s="1441"/>
      <c r="C80" s="1442"/>
      <c r="D80" s="1443"/>
      <c r="E80" s="1444"/>
      <c r="F80" s="1444"/>
      <c r="G80" s="2667"/>
      <c r="H80" s="1445"/>
      <c r="I80" s="1446"/>
      <c r="J80" s="1447"/>
      <c r="K80" s="1447"/>
      <c r="L80" s="1447"/>
      <c r="M80" s="1447"/>
      <c r="N80" s="1448"/>
    </row>
    <row r="81" spans="1:14">
      <c r="A81" s="1449" t="s">
        <v>661</v>
      </c>
      <c r="B81" s="1441"/>
      <c r="C81" s="1442"/>
      <c r="D81" s="1443"/>
      <c r="E81" s="1444"/>
      <c r="F81" s="1444"/>
      <c r="G81" s="2667"/>
      <c r="H81" s="1445"/>
      <c r="I81" s="1446"/>
      <c r="J81" s="1447"/>
      <c r="K81" s="1447"/>
      <c r="L81" s="1447"/>
      <c r="M81" s="1447"/>
      <c r="N81" s="1448"/>
    </row>
    <row r="82" spans="1:14">
      <c r="A82" s="1440" t="s">
        <v>1557</v>
      </c>
      <c r="B82" s="1875">
        <v>1</v>
      </c>
      <c r="C82" s="1442" t="s">
        <v>1127</v>
      </c>
      <c r="D82" s="1443">
        <v>1</v>
      </c>
      <c r="E82" s="1444">
        <v>0</v>
      </c>
      <c r="F82" s="1444">
        <v>20000</v>
      </c>
      <c r="G82" s="2667">
        <v>0</v>
      </c>
      <c r="H82" s="1445">
        <v>800</v>
      </c>
      <c r="I82" s="1446">
        <f>+$I$10</f>
        <v>54.871239264995687</v>
      </c>
      <c r="J82" s="1447">
        <f>B82*D82*E82</f>
        <v>0</v>
      </c>
      <c r="K82" s="1447">
        <f>B82*D82*F82</f>
        <v>20000</v>
      </c>
      <c r="L82" s="1447">
        <f>B82*D82*H82*I82</f>
        <v>43896.991411996547</v>
      </c>
      <c r="M82" s="1447">
        <f>SUM(J82:L82)</f>
        <v>63896.991411996547</v>
      </c>
      <c r="N82" s="1448">
        <f>B82*D82*H82</f>
        <v>800</v>
      </c>
    </row>
    <row r="83" spans="1:14">
      <c r="A83" s="1440" t="s">
        <v>1210</v>
      </c>
      <c r="B83" s="1441">
        <v>1</v>
      </c>
      <c r="C83" s="1442" t="s">
        <v>1569</v>
      </c>
      <c r="D83" s="1874">
        <f>$D$13</f>
        <v>24</v>
      </c>
      <c r="E83" s="1444">
        <v>0</v>
      </c>
      <c r="F83" s="1444">
        <v>1000</v>
      </c>
      <c r="G83" s="2667">
        <v>0</v>
      </c>
      <c r="H83" s="1445">
        <v>216.5</v>
      </c>
      <c r="I83" s="1446">
        <f>+$I$10</f>
        <v>54.871239264995687</v>
      </c>
      <c r="J83" s="1447">
        <f>B83*D83*E83</f>
        <v>0</v>
      </c>
      <c r="K83" s="1447">
        <f>B83*D83*F83</f>
        <v>24000</v>
      </c>
      <c r="L83" s="1447">
        <f>B83*D83*H83*I83</f>
        <v>285110.9592209176</v>
      </c>
      <c r="M83" s="1447">
        <f>SUM(J83:L83)</f>
        <v>309110.9592209176</v>
      </c>
      <c r="N83" s="1448">
        <f>B83*D83*H83</f>
        <v>5196</v>
      </c>
    </row>
    <row r="84" spans="1:14">
      <c r="A84" s="1440" t="s">
        <v>1211</v>
      </c>
      <c r="B84" s="1441">
        <v>1</v>
      </c>
      <c r="C84" s="1442" t="s">
        <v>1569</v>
      </c>
      <c r="D84" s="1874">
        <f>$D$13</f>
        <v>24</v>
      </c>
      <c r="E84" s="1444">
        <v>0</v>
      </c>
      <c r="F84" s="1444">
        <v>5000</v>
      </c>
      <c r="G84" s="2667">
        <v>0</v>
      </c>
      <c r="H84" s="1445">
        <v>21.65</v>
      </c>
      <c r="I84" s="1446">
        <f>+$I$10</f>
        <v>54.871239264995687</v>
      </c>
      <c r="J84" s="1447">
        <f>B84*D84*E84</f>
        <v>0</v>
      </c>
      <c r="K84" s="1447">
        <f>B84*D84*F84</f>
        <v>120000</v>
      </c>
      <c r="L84" s="1447">
        <f>B84*D84*H84*I84</f>
        <v>28511.095922091754</v>
      </c>
      <c r="M84" s="1447">
        <f>SUM(J84:L84)</f>
        <v>148511.09592209174</v>
      </c>
      <c r="N84" s="1448">
        <f>B84*D84*H84</f>
        <v>519.59999999999991</v>
      </c>
    </row>
    <row r="85" spans="1:14">
      <c r="A85" s="1440" t="s">
        <v>774</v>
      </c>
      <c r="B85" s="1441">
        <v>0</v>
      </c>
      <c r="C85" s="1442" t="s">
        <v>1569</v>
      </c>
      <c r="D85" s="1443">
        <f>$D$13</f>
        <v>24</v>
      </c>
      <c r="E85" s="1444">
        <v>0</v>
      </c>
      <c r="F85" s="1444">
        <v>0</v>
      </c>
      <c r="G85" s="2667">
        <v>0</v>
      </c>
      <c r="H85" s="1445">
        <v>0</v>
      </c>
      <c r="I85" s="1446">
        <f>+$I$10</f>
        <v>54.871239264995687</v>
      </c>
      <c r="J85" s="1447">
        <f>B85*D85*E85</f>
        <v>0</v>
      </c>
      <c r="K85" s="1447">
        <f>B85*D85*F85</f>
        <v>0</v>
      </c>
      <c r="L85" s="1447">
        <f>B85*D85*H85*I85</f>
        <v>0</v>
      </c>
      <c r="M85" s="1447">
        <f>SUM(J85:L85)</f>
        <v>0</v>
      </c>
      <c r="N85" s="1448">
        <f>B85*D85*H85</f>
        <v>0</v>
      </c>
    </row>
    <row r="86" spans="1:14">
      <c r="A86" s="1440" t="s">
        <v>1783</v>
      </c>
      <c r="B86" s="1441">
        <v>1</v>
      </c>
      <c r="C86" s="1442" t="s">
        <v>1127</v>
      </c>
      <c r="D86" s="1443">
        <v>1</v>
      </c>
      <c r="E86" s="1444"/>
      <c r="F86" s="1705">
        <v>150000</v>
      </c>
      <c r="G86" s="2667">
        <v>0</v>
      </c>
      <c r="H86" s="1445">
        <v>7500</v>
      </c>
      <c r="I86" s="1446">
        <f>+$I$10</f>
        <v>54.871239264995687</v>
      </c>
      <c r="J86" s="1447">
        <f>B86*D86*E86</f>
        <v>0</v>
      </c>
      <c r="K86" s="1447">
        <f>B86*D86*F86</f>
        <v>150000</v>
      </c>
      <c r="L86" s="1447">
        <f>B86*D86*H86*I86</f>
        <v>411534.29448746768</v>
      </c>
      <c r="M86" s="1447">
        <f>SUM(J86:L86)</f>
        <v>561534.29448746773</v>
      </c>
      <c r="N86" s="1448">
        <f>B86*D86*H86</f>
        <v>7500</v>
      </c>
    </row>
    <row r="87" spans="1:14">
      <c r="A87" s="1440" t="s">
        <v>1784</v>
      </c>
      <c r="B87" s="1875"/>
      <c r="C87" s="1877"/>
      <c r="D87" s="1878"/>
      <c r="E87" s="1703"/>
      <c r="F87" s="1703"/>
      <c r="G87" s="1703">
        <v>0</v>
      </c>
      <c r="H87" s="1704"/>
      <c r="I87" s="1708"/>
      <c r="J87" s="1709"/>
      <c r="K87" s="1709"/>
      <c r="L87" s="1709"/>
      <c r="M87" s="1709"/>
      <c r="N87" s="1702"/>
    </row>
    <row r="88" spans="1:14">
      <c r="A88" s="1440" t="s">
        <v>1683</v>
      </c>
      <c r="B88" s="1875">
        <v>2</v>
      </c>
      <c r="C88" s="1877" t="s">
        <v>1569</v>
      </c>
      <c r="D88" s="1874">
        <v>25</v>
      </c>
      <c r="E88" s="1703">
        <v>0</v>
      </c>
      <c r="F88" s="1703">
        <v>5000</v>
      </c>
      <c r="G88" s="2667">
        <v>0</v>
      </c>
      <c r="H88" s="1445">
        <v>216.5</v>
      </c>
      <c r="I88" s="1446">
        <f>+$I$10</f>
        <v>54.871239264995687</v>
      </c>
      <c r="J88" s="1447">
        <f>B88*D88*E88</f>
        <v>0</v>
      </c>
      <c r="K88" s="1447">
        <f>B88*D88*F88</f>
        <v>250000</v>
      </c>
      <c r="L88" s="1447">
        <f>B88*D88*H88*I88</f>
        <v>593981.16504357837</v>
      </c>
      <c r="M88" s="1447">
        <f>SUM(J88:L88)</f>
        <v>843981.16504357837</v>
      </c>
      <c r="N88" s="1448">
        <f>B88*D88*H88</f>
        <v>10825</v>
      </c>
    </row>
    <row r="89" spans="1:14">
      <c r="A89" s="1440" t="s">
        <v>1682</v>
      </c>
      <c r="B89" s="1875">
        <v>1</v>
      </c>
      <c r="C89" s="1877" t="s">
        <v>1569</v>
      </c>
      <c r="D89" s="1874">
        <f>$D$13*0.33</f>
        <v>7.92</v>
      </c>
      <c r="E89" s="1703">
        <v>0</v>
      </c>
      <c r="F89" s="1703">
        <v>7500</v>
      </c>
      <c r="G89" s="2667">
        <v>0</v>
      </c>
      <c r="H89" s="1445">
        <v>216.5</v>
      </c>
      <c r="I89" s="1446">
        <f>+$I$10</f>
        <v>54.871239264995687</v>
      </c>
      <c r="J89" s="1447">
        <f>B89*D89*E89</f>
        <v>0</v>
      </c>
      <c r="K89" s="1447">
        <f>B89*D89*F89</f>
        <v>59400</v>
      </c>
      <c r="L89" s="1447">
        <f>B89*D89*H89*I89</f>
        <v>94086.616542902804</v>
      </c>
      <c r="M89" s="1447">
        <f>SUM(J89:L89)</f>
        <v>153486.6165429028</v>
      </c>
      <c r="N89" s="1448">
        <f>B89*D89*H89</f>
        <v>1714.68</v>
      </c>
    </row>
    <row r="90" spans="1:14">
      <c r="A90" s="1440" t="s">
        <v>1785</v>
      </c>
      <c r="B90" s="1875">
        <v>1</v>
      </c>
      <c r="C90" s="1877" t="s">
        <v>1569</v>
      </c>
      <c r="D90" s="1874">
        <f>$D$13*0.33</f>
        <v>7.92</v>
      </c>
      <c r="E90" s="1703">
        <v>0</v>
      </c>
      <c r="F90" s="1703">
        <v>12500</v>
      </c>
      <c r="G90" s="2667">
        <v>0</v>
      </c>
      <c r="H90" s="1445">
        <v>216.5</v>
      </c>
      <c r="I90" s="1446">
        <f>+$I$10</f>
        <v>54.871239264995687</v>
      </c>
      <c r="J90" s="1447">
        <f>B90*D90*E90</f>
        <v>0</v>
      </c>
      <c r="K90" s="1447">
        <f>B90*D90*F90</f>
        <v>99000</v>
      </c>
      <c r="L90" s="1447">
        <f>B90*D90*H90*I90</f>
        <v>94086.616542902804</v>
      </c>
      <c r="M90" s="1447">
        <f>SUM(J90:L90)</f>
        <v>193086.6165429028</v>
      </c>
      <c r="N90" s="1448">
        <f>B90*D90*H90</f>
        <v>1714.68</v>
      </c>
    </row>
    <row r="91" spans="1:14">
      <c r="A91" s="1440"/>
      <c r="B91" s="1441"/>
      <c r="C91" s="1442"/>
      <c r="D91" s="1874"/>
      <c r="E91" s="1444"/>
      <c r="F91" s="1444"/>
      <c r="G91" s="2667"/>
      <c r="H91" s="1445"/>
      <c r="I91" s="1446"/>
      <c r="J91" s="1447"/>
      <c r="K91" s="1447"/>
      <c r="L91" s="1447"/>
      <c r="M91" s="1447"/>
      <c r="N91" s="1448"/>
    </row>
    <row r="92" spans="1:14" s="1429" customFormat="1">
      <c r="A92" s="1449" t="s">
        <v>1692</v>
      </c>
      <c r="B92" s="1450"/>
      <c r="C92" s="1451"/>
      <c r="D92" s="1452"/>
      <c r="E92" s="1453"/>
      <c r="F92" s="1453"/>
      <c r="G92" s="2668"/>
      <c r="H92" s="1454"/>
      <c r="I92" s="1455"/>
      <c r="J92" s="1459">
        <f>SUM(J82:J91)</f>
        <v>0</v>
      </c>
      <c r="K92" s="1459">
        <f>SUM(K82:K91)</f>
        <v>722400</v>
      </c>
      <c r="L92" s="1459">
        <f>SUM(L82:L91)</f>
        <v>1551207.7391718575</v>
      </c>
      <c r="M92" s="1459">
        <f>SUM(M82:M91)</f>
        <v>2273607.7391718575</v>
      </c>
      <c r="N92" s="1457">
        <f>SUM(N82:N91)</f>
        <v>28269.96</v>
      </c>
    </row>
    <row r="93" spans="1:14">
      <c r="A93" s="1440"/>
      <c r="B93" s="1441"/>
      <c r="C93" s="1442"/>
      <c r="D93" s="1443"/>
      <c r="E93" s="1444"/>
      <c r="F93" s="1444"/>
      <c r="G93" s="2667"/>
      <c r="H93" s="1445"/>
      <c r="I93" s="1446"/>
      <c r="J93" s="1447"/>
      <c r="K93" s="1447"/>
      <c r="L93" s="1447"/>
      <c r="M93" s="1447"/>
      <c r="N93" s="1448"/>
    </row>
    <row r="94" spans="1:14">
      <c r="A94" s="1449" t="s">
        <v>662</v>
      </c>
      <c r="B94" s="1441"/>
      <c r="C94" s="1442"/>
      <c r="D94" s="1443"/>
      <c r="E94" s="1444"/>
      <c r="F94" s="1444"/>
      <c r="G94" s="2667"/>
      <c r="H94" s="1445"/>
      <c r="I94" s="1446"/>
      <c r="J94" s="1447"/>
      <c r="K94" s="1447"/>
      <c r="L94" s="1447"/>
      <c r="M94" s="1447"/>
      <c r="N94" s="1448"/>
    </row>
    <row r="95" spans="1:14">
      <c r="A95" s="1440" t="s">
        <v>1693</v>
      </c>
      <c r="B95" s="1876">
        <v>2</v>
      </c>
      <c r="C95" s="1442" t="s">
        <v>1569</v>
      </c>
      <c r="D95" s="1443">
        <f>$D$13</f>
        <v>24</v>
      </c>
      <c r="E95" s="1444">
        <f>400*1.04</f>
        <v>416</v>
      </c>
      <c r="F95" s="1444">
        <v>50</v>
      </c>
      <c r="G95" s="2667">
        <v>0</v>
      </c>
      <c r="H95" s="1445">
        <v>4.3</v>
      </c>
      <c r="I95" s="1446">
        <f t="shared" ref="I95:I112" si="19">+$I$10</f>
        <v>54.871239264995687</v>
      </c>
      <c r="J95" s="1447">
        <f t="shared" ref="J95:J114" si="20">B95*D95*E95</f>
        <v>19968</v>
      </c>
      <c r="K95" s="1447">
        <f t="shared" ref="K95:K114" si="21">B95*D95*F95</f>
        <v>2400</v>
      </c>
      <c r="L95" s="1447">
        <f t="shared" ref="L95:L114" si="22">B95*D95*H95*I95</f>
        <v>11325.423784295108</v>
      </c>
      <c r="M95" s="1447">
        <f t="shared" ref="M95:M114" si="23">SUM(J95:L95)</f>
        <v>33693.423784295112</v>
      </c>
      <c r="N95" s="1448">
        <f t="shared" ref="N95:N111" si="24">B95*D95*H95</f>
        <v>206.39999999999998</v>
      </c>
    </row>
    <row r="96" spans="1:14">
      <c r="A96" s="1440" t="s">
        <v>1212</v>
      </c>
      <c r="B96" s="1876">
        <v>1</v>
      </c>
      <c r="C96" s="1442" t="s">
        <v>1569</v>
      </c>
      <c r="D96" s="1443">
        <f>$D$13</f>
        <v>24</v>
      </c>
      <c r="E96" s="1444">
        <v>0</v>
      </c>
      <c r="F96" s="1444">
        <v>250</v>
      </c>
      <c r="G96" s="2667">
        <v>0</v>
      </c>
      <c r="H96" s="1445">
        <v>50</v>
      </c>
      <c r="I96" s="1446">
        <f t="shared" si="19"/>
        <v>54.871239264995687</v>
      </c>
      <c r="J96" s="1447">
        <f t="shared" si="20"/>
        <v>0</v>
      </c>
      <c r="K96" s="1447">
        <f t="shared" si="21"/>
        <v>6000</v>
      </c>
      <c r="L96" s="1447">
        <f t="shared" si="22"/>
        <v>65845.487117994824</v>
      </c>
      <c r="M96" s="1447">
        <f t="shared" si="23"/>
        <v>71845.487117994824</v>
      </c>
      <c r="N96" s="1448">
        <f t="shared" si="24"/>
        <v>1200</v>
      </c>
    </row>
    <row r="97" spans="1:14">
      <c r="A97" s="1440" t="s">
        <v>1213</v>
      </c>
      <c r="B97" s="1876">
        <v>1</v>
      </c>
      <c r="C97" s="1442" t="s">
        <v>1127</v>
      </c>
      <c r="D97" s="1443">
        <v>1</v>
      </c>
      <c r="E97" s="1444">
        <v>0</v>
      </c>
      <c r="F97" s="1444">
        <v>500</v>
      </c>
      <c r="G97" s="2667">
        <v>0</v>
      </c>
      <c r="H97" s="1445">
        <v>1750</v>
      </c>
      <c r="I97" s="1446">
        <f t="shared" si="19"/>
        <v>54.871239264995687</v>
      </c>
      <c r="J97" s="1447">
        <f t="shared" si="20"/>
        <v>0</v>
      </c>
      <c r="K97" s="1447">
        <f t="shared" si="21"/>
        <v>500</v>
      </c>
      <c r="L97" s="1447">
        <f t="shared" si="22"/>
        <v>96024.668713742445</v>
      </c>
      <c r="M97" s="1447">
        <f t="shared" si="23"/>
        <v>96524.668713742445</v>
      </c>
      <c r="N97" s="1448">
        <f t="shared" si="24"/>
        <v>1750</v>
      </c>
    </row>
    <row r="98" spans="1:14">
      <c r="A98" s="1440" t="s">
        <v>1611</v>
      </c>
      <c r="B98" s="1441">
        <v>1</v>
      </c>
      <c r="C98" s="1442" t="s">
        <v>1569</v>
      </c>
      <c r="D98" s="1443">
        <v>1</v>
      </c>
      <c r="E98" s="1444">
        <v>0</v>
      </c>
      <c r="F98" s="1444">
        <v>1250</v>
      </c>
      <c r="G98" s="2667">
        <v>0</v>
      </c>
      <c r="H98" s="1445">
        <v>1080</v>
      </c>
      <c r="I98" s="1446">
        <f t="shared" si="19"/>
        <v>54.871239264995687</v>
      </c>
      <c r="J98" s="1447">
        <f t="shared" si="20"/>
        <v>0</v>
      </c>
      <c r="K98" s="1447">
        <f t="shared" si="21"/>
        <v>1250</v>
      </c>
      <c r="L98" s="1447">
        <f t="shared" si="22"/>
        <v>59260.938406195339</v>
      </c>
      <c r="M98" s="1447">
        <f t="shared" si="23"/>
        <v>60510.938406195339</v>
      </c>
      <c r="N98" s="1448">
        <f t="shared" si="24"/>
        <v>1080</v>
      </c>
    </row>
    <row r="99" spans="1:14">
      <c r="A99" s="1440" t="s">
        <v>1695</v>
      </c>
      <c r="B99" s="1441">
        <v>1</v>
      </c>
      <c r="C99" s="1442" t="s">
        <v>1569</v>
      </c>
      <c r="D99" s="1443">
        <f>$D$13</f>
        <v>24</v>
      </c>
      <c r="E99" s="1444">
        <v>0</v>
      </c>
      <c r="F99" s="1444">
        <v>1250</v>
      </c>
      <c r="G99" s="2667">
        <v>0</v>
      </c>
      <c r="H99" s="1445">
        <v>40</v>
      </c>
      <c r="I99" s="1446">
        <f t="shared" si="19"/>
        <v>54.871239264995687</v>
      </c>
      <c r="J99" s="1447">
        <f t="shared" si="20"/>
        <v>0</v>
      </c>
      <c r="K99" s="1447">
        <f t="shared" si="21"/>
        <v>30000</v>
      </c>
      <c r="L99" s="1447">
        <f t="shared" si="22"/>
        <v>52676.389694395861</v>
      </c>
      <c r="M99" s="1447">
        <f t="shared" si="23"/>
        <v>82676.389694395853</v>
      </c>
      <c r="N99" s="1448">
        <f t="shared" si="24"/>
        <v>960</v>
      </c>
    </row>
    <row r="100" spans="1:14">
      <c r="A100" s="1440" t="s">
        <v>1612</v>
      </c>
      <c r="B100" s="1441">
        <v>1</v>
      </c>
      <c r="C100" s="1442" t="s">
        <v>1569</v>
      </c>
      <c r="D100" s="1443">
        <f>$D$13</f>
        <v>24</v>
      </c>
      <c r="E100" s="1444">
        <v>0</v>
      </c>
      <c r="F100" s="1444">
        <v>1500</v>
      </c>
      <c r="G100" s="2667">
        <v>0</v>
      </c>
      <c r="H100" s="1445">
        <v>21.65</v>
      </c>
      <c r="I100" s="1446">
        <f t="shared" si="19"/>
        <v>54.871239264995687</v>
      </c>
      <c r="J100" s="1447">
        <f t="shared" si="20"/>
        <v>0</v>
      </c>
      <c r="K100" s="1447">
        <f t="shared" si="21"/>
        <v>36000</v>
      </c>
      <c r="L100" s="1447">
        <f t="shared" si="22"/>
        <v>28511.095922091754</v>
      </c>
      <c r="M100" s="1447">
        <f t="shared" si="23"/>
        <v>64511.095922091758</v>
      </c>
      <c r="N100" s="1448">
        <f t="shared" si="24"/>
        <v>519.59999999999991</v>
      </c>
    </row>
    <row r="101" spans="1:14">
      <c r="A101" s="1440" t="s">
        <v>1696</v>
      </c>
      <c r="B101" s="1441">
        <v>1</v>
      </c>
      <c r="C101" s="1442" t="s">
        <v>1569</v>
      </c>
      <c r="D101" s="1443">
        <f>$D$13</f>
        <v>24</v>
      </c>
      <c r="E101" s="1444">
        <v>0</v>
      </c>
      <c r="F101" s="1444">
        <v>0</v>
      </c>
      <c r="G101" s="2667">
        <v>0</v>
      </c>
      <c r="H101" s="1445">
        <v>40</v>
      </c>
      <c r="I101" s="1446">
        <f t="shared" si="19"/>
        <v>54.871239264995687</v>
      </c>
      <c r="J101" s="1447">
        <f t="shared" si="20"/>
        <v>0</v>
      </c>
      <c r="K101" s="1447">
        <f t="shared" si="21"/>
        <v>0</v>
      </c>
      <c r="L101" s="1447">
        <f t="shared" si="22"/>
        <v>52676.389694395861</v>
      </c>
      <c r="M101" s="1447">
        <f t="shared" si="23"/>
        <v>52676.389694395861</v>
      </c>
      <c r="N101" s="1448">
        <f t="shared" si="24"/>
        <v>960</v>
      </c>
    </row>
    <row r="102" spans="1:14">
      <c r="A102" s="1440" t="s">
        <v>1697</v>
      </c>
      <c r="B102" s="1875">
        <v>100</v>
      </c>
      <c r="C102" s="1442" t="s">
        <v>1569</v>
      </c>
      <c r="D102" s="1443">
        <v>1</v>
      </c>
      <c r="E102" s="1444">
        <v>0</v>
      </c>
      <c r="F102" s="1444">
        <v>75</v>
      </c>
      <c r="G102" s="2667">
        <v>0</v>
      </c>
      <c r="H102" s="1445">
        <v>10</v>
      </c>
      <c r="I102" s="1446">
        <f t="shared" si="19"/>
        <v>54.871239264995687</v>
      </c>
      <c r="J102" s="1447">
        <f t="shared" si="20"/>
        <v>0</v>
      </c>
      <c r="K102" s="1447">
        <f t="shared" si="21"/>
        <v>7500</v>
      </c>
      <c r="L102" s="1447">
        <f t="shared" si="22"/>
        <v>54871.239264995689</v>
      </c>
      <c r="M102" s="1447">
        <f t="shared" si="23"/>
        <v>62371.239264995689</v>
      </c>
      <c r="N102" s="1448">
        <f t="shared" si="24"/>
        <v>1000</v>
      </c>
    </row>
    <row r="103" spans="1:14">
      <c r="A103" s="1440" t="s">
        <v>1613</v>
      </c>
      <c r="B103" s="1879">
        <v>0.75</v>
      </c>
      <c r="C103" s="1442" t="s">
        <v>1569</v>
      </c>
      <c r="D103" s="1443">
        <f>$D$13</f>
        <v>24</v>
      </c>
      <c r="E103" s="1444">
        <v>2500</v>
      </c>
      <c r="F103" s="1444">
        <v>1500</v>
      </c>
      <c r="G103" s="2667">
        <v>0</v>
      </c>
      <c r="H103" s="1445">
        <v>216.5</v>
      </c>
      <c r="I103" s="1446">
        <f t="shared" si="19"/>
        <v>54.871239264995687</v>
      </c>
      <c r="J103" s="1447">
        <f t="shared" si="20"/>
        <v>45000</v>
      </c>
      <c r="K103" s="1447">
        <f t="shared" si="21"/>
        <v>27000</v>
      </c>
      <c r="L103" s="1447">
        <f t="shared" si="22"/>
        <v>213833.21941568819</v>
      </c>
      <c r="M103" s="1447">
        <f t="shared" si="23"/>
        <v>285833.21941568819</v>
      </c>
      <c r="N103" s="1448">
        <f t="shared" si="24"/>
        <v>3897</v>
      </c>
    </row>
    <row r="104" spans="1:14">
      <c r="A104" s="1440" t="s">
        <v>937</v>
      </c>
      <c r="B104" s="1441">
        <v>1</v>
      </c>
      <c r="C104" s="1442" t="s">
        <v>1569</v>
      </c>
      <c r="D104" s="1443">
        <f>+D13</f>
        <v>24</v>
      </c>
      <c r="E104" s="1444">
        <v>0</v>
      </c>
      <c r="F104" s="1444">
        <v>2500</v>
      </c>
      <c r="G104" s="2667">
        <v>0</v>
      </c>
      <c r="H104" s="1445">
        <v>216.5</v>
      </c>
      <c r="I104" s="1446">
        <f t="shared" si="19"/>
        <v>54.871239264995687</v>
      </c>
      <c r="J104" s="1447">
        <f t="shared" si="20"/>
        <v>0</v>
      </c>
      <c r="K104" s="1447">
        <f t="shared" si="21"/>
        <v>60000</v>
      </c>
      <c r="L104" s="1447">
        <f t="shared" si="22"/>
        <v>285110.9592209176</v>
      </c>
      <c r="M104" s="1447">
        <f t="shared" si="23"/>
        <v>345110.9592209176</v>
      </c>
      <c r="N104" s="1448">
        <f t="shared" si="24"/>
        <v>5196</v>
      </c>
    </row>
    <row r="105" spans="1:14">
      <c r="A105" s="1440" t="s">
        <v>1786</v>
      </c>
      <c r="B105" s="1441">
        <v>1</v>
      </c>
      <c r="C105" s="1442" t="s">
        <v>1569</v>
      </c>
      <c r="D105" s="1874">
        <v>18</v>
      </c>
      <c r="E105" s="1444">
        <v>30000</v>
      </c>
      <c r="F105" s="1444"/>
      <c r="G105" s="2667">
        <v>0</v>
      </c>
      <c r="H105" s="1445">
        <v>750</v>
      </c>
      <c r="I105" s="1446">
        <f t="shared" si="19"/>
        <v>54.871239264995687</v>
      </c>
      <c r="J105" s="1447">
        <f t="shared" si="20"/>
        <v>540000</v>
      </c>
      <c r="K105" s="1447">
        <f t="shared" si="21"/>
        <v>0</v>
      </c>
      <c r="L105" s="1447">
        <f t="shared" si="22"/>
        <v>740761.73007744178</v>
      </c>
      <c r="M105" s="1447">
        <f t="shared" si="23"/>
        <v>1280761.7300774418</v>
      </c>
      <c r="N105" s="1448">
        <f t="shared" si="24"/>
        <v>13500</v>
      </c>
    </row>
    <row r="106" spans="1:14">
      <c r="A106" s="1440" t="s">
        <v>1921</v>
      </c>
      <c r="B106" s="1441">
        <v>0</v>
      </c>
      <c r="C106" s="1442" t="s">
        <v>1569</v>
      </c>
      <c r="D106" s="1443">
        <f>+D13*0.5</f>
        <v>12</v>
      </c>
      <c r="E106" s="1444">
        <v>0</v>
      </c>
      <c r="F106" s="1444">
        <v>2500</v>
      </c>
      <c r="G106" s="2667">
        <v>0</v>
      </c>
      <c r="H106" s="1445">
        <v>216.5</v>
      </c>
      <c r="I106" s="1446">
        <f t="shared" si="19"/>
        <v>54.871239264995687</v>
      </c>
      <c r="J106" s="1447">
        <f t="shared" si="20"/>
        <v>0</v>
      </c>
      <c r="K106" s="1447">
        <f t="shared" si="21"/>
        <v>0</v>
      </c>
      <c r="L106" s="1447">
        <f t="shared" si="22"/>
        <v>0</v>
      </c>
      <c r="M106" s="1447">
        <f t="shared" si="23"/>
        <v>0</v>
      </c>
      <c r="N106" s="1448">
        <f t="shared" si="24"/>
        <v>0</v>
      </c>
    </row>
    <row r="107" spans="1:14">
      <c r="A107" s="1440" t="s">
        <v>16</v>
      </c>
      <c r="B107" s="1441">
        <v>0</v>
      </c>
      <c r="C107" s="1442" t="s">
        <v>1569</v>
      </c>
      <c r="D107" s="1443">
        <f>$D$13*0.75</f>
        <v>18</v>
      </c>
      <c r="E107" s="1444">
        <v>0</v>
      </c>
      <c r="F107" s="1444">
        <v>2500</v>
      </c>
      <c r="G107" s="2667">
        <v>0</v>
      </c>
      <c r="H107" s="1445">
        <v>216.5</v>
      </c>
      <c r="I107" s="1446">
        <f t="shared" si="19"/>
        <v>54.871239264995687</v>
      </c>
      <c r="J107" s="1447">
        <f t="shared" si="20"/>
        <v>0</v>
      </c>
      <c r="K107" s="1447">
        <f t="shared" si="21"/>
        <v>0</v>
      </c>
      <c r="L107" s="1447">
        <f t="shared" si="22"/>
        <v>0</v>
      </c>
      <c r="M107" s="1447">
        <f t="shared" si="23"/>
        <v>0</v>
      </c>
      <c r="N107" s="1448">
        <f t="shared" si="24"/>
        <v>0</v>
      </c>
    </row>
    <row r="108" spans="1:14">
      <c r="A108" s="1440" t="s">
        <v>1698</v>
      </c>
      <c r="B108" s="1875">
        <v>500</v>
      </c>
      <c r="C108" s="1442" t="s">
        <v>1569</v>
      </c>
      <c r="D108" s="1443">
        <v>1</v>
      </c>
      <c r="E108" s="1444">
        <v>0</v>
      </c>
      <c r="F108" s="1703">
        <v>0</v>
      </c>
      <c r="G108" s="2667">
        <v>0</v>
      </c>
      <c r="H108" s="1445">
        <v>4</v>
      </c>
      <c r="I108" s="1446">
        <f t="shared" si="19"/>
        <v>54.871239264995687</v>
      </c>
      <c r="J108" s="1447">
        <f t="shared" si="20"/>
        <v>0</v>
      </c>
      <c r="K108" s="1447">
        <f t="shared" si="21"/>
        <v>0</v>
      </c>
      <c r="L108" s="1447">
        <f t="shared" si="22"/>
        <v>109742.47852999138</v>
      </c>
      <c r="M108" s="1447">
        <f t="shared" si="23"/>
        <v>109742.47852999138</v>
      </c>
      <c r="N108" s="1448">
        <f t="shared" si="24"/>
        <v>2000</v>
      </c>
    </row>
    <row r="109" spans="1:14">
      <c r="A109" s="1440" t="s">
        <v>17</v>
      </c>
      <c r="B109" s="1441">
        <v>30</v>
      </c>
      <c r="C109" s="1442" t="s">
        <v>1569</v>
      </c>
      <c r="D109" s="1443">
        <v>21</v>
      </c>
      <c r="E109" s="1444">
        <v>0</v>
      </c>
      <c r="F109" s="1444">
        <v>0</v>
      </c>
      <c r="G109" s="2667">
        <v>0</v>
      </c>
      <c r="H109" s="1445">
        <v>0.1</v>
      </c>
      <c r="I109" s="1446">
        <f t="shared" si="19"/>
        <v>54.871239264995687</v>
      </c>
      <c r="J109" s="1447">
        <f t="shared" si="20"/>
        <v>0</v>
      </c>
      <c r="K109" s="1447">
        <f t="shared" si="21"/>
        <v>0</v>
      </c>
      <c r="L109" s="1447">
        <f t="shared" si="22"/>
        <v>3456.8880736947281</v>
      </c>
      <c r="M109" s="1447">
        <f t="shared" si="23"/>
        <v>3456.8880736947281</v>
      </c>
      <c r="N109" s="1448">
        <f t="shared" si="24"/>
        <v>63</v>
      </c>
    </row>
    <row r="110" spans="1:14">
      <c r="A110" s="1440" t="s">
        <v>18</v>
      </c>
      <c r="B110" s="1441">
        <v>30</v>
      </c>
      <c r="C110" s="1442" t="s">
        <v>1569</v>
      </c>
      <c r="D110" s="1443">
        <f>+D13</f>
        <v>24</v>
      </c>
      <c r="E110" s="1444">
        <v>0</v>
      </c>
      <c r="F110" s="1444">
        <v>15</v>
      </c>
      <c r="G110" s="2667">
        <v>0</v>
      </c>
      <c r="H110" s="1445">
        <v>2.5000000000000001E-2</v>
      </c>
      <c r="I110" s="1446">
        <f t="shared" si="19"/>
        <v>54.871239264995687</v>
      </c>
      <c r="J110" s="1447">
        <f t="shared" si="20"/>
        <v>0</v>
      </c>
      <c r="K110" s="1447">
        <f t="shared" si="21"/>
        <v>10800</v>
      </c>
      <c r="L110" s="1447">
        <f t="shared" si="22"/>
        <v>987.68230676992232</v>
      </c>
      <c r="M110" s="1447">
        <f t="shared" si="23"/>
        <v>11787.682306769922</v>
      </c>
      <c r="N110" s="1448">
        <f t="shared" si="24"/>
        <v>18</v>
      </c>
    </row>
    <row r="111" spans="1:14">
      <c r="A111" s="1440" t="s">
        <v>938</v>
      </c>
      <c r="B111" s="1876">
        <v>225</v>
      </c>
      <c r="C111" s="1442" t="s">
        <v>1569</v>
      </c>
      <c r="D111" s="1443">
        <v>36</v>
      </c>
      <c r="E111" s="1444">
        <v>0</v>
      </c>
      <c r="F111" s="1444">
        <v>10</v>
      </c>
      <c r="G111" s="2667">
        <v>0</v>
      </c>
      <c r="H111" s="1445">
        <v>1</v>
      </c>
      <c r="I111" s="1446">
        <f t="shared" si="19"/>
        <v>54.871239264995687</v>
      </c>
      <c r="J111" s="1447">
        <f t="shared" si="20"/>
        <v>0</v>
      </c>
      <c r="K111" s="1447">
        <f t="shared" si="21"/>
        <v>81000</v>
      </c>
      <c r="L111" s="1447">
        <f t="shared" si="22"/>
        <v>444457.03804646508</v>
      </c>
      <c r="M111" s="1447">
        <f t="shared" si="23"/>
        <v>525457.03804646502</v>
      </c>
      <c r="N111" s="1448">
        <f t="shared" si="24"/>
        <v>8100</v>
      </c>
    </row>
    <row r="112" spans="1:14">
      <c r="A112" s="1440" t="s">
        <v>214</v>
      </c>
      <c r="B112" s="1875">
        <v>100</v>
      </c>
      <c r="C112" s="1442" t="s">
        <v>1569</v>
      </c>
      <c r="D112" s="1874">
        <v>36</v>
      </c>
      <c r="E112" s="1706">
        <v>0</v>
      </c>
      <c r="F112" s="1706">
        <v>50</v>
      </c>
      <c r="G112" s="2667">
        <v>0</v>
      </c>
      <c r="H112" s="1445">
        <v>0</v>
      </c>
      <c r="I112" s="1446">
        <f t="shared" si="19"/>
        <v>54.871239264995687</v>
      </c>
      <c r="J112" s="1447">
        <f t="shared" si="20"/>
        <v>0</v>
      </c>
      <c r="K112" s="1447">
        <f t="shared" si="21"/>
        <v>180000</v>
      </c>
      <c r="L112" s="1447">
        <f t="shared" si="22"/>
        <v>0</v>
      </c>
      <c r="M112" s="1447">
        <f t="shared" si="23"/>
        <v>180000</v>
      </c>
      <c r="N112" s="1448">
        <v>0</v>
      </c>
    </row>
    <row r="113" spans="1:17">
      <c r="A113" s="1881" t="s">
        <v>775</v>
      </c>
      <c r="B113" s="1875">
        <v>0</v>
      </c>
      <c r="C113" s="1877" t="s">
        <v>1569</v>
      </c>
      <c r="D113" s="1878">
        <v>0</v>
      </c>
      <c r="E113" s="1707"/>
      <c r="F113" s="1707"/>
      <c r="G113" s="1707">
        <v>0</v>
      </c>
      <c r="H113" s="1704">
        <v>0</v>
      </c>
      <c r="I113" s="1708">
        <v>8.44</v>
      </c>
      <c r="J113" s="1709">
        <f t="shared" si="20"/>
        <v>0</v>
      </c>
      <c r="K113" s="1709">
        <f t="shared" si="21"/>
        <v>0</v>
      </c>
      <c r="L113" s="1709">
        <f t="shared" si="22"/>
        <v>0</v>
      </c>
      <c r="M113" s="1709">
        <f t="shared" si="23"/>
        <v>0</v>
      </c>
      <c r="N113" s="1702">
        <v>0</v>
      </c>
    </row>
    <row r="114" spans="1:17">
      <c r="A114" s="1440" t="s">
        <v>19</v>
      </c>
      <c r="B114" s="1441">
        <v>1</v>
      </c>
      <c r="C114" s="1442" t="s">
        <v>1569</v>
      </c>
      <c r="D114" s="1443">
        <f>+D13</f>
        <v>24</v>
      </c>
      <c r="E114" s="1444">
        <v>5500</v>
      </c>
      <c r="F114" s="1444">
        <v>0</v>
      </c>
      <c r="G114" s="2667">
        <v>0</v>
      </c>
      <c r="H114" s="1445">
        <v>0</v>
      </c>
      <c r="I114" s="1446">
        <f>+$I$10</f>
        <v>54.871239264995687</v>
      </c>
      <c r="J114" s="1447">
        <f t="shared" si="20"/>
        <v>132000</v>
      </c>
      <c r="K114" s="1447">
        <f t="shared" si="21"/>
        <v>0</v>
      </c>
      <c r="L114" s="1447">
        <f t="shared" si="22"/>
        <v>0</v>
      </c>
      <c r="M114" s="1447">
        <f t="shared" si="23"/>
        <v>132000</v>
      </c>
      <c r="N114" s="1448">
        <f>B114*D114*H114</f>
        <v>0</v>
      </c>
    </row>
    <row r="115" spans="1:17">
      <c r="A115" s="1440"/>
      <c r="B115" s="1441"/>
      <c r="C115" s="1442"/>
      <c r="D115" s="1874"/>
      <c r="E115" s="1444"/>
      <c r="F115" s="1444"/>
      <c r="G115" s="2667"/>
      <c r="H115" s="1445"/>
      <c r="I115" s="1446"/>
      <c r="J115" s="1447"/>
      <c r="K115" s="1447"/>
      <c r="L115" s="1447"/>
      <c r="M115" s="1447"/>
      <c r="N115" s="1448"/>
    </row>
    <row r="116" spans="1:17" s="1429" customFormat="1">
      <c r="A116" s="1449" t="s">
        <v>1699</v>
      </c>
      <c r="B116" s="1450"/>
      <c r="C116" s="1451"/>
      <c r="D116" s="1452"/>
      <c r="E116" s="1453"/>
      <c r="F116" s="1453"/>
      <c r="G116" s="2668"/>
      <c r="H116" s="1454"/>
      <c r="I116" s="1455"/>
      <c r="J116" s="1456">
        <f>SUM(J94:J115)</f>
        <v>736968</v>
      </c>
      <c r="K116" s="1456">
        <f>SUM(K94:K115)</f>
        <v>442450</v>
      </c>
      <c r="L116" s="1456">
        <f>SUM(L94:L115)</f>
        <v>2219541.6282690754</v>
      </c>
      <c r="M116" s="1456">
        <f>SUM(M94:M115)</f>
        <v>3398959.6282690754</v>
      </c>
      <c r="N116" s="1457">
        <f>SUM(N94:N115)</f>
        <v>40450</v>
      </c>
      <c r="Q116" s="1460"/>
    </row>
    <row r="117" spans="1:17">
      <c r="A117" s="1440"/>
      <c r="B117" s="1441"/>
      <c r="C117" s="1442"/>
      <c r="D117" s="1443"/>
      <c r="E117" s="1444"/>
      <c r="F117" s="1444"/>
      <c r="G117" s="2667"/>
      <c r="H117" s="1445"/>
      <c r="I117" s="1446"/>
      <c r="J117" s="1447"/>
      <c r="K117" s="1447"/>
      <c r="L117" s="1447"/>
      <c r="M117" s="1447"/>
      <c r="N117" s="1448"/>
    </row>
    <row r="118" spans="1:17">
      <c r="A118" s="1449" t="s">
        <v>663</v>
      </c>
      <c r="B118" s="1441"/>
      <c r="C118" s="1442"/>
      <c r="D118" s="1443"/>
      <c r="E118" s="1444"/>
      <c r="F118" s="1444"/>
      <c r="G118" s="2667"/>
      <c r="H118" s="1445"/>
      <c r="I118" s="1446"/>
      <c r="J118" s="1447"/>
      <c r="K118" s="1447"/>
      <c r="L118" s="1447"/>
      <c r="M118" s="1447"/>
      <c r="N118" s="1448"/>
    </row>
    <row r="119" spans="1:17">
      <c r="A119" s="1440" t="s">
        <v>939</v>
      </c>
      <c r="B119" s="1875">
        <v>500</v>
      </c>
      <c r="C119" s="1442" t="s">
        <v>1569</v>
      </c>
      <c r="D119" s="1443">
        <v>1</v>
      </c>
      <c r="E119" s="1444">
        <v>0</v>
      </c>
      <c r="F119" s="1444">
        <v>120</v>
      </c>
      <c r="G119" s="2667">
        <v>0</v>
      </c>
      <c r="H119" s="1445">
        <v>1</v>
      </c>
      <c r="I119" s="1446">
        <f t="shared" ref="I119:I129" si="25">+$I$10</f>
        <v>54.871239264995687</v>
      </c>
      <c r="J119" s="1447">
        <f t="shared" ref="J119:J129" si="26">B119*D119*E119</f>
        <v>0</v>
      </c>
      <c r="K119" s="1447">
        <f t="shared" ref="K119:K120" si="27">(B119*D119*F119)+G119</f>
        <v>60000</v>
      </c>
      <c r="L119" s="1447">
        <f t="shared" ref="L119:L129" si="28">B119*D119*H119*I119</f>
        <v>27435.619632497845</v>
      </c>
      <c r="M119" s="1447">
        <f t="shared" ref="M119:M129" si="29">SUM(J119:L119)</f>
        <v>87435.619632497837</v>
      </c>
      <c r="N119" s="1448">
        <f t="shared" ref="N119:N129" si="30">B119*D119*H119</f>
        <v>500</v>
      </c>
    </row>
    <row r="120" spans="1:17">
      <c r="A120" s="1440" t="s">
        <v>1700</v>
      </c>
      <c r="B120" s="1875">
        <v>500</v>
      </c>
      <c r="C120" s="1442" t="s">
        <v>1569</v>
      </c>
      <c r="D120" s="1443">
        <v>1</v>
      </c>
      <c r="E120" s="1444">
        <v>0</v>
      </c>
      <c r="F120" s="1444">
        <f>2*1.04</f>
        <v>2.08</v>
      </c>
      <c r="G120" s="2667">
        <v>0</v>
      </c>
      <c r="H120" s="1445">
        <v>8</v>
      </c>
      <c r="I120" s="1446">
        <f t="shared" si="25"/>
        <v>54.871239264995687</v>
      </c>
      <c r="J120" s="1447">
        <f t="shared" si="26"/>
        <v>0</v>
      </c>
      <c r="K120" s="1447">
        <f t="shared" si="27"/>
        <v>1040</v>
      </c>
      <c r="L120" s="1447">
        <f t="shared" si="28"/>
        <v>219484.95705998276</v>
      </c>
      <c r="M120" s="1447">
        <f t="shared" si="29"/>
        <v>220524.95705998276</v>
      </c>
      <c r="N120" s="1448">
        <f t="shared" si="30"/>
        <v>4000</v>
      </c>
    </row>
    <row r="121" spans="1:17">
      <c r="A121" s="1440" t="s">
        <v>1701</v>
      </c>
      <c r="B121" s="1441">
        <v>1</v>
      </c>
      <c r="C121" s="1442" t="s">
        <v>1569</v>
      </c>
      <c r="D121" s="1443">
        <f>$D$13</f>
        <v>24</v>
      </c>
      <c r="E121" s="1444">
        <v>0</v>
      </c>
      <c r="F121" s="1444">
        <v>2500</v>
      </c>
      <c r="G121" s="2667">
        <f>SUM(F121)*0.06</f>
        <v>150</v>
      </c>
      <c r="H121" s="1445">
        <v>2.5</v>
      </c>
      <c r="I121" s="1446">
        <f t="shared" si="25"/>
        <v>54.871239264995687</v>
      </c>
      <c r="J121" s="1447">
        <f t="shared" si="26"/>
        <v>0</v>
      </c>
      <c r="K121" s="1447">
        <f>(B121*D121*F121)+G121</f>
        <v>60150</v>
      </c>
      <c r="L121" s="1447">
        <f t="shared" si="28"/>
        <v>3292.2743558997413</v>
      </c>
      <c r="M121" s="1447">
        <f t="shared" si="29"/>
        <v>63442.274355899739</v>
      </c>
      <c r="N121" s="1448">
        <f t="shared" si="30"/>
        <v>60</v>
      </c>
    </row>
    <row r="122" spans="1:17">
      <c r="A122" s="1440" t="s">
        <v>1702</v>
      </c>
      <c r="B122" s="1441">
        <v>1</v>
      </c>
      <c r="C122" s="1442" t="s">
        <v>1569</v>
      </c>
      <c r="D122" s="1443">
        <f>$D$13</f>
        <v>24</v>
      </c>
      <c r="E122" s="1444">
        <v>0</v>
      </c>
      <c r="F122" s="1444">
        <v>500</v>
      </c>
      <c r="G122" s="2667">
        <f t="shared" ref="G122:G126" si="31">SUM(F122)*0.06</f>
        <v>30</v>
      </c>
      <c r="H122" s="1445">
        <v>2.5</v>
      </c>
      <c r="I122" s="1446">
        <f t="shared" si="25"/>
        <v>54.871239264995687</v>
      </c>
      <c r="J122" s="1447">
        <f t="shared" si="26"/>
        <v>0</v>
      </c>
      <c r="K122" s="1447">
        <f t="shared" ref="K122:K129" si="32">(B122*D122*F122)+G122</f>
        <v>12030</v>
      </c>
      <c r="L122" s="1447">
        <f t="shared" si="28"/>
        <v>3292.2743558997413</v>
      </c>
      <c r="M122" s="1447">
        <f t="shared" si="29"/>
        <v>15322.274355899741</v>
      </c>
      <c r="N122" s="1448">
        <f t="shared" si="30"/>
        <v>60</v>
      </c>
    </row>
    <row r="123" spans="1:17">
      <c r="A123" s="1440" t="s">
        <v>1703</v>
      </c>
      <c r="B123" s="1441">
        <v>1</v>
      </c>
      <c r="C123" s="1442" t="s">
        <v>1569</v>
      </c>
      <c r="D123" s="1443">
        <f>$D$13</f>
        <v>24</v>
      </c>
      <c r="E123" s="1444">
        <v>0</v>
      </c>
      <c r="F123" s="1444">
        <v>1500</v>
      </c>
      <c r="G123" s="2667">
        <f t="shared" si="31"/>
        <v>90</v>
      </c>
      <c r="H123" s="1445">
        <v>2.5</v>
      </c>
      <c r="I123" s="1446">
        <f t="shared" si="25"/>
        <v>54.871239264995687</v>
      </c>
      <c r="J123" s="1447">
        <f t="shared" si="26"/>
        <v>0</v>
      </c>
      <c r="K123" s="1447">
        <f t="shared" si="32"/>
        <v>36090</v>
      </c>
      <c r="L123" s="1447">
        <f t="shared" si="28"/>
        <v>3292.2743558997413</v>
      </c>
      <c r="M123" s="1447">
        <f t="shared" si="29"/>
        <v>39382.274355899739</v>
      </c>
      <c r="N123" s="1448">
        <f t="shared" si="30"/>
        <v>60</v>
      </c>
    </row>
    <row r="124" spans="1:17">
      <c r="A124" s="1440" t="s">
        <v>2047</v>
      </c>
      <c r="B124" s="1876">
        <v>1000</v>
      </c>
      <c r="C124" s="1442" t="s">
        <v>1127</v>
      </c>
      <c r="D124" s="1443">
        <v>1</v>
      </c>
      <c r="E124" s="1444">
        <v>0</v>
      </c>
      <c r="F124" s="1444">
        <v>100</v>
      </c>
      <c r="G124" s="2667">
        <f t="shared" si="31"/>
        <v>6</v>
      </c>
      <c r="H124" s="1445">
        <v>0.25</v>
      </c>
      <c r="I124" s="1446">
        <f t="shared" si="25"/>
        <v>54.871239264995687</v>
      </c>
      <c r="J124" s="1447">
        <f t="shared" si="26"/>
        <v>0</v>
      </c>
      <c r="K124" s="1447">
        <f t="shared" si="32"/>
        <v>100006</v>
      </c>
      <c r="L124" s="1447">
        <f t="shared" si="28"/>
        <v>13717.809816248922</v>
      </c>
      <c r="M124" s="1447">
        <f t="shared" si="29"/>
        <v>113723.80981624892</v>
      </c>
      <c r="N124" s="1448">
        <f t="shared" si="30"/>
        <v>250</v>
      </c>
    </row>
    <row r="125" spans="1:17">
      <c r="A125" s="1440" t="s">
        <v>2048</v>
      </c>
      <c r="B125" s="1876">
        <v>1000</v>
      </c>
      <c r="C125" s="1442" t="s">
        <v>1127</v>
      </c>
      <c r="D125" s="1443">
        <v>1</v>
      </c>
      <c r="E125" s="1444">
        <v>0</v>
      </c>
      <c r="F125" s="1444">
        <v>250</v>
      </c>
      <c r="G125" s="2667">
        <f t="shared" si="31"/>
        <v>15</v>
      </c>
      <c r="H125" s="1445">
        <v>0.25</v>
      </c>
      <c r="I125" s="1446">
        <f t="shared" si="25"/>
        <v>54.871239264995687</v>
      </c>
      <c r="J125" s="1447">
        <f t="shared" si="26"/>
        <v>0</v>
      </c>
      <c r="K125" s="1447">
        <f t="shared" si="32"/>
        <v>250015</v>
      </c>
      <c r="L125" s="1447">
        <f t="shared" si="28"/>
        <v>13717.809816248922</v>
      </c>
      <c r="M125" s="1447">
        <f t="shared" si="29"/>
        <v>263732.80981624895</v>
      </c>
      <c r="N125" s="1448">
        <f t="shared" si="30"/>
        <v>250</v>
      </c>
    </row>
    <row r="126" spans="1:17">
      <c r="A126" s="1440" t="s">
        <v>20</v>
      </c>
      <c r="B126" s="1441">
        <v>1</v>
      </c>
      <c r="C126" s="1442" t="s">
        <v>1569</v>
      </c>
      <c r="D126" s="1443">
        <f>$D$13</f>
        <v>24</v>
      </c>
      <c r="E126" s="1444">
        <v>0</v>
      </c>
      <c r="F126" s="1444">
        <v>500</v>
      </c>
      <c r="G126" s="2667">
        <f t="shared" si="31"/>
        <v>30</v>
      </c>
      <c r="H126" s="1445">
        <v>100</v>
      </c>
      <c r="I126" s="1446">
        <f t="shared" si="25"/>
        <v>54.871239264995687</v>
      </c>
      <c r="J126" s="1447">
        <f t="shared" si="26"/>
        <v>0</v>
      </c>
      <c r="K126" s="1447">
        <f t="shared" si="32"/>
        <v>12030</v>
      </c>
      <c r="L126" s="1447">
        <f t="shared" si="28"/>
        <v>131690.97423598965</v>
      </c>
      <c r="M126" s="1447">
        <f t="shared" si="29"/>
        <v>143720.97423598965</v>
      </c>
      <c r="N126" s="1448">
        <f t="shared" si="30"/>
        <v>2400</v>
      </c>
    </row>
    <row r="127" spans="1:17">
      <c r="A127" s="1440" t="s">
        <v>2049</v>
      </c>
      <c r="B127" s="1441">
        <v>1</v>
      </c>
      <c r="C127" s="1442" t="s">
        <v>1569</v>
      </c>
      <c r="D127" s="1443">
        <f>$D$13</f>
        <v>24</v>
      </c>
      <c r="E127" s="1444">
        <v>0</v>
      </c>
      <c r="F127" s="1444">
        <v>2000</v>
      </c>
      <c r="G127" s="2667">
        <v>0</v>
      </c>
      <c r="H127" s="1445">
        <v>0</v>
      </c>
      <c r="I127" s="1446">
        <f t="shared" si="25"/>
        <v>54.871239264995687</v>
      </c>
      <c r="J127" s="1447">
        <f t="shared" si="26"/>
        <v>0</v>
      </c>
      <c r="K127" s="1447">
        <f t="shared" si="32"/>
        <v>48000</v>
      </c>
      <c r="L127" s="1447">
        <f t="shared" si="28"/>
        <v>0</v>
      </c>
      <c r="M127" s="1447">
        <f t="shared" si="29"/>
        <v>48000</v>
      </c>
      <c r="N127" s="1448">
        <f t="shared" si="30"/>
        <v>0</v>
      </c>
    </row>
    <row r="128" spans="1:17">
      <c r="A128" s="1440" t="s">
        <v>21</v>
      </c>
      <c r="B128" s="1441">
        <v>1</v>
      </c>
      <c r="C128" s="1442" t="s">
        <v>1569</v>
      </c>
      <c r="D128" s="1443">
        <f>+D13</f>
        <v>24</v>
      </c>
      <c r="E128" s="1444">
        <v>0</v>
      </c>
      <c r="F128" s="1444">
        <v>500</v>
      </c>
      <c r="G128" s="2667">
        <v>0</v>
      </c>
      <c r="H128" s="1445">
        <v>0</v>
      </c>
      <c r="I128" s="1446">
        <f t="shared" si="25"/>
        <v>54.871239264995687</v>
      </c>
      <c r="J128" s="1447">
        <f t="shared" si="26"/>
        <v>0</v>
      </c>
      <c r="K128" s="1447">
        <f t="shared" si="32"/>
        <v>12000</v>
      </c>
      <c r="L128" s="1447">
        <f t="shared" si="28"/>
        <v>0</v>
      </c>
      <c r="M128" s="1447">
        <f t="shared" si="29"/>
        <v>12000</v>
      </c>
      <c r="N128" s="1448">
        <f t="shared" si="30"/>
        <v>0</v>
      </c>
    </row>
    <row r="129" spans="1:14">
      <c r="A129" s="1440" t="s">
        <v>2050</v>
      </c>
      <c r="B129" s="1876">
        <v>1</v>
      </c>
      <c r="C129" s="1442" t="s">
        <v>1127</v>
      </c>
      <c r="D129" s="1443">
        <f>+D13</f>
        <v>24</v>
      </c>
      <c r="E129" s="1444">
        <v>0</v>
      </c>
      <c r="F129" s="1444">
        <v>2000</v>
      </c>
      <c r="G129" s="2667">
        <v>0</v>
      </c>
      <c r="H129" s="1445">
        <v>0</v>
      </c>
      <c r="I129" s="1446">
        <f t="shared" si="25"/>
        <v>54.871239264995687</v>
      </c>
      <c r="J129" s="1447">
        <f t="shared" si="26"/>
        <v>0</v>
      </c>
      <c r="K129" s="1447">
        <f t="shared" si="32"/>
        <v>48000</v>
      </c>
      <c r="L129" s="1447">
        <f t="shared" si="28"/>
        <v>0</v>
      </c>
      <c r="M129" s="1447">
        <f t="shared" si="29"/>
        <v>48000</v>
      </c>
      <c r="N129" s="1448">
        <f t="shared" si="30"/>
        <v>0</v>
      </c>
    </row>
    <row r="130" spans="1:14">
      <c r="A130" s="1440"/>
      <c r="B130" s="1441"/>
      <c r="C130" s="1442"/>
      <c r="D130" s="1874"/>
      <c r="E130" s="1444"/>
      <c r="F130" s="1444"/>
      <c r="G130" s="2667"/>
      <c r="H130" s="1445"/>
      <c r="I130" s="1446"/>
      <c r="J130" s="1447"/>
      <c r="K130" s="1447"/>
      <c r="L130" s="1447"/>
      <c r="M130" s="1447"/>
      <c r="N130" s="1448"/>
    </row>
    <row r="131" spans="1:14" s="1429" customFormat="1">
      <c r="A131" s="1449" t="s">
        <v>2051</v>
      </c>
      <c r="B131" s="1450"/>
      <c r="C131" s="1451"/>
      <c r="D131" s="1452"/>
      <c r="E131" s="1453"/>
      <c r="F131" s="1453"/>
      <c r="G131" s="2668"/>
      <c r="H131" s="1454"/>
      <c r="I131" s="1455"/>
      <c r="J131" s="1456">
        <f>SUM(J118:J130)</f>
        <v>0</v>
      </c>
      <c r="K131" s="1456">
        <f>SUM(K118:K130)</f>
        <v>639361</v>
      </c>
      <c r="L131" s="1456">
        <f>SUM(L118:L130)</f>
        <v>415923.99362866732</v>
      </c>
      <c r="M131" s="1456">
        <f>SUM(M118:M130)</f>
        <v>1055284.9936286672</v>
      </c>
      <c r="N131" s="1457">
        <f>SUM(N118:N130)</f>
        <v>7580</v>
      </c>
    </row>
    <row r="132" spans="1:14">
      <c r="A132" s="1440"/>
      <c r="B132" s="1441"/>
      <c r="C132" s="1442"/>
      <c r="D132" s="1443"/>
      <c r="E132" s="1444"/>
      <c r="F132" s="1444"/>
      <c r="G132" s="2667"/>
      <c r="H132" s="1445"/>
      <c r="I132" s="1446"/>
      <c r="J132" s="1447"/>
      <c r="K132" s="1447"/>
      <c r="L132" s="1447"/>
      <c r="M132" s="1447"/>
      <c r="N132" s="1448"/>
    </row>
    <row r="133" spans="1:14">
      <c r="A133" s="1449" t="s">
        <v>471</v>
      </c>
      <c r="B133" s="1441"/>
      <c r="C133" s="1442"/>
      <c r="D133" s="1443"/>
      <c r="E133" s="1444"/>
      <c r="F133" s="1444"/>
      <c r="G133" s="2667"/>
      <c r="H133" s="1445"/>
      <c r="I133" s="1446"/>
      <c r="J133" s="1447"/>
      <c r="K133" s="1447"/>
      <c r="L133" s="1447"/>
      <c r="M133" s="1447"/>
      <c r="N133" s="1448"/>
    </row>
    <row r="134" spans="1:14">
      <c r="A134" s="1440" t="s">
        <v>1011</v>
      </c>
      <c r="B134" s="1441">
        <v>1</v>
      </c>
      <c r="C134" s="1442" t="s">
        <v>1127</v>
      </c>
      <c r="D134" s="1878">
        <v>36</v>
      </c>
      <c r="E134" s="1444">
        <v>0</v>
      </c>
      <c r="F134" s="1444">
        <v>750</v>
      </c>
      <c r="G134" s="2667">
        <v>0</v>
      </c>
      <c r="H134" s="1445">
        <v>0</v>
      </c>
      <c r="I134" s="1446">
        <f>+$I$10</f>
        <v>54.871239264995687</v>
      </c>
      <c r="J134" s="1447">
        <f>B134*D134*E134</f>
        <v>0</v>
      </c>
      <c r="K134" s="1447">
        <f t="shared" ref="K134:K136" si="33">(B134*D134*F134)+G134</f>
        <v>27000</v>
      </c>
      <c r="L134" s="1447">
        <f>B134*D134*H134*I134</f>
        <v>0</v>
      </c>
      <c r="M134" s="1447">
        <f>SUM(J134:L134)</f>
        <v>27000</v>
      </c>
      <c r="N134" s="1448">
        <f>B134*D134*H134</f>
        <v>0</v>
      </c>
    </row>
    <row r="135" spans="1:14">
      <c r="A135" s="1440" t="s">
        <v>22</v>
      </c>
      <c r="B135" s="1441">
        <v>1</v>
      </c>
      <c r="C135" s="1442" t="s">
        <v>1127</v>
      </c>
      <c r="D135" s="1443">
        <f>$D$13</f>
        <v>24</v>
      </c>
      <c r="E135" s="1444">
        <v>0</v>
      </c>
      <c r="F135" s="1444">
        <v>75</v>
      </c>
      <c r="G135" s="2667">
        <v>0</v>
      </c>
      <c r="H135" s="1445">
        <v>0</v>
      </c>
      <c r="I135" s="1446">
        <f>+$I$10</f>
        <v>54.871239264995687</v>
      </c>
      <c r="J135" s="1447">
        <f>B135*D135*E135</f>
        <v>0</v>
      </c>
      <c r="K135" s="1447">
        <f t="shared" si="33"/>
        <v>1800</v>
      </c>
      <c r="L135" s="1447">
        <f>B135*D135*H135*I135</f>
        <v>0</v>
      </c>
      <c r="M135" s="1447">
        <f>SUM(J135:L135)</f>
        <v>1800</v>
      </c>
      <c r="N135" s="1448">
        <f>B135*D135*H135</f>
        <v>0</v>
      </c>
    </row>
    <row r="136" spans="1:14">
      <c r="A136" s="1440" t="s">
        <v>23</v>
      </c>
      <c r="B136" s="1441">
        <v>0.25</v>
      </c>
      <c r="C136" s="1442" t="s">
        <v>1127</v>
      </c>
      <c r="D136" s="1878">
        <v>36</v>
      </c>
      <c r="E136" s="1444">
        <v>0</v>
      </c>
      <c r="F136" s="1444">
        <v>2500</v>
      </c>
      <c r="G136" s="2667">
        <v>0</v>
      </c>
      <c r="H136" s="1445">
        <v>0</v>
      </c>
      <c r="I136" s="1446">
        <f>+$I$10</f>
        <v>54.871239264995687</v>
      </c>
      <c r="J136" s="1447">
        <f>B136*D136*E136</f>
        <v>0</v>
      </c>
      <c r="K136" s="1447">
        <f t="shared" si="33"/>
        <v>22500</v>
      </c>
      <c r="L136" s="1447">
        <f>B136*D136*H136*I136</f>
        <v>0</v>
      </c>
      <c r="M136" s="1447">
        <f>SUM(J136:L136)</f>
        <v>22500</v>
      </c>
      <c r="N136" s="1448">
        <f>B136*D136*H136</f>
        <v>0</v>
      </c>
    </row>
    <row r="137" spans="1:14">
      <c r="A137" s="1440"/>
      <c r="B137" s="1441"/>
      <c r="C137" s="1442"/>
      <c r="D137" s="1874"/>
      <c r="E137" s="1444"/>
      <c r="F137" s="1444"/>
      <c r="G137" s="2667"/>
      <c r="H137" s="1445"/>
      <c r="I137" s="1446"/>
      <c r="J137" s="1447"/>
      <c r="K137" s="1447"/>
      <c r="L137" s="1447"/>
      <c r="M137" s="1447"/>
      <c r="N137" s="1448"/>
    </row>
    <row r="138" spans="1:14" s="1429" customFormat="1">
      <c r="A138" s="1449" t="s">
        <v>191</v>
      </c>
      <c r="B138" s="1450"/>
      <c r="C138" s="1451"/>
      <c r="D138" s="1452"/>
      <c r="E138" s="1453"/>
      <c r="F138" s="1453"/>
      <c r="G138" s="2668"/>
      <c r="H138" s="1454"/>
      <c r="I138" s="1455"/>
      <c r="J138" s="1456">
        <f>SUM(J134:J137)</f>
        <v>0</v>
      </c>
      <c r="K138" s="1456">
        <f>SUM(K134:K137)</f>
        <v>51300</v>
      </c>
      <c r="L138" s="1456">
        <f>SUM(L134:L137)</f>
        <v>0</v>
      </c>
      <c r="M138" s="1456">
        <f>SUM(M134:M137)</f>
        <v>51300</v>
      </c>
      <c r="N138" s="1457">
        <f>SUM(N134:N137)</f>
        <v>0</v>
      </c>
    </row>
    <row r="139" spans="1:14">
      <c r="A139" s="1440"/>
      <c r="B139" s="1441"/>
      <c r="C139" s="1442"/>
      <c r="D139" s="1443"/>
      <c r="E139" s="1444"/>
      <c r="F139" s="1444"/>
      <c r="G139" s="2667"/>
      <c r="H139" s="1445"/>
      <c r="I139" s="1446"/>
      <c r="J139" s="1447"/>
      <c r="K139" s="1447"/>
      <c r="L139" s="1447"/>
      <c r="M139" s="1447"/>
      <c r="N139" s="1448"/>
    </row>
    <row r="140" spans="1:14">
      <c r="A140" s="1449" t="s">
        <v>1012</v>
      </c>
      <c r="B140" s="1441"/>
      <c r="C140" s="1442"/>
      <c r="D140" s="1443"/>
      <c r="E140" s="1444"/>
      <c r="F140" s="1444"/>
      <c r="G140" s="2667"/>
      <c r="H140" s="1445"/>
      <c r="I140" s="1446"/>
      <c r="J140" s="1447"/>
      <c r="K140" s="1447"/>
      <c r="L140" s="1447"/>
      <c r="M140" s="1447"/>
      <c r="N140" s="1448"/>
    </row>
    <row r="141" spans="1:14">
      <c r="A141" s="1440" t="s">
        <v>192</v>
      </c>
      <c r="B141" s="1879">
        <v>1</v>
      </c>
      <c r="C141" s="1442" t="s">
        <v>1127</v>
      </c>
      <c r="D141" s="1443">
        <v>12</v>
      </c>
      <c r="E141" s="1444">
        <v>0</v>
      </c>
      <c r="F141" s="1444">
        <v>2500</v>
      </c>
      <c r="G141" s="2667">
        <v>0</v>
      </c>
      <c r="H141" s="1445">
        <v>0</v>
      </c>
      <c r="I141" s="1446">
        <f t="shared" ref="I141:I148" si="34">+$I$10</f>
        <v>54.871239264995687</v>
      </c>
      <c r="J141" s="1447">
        <f t="shared" ref="J141:J148" si="35">B141*D141*E141</f>
        <v>0</v>
      </c>
      <c r="K141" s="1447">
        <f t="shared" ref="K141:K148" si="36">B141*D141*F141</f>
        <v>30000</v>
      </c>
      <c r="L141" s="1447">
        <f t="shared" ref="L141:L148" si="37">B141*D141*H141*I141</f>
        <v>0</v>
      </c>
      <c r="M141" s="1447">
        <f t="shared" ref="M141:M148" si="38">SUM(J141:L141)</f>
        <v>30000</v>
      </c>
      <c r="N141" s="1448">
        <f t="shared" ref="N141:N148" si="39">B141*D141*H141</f>
        <v>0</v>
      </c>
    </row>
    <row r="142" spans="1:14">
      <c r="A142" s="1440" t="s">
        <v>1013</v>
      </c>
      <c r="B142" s="1879">
        <v>1</v>
      </c>
      <c r="C142" s="1442" t="s">
        <v>1127</v>
      </c>
      <c r="D142" s="1443">
        <v>12</v>
      </c>
      <c r="E142" s="1444">
        <v>0</v>
      </c>
      <c r="F142" s="1444">
        <v>2500</v>
      </c>
      <c r="G142" s="2667">
        <v>0</v>
      </c>
      <c r="H142" s="1445">
        <v>0</v>
      </c>
      <c r="I142" s="1446">
        <f t="shared" si="34"/>
        <v>54.871239264995687</v>
      </c>
      <c r="J142" s="1447">
        <f t="shared" si="35"/>
        <v>0</v>
      </c>
      <c r="K142" s="1447">
        <f t="shared" si="36"/>
        <v>30000</v>
      </c>
      <c r="L142" s="1447">
        <f t="shared" si="37"/>
        <v>0</v>
      </c>
      <c r="M142" s="1447">
        <f t="shared" si="38"/>
        <v>30000</v>
      </c>
      <c r="N142" s="1448">
        <f t="shared" si="39"/>
        <v>0</v>
      </c>
    </row>
    <row r="143" spans="1:14">
      <c r="A143" s="1440" t="s">
        <v>193</v>
      </c>
      <c r="B143" s="1879">
        <v>1</v>
      </c>
      <c r="C143" s="1442" t="s">
        <v>1127</v>
      </c>
      <c r="D143" s="1443">
        <v>12</v>
      </c>
      <c r="E143" s="1444">
        <v>0</v>
      </c>
      <c r="F143" s="1444">
        <v>1500</v>
      </c>
      <c r="G143" s="2667">
        <v>0</v>
      </c>
      <c r="H143" s="1445">
        <v>0</v>
      </c>
      <c r="I143" s="1446">
        <f t="shared" si="34"/>
        <v>54.871239264995687</v>
      </c>
      <c r="J143" s="1447">
        <f t="shared" si="35"/>
        <v>0</v>
      </c>
      <c r="K143" s="1447">
        <f t="shared" si="36"/>
        <v>18000</v>
      </c>
      <c r="L143" s="1447">
        <f t="shared" si="37"/>
        <v>0</v>
      </c>
      <c r="M143" s="1447">
        <f t="shared" si="38"/>
        <v>18000</v>
      </c>
      <c r="N143" s="1448">
        <f t="shared" si="39"/>
        <v>0</v>
      </c>
    </row>
    <row r="144" spans="1:14">
      <c r="A144" s="1440" t="s">
        <v>194</v>
      </c>
      <c r="B144" s="1879">
        <v>0</v>
      </c>
      <c r="C144" s="1442" t="s">
        <v>1127</v>
      </c>
      <c r="D144" s="1443">
        <v>12</v>
      </c>
      <c r="E144" s="1444">
        <v>0</v>
      </c>
      <c r="F144" s="1444">
        <v>3500</v>
      </c>
      <c r="G144" s="2667">
        <v>0</v>
      </c>
      <c r="H144" s="1445">
        <v>0</v>
      </c>
      <c r="I144" s="1446">
        <f t="shared" si="34"/>
        <v>54.871239264995687</v>
      </c>
      <c r="J144" s="1447">
        <f t="shared" si="35"/>
        <v>0</v>
      </c>
      <c r="K144" s="1447">
        <f t="shared" si="36"/>
        <v>0</v>
      </c>
      <c r="L144" s="1447">
        <f t="shared" si="37"/>
        <v>0</v>
      </c>
      <c r="M144" s="1447">
        <f t="shared" si="38"/>
        <v>0</v>
      </c>
      <c r="N144" s="1448">
        <f t="shared" si="39"/>
        <v>0</v>
      </c>
    </row>
    <row r="145" spans="1:14">
      <c r="A145" s="1440" t="s">
        <v>1751</v>
      </c>
      <c r="B145" s="1879">
        <v>1</v>
      </c>
      <c r="C145" s="1442" t="s">
        <v>1127</v>
      </c>
      <c r="D145" s="1443">
        <v>12</v>
      </c>
      <c r="E145" s="1444">
        <v>0</v>
      </c>
      <c r="F145" s="1444">
        <v>1750</v>
      </c>
      <c r="G145" s="2667">
        <v>0</v>
      </c>
      <c r="H145" s="1445">
        <v>0</v>
      </c>
      <c r="I145" s="1446">
        <f t="shared" si="34"/>
        <v>54.871239264995687</v>
      </c>
      <c r="J145" s="1447">
        <f t="shared" si="35"/>
        <v>0</v>
      </c>
      <c r="K145" s="1447">
        <f t="shared" si="36"/>
        <v>21000</v>
      </c>
      <c r="L145" s="1447">
        <f t="shared" si="37"/>
        <v>0</v>
      </c>
      <c r="M145" s="1447">
        <f t="shared" si="38"/>
        <v>21000</v>
      </c>
      <c r="N145" s="1448">
        <f t="shared" si="39"/>
        <v>0</v>
      </c>
    </row>
    <row r="146" spans="1:14">
      <c r="A146" s="1440" t="s">
        <v>1752</v>
      </c>
      <c r="B146" s="1879">
        <v>1</v>
      </c>
      <c r="C146" s="1442" t="s">
        <v>1127</v>
      </c>
      <c r="D146" s="1443">
        <v>12</v>
      </c>
      <c r="E146" s="1444">
        <v>0</v>
      </c>
      <c r="F146" s="1444">
        <v>1500</v>
      </c>
      <c r="G146" s="2667">
        <v>0</v>
      </c>
      <c r="H146" s="1445">
        <v>0</v>
      </c>
      <c r="I146" s="1446">
        <f t="shared" si="34"/>
        <v>54.871239264995687</v>
      </c>
      <c r="J146" s="1447">
        <f t="shared" si="35"/>
        <v>0</v>
      </c>
      <c r="K146" s="1447">
        <f t="shared" si="36"/>
        <v>18000</v>
      </c>
      <c r="L146" s="1447">
        <f t="shared" si="37"/>
        <v>0</v>
      </c>
      <c r="M146" s="1447">
        <f t="shared" si="38"/>
        <v>18000</v>
      </c>
      <c r="N146" s="1448">
        <f t="shared" si="39"/>
        <v>0</v>
      </c>
    </row>
    <row r="147" spans="1:14">
      <c r="A147" s="1440" t="s">
        <v>2079</v>
      </c>
      <c r="B147" s="1882">
        <v>0</v>
      </c>
      <c r="C147" s="1442" t="s">
        <v>1569</v>
      </c>
      <c r="D147" s="1443">
        <v>12</v>
      </c>
      <c r="E147" s="1444">
        <v>0</v>
      </c>
      <c r="F147" s="1444">
        <v>1560</v>
      </c>
      <c r="G147" s="2667">
        <v>0</v>
      </c>
      <c r="H147" s="1445">
        <v>0</v>
      </c>
      <c r="I147" s="1446">
        <f t="shared" si="34"/>
        <v>54.871239264995687</v>
      </c>
      <c r="J147" s="1447">
        <f t="shared" si="35"/>
        <v>0</v>
      </c>
      <c r="K147" s="1447">
        <f t="shared" si="36"/>
        <v>0</v>
      </c>
      <c r="L147" s="1447">
        <f t="shared" si="37"/>
        <v>0</v>
      </c>
      <c r="M147" s="1447">
        <f t="shared" si="38"/>
        <v>0</v>
      </c>
      <c r="N147" s="1448">
        <f t="shared" si="39"/>
        <v>0</v>
      </c>
    </row>
    <row r="148" spans="1:14">
      <c r="A148" s="1440" t="s">
        <v>2080</v>
      </c>
      <c r="B148" s="1879">
        <v>0</v>
      </c>
      <c r="C148" s="1442" t="s">
        <v>1127</v>
      </c>
      <c r="D148" s="1443">
        <v>12</v>
      </c>
      <c r="E148" s="1444">
        <v>0</v>
      </c>
      <c r="F148" s="1444">
        <v>500</v>
      </c>
      <c r="G148" s="2667">
        <v>0</v>
      </c>
      <c r="H148" s="1445">
        <v>0</v>
      </c>
      <c r="I148" s="1446">
        <f t="shared" si="34"/>
        <v>54.871239264995687</v>
      </c>
      <c r="J148" s="1447">
        <f t="shared" si="35"/>
        <v>0</v>
      </c>
      <c r="K148" s="1447">
        <f t="shared" si="36"/>
        <v>0</v>
      </c>
      <c r="L148" s="1447">
        <f t="shared" si="37"/>
        <v>0</v>
      </c>
      <c r="M148" s="1447">
        <f t="shared" si="38"/>
        <v>0</v>
      </c>
      <c r="N148" s="1448">
        <f t="shared" si="39"/>
        <v>0</v>
      </c>
    </row>
    <row r="149" spans="1:14">
      <c r="A149" s="1440"/>
      <c r="B149" s="1441"/>
      <c r="C149" s="1442"/>
      <c r="D149" s="1874"/>
      <c r="E149" s="1444"/>
      <c r="F149" s="1444"/>
      <c r="G149" s="2667"/>
      <c r="H149" s="1445"/>
      <c r="I149" s="1446"/>
      <c r="J149" s="1447"/>
      <c r="K149" s="1447"/>
      <c r="L149" s="1447"/>
      <c r="M149" s="1447"/>
      <c r="N149" s="1448"/>
    </row>
    <row r="150" spans="1:14" s="1429" customFormat="1">
      <c r="A150" s="1449" t="s">
        <v>2081</v>
      </c>
      <c r="B150" s="1450"/>
      <c r="C150" s="1451"/>
      <c r="D150" s="1452"/>
      <c r="E150" s="1453"/>
      <c r="F150" s="1453"/>
      <c r="G150" s="2668"/>
      <c r="H150" s="1454"/>
      <c r="I150" s="1455"/>
      <c r="J150" s="1456">
        <f>SUM(J141:J149)</f>
        <v>0</v>
      </c>
      <c r="K150" s="1456">
        <f>SUM(K141:K149)</f>
        <v>117000</v>
      </c>
      <c r="L150" s="1456">
        <f>SUM(L141:L149)</f>
        <v>0</v>
      </c>
      <c r="M150" s="1456">
        <f>SUM(M141:M149)</f>
        <v>117000</v>
      </c>
      <c r="N150" s="1457">
        <f>SUM(N141:N149)</f>
        <v>0</v>
      </c>
    </row>
    <row r="151" spans="1:14">
      <c r="A151" s="1440"/>
      <c r="B151" s="1441"/>
      <c r="C151" s="1442"/>
      <c r="D151" s="1443"/>
      <c r="E151" s="1444"/>
      <c r="F151" s="1444"/>
      <c r="G151" s="2667"/>
      <c r="H151" s="1445"/>
      <c r="I151" s="1446"/>
      <c r="J151" s="1447"/>
      <c r="K151" s="1447"/>
      <c r="L151" s="1447"/>
      <c r="M151" s="1447"/>
      <c r="N151" s="1448"/>
    </row>
    <row r="152" spans="1:14">
      <c r="A152" s="1449" t="s">
        <v>2151</v>
      </c>
      <c r="B152" s="1441"/>
      <c r="C152" s="1442"/>
      <c r="D152" s="1443"/>
      <c r="E152" s="1444"/>
      <c r="F152" s="1444"/>
      <c r="G152" s="2667"/>
      <c r="H152" s="1445"/>
      <c r="I152" s="1446"/>
      <c r="J152" s="1447"/>
      <c r="K152" s="1447"/>
      <c r="L152" s="1447"/>
      <c r="M152" s="1447"/>
      <c r="N152" s="1448"/>
    </row>
    <row r="153" spans="1:14">
      <c r="A153" s="1440" t="s">
        <v>2082</v>
      </c>
      <c r="B153" s="1441">
        <v>1</v>
      </c>
      <c r="C153" s="1442" t="s">
        <v>1127</v>
      </c>
      <c r="D153" s="1443">
        <v>1</v>
      </c>
      <c r="E153" s="1444">
        <v>0</v>
      </c>
      <c r="F153" s="1444">
        <v>150000</v>
      </c>
      <c r="G153" s="2667">
        <v>0</v>
      </c>
      <c r="H153" s="1445">
        <v>0</v>
      </c>
      <c r="I153" s="1446">
        <f>+$I$10</f>
        <v>54.871239264995687</v>
      </c>
      <c r="J153" s="1447">
        <f>B153*D153*E153</f>
        <v>0</v>
      </c>
      <c r="K153" s="1447">
        <f>B153*D153*F153</f>
        <v>150000</v>
      </c>
      <c r="L153" s="1447">
        <f>B153*D153*H153*I153</f>
        <v>0</v>
      </c>
      <c r="M153" s="1447">
        <f>SUM(J153:L153)</f>
        <v>150000</v>
      </c>
      <c r="N153" s="1448">
        <f>B153*D153*H153</f>
        <v>0</v>
      </c>
    </row>
    <row r="154" spans="1:14">
      <c r="A154" s="1440" t="s">
        <v>717</v>
      </c>
      <c r="B154" s="1441">
        <v>1</v>
      </c>
      <c r="C154" s="1442" t="s">
        <v>1569</v>
      </c>
      <c r="D154" s="1443">
        <v>1</v>
      </c>
      <c r="E154" s="1444">
        <v>0</v>
      </c>
      <c r="F154" s="1444">
        <v>20800</v>
      </c>
      <c r="G154" s="2667">
        <v>0</v>
      </c>
      <c r="H154" s="1445">
        <v>0</v>
      </c>
      <c r="I154" s="1446">
        <f>+$I$10</f>
        <v>54.871239264995687</v>
      </c>
      <c r="J154" s="1447">
        <f>B154*D154*E154</f>
        <v>0</v>
      </c>
      <c r="K154" s="1447">
        <f>B154*D154*F154</f>
        <v>20800</v>
      </c>
      <c r="L154" s="1447">
        <f>B154*D154*H154*I154</f>
        <v>0</v>
      </c>
      <c r="M154" s="1447">
        <f>SUM(J154:L154)</f>
        <v>20800</v>
      </c>
      <c r="N154" s="1448">
        <f>B154*D154*H154</f>
        <v>0</v>
      </c>
    </row>
    <row r="155" spans="1:14">
      <c r="A155" s="1440" t="s">
        <v>2083</v>
      </c>
      <c r="B155" s="1441">
        <v>1</v>
      </c>
      <c r="C155" s="1442" t="s">
        <v>1127</v>
      </c>
      <c r="D155" s="1443">
        <v>1</v>
      </c>
      <c r="E155" s="1444">
        <v>0</v>
      </c>
      <c r="F155" s="1444">
        <v>52000</v>
      </c>
      <c r="G155" s="2667">
        <v>0</v>
      </c>
      <c r="H155" s="1445">
        <v>0</v>
      </c>
      <c r="I155" s="1446">
        <f>+$I$10</f>
        <v>54.871239264995687</v>
      </c>
      <c r="J155" s="1447">
        <f>B155*D155*E155</f>
        <v>0</v>
      </c>
      <c r="K155" s="1447">
        <f>B155*D155*F155</f>
        <v>52000</v>
      </c>
      <c r="L155" s="1447">
        <f>B155*D155*H155*I155</f>
        <v>0</v>
      </c>
      <c r="M155" s="1447">
        <f>SUM(J155:L155)</f>
        <v>52000</v>
      </c>
      <c r="N155" s="1448">
        <f>B155*D155*H155</f>
        <v>0</v>
      </c>
    </row>
    <row r="156" spans="1:14">
      <c r="A156" s="1440" t="s">
        <v>940</v>
      </c>
      <c r="B156" s="1441">
        <v>1</v>
      </c>
      <c r="C156" s="1442" t="s">
        <v>1127</v>
      </c>
      <c r="D156" s="1443">
        <v>1</v>
      </c>
      <c r="E156" s="1444">
        <v>0</v>
      </c>
      <c r="F156" s="1444">
        <v>15600</v>
      </c>
      <c r="G156" s="2667">
        <v>0</v>
      </c>
      <c r="H156" s="1445">
        <v>0</v>
      </c>
      <c r="I156" s="1446">
        <f>+$I$10</f>
        <v>54.871239264995687</v>
      </c>
      <c r="J156" s="1447">
        <f>B156*D156*E156</f>
        <v>0</v>
      </c>
      <c r="K156" s="1447">
        <f>B156*D156*F156</f>
        <v>15600</v>
      </c>
      <c r="L156" s="1447">
        <f>B156*D156*H156*I156</f>
        <v>0</v>
      </c>
      <c r="M156" s="1447">
        <f>SUM(J156:L156)</f>
        <v>15600</v>
      </c>
      <c r="N156" s="1448">
        <f>B156*D156*H156</f>
        <v>0</v>
      </c>
    </row>
    <row r="157" spans="1:14">
      <c r="A157" s="1440" t="s">
        <v>2152</v>
      </c>
      <c r="B157" s="1441">
        <v>1</v>
      </c>
      <c r="C157" s="1442" t="s">
        <v>1569</v>
      </c>
      <c r="D157" s="1443">
        <v>1</v>
      </c>
      <c r="E157" s="1444">
        <v>0</v>
      </c>
      <c r="F157" s="1444">
        <v>26000</v>
      </c>
      <c r="G157" s="2667">
        <v>0</v>
      </c>
      <c r="H157" s="1445">
        <v>0</v>
      </c>
      <c r="I157" s="1446">
        <f>+$I$10</f>
        <v>54.871239264995687</v>
      </c>
      <c r="J157" s="1447">
        <f>B157*D157*E157</f>
        <v>0</v>
      </c>
      <c r="K157" s="1447">
        <f>B157*D157*F157</f>
        <v>26000</v>
      </c>
      <c r="L157" s="1447">
        <f>B157*D157*H157*I157</f>
        <v>0</v>
      </c>
      <c r="M157" s="1447">
        <f>SUM(J157:L157)</f>
        <v>26000</v>
      </c>
      <c r="N157" s="1448">
        <f>B157*D157*H157</f>
        <v>0</v>
      </c>
    </row>
    <row r="158" spans="1:14">
      <c r="A158" s="1440" t="s">
        <v>941</v>
      </c>
      <c r="B158" s="1875"/>
      <c r="C158" s="1877"/>
      <c r="D158" s="1878"/>
      <c r="E158" s="1703"/>
      <c r="F158" s="1703"/>
      <c r="G158" s="1704"/>
      <c r="H158" s="1704"/>
      <c r="I158" s="1708"/>
      <c r="J158" s="1709"/>
      <c r="K158" s="1709"/>
      <c r="L158" s="1709"/>
      <c r="M158" s="1709"/>
      <c r="N158" s="1702"/>
    </row>
    <row r="159" spans="1:14">
      <c r="A159" s="1440" t="s">
        <v>593</v>
      </c>
      <c r="B159" s="1441">
        <v>1</v>
      </c>
      <c r="C159" s="1442" t="s">
        <v>1569</v>
      </c>
      <c r="D159" s="1443">
        <v>1</v>
      </c>
      <c r="E159" s="1444">
        <v>0</v>
      </c>
      <c r="F159" s="1444">
        <v>40000</v>
      </c>
      <c r="G159" s="2667">
        <v>0</v>
      </c>
      <c r="H159" s="1445">
        <v>0</v>
      </c>
      <c r="I159" s="1446">
        <f>+$I$10</f>
        <v>54.871239264995687</v>
      </c>
      <c r="J159" s="1447">
        <f>B159*D159*E159</f>
        <v>0</v>
      </c>
      <c r="K159" s="1447">
        <f>B159*D159*F159</f>
        <v>40000</v>
      </c>
      <c r="L159" s="1447">
        <f>B159*D159*H159*I159</f>
        <v>0</v>
      </c>
      <c r="M159" s="1447">
        <f>SUM(J159:L159)</f>
        <v>40000</v>
      </c>
      <c r="N159" s="1448">
        <f>B159*D159*H159</f>
        <v>0</v>
      </c>
    </row>
    <row r="160" spans="1:14">
      <c r="A160" s="1440"/>
      <c r="B160" s="1441"/>
      <c r="C160" s="1442"/>
      <c r="D160" s="1874"/>
      <c r="E160" s="1444"/>
      <c r="F160" s="1444"/>
      <c r="G160" s="2667"/>
      <c r="H160" s="1445"/>
      <c r="I160" s="1446"/>
      <c r="J160" s="1447"/>
      <c r="K160" s="1447"/>
      <c r="L160" s="1447"/>
      <c r="M160" s="1447"/>
      <c r="N160" s="1448"/>
    </row>
    <row r="161" spans="1:14" s="1429" customFormat="1">
      <c r="A161" s="1449" t="s">
        <v>2084</v>
      </c>
      <c r="B161" s="1450"/>
      <c r="C161" s="1451"/>
      <c r="D161" s="1452"/>
      <c r="E161" s="1453"/>
      <c r="F161" s="1453"/>
      <c r="G161" s="2668"/>
      <c r="H161" s="1454"/>
      <c r="I161" s="1455"/>
      <c r="J161" s="1456">
        <f>SUM(J153:J160)</f>
        <v>0</v>
      </c>
      <c r="K161" s="1456">
        <f>SUM(K153:K160)</f>
        <v>304400</v>
      </c>
      <c r="L161" s="1456">
        <f>SUM(L153:L160)</f>
        <v>0</v>
      </c>
      <c r="M161" s="1456">
        <f>SUM(M153:M160)</f>
        <v>304400</v>
      </c>
      <c r="N161" s="1457">
        <f>SUM(N153:N160)</f>
        <v>0</v>
      </c>
    </row>
    <row r="162" spans="1:14">
      <c r="A162" s="1440"/>
      <c r="B162" s="1441"/>
      <c r="C162" s="1442"/>
      <c r="D162" s="1443"/>
      <c r="E162" s="1444"/>
      <c r="F162" s="1444"/>
      <c r="G162" s="2667"/>
      <c r="H162" s="1445"/>
      <c r="I162" s="1446"/>
      <c r="J162" s="1447"/>
      <c r="K162" s="1447"/>
      <c r="L162" s="1447"/>
      <c r="M162" s="1447"/>
      <c r="N162" s="1448"/>
    </row>
    <row r="163" spans="1:14">
      <c r="A163" s="1449" t="s">
        <v>1773</v>
      </c>
      <c r="B163" s="1441"/>
      <c r="C163" s="1442"/>
      <c r="D163" s="1443"/>
      <c r="E163" s="1444"/>
      <c r="F163" s="1444"/>
      <c r="G163" s="2667"/>
      <c r="H163" s="1445"/>
      <c r="I163" s="1446"/>
      <c r="J163" s="1447"/>
      <c r="K163" s="1447"/>
      <c r="L163" s="1447"/>
      <c r="M163" s="1447"/>
      <c r="N163" s="1448"/>
    </row>
    <row r="164" spans="1:14">
      <c r="A164" s="1440" t="s">
        <v>189</v>
      </c>
      <c r="B164" s="1876">
        <v>5</v>
      </c>
      <c r="C164" s="1442" t="s">
        <v>1569</v>
      </c>
      <c r="D164" s="1443">
        <v>36</v>
      </c>
      <c r="E164" s="1444">
        <v>0</v>
      </c>
      <c r="F164" s="1444">
        <v>1400</v>
      </c>
      <c r="G164" s="2667">
        <v>0</v>
      </c>
      <c r="H164" s="1445">
        <f>75*0.75</f>
        <v>56.25</v>
      </c>
      <c r="I164" s="1446">
        <f>+$I$10*1.5</f>
        <v>82.306858897493527</v>
      </c>
      <c r="J164" s="1447">
        <f t="shared" ref="J164:J172" si="40">B164*D164*E164</f>
        <v>0</v>
      </c>
      <c r="K164" s="1447">
        <f t="shared" ref="K164:K172" si="41">B164*D164*F164</f>
        <v>252000</v>
      </c>
      <c r="L164" s="1447">
        <f t="shared" ref="L164:L172" si="42">B164*D164*H164*I164</f>
        <v>833356.946337122</v>
      </c>
      <c r="M164" s="1447">
        <f t="shared" ref="M164:M172" si="43">SUM(J164:L164)</f>
        <v>1085356.946337122</v>
      </c>
      <c r="N164" s="1448">
        <f>B164*D164*H164</f>
        <v>10125</v>
      </c>
    </row>
    <row r="165" spans="1:14">
      <c r="A165" s="1440" t="s">
        <v>104</v>
      </c>
      <c r="B165" s="1875">
        <v>5</v>
      </c>
      <c r="C165" s="1442" t="s">
        <v>1569</v>
      </c>
      <c r="D165" s="1443">
        <v>1</v>
      </c>
      <c r="E165" s="1444">
        <v>0</v>
      </c>
      <c r="F165" s="1444">
        <v>10000</v>
      </c>
      <c r="G165" s="2667">
        <v>0</v>
      </c>
      <c r="H165" s="1445">
        <v>80</v>
      </c>
      <c r="I165" s="1446">
        <v>150</v>
      </c>
      <c r="J165" s="1447">
        <f t="shared" si="40"/>
        <v>0</v>
      </c>
      <c r="K165" s="1447">
        <f t="shared" si="41"/>
        <v>50000</v>
      </c>
      <c r="L165" s="1447">
        <f t="shared" si="42"/>
        <v>60000</v>
      </c>
      <c r="M165" s="1447">
        <f t="shared" si="43"/>
        <v>110000</v>
      </c>
      <c r="N165" s="1448"/>
    </row>
    <row r="166" spans="1:14">
      <c r="A166" s="1440" t="s">
        <v>103</v>
      </c>
      <c r="B166" s="1875">
        <v>1</v>
      </c>
      <c r="C166" s="1442" t="s">
        <v>1127</v>
      </c>
      <c r="D166" s="1443">
        <v>1</v>
      </c>
      <c r="E166" s="1444">
        <v>0</v>
      </c>
      <c r="F166" s="1444">
        <v>350000</v>
      </c>
      <c r="G166" s="2667">
        <v>0</v>
      </c>
      <c r="H166" s="1445">
        <v>1200</v>
      </c>
      <c r="I166" s="1446">
        <f t="shared" ref="I166:I172" si="44">+$I$10</f>
        <v>54.871239264995687</v>
      </c>
      <c r="J166" s="1447">
        <f t="shared" si="40"/>
        <v>0</v>
      </c>
      <c r="K166" s="1447">
        <f t="shared" si="41"/>
        <v>350000</v>
      </c>
      <c r="L166" s="1447">
        <f t="shared" si="42"/>
        <v>65845.487117994824</v>
      </c>
      <c r="M166" s="1447">
        <f t="shared" si="43"/>
        <v>415845.48711799481</v>
      </c>
      <c r="N166" s="1448">
        <f t="shared" ref="N166:N172" si="45">B166*D166*H166</f>
        <v>1200</v>
      </c>
    </row>
    <row r="167" spans="1:14">
      <c r="A167" s="1440" t="s">
        <v>631</v>
      </c>
      <c r="B167" s="1875">
        <v>1</v>
      </c>
      <c r="C167" s="1442" t="s">
        <v>1127</v>
      </c>
      <c r="D167" s="1443">
        <v>1</v>
      </c>
      <c r="E167" s="1444">
        <v>0</v>
      </c>
      <c r="F167" s="1444">
        <v>300000</v>
      </c>
      <c r="G167" s="2667">
        <v>0</v>
      </c>
      <c r="H167" s="1445">
        <v>2400</v>
      </c>
      <c r="I167" s="1446">
        <f t="shared" si="44"/>
        <v>54.871239264995687</v>
      </c>
      <c r="J167" s="1447">
        <f t="shared" si="40"/>
        <v>0</v>
      </c>
      <c r="K167" s="1447">
        <f t="shared" si="41"/>
        <v>300000</v>
      </c>
      <c r="L167" s="1447">
        <f t="shared" si="42"/>
        <v>131690.97423598965</v>
      </c>
      <c r="M167" s="1447">
        <f t="shared" si="43"/>
        <v>431690.97423598962</v>
      </c>
      <c r="N167" s="1448">
        <f t="shared" si="45"/>
        <v>2400</v>
      </c>
    </row>
    <row r="168" spans="1:14">
      <c r="A168" s="1440" t="s">
        <v>632</v>
      </c>
      <c r="B168" s="1875">
        <v>1</v>
      </c>
      <c r="C168" s="1442" t="s">
        <v>1569</v>
      </c>
      <c r="D168" s="1443">
        <v>1</v>
      </c>
      <c r="E168" s="1444">
        <v>0</v>
      </c>
      <c r="F168" s="1444">
        <v>50000</v>
      </c>
      <c r="G168" s="2667">
        <v>0</v>
      </c>
      <c r="H168" s="1445">
        <v>3600</v>
      </c>
      <c r="I168" s="1446">
        <f t="shared" si="44"/>
        <v>54.871239264995687</v>
      </c>
      <c r="J168" s="1447">
        <f t="shared" si="40"/>
        <v>0</v>
      </c>
      <c r="K168" s="1447">
        <f t="shared" si="41"/>
        <v>50000</v>
      </c>
      <c r="L168" s="1447">
        <f t="shared" si="42"/>
        <v>197536.46135398449</v>
      </c>
      <c r="M168" s="1447">
        <f t="shared" si="43"/>
        <v>247536.46135398449</v>
      </c>
      <c r="N168" s="1448">
        <f t="shared" si="45"/>
        <v>3600</v>
      </c>
    </row>
    <row r="169" spans="1:14">
      <c r="A169" s="1440" t="s">
        <v>633</v>
      </c>
      <c r="B169" s="1875">
        <v>1</v>
      </c>
      <c r="C169" s="1442" t="s">
        <v>1569</v>
      </c>
      <c r="D169" s="1443">
        <v>2</v>
      </c>
      <c r="E169" s="1444">
        <v>0</v>
      </c>
      <c r="F169" s="1444">
        <v>50000</v>
      </c>
      <c r="G169" s="2667">
        <v>0</v>
      </c>
      <c r="H169" s="1445">
        <v>3600</v>
      </c>
      <c r="I169" s="1446">
        <f t="shared" si="44"/>
        <v>54.871239264995687</v>
      </c>
      <c r="J169" s="1447">
        <f t="shared" si="40"/>
        <v>0</v>
      </c>
      <c r="K169" s="1447">
        <f t="shared" si="41"/>
        <v>100000</v>
      </c>
      <c r="L169" s="1447">
        <f t="shared" si="42"/>
        <v>395072.92270796897</v>
      </c>
      <c r="M169" s="1447">
        <f t="shared" si="43"/>
        <v>495072.92270796897</v>
      </c>
      <c r="N169" s="1448">
        <f t="shared" si="45"/>
        <v>7200</v>
      </c>
    </row>
    <row r="170" spans="1:14">
      <c r="A170" s="1440" t="s">
        <v>634</v>
      </c>
      <c r="B170" s="1875">
        <v>1</v>
      </c>
      <c r="C170" s="1442" t="s">
        <v>1569</v>
      </c>
      <c r="D170" s="1443">
        <v>1</v>
      </c>
      <c r="E170" s="1444">
        <v>0</v>
      </c>
      <c r="F170" s="1444">
        <v>200000</v>
      </c>
      <c r="G170" s="2667">
        <v>0</v>
      </c>
      <c r="H170" s="1445">
        <v>0</v>
      </c>
      <c r="I170" s="1446">
        <f t="shared" si="44"/>
        <v>54.871239264995687</v>
      </c>
      <c r="J170" s="1447">
        <f t="shared" si="40"/>
        <v>0</v>
      </c>
      <c r="K170" s="1447">
        <f t="shared" si="41"/>
        <v>200000</v>
      </c>
      <c r="L170" s="1447">
        <f t="shared" si="42"/>
        <v>0</v>
      </c>
      <c r="M170" s="1447">
        <f t="shared" si="43"/>
        <v>200000</v>
      </c>
      <c r="N170" s="1448">
        <f t="shared" si="45"/>
        <v>0</v>
      </c>
    </row>
    <row r="171" spans="1:14">
      <c r="A171" s="1440" t="s">
        <v>1836</v>
      </c>
      <c r="B171" s="1441">
        <v>0</v>
      </c>
      <c r="C171" s="1442" t="s">
        <v>1569</v>
      </c>
      <c r="D171" s="1443">
        <f>$D$13</f>
        <v>24</v>
      </c>
      <c r="E171" s="1444">
        <v>0</v>
      </c>
      <c r="F171" s="1444">
        <v>0</v>
      </c>
      <c r="G171" s="2667">
        <v>0</v>
      </c>
      <c r="H171" s="1445">
        <v>0</v>
      </c>
      <c r="I171" s="1446">
        <f t="shared" si="44"/>
        <v>54.871239264995687</v>
      </c>
      <c r="J171" s="1447">
        <f t="shared" si="40"/>
        <v>0</v>
      </c>
      <c r="K171" s="1447">
        <f t="shared" si="41"/>
        <v>0</v>
      </c>
      <c r="L171" s="1447">
        <f t="shared" si="42"/>
        <v>0</v>
      </c>
      <c r="M171" s="1447">
        <f t="shared" si="43"/>
        <v>0</v>
      </c>
      <c r="N171" s="1448">
        <f t="shared" si="45"/>
        <v>0</v>
      </c>
    </row>
    <row r="172" spans="1:14">
      <c r="A172" s="1440" t="s">
        <v>1837</v>
      </c>
      <c r="B172" s="1441">
        <v>0</v>
      </c>
      <c r="C172" s="1442" t="s">
        <v>1569</v>
      </c>
      <c r="D172" s="1443">
        <f>$D$13</f>
        <v>24</v>
      </c>
      <c r="E172" s="1444">
        <v>0</v>
      </c>
      <c r="F172" s="1444">
        <v>0</v>
      </c>
      <c r="G172" s="2667">
        <v>0</v>
      </c>
      <c r="H172" s="1445">
        <v>0</v>
      </c>
      <c r="I172" s="1446">
        <f t="shared" si="44"/>
        <v>54.871239264995687</v>
      </c>
      <c r="J172" s="1447">
        <f t="shared" si="40"/>
        <v>0</v>
      </c>
      <c r="K172" s="1447">
        <f t="shared" si="41"/>
        <v>0</v>
      </c>
      <c r="L172" s="1447">
        <f t="shared" si="42"/>
        <v>0</v>
      </c>
      <c r="M172" s="1447">
        <f t="shared" si="43"/>
        <v>0</v>
      </c>
      <c r="N172" s="1448">
        <f t="shared" si="45"/>
        <v>0</v>
      </c>
    </row>
    <row r="173" spans="1:14">
      <c r="A173" s="1440"/>
      <c r="B173" s="1441"/>
      <c r="C173" s="1442"/>
      <c r="D173" s="1874"/>
      <c r="E173" s="1444"/>
      <c r="F173" s="1444"/>
      <c r="G173" s="2667"/>
      <c r="H173" s="1445"/>
      <c r="I173" s="1446"/>
      <c r="J173" s="1447"/>
      <c r="K173" s="1447"/>
      <c r="L173" s="1447"/>
      <c r="M173" s="1447"/>
      <c r="N173" s="1448"/>
    </row>
    <row r="174" spans="1:14" s="1429" customFormat="1">
      <c r="A174" s="1449" t="s">
        <v>925</v>
      </c>
      <c r="B174" s="1450"/>
      <c r="C174" s="1451"/>
      <c r="D174" s="1452"/>
      <c r="E174" s="1453"/>
      <c r="F174" s="1453"/>
      <c r="G174" s="2668"/>
      <c r="H174" s="1454"/>
      <c r="I174" s="1455"/>
      <c r="J174" s="1456">
        <f>SUM(J164:J173)</f>
        <v>0</v>
      </c>
      <c r="K174" s="1456">
        <f>SUM(K164:K173)</f>
        <v>1302000</v>
      </c>
      <c r="L174" s="1456">
        <f>SUM(L164:L173)</f>
        <v>1683502.7917530597</v>
      </c>
      <c r="M174" s="1456">
        <f>SUM(M164:M173)</f>
        <v>2985502.7917530597</v>
      </c>
      <c r="N174" s="1457">
        <f>SUM(N164:N173)</f>
        <v>24525</v>
      </c>
    </row>
    <row r="175" spans="1:14">
      <c r="A175" s="1440"/>
      <c r="B175" s="1441"/>
      <c r="C175" s="1442"/>
      <c r="D175" s="1443"/>
      <c r="E175" s="1444"/>
      <c r="F175" s="1444"/>
      <c r="G175" s="2667"/>
      <c r="H175" s="1445"/>
      <c r="I175" s="1446"/>
      <c r="J175" s="1447"/>
      <c r="K175" s="1447"/>
      <c r="L175" s="1447"/>
      <c r="M175" s="1447"/>
      <c r="N175" s="1448"/>
    </row>
    <row r="176" spans="1:14">
      <c r="A176" s="1440" t="s">
        <v>1685</v>
      </c>
      <c r="B176" s="1441">
        <v>0</v>
      </c>
      <c r="C176" s="1442"/>
      <c r="D176" s="1443"/>
      <c r="E176" s="1444"/>
      <c r="F176" s="1444"/>
      <c r="G176" s="2667"/>
      <c r="H176" s="1445"/>
      <c r="I176" s="1446"/>
      <c r="J176" s="1447"/>
      <c r="K176" s="1447"/>
      <c r="L176" s="1447"/>
      <c r="M176" s="1447">
        <f>(+M174+M161+M150+M138+M131+M116+M92+M79+M40)*B176</f>
        <v>0</v>
      </c>
      <c r="N176" s="1448"/>
    </row>
    <row r="177" spans="1:14">
      <c r="A177" s="1440"/>
      <c r="B177" s="1441"/>
      <c r="C177" s="1442"/>
      <c r="D177" s="1443"/>
      <c r="E177" s="1444"/>
      <c r="F177" s="1444"/>
      <c r="G177" s="2667"/>
      <c r="H177" s="1445"/>
      <c r="I177" s="1446"/>
      <c r="J177" s="1447"/>
      <c r="K177" s="1447"/>
      <c r="L177" s="1447"/>
      <c r="M177" s="1447"/>
      <c r="N177" s="1448"/>
    </row>
    <row r="178" spans="1:14" s="1429" customFormat="1" ht="16.8" thickBot="1">
      <c r="A178" s="1449" t="s">
        <v>1792</v>
      </c>
      <c r="B178" s="1450"/>
      <c r="C178" s="1451"/>
      <c r="D178" s="1461"/>
      <c r="E178" s="1462"/>
      <c r="F178" s="1462"/>
      <c r="G178" s="2669"/>
      <c r="H178" s="1454"/>
      <c r="I178" s="1463"/>
      <c r="J178" s="1464">
        <f>+J40+J79+J92+J116+J131+J138+J150+J161+J174+J176</f>
        <v>1175029.675</v>
      </c>
      <c r="K178" s="1464">
        <f>+K40+K79+K92+K116+K131+K138+K150+K161+K174+K176</f>
        <v>7072813.8310000002</v>
      </c>
      <c r="L178" s="1456">
        <f>+L40+L79+L92+L116+L131+L138+L150+L161+L174+L176</f>
        <v>7461904.8178736586</v>
      </c>
      <c r="M178" s="1456">
        <f>+M40+M79+M92+M116+M131+M138+M150+M161+M174+M176</f>
        <v>15709748.323873658</v>
      </c>
      <c r="N178" s="1457">
        <f>+N40+N79+N92+N116+N131+N138+N150+N161+N174</f>
        <v>130448.4515</v>
      </c>
    </row>
    <row r="179" spans="1:14" ht="16.8" thickBot="1">
      <c r="A179" s="1431"/>
      <c r="B179" s="1431"/>
      <c r="C179" s="1436"/>
      <c r="D179" s="3314" t="s">
        <v>1684</v>
      </c>
      <c r="E179" s="3315"/>
      <c r="F179" s="3316"/>
      <c r="G179" s="2670"/>
      <c r="H179" s="1431"/>
      <c r="I179" s="3313"/>
      <c r="J179" s="3313"/>
      <c r="K179" s="3313"/>
      <c r="L179" s="1431"/>
      <c r="M179" s="1431"/>
      <c r="N179" s="1431"/>
    </row>
    <row r="180" spans="1:14">
      <c r="I180" s="3311"/>
      <c r="J180" s="3311"/>
      <c r="K180" s="3311"/>
    </row>
    <row r="181" spans="1:14" ht="15.75" customHeight="1">
      <c r="I181" s="3311"/>
      <c r="J181" s="3311"/>
      <c r="K181" s="3311"/>
    </row>
  </sheetData>
  <mergeCells count="5">
    <mergeCell ref="I181:K181"/>
    <mergeCell ref="E3:M3"/>
    <mergeCell ref="I179:K179"/>
    <mergeCell ref="D179:F179"/>
    <mergeCell ref="I180:K180"/>
  </mergeCells>
  <phoneticPr fontId="0" type="noConversion"/>
  <printOptions horizontalCentered="1"/>
  <pageMargins left="0.5" right="0.5" top="1.25" bottom="1" header="0.94" footer="0.5"/>
  <pageSetup paperSize="3" scale="63" firstPageNumber="12" fitToHeight="3" orientation="portrait" r:id="rId1"/>
  <headerFooter alignWithMargins="0">
    <oddHeader>&amp;C&amp;"Arial MT,Bold"&amp;A
PRELIMINARY FOR PLANNING PURPOSES&amp;RPrint Date: &amp;D</oddHeader>
    <oddFooter>&amp;L&amp;6&amp;F\ &amp;A
&amp;C&amp;"Arial MT,Bold"&amp;10&amp;G&amp;R&amp;"Arial MT,Bold"&amp;14Confidential&amp;"Arial MT,Regular"&amp;10
Page &amp;P of &amp;N</oddFooter>
  </headerFooter>
  <rowBreaks count="1" manualBreakCount="1">
    <brk id="93" max="12" man="1"/>
  </rowBreaks>
  <legacy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3"/>
  <sheetViews>
    <sheetView showOutlineSymbols="0" zoomScale="65" zoomScaleNormal="65" zoomScaleSheetLayoutView="75" workbookViewId="0">
      <pane xSplit="1" ySplit="7" topLeftCell="B77" activePane="bottomRight" state="frozen"/>
      <selection activeCell="R27" sqref="R27"/>
      <selection pane="topRight" activeCell="R27" sqref="R27"/>
      <selection pane="bottomLeft" activeCell="R27" sqref="R27"/>
      <selection pane="bottomRight" activeCell="D104" sqref="D104"/>
    </sheetView>
  </sheetViews>
  <sheetFormatPr defaultColWidth="7.81640625" defaultRowHeight="16.2"/>
  <cols>
    <col min="1" max="1" width="38.90625" style="1465" customWidth="1"/>
    <col min="2" max="2" width="9.36328125" style="1465" bestFit="1" customWidth="1"/>
    <col min="3" max="3" width="10.1796875" style="1465" bestFit="1" customWidth="1"/>
    <col min="4" max="4" width="12.6328125" style="1465" customWidth="1"/>
    <col min="5" max="5" width="16.08984375" style="1465" customWidth="1"/>
    <col min="6" max="6" width="14.08984375" style="1465" customWidth="1"/>
    <col min="7" max="7" width="12.1796875" style="1465" customWidth="1"/>
    <col min="8" max="8" width="11.6328125" style="1465" customWidth="1"/>
    <col min="9" max="9" width="12.08984375" style="1465" customWidth="1"/>
    <col min="10" max="10" width="12.1796875" style="1465" bestFit="1" customWidth="1"/>
    <col min="11" max="11" width="11.08984375" style="1465" bestFit="1" customWidth="1"/>
    <col min="12" max="16384" width="7.81640625" style="1465"/>
  </cols>
  <sheetData>
    <row r="2" spans="1:11" ht="17.399999999999999">
      <c r="A2" s="1686" t="s">
        <v>1978</v>
      </c>
      <c r="B2" s="1687"/>
      <c r="C2" s="1687"/>
      <c r="D2" s="1687"/>
      <c r="E2" s="1687"/>
      <c r="F2" s="1687"/>
      <c r="G2" s="1466" t="s">
        <v>696</v>
      </c>
      <c r="H2" s="1688">
        <f>'Project Summary'!$P$6</f>
        <v>41681</v>
      </c>
    </row>
    <row r="3" spans="1:11">
      <c r="A3" s="1468"/>
      <c r="G3" s="1466"/>
      <c r="H3" s="1467"/>
    </row>
    <row r="4" spans="1:11">
      <c r="A4" s="1468"/>
      <c r="G4" s="1465" t="s">
        <v>1519</v>
      </c>
      <c r="H4" s="1689" t="s">
        <v>1979</v>
      </c>
      <c r="I4" s="1469" t="s">
        <v>339</v>
      </c>
    </row>
    <row r="5" spans="1:11">
      <c r="D5" s="1689" t="s">
        <v>1980</v>
      </c>
      <c r="G5" s="1469" t="s">
        <v>1793</v>
      </c>
      <c r="H5" s="1469" t="s">
        <v>635</v>
      </c>
      <c r="I5" s="1469" t="s">
        <v>637</v>
      </c>
      <c r="J5" s="1465" t="s">
        <v>129</v>
      </c>
      <c r="K5" s="1465" t="s">
        <v>120</v>
      </c>
    </row>
    <row r="6" spans="1:11">
      <c r="A6" s="1470" t="s">
        <v>1494</v>
      </c>
      <c r="B6" s="1471" t="s">
        <v>1794</v>
      </c>
      <c r="C6" s="1472" t="s">
        <v>1795</v>
      </c>
      <c r="D6" s="1473" t="s">
        <v>1796</v>
      </c>
      <c r="E6" s="1471" t="s">
        <v>2161</v>
      </c>
      <c r="F6" s="1474" t="s">
        <v>1787</v>
      </c>
      <c r="G6" s="1470" t="s">
        <v>1788</v>
      </c>
      <c r="H6" s="1470" t="s">
        <v>636</v>
      </c>
      <c r="I6" s="1470" t="s">
        <v>1918</v>
      </c>
      <c r="J6" s="1465" t="s">
        <v>130</v>
      </c>
      <c r="K6" s="1465" t="s">
        <v>130</v>
      </c>
    </row>
    <row r="7" spans="1:11">
      <c r="A7" s="1475"/>
      <c r="B7" s="1475"/>
      <c r="C7" s="1469" t="s">
        <v>1790</v>
      </c>
      <c r="D7" s="1476"/>
      <c r="E7" s="1475"/>
      <c r="F7" s="1477"/>
      <c r="G7" s="1475"/>
      <c r="H7" s="1475"/>
      <c r="I7" s="1475"/>
    </row>
    <row r="8" spans="1:11">
      <c r="A8" s="1478" t="s">
        <v>1789</v>
      </c>
      <c r="B8" s="1479"/>
      <c r="C8" s="1479"/>
      <c r="D8" s="1480"/>
      <c r="E8" s="1480"/>
      <c r="F8" s="1480"/>
      <c r="G8" s="1479"/>
      <c r="H8" s="1480"/>
      <c r="I8" s="1480"/>
      <c r="J8" s="1481"/>
    </row>
    <row r="9" spans="1:11">
      <c r="A9" s="1482" t="s">
        <v>124</v>
      </c>
      <c r="B9" s="1479">
        <v>3</v>
      </c>
      <c r="C9" s="1479">
        <v>15</v>
      </c>
      <c r="D9" s="1690">
        <f t="shared" ref="D9:D31" si="0">+I9*0.95</f>
        <v>6341.25</v>
      </c>
      <c r="E9" s="1480">
        <f t="shared" ref="E9:E40" si="1">B9*C9*D9</f>
        <v>285356.25</v>
      </c>
      <c r="F9" s="1480">
        <f t="shared" ref="F9:F40" si="2">((H9*1.04)*B9)*1.5</f>
        <v>11319.75</v>
      </c>
      <c r="G9" s="1479">
        <v>15</v>
      </c>
      <c r="H9" s="1690">
        <f t="shared" ref="H9:H28" si="3">2250*1.075</f>
        <v>2418.75</v>
      </c>
      <c r="I9" s="1480">
        <v>6675</v>
      </c>
      <c r="J9" s="1483">
        <f>(G9*216)*0.75</f>
        <v>2430</v>
      </c>
    </row>
    <row r="10" spans="1:11">
      <c r="A10" s="1482" t="s">
        <v>708</v>
      </c>
      <c r="B10" s="1479">
        <v>1</v>
      </c>
      <c r="C10" s="1865">
        <v>52</v>
      </c>
      <c r="D10" s="1690">
        <f t="shared" si="0"/>
        <v>2612.5</v>
      </c>
      <c r="E10" s="1480">
        <f t="shared" si="1"/>
        <v>135850</v>
      </c>
      <c r="F10" s="1480">
        <f t="shared" si="2"/>
        <v>3773.25</v>
      </c>
      <c r="G10" s="1479">
        <f>B10*C10</f>
        <v>52</v>
      </c>
      <c r="H10" s="1690">
        <f t="shared" si="3"/>
        <v>2418.75</v>
      </c>
      <c r="I10" s="1480">
        <v>2750</v>
      </c>
      <c r="J10" s="1483">
        <f>(G10*216)*0.5</f>
        <v>5616</v>
      </c>
      <c r="K10" s="1483"/>
    </row>
    <row r="11" spans="1:11">
      <c r="A11" s="1482" t="s">
        <v>332</v>
      </c>
      <c r="B11" s="1479">
        <v>2</v>
      </c>
      <c r="C11" s="1479">
        <v>15</v>
      </c>
      <c r="D11" s="1690">
        <f t="shared" si="0"/>
        <v>6246.25</v>
      </c>
      <c r="E11" s="1480">
        <f t="shared" si="1"/>
        <v>187387.5</v>
      </c>
      <c r="F11" s="1480">
        <f t="shared" si="2"/>
        <v>7546.5</v>
      </c>
      <c r="G11" s="1479">
        <v>15</v>
      </c>
      <c r="H11" s="1690">
        <f t="shared" si="3"/>
        <v>2418.75</v>
      </c>
      <c r="I11" s="1480">
        <v>6575</v>
      </c>
      <c r="J11" s="1483">
        <f>(G11*216)*0.75</f>
        <v>2430</v>
      </c>
      <c r="K11" s="1483"/>
    </row>
    <row r="12" spans="1:11">
      <c r="A12" s="1482" t="s">
        <v>818</v>
      </c>
      <c r="B12" s="1479">
        <v>2</v>
      </c>
      <c r="C12" s="1479">
        <v>24</v>
      </c>
      <c r="D12" s="1690">
        <f t="shared" si="0"/>
        <v>2375</v>
      </c>
      <c r="E12" s="1480">
        <f t="shared" si="1"/>
        <v>114000</v>
      </c>
      <c r="F12" s="1480">
        <f t="shared" si="2"/>
        <v>7546.5</v>
      </c>
      <c r="G12" s="1479">
        <v>24</v>
      </c>
      <c r="H12" s="1690">
        <f t="shared" si="3"/>
        <v>2418.75</v>
      </c>
      <c r="I12" s="1480">
        <v>2500</v>
      </c>
      <c r="J12" s="1483">
        <f>(G12*216)*0.75</f>
        <v>3888</v>
      </c>
      <c r="K12" s="1483"/>
    </row>
    <row r="13" spans="1:11">
      <c r="A13" s="1482" t="s">
        <v>709</v>
      </c>
      <c r="B13" s="1479">
        <v>6</v>
      </c>
      <c r="C13" s="1479">
        <v>7</v>
      </c>
      <c r="D13" s="1690">
        <f t="shared" si="0"/>
        <v>7125</v>
      </c>
      <c r="E13" s="1480">
        <f t="shared" si="1"/>
        <v>299250</v>
      </c>
      <c r="F13" s="1480">
        <f t="shared" si="2"/>
        <v>22639.5</v>
      </c>
      <c r="G13" s="1479">
        <v>7</v>
      </c>
      <c r="H13" s="1690">
        <f t="shared" si="3"/>
        <v>2418.75</v>
      </c>
      <c r="I13" s="1480">
        <v>7500</v>
      </c>
      <c r="J13" s="1483">
        <f>G13*216</f>
        <v>1512</v>
      </c>
      <c r="K13" s="1483"/>
    </row>
    <row r="14" spans="1:11">
      <c r="A14" s="1482" t="s">
        <v>327</v>
      </c>
      <c r="B14" s="1479">
        <v>1</v>
      </c>
      <c r="C14" s="1479">
        <v>24</v>
      </c>
      <c r="D14" s="1690">
        <f t="shared" si="0"/>
        <v>2612.5</v>
      </c>
      <c r="E14" s="1480">
        <f t="shared" si="1"/>
        <v>62700</v>
      </c>
      <c r="F14" s="1480">
        <f t="shared" si="2"/>
        <v>3773.25</v>
      </c>
      <c r="G14" s="1479">
        <f>B14*C14</f>
        <v>24</v>
      </c>
      <c r="H14" s="1690">
        <f t="shared" si="3"/>
        <v>2418.75</v>
      </c>
      <c r="I14" s="1480">
        <v>2750</v>
      </c>
      <c r="J14" s="1483">
        <f>(G14*216)*0.75</f>
        <v>3888</v>
      </c>
      <c r="K14" s="1483"/>
    </row>
    <row r="15" spans="1:11">
      <c r="A15" s="1482" t="s">
        <v>327</v>
      </c>
      <c r="B15" s="1479">
        <v>2</v>
      </c>
      <c r="C15" s="1710">
        <v>48</v>
      </c>
      <c r="D15" s="1690">
        <f t="shared" si="0"/>
        <v>2612.5</v>
      </c>
      <c r="E15" s="1480">
        <f t="shared" si="1"/>
        <v>250800</v>
      </c>
      <c r="F15" s="1480">
        <f t="shared" si="2"/>
        <v>7546.5</v>
      </c>
      <c r="G15" s="1479">
        <f>B15*C15</f>
        <v>96</v>
      </c>
      <c r="H15" s="1690">
        <f t="shared" si="3"/>
        <v>2418.75</v>
      </c>
      <c r="I15" s="1480">
        <v>2750</v>
      </c>
      <c r="J15" s="1483">
        <f>(G15*216)*0.75</f>
        <v>15552</v>
      </c>
      <c r="K15" s="1483"/>
    </row>
    <row r="16" spans="1:11">
      <c r="A16" s="1482" t="s">
        <v>123</v>
      </c>
      <c r="B16" s="1479">
        <v>27</v>
      </c>
      <c r="C16" s="1479">
        <v>7</v>
      </c>
      <c r="D16" s="1690">
        <f t="shared" si="0"/>
        <v>19380</v>
      </c>
      <c r="E16" s="1480">
        <f t="shared" si="1"/>
        <v>3662820</v>
      </c>
      <c r="F16" s="1480">
        <f t="shared" si="2"/>
        <v>101877.75</v>
      </c>
      <c r="G16" s="1479">
        <v>7</v>
      </c>
      <c r="H16" s="1690">
        <f t="shared" si="3"/>
        <v>2418.75</v>
      </c>
      <c r="I16" s="1480">
        <v>20400</v>
      </c>
      <c r="J16" s="1483">
        <f>G16*216</f>
        <v>1512</v>
      </c>
      <c r="K16" s="1483"/>
    </row>
    <row r="17" spans="1:11">
      <c r="A17" s="1482" t="s">
        <v>819</v>
      </c>
      <c r="B17" s="1479">
        <v>9</v>
      </c>
      <c r="C17" s="1479">
        <v>7</v>
      </c>
      <c r="D17" s="1690">
        <f t="shared" si="0"/>
        <v>18145</v>
      </c>
      <c r="E17" s="1480">
        <f t="shared" si="1"/>
        <v>1143135</v>
      </c>
      <c r="F17" s="1480">
        <f t="shared" si="2"/>
        <v>33959.25</v>
      </c>
      <c r="G17" s="1479">
        <v>7</v>
      </c>
      <c r="H17" s="1690">
        <f t="shared" si="3"/>
        <v>2418.75</v>
      </c>
      <c r="I17" s="1480">
        <v>19100</v>
      </c>
      <c r="J17" s="1483">
        <f>G17*216</f>
        <v>1512</v>
      </c>
      <c r="K17" s="1483"/>
    </row>
    <row r="18" spans="1:11">
      <c r="A18" s="1482" t="s">
        <v>820</v>
      </c>
      <c r="B18" s="1479">
        <v>1</v>
      </c>
      <c r="C18" s="1479">
        <v>24</v>
      </c>
      <c r="D18" s="1690">
        <f t="shared" si="0"/>
        <v>8431.25</v>
      </c>
      <c r="E18" s="1480">
        <f t="shared" si="1"/>
        <v>202350</v>
      </c>
      <c r="F18" s="1480">
        <f t="shared" si="2"/>
        <v>3773.25</v>
      </c>
      <c r="G18" s="1479">
        <f>B18*C18</f>
        <v>24</v>
      </c>
      <c r="H18" s="1690">
        <f t="shared" si="3"/>
        <v>2418.75</v>
      </c>
      <c r="I18" s="1480">
        <v>8875</v>
      </c>
      <c r="J18" s="1483">
        <f>(G18*216)*0.5</f>
        <v>2592</v>
      </c>
      <c r="K18" s="1483"/>
    </row>
    <row r="19" spans="1:11">
      <c r="A19" s="1482" t="s">
        <v>820</v>
      </c>
      <c r="B19" s="1479">
        <v>1</v>
      </c>
      <c r="C19" s="1710">
        <v>45</v>
      </c>
      <c r="D19" s="1690">
        <f t="shared" si="0"/>
        <v>8431.25</v>
      </c>
      <c r="E19" s="1480">
        <f t="shared" si="1"/>
        <v>379406.25</v>
      </c>
      <c r="F19" s="1480">
        <f t="shared" si="2"/>
        <v>3773.25</v>
      </c>
      <c r="G19" s="1479">
        <f>B19*C19</f>
        <v>45</v>
      </c>
      <c r="H19" s="1690">
        <f t="shared" si="3"/>
        <v>2418.75</v>
      </c>
      <c r="I19" s="1480">
        <v>8875</v>
      </c>
      <c r="J19" s="1483">
        <f>(G19*216)*0.5</f>
        <v>4860</v>
      </c>
      <c r="K19" s="1483"/>
    </row>
    <row r="20" spans="1:11">
      <c r="A20" s="1482" t="s">
        <v>710</v>
      </c>
      <c r="B20" s="1479">
        <v>7</v>
      </c>
      <c r="C20" s="1479">
        <v>15</v>
      </c>
      <c r="D20" s="1690">
        <f t="shared" si="0"/>
        <v>6412.5</v>
      </c>
      <c r="E20" s="1480">
        <f t="shared" si="1"/>
        <v>673312.5</v>
      </c>
      <c r="F20" s="1480">
        <f t="shared" si="2"/>
        <v>26412.75</v>
      </c>
      <c r="G20" s="1479">
        <v>15</v>
      </c>
      <c r="H20" s="1690">
        <f t="shared" si="3"/>
        <v>2418.75</v>
      </c>
      <c r="I20" s="1480">
        <v>6750</v>
      </c>
      <c r="J20" s="1483">
        <f>(G20*216)*1</f>
        <v>3240</v>
      </c>
      <c r="K20" s="1483"/>
    </row>
    <row r="21" spans="1:11">
      <c r="A21" s="1482" t="s">
        <v>122</v>
      </c>
      <c r="B21" s="1479">
        <v>3</v>
      </c>
      <c r="C21" s="1479">
        <v>36</v>
      </c>
      <c r="D21" s="1690">
        <f t="shared" si="0"/>
        <v>1662.5</v>
      </c>
      <c r="E21" s="1480">
        <f t="shared" si="1"/>
        <v>179550</v>
      </c>
      <c r="F21" s="1480">
        <f t="shared" si="2"/>
        <v>11319.75</v>
      </c>
      <c r="G21" s="1479">
        <f t="shared" ref="G21:G51" si="4">B21*C21</f>
        <v>108</v>
      </c>
      <c r="H21" s="1690">
        <f t="shared" si="3"/>
        <v>2418.75</v>
      </c>
      <c r="I21" s="1480">
        <v>1750</v>
      </c>
      <c r="J21" s="1483"/>
      <c r="K21" s="1483">
        <f>(G21*176)*0.75</f>
        <v>14256</v>
      </c>
    </row>
    <row r="22" spans="1:11">
      <c r="A22" s="1482" t="s">
        <v>122</v>
      </c>
      <c r="B22" s="1479">
        <v>3</v>
      </c>
      <c r="C22" s="1710">
        <v>45</v>
      </c>
      <c r="D22" s="1690">
        <f t="shared" si="0"/>
        <v>1662.5</v>
      </c>
      <c r="E22" s="1480">
        <f t="shared" si="1"/>
        <v>224437.5</v>
      </c>
      <c r="F22" s="1480">
        <f t="shared" si="2"/>
        <v>11319.75</v>
      </c>
      <c r="G22" s="1479">
        <f t="shared" si="4"/>
        <v>135</v>
      </c>
      <c r="H22" s="1690">
        <f t="shared" si="3"/>
        <v>2418.75</v>
      </c>
      <c r="I22" s="1480">
        <v>1750</v>
      </c>
      <c r="J22" s="1483"/>
      <c r="K22" s="1483">
        <f>(G22*176)*0.5</f>
        <v>11880</v>
      </c>
    </row>
    <row r="23" spans="1:11">
      <c r="A23" s="1482" t="s">
        <v>1165</v>
      </c>
      <c r="B23" s="1479">
        <v>2</v>
      </c>
      <c r="C23" s="1479">
        <v>7</v>
      </c>
      <c r="D23" s="1690">
        <f t="shared" si="0"/>
        <v>3562.5</v>
      </c>
      <c r="E23" s="1480">
        <f t="shared" si="1"/>
        <v>49875</v>
      </c>
      <c r="F23" s="1480">
        <f t="shared" si="2"/>
        <v>7546.5</v>
      </c>
      <c r="G23" s="1479">
        <f t="shared" si="4"/>
        <v>14</v>
      </c>
      <c r="H23" s="1690">
        <f t="shared" si="3"/>
        <v>2418.75</v>
      </c>
      <c r="I23" s="1480">
        <v>3750</v>
      </c>
      <c r="J23" s="1483"/>
      <c r="K23" s="1483">
        <f>(G23*176)*1</f>
        <v>2464</v>
      </c>
    </row>
    <row r="24" spans="1:11">
      <c r="A24" s="1482" t="s">
        <v>1165</v>
      </c>
      <c r="B24" s="1479">
        <v>1</v>
      </c>
      <c r="C24" s="1479">
        <v>24</v>
      </c>
      <c r="D24" s="1690">
        <f t="shared" si="0"/>
        <v>3562.5</v>
      </c>
      <c r="E24" s="1480">
        <f t="shared" si="1"/>
        <v>85500</v>
      </c>
      <c r="F24" s="1480">
        <f t="shared" si="2"/>
        <v>3773.25</v>
      </c>
      <c r="G24" s="1479">
        <f t="shared" si="4"/>
        <v>24</v>
      </c>
      <c r="H24" s="1690">
        <f t="shared" si="3"/>
        <v>2418.75</v>
      </c>
      <c r="I24" s="1480">
        <v>3750</v>
      </c>
      <c r="J24" s="1483"/>
      <c r="K24" s="1483">
        <f>(G24*176)*1</f>
        <v>4224</v>
      </c>
    </row>
    <row r="25" spans="1:11">
      <c r="A25" s="1482" t="s">
        <v>1518</v>
      </c>
      <c r="B25" s="1479">
        <v>1</v>
      </c>
      <c r="C25" s="1865">
        <v>52</v>
      </c>
      <c r="D25" s="1690">
        <f t="shared" si="0"/>
        <v>1425</v>
      </c>
      <c r="E25" s="1480">
        <f t="shared" si="1"/>
        <v>74100</v>
      </c>
      <c r="F25" s="1480">
        <f t="shared" si="2"/>
        <v>3773.25</v>
      </c>
      <c r="G25" s="1479">
        <f t="shared" si="4"/>
        <v>52</v>
      </c>
      <c r="H25" s="1690">
        <f t="shared" si="3"/>
        <v>2418.75</v>
      </c>
      <c r="I25" s="1480">
        <v>1500</v>
      </c>
      <c r="J25" s="1483"/>
      <c r="K25" s="1483">
        <f>(G25*176)*1</f>
        <v>9152</v>
      </c>
    </row>
    <row r="26" spans="1:11">
      <c r="A26" s="1482" t="s">
        <v>1518</v>
      </c>
      <c r="B26" s="1479">
        <v>2</v>
      </c>
      <c r="C26" s="1479">
        <v>7</v>
      </c>
      <c r="D26" s="1690">
        <f t="shared" si="0"/>
        <v>1425</v>
      </c>
      <c r="E26" s="1480">
        <f t="shared" si="1"/>
        <v>19950</v>
      </c>
      <c r="F26" s="1480">
        <f t="shared" si="2"/>
        <v>7546.5</v>
      </c>
      <c r="G26" s="1479">
        <f t="shared" si="4"/>
        <v>14</v>
      </c>
      <c r="H26" s="1690">
        <f t="shared" si="3"/>
        <v>2418.75</v>
      </c>
      <c r="I26" s="1480">
        <v>1500</v>
      </c>
      <c r="J26" s="1483"/>
      <c r="K26" s="1483">
        <f>(G26*176)*1</f>
        <v>2464</v>
      </c>
    </row>
    <row r="27" spans="1:11">
      <c r="A27" s="1482" t="s">
        <v>697</v>
      </c>
      <c r="B27" s="1691">
        <v>0</v>
      </c>
      <c r="C27" s="1691">
        <v>0</v>
      </c>
      <c r="D27" s="1480">
        <f t="shared" si="0"/>
        <v>4987.5</v>
      </c>
      <c r="E27" s="1480">
        <f t="shared" si="1"/>
        <v>0</v>
      </c>
      <c r="F27" s="1480">
        <f t="shared" si="2"/>
        <v>0</v>
      </c>
      <c r="G27" s="1479">
        <f t="shared" si="4"/>
        <v>0</v>
      </c>
      <c r="H27" s="1480">
        <f t="shared" si="3"/>
        <v>2418.75</v>
      </c>
      <c r="I27" s="1480">
        <v>5250</v>
      </c>
      <c r="J27" s="1483"/>
      <c r="K27" s="1483">
        <f>(G27*176)*0.33</f>
        <v>0</v>
      </c>
    </row>
    <row r="28" spans="1:11">
      <c r="A28" s="1482" t="s">
        <v>697</v>
      </c>
      <c r="B28" s="1691">
        <v>0</v>
      </c>
      <c r="C28" s="1691">
        <v>0</v>
      </c>
      <c r="D28" s="1480">
        <f t="shared" si="0"/>
        <v>4987.5</v>
      </c>
      <c r="E28" s="1480">
        <f t="shared" si="1"/>
        <v>0</v>
      </c>
      <c r="F28" s="1480">
        <f t="shared" si="2"/>
        <v>0</v>
      </c>
      <c r="G28" s="1479">
        <f t="shared" si="4"/>
        <v>0</v>
      </c>
      <c r="H28" s="1480">
        <f t="shared" si="3"/>
        <v>2418.75</v>
      </c>
      <c r="I28" s="1480">
        <v>5250</v>
      </c>
      <c r="J28" s="1483"/>
      <c r="K28" s="1483">
        <f>(G28*176)*0.75</f>
        <v>0</v>
      </c>
    </row>
    <row r="29" spans="1:11">
      <c r="A29" s="1482" t="s">
        <v>338</v>
      </c>
      <c r="B29" s="1479">
        <v>1</v>
      </c>
      <c r="C29" s="1691">
        <v>18</v>
      </c>
      <c r="D29" s="1690">
        <f t="shared" si="0"/>
        <v>8312.5</v>
      </c>
      <c r="E29" s="1480">
        <f t="shared" si="1"/>
        <v>149625</v>
      </c>
      <c r="F29" s="1480">
        <f t="shared" si="2"/>
        <v>7800</v>
      </c>
      <c r="G29" s="1479">
        <f t="shared" si="4"/>
        <v>18</v>
      </c>
      <c r="H29" s="1690">
        <v>5000</v>
      </c>
      <c r="I29" s="1480">
        <v>8750</v>
      </c>
      <c r="J29" s="1483">
        <f>(G29*216)*0.33</f>
        <v>1283.04</v>
      </c>
      <c r="K29" s="1483"/>
    </row>
    <row r="30" spans="1:11">
      <c r="A30" s="1482" t="s">
        <v>338</v>
      </c>
      <c r="B30" s="1479">
        <v>1</v>
      </c>
      <c r="C30" s="1691">
        <v>27</v>
      </c>
      <c r="D30" s="1690">
        <f t="shared" si="0"/>
        <v>8312.5</v>
      </c>
      <c r="E30" s="1480">
        <f t="shared" si="1"/>
        <v>224437.5</v>
      </c>
      <c r="F30" s="1480">
        <f t="shared" si="2"/>
        <v>7800</v>
      </c>
      <c r="G30" s="1479">
        <f t="shared" si="4"/>
        <v>27</v>
      </c>
      <c r="H30" s="1690">
        <v>5000</v>
      </c>
      <c r="I30" s="1480">
        <v>8750</v>
      </c>
      <c r="J30" s="1483">
        <f>(G30*216)*0.33</f>
        <v>1924.5600000000002</v>
      </c>
      <c r="K30" s="1483"/>
    </row>
    <row r="31" spans="1:11">
      <c r="A31" s="1482" t="s">
        <v>1907</v>
      </c>
      <c r="B31" s="1691">
        <v>1</v>
      </c>
      <c r="C31" s="1691">
        <v>40</v>
      </c>
      <c r="D31" s="1690">
        <f t="shared" si="0"/>
        <v>4275</v>
      </c>
      <c r="E31" s="1480">
        <f t="shared" si="1"/>
        <v>171000</v>
      </c>
      <c r="F31" s="1480">
        <f t="shared" si="2"/>
        <v>3773.25</v>
      </c>
      <c r="G31" s="1479">
        <f t="shared" si="4"/>
        <v>40</v>
      </c>
      <c r="H31" s="1690">
        <f>2250*1.075</f>
        <v>2418.75</v>
      </c>
      <c r="I31" s="1480">
        <v>4500</v>
      </c>
      <c r="J31" s="1483">
        <f>(G31*216)*0.25</f>
        <v>2160</v>
      </c>
      <c r="K31" s="1483"/>
    </row>
    <row r="32" spans="1:11">
      <c r="A32" s="1482" t="s">
        <v>1906</v>
      </c>
      <c r="B32" s="1691">
        <v>1</v>
      </c>
      <c r="C32" s="1691">
        <v>40</v>
      </c>
      <c r="D32" s="1690">
        <f t="shared" ref="D32:D40" si="5">+I32*1.05</f>
        <v>7875</v>
      </c>
      <c r="E32" s="1480">
        <f t="shared" si="1"/>
        <v>315000</v>
      </c>
      <c r="F32" s="1480">
        <f t="shared" si="2"/>
        <v>3773.25</v>
      </c>
      <c r="G32" s="1479">
        <f t="shared" si="4"/>
        <v>40</v>
      </c>
      <c r="H32" s="1480">
        <f>2250*1.075</f>
        <v>2418.75</v>
      </c>
      <c r="I32" s="1480">
        <v>7500</v>
      </c>
      <c r="J32" s="1483">
        <f>(G32*216)*0.75</f>
        <v>6480</v>
      </c>
      <c r="K32" s="1483"/>
    </row>
    <row r="33" spans="1:11">
      <c r="A33" s="1482" t="s">
        <v>638</v>
      </c>
      <c r="B33" s="1691">
        <v>4</v>
      </c>
      <c r="C33" s="1691">
        <v>30</v>
      </c>
      <c r="D33" s="1480">
        <f t="shared" si="5"/>
        <v>16275</v>
      </c>
      <c r="E33" s="1480">
        <f t="shared" si="1"/>
        <v>1953000</v>
      </c>
      <c r="F33" s="1480">
        <f t="shared" si="2"/>
        <v>150930</v>
      </c>
      <c r="G33" s="1479">
        <f t="shared" si="4"/>
        <v>120</v>
      </c>
      <c r="H33" s="1480">
        <f>22500*(1.075)</f>
        <v>24187.5</v>
      </c>
      <c r="I33" s="1480">
        <v>15500</v>
      </c>
      <c r="J33" s="1483">
        <f t="shared" ref="J33:J39" si="6">(G33*216)*1.75</f>
        <v>45360</v>
      </c>
      <c r="K33" s="1483"/>
    </row>
    <row r="34" spans="1:11">
      <c r="A34" s="1482" t="s">
        <v>1765</v>
      </c>
      <c r="B34" s="1479">
        <v>3</v>
      </c>
      <c r="C34" s="1691">
        <v>20</v>
      </c>
      <c r="D34" s="1480">
        <f t="shared" si="5"/>
        <v>18637.5</v>
      </c>
      <c r="E34" s="1480">
        <f t="shared" si="1"/>
        <v>1118250</v>
      </c>
      <c r="F34" s="1480">
        <f t="shared" si="2"/>
        <v>125775</v>
      </c>
      <c r="G34" s="1479">
        <f t="shared" si="4"/>
        <v>60</v>
      </c>
      <c r="H34" s="1480">
        <f>(25000)*1.075</f>
        <v>26875</v>
      </c>
      <c r="I34" s="1480">
        <v>17750</v>
      </c>
      <c r="J34" s="1483">
        <f t="shared" si="6"/>
        <v>22680</v>
      </c>
      <c r="K34" s="1483"/>
    </row>
    <row r="35" spans="1:11">
      <c r="A35" s="1482" t="s">
        <v>186</v>
      </c>
      <c r="B35" s="1479">
        <v>3</v>
      </c>
      <c r="C35" s="1691">
        <v>20</v>
      </c>
      <c r="D35" s="1480">
        <f t="shared" si="5"/>
        <v>28875</v>
      </c>
      <c r="E35" s="1480">
        <f t="shared" si="1"/>
        <v>1732500</v>
      </c>
      <c r="F35" s="1480">
        <f t="shared" si="2"/>
        <v>138352.5</v>
      </c>
      <c r="G35" s="1479">
        <f t="shared" si="4"/>
        <v>60</v>
      </c>
      <c r="H35" s="1480">
        <f>27500*1.075</f>
        <v>29562.5</v>
      </c>
      <c r="I35" s="1480">
        <v>27500</v>
      </c>
      <c r="J35" s="1483">
        <f t="shared" si="6"/>
        <v>22680</v>
      </c>
      <c r="K35" s="1483"/>
    </row>
    <row r="36" spans="1:11">
      <c r="A36" s="1482" t="s">
        <v>1981</v>
      </c>
      <c r="B36" s="1691">
        <v>1</v>
      </c>
      <c r="C36" s="1691">
        <v>27</v>
      </c>
      <c r="D36" s="1480">
        <f t="shared" si="5"/>
        <v>31500</v>
      </c>
      <c r="E36" s="1480">
        <f t="shared" si="1"/>
        <v>850500</v>
      </c>
      <c r="F36" s="1480">
        <f t="shared" si="2"/>
        <v>50310</v>
      </c>
      <c r="G36" s="1479">
        <f t="shared" si="4"/>
        <v>27</v>
      </c>
      <c r="H36" s="1480">
        <f>30000*1.075</f>
        <v>32250</v>
      </c>
      <c r="I36" s="1480">
        <v>30000</v>
      </c>
      <c r="J36" s="1483">
        <f t="shared" si="6"/>
        <v>10206</v>
      </c>
      <c r="K36" s="1483"/>
    </row>
    <row r="37" spans="1:11">
      <c r="A37" s="1482" t="s">
        <v>340</v>
      </c>
      <c r="B37" s="1479">
        <v>1</v>
      </c>
      <c r="C37" s="1691">
        <v>30</v>
      </c>
      <c r="D37" s="1480">
        <f t="shared" si="5"/>
        <v>47250</v>
      </c>
      <c r="E37" s="1480">
        <f t="shared" si="1"/>
        <v>1417500</v>
      </c>
      <c r="F37" s="1480">
        <f t="shared" si="2"/>
        <v>67080</v>
      </c>
      <c r="G37" s="1479">
        <f t="shared" si="4"/>
        <v>30</v>
      </c>
      <c r="H37" s="1480">
        <f>40000*1.075</f>
        <v>43000</v>
      </c>
      <c r="I37" s="1480">
        <v>45000</v>
      </c>
      <c r="J37" s="1483">
        <f t="shared" si="6"/>
        <v>11340</v>
      </c>
      <c r="K37" s="1483"/>
    </row>
    <row r="38" spans="1:11">
      <c r="A38" s="1482" t="s">
        <v>187</v>
      </c>
      <c r="B38" s="1479">
        <v>1</v>
      </c>
      <c r="C38" s="1691">
        <v>36</v>
      </c>
      <c r="D38" s="1480">
        <f t="shared" si="5"/>
        <v>47250</v>
      </c>
      <c r="E38" s="1480">
        <f t="shared" si="1"/>
        <v>1701000</v>
      </c>
      <c r="F38" s="1480">
        <f t="shared" si="2"/>
        <v>67080</v>
      </c>
      <c r="G38" s="1479">
        <f t="shared" si="4"/>
        <v>36</v>
      </c>
      <c r="H38" s="1480">
        <f>40000*1.075</f>
        <v>43000</v>
      </c>
      <c r="I38" s="1480">
        <v>45000</v>
      </c>
      <c r="J38" s="1483">
        <f t="shared" si="6"/>
        <v>13608</v>
      </c>
      <c r="K38" s="1483"/>
    </row>
    <row r="39" spans="1:11" ht="15.75" customHeight="1">
      <c r="A39" s="1482" t="s">
        <v>188</v>
      </c>
      <c r="B39" s="1479">
        <v>1</v>
      </c>
      <c r="C39" s="1691">
        <v>30</v>
      </c>
      <c r="D39" s="1480">
        <f t="shared" si="5"/>
        <v>84000</v>
      </c>
      <c r="E39" s="1480">
        <f t="shared" si="1"/>
        <v>2520000</v>
      </c>
      <c r="F39" s="1480">
        <f t="shared" si="2"/>
        <v>117390</v>
      </c>
      <c r="G39" s="1479">
        <f t="shared" si="4"/>
        <v>30</v>
      </c>
      <c r="H39" s="1480">
        <f>70000*1.075</f>
        <v>75250</v>
      </c>
      <c r="I39" s="1480">
        <v>80000</v>
      </c>
      <c r="J39" s="1483">
        <f t="shared" si="6"/>
        <v>11340</v>
      </c>
      <c r="K39" s="1483"/>
    </row>
    <row r="40" spans="1:11">
      <c r="A40" s="1482" t="s">
        <v>942</v>
      </c>
      <c r="B40" s="1691">
        <v>2</v>
      </c>
      <c r="C40" s="1691">
        <v>42</v>
      </c>
      <c r="D40" s="1690">
        <f t="shared" si="5"/>
        <v>9150.75</v>
      </c>
      <c r="E40" s="1480">
        <f t="shared" si="1"/>
        <v>768663</v>
      </c>
      <c r="F40" s="1480">
        <f t="shared" si="2"/>
        <v>23478</v>
      </c>
      <c r="G40" s="1479">
        <f t="shared" si="4"/>
        <v>84</v>
      </c>
      <c r="H40" s="1480">
        <f>7000*1.075</f>
        <v>7525</v>
      </c>
      <c r="I40" s="1480">
        <v>8715</v>
      </c>
      <c r="J40" s="1483">
        <f t="shared" ref="J40:J49" si="7">(G40*216)*0.75</f>
        <v>13608</v>
      </c>
      <c r="K40" s="1483"/>
    </row>
    <row r="41" spans="1:11">
      <c r="A41" s="1482" t="s">
        <v>1737</v>
      </c>
      <c r="B41" s="1691">
        <v>2</v>
      </c>
      <c r="C41" s="1691">
        <v>32</v>
      </c>
      <c r="D41" s="1690">
        <f t="shared" ref="D41:D49" si="8">+I41*1</f>
        <v>7750</v>
      </c>
      <c r="E41" s="1480">
        <f t="shared" ref="E41:E72" si="9">B41*C41*D41</f>
        <v>496000</v>
      </c>
      <c r="F41" s="1480">
        <f t="shared" ref="F41:F72" si="10">((H41*1.04)*B41)*1.5</f>
        <v>23478</v>
      </c>
      <c r="G41" s="1479">
        <f t="shared" si="4"/>
        <v>64</v>
      </c>
      <c r="H41" s="1480">
        <f>7000*1.075</f>
        <v>7525</v>
      </c>
      <c r="I41" s="1480">
        <v>7750</v>
      </c>
      <c r="J41" s="1483">
        <f t="shared" si="7"/>
        <v>10368</v>
      </c>
      <c r="K41" s="1483"/>
    </row>
    <row r="42" spans="1:11">
      <c r="A42" s="1482" t="s">
        <v>943</v>
      </c>
      <c r="B42" s="1691">
        <v>2</v>
      </c>
      <c r="C42" s="1691">
        <v>31</v>
      </c>
      <c r="D42" s="1690">
        <f t="shared" si="8"/>
        <v>6750</v>
      </c>
      <c r="E42" s="1480">
        <f t="shared" si="9"/>
        <v>418500</v>
      </c>
      <c r="F42" s="1480">
        <f t="shared" si="10"/>
        <v>23478</v>
      </c>
      <c r="G42" s="1479">
        <f t="shared" si="4"/>
        <v>62</v>
      </c>
      <c r="H42" s="1480">
        <f>7000*1.075</f>
        <v>7525</v>
      </c>
      <c r="I42" s="1480">
        <v>6750</v>
      </c>
      <c r="J42" s="1483">
        <f t="shared" si="7"/>
        <v>10044</v>
      </c>
      <c r="K42" s="1483"/>
    </row>
    <row r="43" spans="1:11">
      <c r="A43" s="1482" t="s">
        <v>1738</v>
      </c>
      <c r="B43" s="1691">
        <v>2</v>
      </c>
      <c r="C43" s="1691">
        <v>30</v>
      </c>
      <c r="D43" s="1690">
        <f t="shared" si="8"/>
        <v>5750</v>
      </c>
      <c r="E43" s="1480">
        <f t="shared" si="9"/>
        <v>345000</v>
      </c>
      <c r="F43" s="1480">
        <f t="shared" si="10"/>
        <v>23478</v>
      </c>
      <c r="G43" s="1479">
        <f t="shared" si="4"/>
        <v>60</v>
      </c>
      <c r="H43" s="1480">
        <f>7000*1.075</f>
        <v>7525</v>
      </c>
      <c r="I43" s="1480">
        <v>5750</v>
      </c>
      <c r="J43" s="1483">
        <f t="shared" si="7"/>
        <v>9720</v>
      </c>
      <c r="K43" s="1483"/>
    </row>
    <row r="44" spans="1:11">
      <c r="A44" s="1482" t="s">
        <v>1739</v>
      </c>
      <c r="B44" s="1691">
        <v>3</v>
      </c>
      <c r="C44" s="1691">
        <v>44</v>
      </c>
      <c r="D44" s="1690">
        <f t="shared" si="8"/>
        <v>4500</v>
      </c>
      <c r="E44" s="1480">
        <f t="shared" si="9"/>
        <v>594000</v>
      </c>
      <c r="F44" s="1480">
        <f t="shared" si="10"/>
        <v>25155</v>
      </c>
      <c r="G44" s="1479">
        <f t="shared" si="4"/>
        <v>132</v>
      </c>
      <c r="H44" s="1480">
        <f>5000*1.075</f>
        <v>5375</v>
      </c>
      <c r="I44" s="1480">
        <v>4500</v>
      </c>
      <c r="J44" s="1483">
        <f t="shared" si="7"/>
        <v>21384</v>
      </c>
      <c r="K44" s="1483"/>
    </row>
    <row r="45" spans="1:11">
      <c r="A45" s="1482" t="s">
        <v>1740</v>
      </c>
      <c r="B45" s="1691">
        <v>3</v>
      </c>
      <c r="C45" s="1691">
        <v>32</v>
      </c>
      <c r="D45" s="1690">
        <f t="shared" si="8"/>
        <v>4250</v>
      </c>
      <c r="E45" s="1480">
        <f t="shared" si="9"/>
        <v>408000</v>
      </c>
      <c r="F45" s="1480">
        <f t="shared" si="10"/>
        <v>25155</v>
      </c>
      <c r="G45" s="1479">
        <f t="shared" si="4"/>
        <v>96</v>
      </c>
      <c r="H45" s="1480">
        <f>5000*1.075</f>
        <v>5375</v>
      </c>
      <c r="I45" s="1480">
        <v>4250</v>
      </c>
      <c r="J45" s="1483">
        <f t="shared" si="7"/>
        <v>15552</v>
      </c>
      <c r="K45" s="1483"/>
    </row>
    <row r="46" spans="1:11">
      <c r="A46" s="1482" t="s">
        <v>1741</v>
      </c>
      <c r="B46" s="1691">
        <v>2</v>
      </c>
      <c r="C46" s="1710">
        <v>48</v>
      </c>
      <c r="D46" s="1690">
        <f t="shared" si="8"/>
        <v>3750</v>
      </c>
      <c r="E46" s="1480">
        <f t="shared" si="9"/>
        <v>360000</v>
      </c>
      <c r="F46" s="1480">
        <f t="shared" si="10"/>
        <v>11739</v>
      </c>
      <c r="G46" s="1479">
        <f t="shared" si="4"/>
        <v>96</v>
      </c>
      <c r="H46" s="1480">
        <f>3500*1.075</f>
        <v>3762.5</v>
      </c>
      <c r="I46" s="1480">
        <v>3750</v>
      </c>
      <c r="J46" s="1483">
        <f t="shared" si="7"/>
        <v>15552</v>
      </c>
      <c r="K46" s="1483"/>
    </row>
    <row r="47" spans="1:11">
      <c r="A47" s="1482" t="s">
        <v>944</v>
      </c>
      <c r="B47" s="1691">
        <v>3</v>
      </c>
      <c r="C47" s="1710">
        <v>45</v>
      </c>
      <c r="D47" s="1690">
        <f t="shared" si="8"/>
        <v>3500</v>
      </c>
      <c r="E47" s="1480">
        <f t="shared" si="9"/>
        <v>472500</v>
      </c>
      <c r="F47" s="1480">
        <f t="shared" si="10"/>
        <v>17608.5</v>
      </c>
      <c r="G47" s="1479">
        <f t="shared" si="4"/>
        <v>135</v>
      </c>
      <c r="H47" s="1480">
        <f>3500*1.075</f>
        <v>3762.5</v>
      </c>
      <c r="I47" s="1480">
        <v>3500</v>
      </c>
      <c r="J47" s="1483">
        <f t="shared" si="7"/>
        <v>21870</v>
      </c>
      <c r="K47" s="1483"/>
    </row>
    <row r="48" spans="1:11">
      <c r="A48" s="1482" t="s">
        <v>522</v>
      </c>
      <c r="B48" s="1479">
        <v>4</v>
      </c>
      <c r="C48" s="1691">
        <v>32</v>
      </c>
      <c r="D48" s="1690">
        <f t="shared" si="8"/>
        <v>2350</v>
      </c>
      <c r="E48" s="1480">
        <f t="shared" si="9"/>
        <v>300800</v>
      </c>
      <c r="F48" s="1480">
        <f t="shared" si="10"/>
        <v>23478</v>
      </c>
      <c r="G48" s="1479">
        <f t="shared" si="4"/>
        <v>128</v>
      </c>
      <c r="H48" s="1480">
        <f>3500*1.075</f>
        <v>3762.5</v>
      </c>
      <c r="I48" s="1480">
        <v>2350</v>
      </c>
      <c r="J48" s="1483">
        <f t="shared" si="7"/>
        <v>20736</v>
      </c>
      <c r="K48" s="1483"/>
    </row>
    <row r="49" spans="1:11">
      <c r="A49" s="1482" t="s">
        <v>522</v>
      </c>
      <c r="B49" s="1479">
        <v>4</v>
      </c>
      <c r="C49" s="1710">
        <v>48</v>
      </c>
      <c r="D49" s="1690">
        <f t="shared" si="8"/>
        <v>2350</v>
      </c>
      <c r="E49" s="1480">
        <f t="shared" si="9"/>
        <v>451200</v>
      </c>
      <c r="F49" s="1480">
        <f t="shared" si="10"/>
        <v>23478</v>
      </c>
      <c r="G49" s="1479">
        <f t="shared" si="4"/>
        <v>192</v>
      </c>
      <c r="H49" s="1480">
        <f>3500*1.075</f>
        <v>3762.5</v>
      </c>
      <c r="I49" s="1480">
        <v>2350</v>
      </c>
      <c r="J49" s="1483">
        <f t="shared" si="7"/>
        <v>31104</v>
      </c>
      <c r="K49" s="1483"/>
    </row>
    <row r="50" spans="1:11">
      <c r="A50" s="1482" t="s">
        <v>586</v>
      </c>
      <c r="B50" s="1691">
        <v>8</v>
      </c>
      <c r="C50" s="1691">
        <v>28</v>
      </c>
      <c r="D50" s="1690">
        <f t="shared" ref="D50:D81" si="11">+I50*0.95</f>
        <v>237.5</v>
      </c>
      <c r="E50" s="1480">
        <f t="shared" si="9"/>
        <v>53200</v>
      </c>
      <c r="F50" s="1480">
        <f t="shared" si="10"/>
        <v>6708</v>
      </c>
      <c r="G50" s="1479">
        <f t="shared" si="4"/>
        <v>224</v>
      </c>
      <c r="H50" s="1480">
        <f>500*1.075</f>
        <v>537.5</v>
      </c>
      <c r="I50" s="1480">
        <v>250</v>
      </c>
      <c r="J50" s="1483">
        <f>(G50*216)*0.1</f>
        <v>4838.4000000000005</v>
      </c>
      <c r="K50" s="1483"/>
    </row>
    <row r="51" spans="1:11">
      <c r="A51" s="1482" t="s">
        <v>587</v>
      </c>
      <c r="B51" s="1479">
        <v>5</v>
      </c>
      <c r="C51" s="1691">
        <v>20</v>
      </c>
      <c r="D51" s="1690">
        <f t="shared" si="11"/>
        <v>950</v>
      </c>
      <c r="E51" s="1480">
        <f t="shared" si="9"/>
        <v>95000</v>
      </c>
      <c r="F51" s="1480">
        <f t="shared" si="10"/>
        <v>4192.5</v>
      </c>
      <c r="G51" s="1479">
        <f t="shared" si="4"/>
        <v>100</v>
      </c>
      <c r="H51" s="1480">
        <f>500*1.075</f>
        <v>537.5</v>
      </c>
      <c r="I51" s="1480">
        <v>1000</v>
      </c>
      <c r="J51" s="1483">
        <f>(G51*216)*0.15</f>
        <v>3240</v>
      </c>
      <c r="K51" s="1483"/>
    </row>
    <row r="52" spans="1:11">
      <c r="A52" s="1482" t="s">
        <v>1742</v>
      </c>
      <c r="B52" s="1691">
        <v>12</v>
      </c>
      <c r="C52" s="1691">
        <v>32</v>
      </c>
      <c r="D52" s="1690">
        <f t="shared" si="11"/>
        <v>237.5</v>
      </c>
      <c r="E52" s="1480">
        <f t="shared" si="9"/>
        <v>91200</v>
      </c>
      <c r="F52" s="1480">
        <f t="shared" si="10"/>
        <v>1006.1999999999999</v>
      </c>
      <c r="G52" s="1479"/>
      <c r="H52" s="1480">
        <f t="shared" ref="H52:H58" si="12">50*1.075</f>
        <v>53.75</v>
      </c>
      <c r="I52" s="1480">
        <v>250</v>
      </c>
      <c r="J52" s="1483"/>
      <c r="K52" s="1483"/>
    </row>
    <row r="53" spans="1:11">
      <c r="A53" s="1482" t="s">
        <v>1743</v>
      </c>
      <c r="B53" s="1691">
        <v>15</v>
      </c>
      <c r="C53" s="1710">
        <v>43</v>
      </c>
      <c r="D53" s="1690">
        <f t="shared" si="11"/>
        <v>190</v>
      </c>
      <c r="E53" s="1480">
        <f t="shared" si="9"/>
        <v>122550</v>
      </c>
      <c r="F53" s="1480">
        <f t="shared" si="10"/>
        <v>1257.75</v>
      </c>
      <c r="G53" s="1479"/>
      <c r="H53" s="1480">
        <f t="shared" si="12"/>
        <v>53.75</v>
      </c>
      <c r="I53" s="1480">
        <v>200</v>
      </c>
      <c r="J53" s="1483"/>
      <c r="K53" s="1483"/>
    </row>
    <row r="54" spans="1:11">
      <c r="A54" s="1482" t="s">
        <v>1744</v>
      </c>
      <c r="B54" s="1691">
        <v>20</v>
      </c>
      <c r="C54" s="1710">
        <v>43</v>
      </c>
      <c r="D54" s="1690">
        <f t="shared" si="11"/>
        <v>142.5</v>
      </c>
      <c r="E54" s="1480">
        <f t="shared" si="9"/>
        <v>122550</v>
      </c>
      <c r="F54" s="1480">
        <f t="shared" si="10"/>
        <v>1677</v>
      </c>
      <c r="G54" s="1479"/>
      <c r="H54" s="1480">
        <f t="shared" si="12"/>
        <v>53.75</v>
      </c>
      <c r="I54" s="1480">
        <v>150</v>
      </c>
      <c r="J54" s="1483"/>
      <c r="K54" s="1483"/>
    </row>
    <row r="55" spans="1:11">
      <c r="A55" s="1482" t="s">
        <v>1745</v>
      </c>
      <c r="B55" s="1691">
        <v>30</v>
      </c>
      <c r="C55" s="1710">
        <v>43</v>
      </c>
      <c r="D55" s="1690">
        <f t="shared" si="11"/>
        <v>71.25</v>
      </c>
      <c r="E55" s="1480">
        <f t="shared" si="9"/>
        <v>91912.5</v>
      </c>
      <c r="F55" s="1480">
        <f t="shared" si="10"/>
        <v>2515.5</v>
      </c>
      <c r="G55" s="1479"/>
      <c r="H55" s="1480">
        <f t="shared" si="12"/>
        <v>53.75</v>
      </c>
      <c r="I55" s="1480">
        <v>75</v>
      </c>
      <c r="J55" s="1483"/>
      <c r="K55" s="1483"/>
    </row>
    <row r="56" spans="1:11">
      <c r="A56" s="1482" t="s">
        <v>1746</v>
      </c>
      <c r="B56" s="1691">
        <v>15</v>
      </c>
      <c r="C56" s="1710">
        <v>43</v>
      </c>
      <c r="D56" s="1690">
        <f t="shared" si="11"/>
        <v>47.5</v>
      </c>
      <c r="E56" s="1480">
        <f t="shared" si="9"/>
        <v>30637.5</v>
      </c>
      <c r="F56" s="1480">
        <f t="shared" si="10"/>
        <v>1257.75</v>
      </c>
      <c r="G56" s="1479"/>
      <c r="H56" s="1480">
        <f t="shared" si="12"/>
        <v>53.75</v>
      </c>
      <c r="I56" s="1480">
        <v>50</v>
      </c>
      <c r="J56" s="1483"/>
      <c r="K56" s="1483"/>
    </row>
    <row r="57" spans="1:11">
      <c r="A57" s="1482" t="s">
        <v>1747</v>
      </c>
      <c r="B57" s="1691">
        <v>20</v>
      </c>
      <c r="C57" s="1710">
        <v>43</v>
      </c>
      <c r="D57" s="1690">
        <f t="shared" si="11"/>
        <v>38</v>
      </c>
      <c r="E57" s="1480">
        <f t="shared" si="9"/>
        <v>32680</v>
      </c>
      <c r="F57" s="1480">
        <f t="shared" si="10"/>
        <v>1677</v>
      </c>
      <c r="G57" s="1479"/>
      <c r="H57" s="1480">
        <f t="shared" si="12"/>
        <v>53.75</v>
      </c>
      <c r="I57" s="1480">
        <v>40</v>
      </c>
      <c r="J57" s="1483"/>
      <c r="K57" s="1483"/>
    </row>
    <row r="58" spans="1:11">
      <c r="A58" s="1482" t="s">
        <v>1754</v>
      </c>
      <c r="B58" s="1691">
        <v>30</v>
      </c>
      <c r="C58" s="1710">
        <v>43</v>
      </c>
      <c r="D58" s="1690">
        <f t="shared" si="11"/>
        <v>23.75</v>
      </c>
      <c r="E58" s="1480">
        <f t="shared" si="9"/>
        <v>30637.5</v>
      </c>
      <c r="F58" s="1480">
        <f t="shared" si="10"/>
        <v>2515.5</v>
      </c>
      <c r="G58" s="1479"/>
      <c r="H58" s="1480">
        <f t="shared" si="12"/>
        <v>53.75</v>
      </c>
      <c r="I58" s="1480">
        <v>25</v>
      </c>
      <c r="J58" s="1483"/>
      <c r="K58" s="1483"/>
    </row>
    <row r="59" spans="1:11">
      <c r="A59" s="1482" t="s">
        <v>1755</v>
      </c>
      <c r="B59" s="1691">
        <v>30</v>
      </c>
      <c r="C59" s="1691">
        <v>38</v>
      </c>
      <c r="D59" s="1690">
        <f t="shared" si="11"/>
        <v>190</v>
      </c>
      <c r="E59" s="1480">
        <f t="shared" si="9"/>
        <v>216600</v>
      </c>
      <c r="F59" s="1480">
        <f t="shared" si="10"/>
        <v>37732.5</v>
      </c>
      <c r="G59" s="1479"/>
      <c r="H59" s="1480">
        <f>750*1.075</f>
        <v>806.25</v>
      </c>
      <c r="I59" s="1480">
        <v>200</v>
      </c>
      <c r="J59" s="1483"/>
      <c r="K59" s="1483"/>
    </row>
    <row r="60" spans="1:11">
      <c r="A60" s="1482" t="s">
        <v>1892</v>
      </c>
      <c r="B60" s="1691">
        <v>40</v>
      </c>
      <c r="C60" s="1710">
        <v>42</v>
      </c>
      <c r="D60" s="1690">
        <f t="shared" si="11"/>
        <v>237.5</v>
      </c>
      <c r="E60" s="1480">
        <f t="shared" si="9"/>
        <v>399000</v>
      </c>
      <c r="F60" s="1480">
        <f t="shared" si="10"/>
        <v>50310</v>
      </c>
      <c r="G60" s="1479"/>
      <c r="H60" s="1480">
        <f>750*1.075</f>
        <v>806.25</v>
      </c>
      <c r="I60" s="1480">
        <v>250</v>
      </c>
      <c r="J60" s="1483"/>
      <c r="K60" s="1483"/>
    </row>
    <row r="61" spans="1:11">
      <c r="A61" s="1482" t="s">
        <v>1352</v>
      </c>
      <c r="B61" s="1479">
        <v>25</v>
      </c>
      <c r="C61" s="1710">
        <v>36</v>
      </c>
      <c r="D61" s="1690">
        <f t="shared" si="11"/>
        <v>285</v>
      </c>
      <c r="E61" s="1480">
        <f t="shared" si="9"/>
        <v>256500</v>
      </c>
      <c r="F61" s="1480">
        <f t="shared" si="10"/>
        <v>31443.75</v>
      </c>
      <c r="G61" s="1479"/>
      <c r="H61" s="1480">
        <f>750*1.075</f>
        <v>806.25</v>
      </c>
      <c r="I61" s="1480">
        <v>300</v>
      </c>
      <c r="J61" s="1483"/>
      <c r="K61" s="1483"/>
    </row>
    <row r="62" spans="1:11">
      <c r="A62" s="1482" t="s">
        <v>1353</v>
      </c>
      <c r="B62" s="1479">
        <v>15</v>
      </c>
      <c r="C62" s="1691">
        <v>46</v>
      </c>
      <c r="D62" s="1690">
        <f t="shared" si="11"/>
        <v>332.5</v>
      </c>
      <c r="E62" s="1480">
        <f t="shared" si="9"/>
        <v>229425</v>
      </c>
      <c r="F62" s="1480">
        <f t="shared" si="10"/>
        <v>18866.25</v>
      </c>
      <c r="G62" s="1479"/>
      <c r="H62" s="1480">
        <f>750*1.075</f>
        <v>806.25</v>
      </c>
      <c r="I62" s="1480">
        <v>350</v>
      </c>
      <c r="J62" s="1483"/>
      <c r="K62" s="1483"/>
    </row>
    <row r="63" spans="1:11">
      <c r="A63" s="1482" t="s">
        <v>357</v>
      </c>
      <c r="B63" s="1691">
        <v>25</v>
      </c>
      <c r="C63" s="1710">
        <v>45</v>
      </c>
      <c r="D63" s="1690">
        <f t="shared" si="11"/>
        <v>332.5</v>
      </c>
      <c r="E63" s="1480">
        <f t="shared" si="9"/>
        <v>374062.5</v>
      </c>
      <c r="F63" s="1480">
        <f t="shared" si="10"/>
        <v>31443.75</v>
      </c>
      <c r="G63" s="1479">
        <f>B63*C63</f>
        <v>1125</v>
      </c>
      <c r="H63" s="1480">
        <f>750*1.075</f>
        <v>806.25</v>
      </c>
      <c r="I63" s="1480">
        <v>350</v>
      </c>
      <c r="J63" s="1483">
        <f>(G63*176)*0.1</f>
        <v>19800</v>
      </c>
      <c r="K63" s="1483"/>
    </row>
    <row r="64" spans="1:11">
      <c r="A64" s="1482" t="s">
        <v>945</v>
      </c>
      <c r="B64" s="1691">
        <v>20</v>
      </c>
      <c r="C64" s="1691">
        <v>28</v>
      </c>
      <c r="D64" s="1690">
        <f t="shared" si="11"/>
        <v>142.5</v>
      </c>
      <c r="E64" s="1480">
        <f t="shared" si="9"/>
        <v>79800</v>
      </c>
      <c r="F64" s="1480">
        <f t="shared" si="10"/>
        <v>1677</v>
      </c>
      <c r="G64" s="1479"/>
      <c r="H64" s="1480">
        <f>50*1.075</f>
        <v>53.75</v>
      </c>
      <c r="I64" s="1480">
        <v>150</v>
      </c>
      <c r="J64" s="1483"/>
      <c r="K64" s="1483"/>
    </row>
    <row r="65" spans="1:11">
      <c r="A65" s="1482" t="s">
        <v>358</v>
      </c>
      <c r="B65" s="1691">
        <v>20</v>
      </c>
      <c r="C65" s="1691">
        <v>28</v>
      </c>
      <c r="D65" s="1690">
        <f t="shared" si="11"/>
        <v>52.25</v>
      </c>
      <c r="E65" s="1480">
        <f t="shared" si="9"/>
        <v>29260</v>
      </c>
      <c r="F65" s="1480">
        <f t="shared" si="10"/>
        <v>1677</v>
      </c>
      <c r="G65" s="1479"/>
      <c r="H65" s="1480">
        <f>50*1.075</f>
        <v>53.75</v>
      </c>
      <c r="I65" s="1480">
        <v>55</v>
      </c>
      <c r="J65" s="1483"/>
      <c r="K65" s="1483"/>
    </row>
    <row r="66" spans="1:11">
      <c r="A66" s="1482" t="s">
        <v>1354</v>
      </c>
      <c r="B66" s="1691">
        <v>20</v>
      </c>
      <c r="C66" s="1691">
        <v>38</v>
      </c>
      <c r="D66" s="1690">
        <f t="shared" si="11"/>
        <v>14.25</v>
      </c>
      <c r="E66" s="1480">
        <f t="shared" si="9"/>
        <v>10830</v>
      </c>
      <c r="F66" s="1480">
        <f t="shared" si="10"/>
        <v>1677</v>
      </c>
      <c r="G66" s="1479"/>
      <c r="H66" s="1480">
        <f>50*1.075</f>
        <v>53.75</v>
      </c>
      <c r="I66" s="1480">
        <v>15</v>
      </c>
      <c r="J66" s="1483"/>
      <c r="K66" s="1483"/>
    </row>
    <row r="67" spans="1:11">
      <c r="A67" s="1482" t="s">
        <v>359</v>
      </c>
      <c r="B67" s="1479">
        <v>4</v>
      </c>
      <c r="C67" s="1691">
        <v>46</v>
      </c>
      <c r="D67" s="1690">
        <f t="shared" si="11"/>
        <v>95</v>
      </c>
      <c r="E67" s="1480">
        <f t="shared" si="9"/>
        <v>17480</v>
      </c>
      <c r="F67" s="1480">
        <f t="shared" si="10"/>
        <v>335.4</v>
      </c>
      <c r="G67" s="1479"/>
      <c r="H67" s="1480">
        <f>50*1.075</f>
        <v>53.75</v>
      </c>
      <c r="I67" s="1480">
        <v>100</v>
      </c>
      <c r="J67" s="1483"/>
      <c r="K67" s="1483"/>
    </row>
    <row r="68" spans="1:11">
      <c r="A68" s="1482" t="s">
        <v>1520</v>
      </c>
      <c r="B68" s="1479">
        <v>2</v>
      </c>
      <c r="C68" s="1691">
        <v>42</v>
      </c>
      <c r="D68" s="1690">
        <f t="shared" si="11"/>
        <v>3562.5</v>
      </c>
      <c r="E68" s="1480">
        <f t="shared" si="9"/>
        <v>299250</v>
      </c>
      <c r="F68" s="1480">
        <f t="shared" si="10"/>
        <v>9223.5</v>
      </c>
      <c r="G68" s="1479">
        <f>B68*C68</f>
        <v>84</v>
      </c>
      <c r="H68" s="1480">
        <f>2750*1.075</f>
        <v>2956.25</v>
      </c>
      <c r="I68" s="1480">
        <v>3750</v>
      </c>
      <c r="J68" s="1483">
        <f>(G68*176)*0.1</f>
        <v>1478.4</v>
      </c>
      <c r="K68" s="1483"/>
    </row>
    <row r="69" spans="1:11">
      <c r="A69" s="1482" t="s">
        <v>603</v>
      </c>
      <c r="B69" s="1691">
        <v>4</v>
      </c>
      <c r="C69" s="1691">
        <v>40</v>
      </c>
      <c r="D69" s="1690">
        <f t="shared" si="11"/>
        <v>1140</v>
      </c>
      <c r="E69" s="1480">
        <f t="shared" si="9"/>
        <v>182400</v>
      </c>
      <c r="F69" s="1480">
        <f t="shared" si="10"/>
        <v>335.4</v>
      </c>
      <c r="G69" s="1479">
        <f>B69*C69</f>
        <v>160</v>
      </c>
      <c r="H69" s="1480">
        <f t="shared" ref="H69:H75" si="13">50*1.075</f>
        <v>53.75</v>
      </c>
      <c r="I69" s="1480">
        <v>1200</v>
      </c>
      <c r="J69" s="1483">
        <f>(G69*176)*0.1</f>
        <v>2816</v>
      </c>
      <c r="K69" s="1483"/>
    </row>
    <row r="70" spans="1:11">
      <c r="A70" s="1482" t="s">
        <v>1623</v>
      </c>
      <c r="B70" s="1691">
        <v>15</v>
      </c>
      <c r="C70" s="1691">
        <v>40</v>
      </c>
      <c r="D70" s="1690">
        <f t="shared" si="11"/>
        <v>114</v>
      </c>
      <c r="E70" s="1480">
        <f t="shared" si="9"/>
        <v>68400</v>
      </c>
      <c r="F70" s="1480">
        <f t="shared" si="10"/>
        <v>1257.75</v>
      </c>
      <c r="G70" s="1479"/>
      <c r="H70" s="1480">
        <f t="shared" si="13"/>
        <v>53.75</v>
      </c>
      <c r="I70" s="1480">
        <v>120</v>
      </c>
      <c r="J70" s="1483"/>
      <c r="K70" s="1483"/>
    </row>
    <row r="71" spans="1:11">
      <c r="A71" s="1482" t="s">
        <v>2069</v>
      </c>
      <c r="B71" s="1479">
        <v>12</v>
      </c>
      <c r="C71" s="1479">
        <v>24</v>
      </c>
      <c r="D71" s="1690">
        <f t="shared" si="11"/>
        <v>71.25</v>
      </c>
      <c r="E71" s="1480">
        <f t="shared" si="9"/>
        <v>20520</v>
      </c>
      <c r="F71" s="1480">
        <f t="shared" si="10"/>
        <v>1006.1999999999999</v>
      </c>
      <c r="G71" s="1479"/>
      <c r="H71" s="1480">
        <f t="shared" si="13"/>
        <v>53.75</v>
      </c>
      <c r="I71" s="1480">
        <v>75</v>
      </c>
      <c r="J71" s="1483"/>
      <c r="K71" s="1483"/>
    </row>
    <row r="72" spans="1:11">
      <c r="A72" s="1482" t="s">
        <v>2070</v>
      </c>
      <c r="B72" s="1479">
        <v>15</v>
      </c>
      <c r="C72" s="1691">
        <v>38</v>
      </c>
      <c r="D72" s="1690">
        <f t="shared" si="11"/>
        <v>2375</v>
      </c>
      <c r="E72" s="1480">
        <f t="shared" si="9"/>
        <v>1353750</v>
      </c>
      <c r="F72" s="1480">
        <f t="shared" si="10"/>
        <v>1257.75</v>
      </c>
      <c r="G72" s="1479"/>
      <c r="H72" s="1480">
        <f t="shared" si="13"/>
        <v>53.75</v>
      </c>
      <c r="I72" s="1480">
        <v>2500</v>
      </c>
      <c r="J72" s="1483"/>
      <c r="K72" s="1483"/>
    </row>
    <row r="73" spans="1:11">
      <c r="A73" s="1482" t="s">
        <v>1355</v>
      </c>
      <c r="B73" s="1479">
        <v>10</v>
      </c>
      <c r="C73" s="1479">
        <v>24</v>
      </c>
      <c r="D73" s="1690">
        <f t="shared" si="11"/>
        <v>2375</v>
      </c>
      <c r="E73" s="1480">
        <f t="shared" ref="E73:E104" si="14">B73*C73*D73</f>
        <v>570000</v>
      </c>
      <c r="F73" s="1480">
        <f t="shared" ref="F73:F104" si="15">((H73*1.04)*B73)*1.5</f>
        <v>838.5</v>
      </c>
      <c r="G73" s="1479"/>
      <c r="H73" s="1480">
        <f t="shared" si="13"/>
        <v>53.75</v>
      </c>
      <c r="I73" s="1480">
        <v>2500</v>
      </c>
      <c r="J73" s="1483"/>
      <c r="K73" s="1483"/>
    </row>
    <row r="74" spans="1:11">
      <c r="A74" s="1482" t="s">
        <v>1356</v>
      </c>
      <c r="B74" s="1479">
        <v>5</v>
      </c>
      <c r="C74" s="1691">
        <v>46</v>
      </c>
      <c r="D74" s="1690">
        <f t="shared" si="11"/>
        <v>266</v>
      </c>
      <c r="E74" s="1480">
        <f t="shared" si="14"/>
        <v>61180</v>
      </c>
      <c r="F74" s="1480">
        <f t="shared" si="15"/>
        <v>419.25</v>
      </c>
      <c r="G74" s="1479"/>
      <c r="H74" s="1480">
        <f t="shared" si="13"/>
        <v>53.75</v>
      </c>
      <c r="I74" s="1480">
        <v>280</v>
      </c>
      <c r="J74" s="1483"/>
      <c r="K74" s="1483"/>
    </row>
    <row r="75" spans="1:11">
      <c r="A75" s="1482" t="s">
        <v>1800</v>
      </c>
      <c r="B75" s="1479">
        <v>5</v>
      </c>
      <c r="C75" s="1691">
        <v>46</v>
      </c>
      <c r="D75" s="1690">
        <f t="shared" si="11"/>
        <v>177.65</v>
      </c>
      <c r="E75" s="1480">
        <f t="shared" si="14"/>
        <v>40859.5</v>
      </c>
      <c r="F75" s="1480">
        <f t="shared" si="15"/>
        <v>419.25</v>
      </c>
      <c r="G75" s="1479"/>
      <c r="H75" s="1480">
        <f t="shared" si="13"/>
        <v>53.75</v>
      </c>
      <c r="I75" s="1480">
        <v>187</v>
      </c>
      <c r="J75" s="1483"/>
      <c r="K75" s="1483"/>
    </row>
    <row r="76" spans="1:11">
      <c r="A76" s="1482" t="s">
        <v>335</v>
      </c>
      <c r="B76" s="1479">
        <v>2</v>
      </c>
      <c r="C76" s="1691">
        <v>18</v>
      </c>
      <c r="D76" s="1690">
        <f t="shared" si="11"/>
        <v>5462.5</v>
      </c>
      <c r="E76" s="1480">
        <f t="shared" si="14"/>
        <v>196650</v>
      </c>
      <c r="F76" s="1480">
        <f t="shared" si="15"/>
        <v>1677</v>
      </c>
      <c r="G76" s="1479"/>
      <c r="H76" s="1480">
        <f>500*1.075</f>
        <v>537.5</v>
      </c>
      <c r="I76" s="1480">
        <v>5750</v>
      </c>
      <c r="J76" s="1483"/>
      <c r="K76" s="1483"/>
    </row>
    <row r="77" spans="1:11">
      <c r="A77" s="1482" t="s">
        <v>1801</v>
      </c>
      <c r="B77" s="1479">
        <v>5</v>
      </c>
      <c r="C77" s="1691">
        <v>46</v>
      </c>
      <c r="D77" s="1690">
        <f t="shared" si="11"/>
        <v>380</v>
      </c>
      <c r="E77" s="1480">
        <f t="shared" si="14"/>
        <v>87400</v>
      </c>
      <c r="F77" s="1480">
        <f t="shared" si="15"/>
        <v>419.25</v>
      </c>
      <c r="G77" s="1479"/>
      <c r="H77" s="1480">
        <f>50*1.075</f>
        <v>53.75</v>
      </c>
      <c r="I77" s="1480">
        <v>400</v>
      </c>
      <c r="J77" s="1483"/>
      <c r="K77" s="1483"/>
    </row>
    <row r="78" spans="1:11">
      <c r="A78" s="1482" t="s">
        <v>1802</v>
      </c>
      <c r="B78" s="1691">
        <v>20</v>
      </c>
      <c r="C78" s="1691">
        <v>46</v>
      </c>
      <c r="D78" s="1690">
        <f t="shared" si="11"/>
        <v>237.5</v>
      </c>
      <c r="E78" s="1480">
        <f t="shared" si="14"/>
        <v>218500</v>
      </c>
      <c r="F78" s="1480">
        <f t="shared" si="15"/>
        <v>1677</v>
      </c>
      <c r="G78" s="1479"/>
      <c r="H78" s="1480">
        <f>50*1.075</f>
        <v>53.75</v>
      </c>
      <c r="I78" s="1480">
        <v>250</v>
      </c>
      <c r="J78" s="1483"/>
      <c r="K78" s="1483"/>
    </row>
    <row r="79" spans="1:11">
      <c r="A79" s="1482" t="s">
        <v>1803</v>
      </c>
      <c r="B79" s="1691">
        <v>3</v>
      </c>
      <c r="C79" s="1691">
        <v>16</v>
      </c>
      <c r="D79" s="1690">
        <f t="shared" si="11"/>
        <v>285</v>
      </c>
      <c r="E79" s="1480">
        <f t="shared" si="14"/>
        <v>13680</v>
      </c>
      <c r="F79" s="1480">
        <f t="shared" si="15"/>
        <v>251.54999999999998</v>
      </c>
      <c r="G79" s="1479"/>
      <c r="H79" s="1480">
        <f>50*1.075</f>
        <v>53.75</v>
      </c>
      <c r="I79" s="1480">
        <v>300</v>
      </c>
      <c r="J79" s="1483"/>
      <c r="K79" s="1483"/>
    </row>
    <row r="80" spans="1:11">
      <c r="A80" s="1482" t="s">
        <v>2071</v>
      </c>
      <c r="B80" s="1691">
        <v>20</v>
      </c>
      <c r="C80" s="1691">
        <v>46</v>
      </c>
      <c r="D80" s="1690">
        <f t="shared" si="11"/>
        <v>237.5</v>
      </c>
      <c r="E80" s="1480">
        <f t="shared" si="14"/>
        <v>218500</v>
      </c>
      <c r="F80" s="1480">
        <f t="shared" si="15"/>
        <v>100620</v>
      </c>
      <c r="G80" s="1479"/>
      <c r="H80" s="1690">
        <f>3000*1.075</f>
        <v>3225</v>
      </c>
      <c r="I80" s="1480">
        <v>250</v>
      </c>
      <c r="J80" s="1483"/>
      <c r="K80" s="1483"/>
    </row>
    <row r="81" spans="1:11">
      <c r="A81" s="1482" t="s">
        <v>2072</v>
      </c>
      <c r="B81" s="1691">
        <v>4</v>
      </c>
      <c r="C81" s="1691">
        <v>46</v>
      </c>
      <c r="D81" s="1690">
        <f t="shared" si="11"/>
        <v>522.5</v>
      </c>
      <c r="E81" s="1480">
        <f t="shared" si="14"/>
        <v>96140</v>
      </c>
      <c r="F81" s="1480">
        <f t="shared" si="15"/>
        <v>20124</v>
      </c>
      <c r="G81" s="1479"/>
      <c r="H81" s="1690">
        <f>3000*1.075</f>
        <v>3225</v>
      </c>
      <c r="I81" s="1480">
        <v>550</v>
      </c>
      <c r="J81" s="1483"/>
      <c r="K81" s="1483"/>
    </row>
    <row r="82" spans="1:11">
      <c r="A82" s="1482" t="s">
        <v>1804</v>
      </c>
      <c r="B82" s="1691">
        <v>4</v>
      </c>
      <c r="C82" s="1691">
        <v>46</v>
      </c>
      <c r="D82" s="1690">
        <f t="shared" ref="D82:D103" si="16">+I82*0.95</f>
        <v>1662.5</v>
      </c>
      <c r="E82" s="1480">
        <f t="shared" si="14"/>
        <v>305900</v>
      </c>
      <c r="F82" s="1480">
        <f t="shared" si="15"/>
        <v>20124</v>
      </c>
      <c r="G82" s="1479">
        <f>B82*C82</f>
        <v>184</v>
      </c>
      <c r="H82" s="1690">
        <f>3000*1.075</f>
        <v>3225</v>
      </c>
      <c r="I82" s="1480">
        <v>1750</v>
      </c>
      <c r="J82" s="1483"/>
      <c r="K82" s="1483">
        <f>(G82*216)*0.75</f>
        <v>29808</v>
      </c>
    </row>
    <row r="83" spans="1:11">
      <c r="A83" s="1482" t="s">
        <v>2073</v>
      </c>
      <c r="B83" s="1691">
        <v>4</v>
      </c>
      <c r="C83" s="1691">
        <v>46</v>
      </c>
      <c r="D83" s="1690">
        <f t="shared" si="16"/>
        <v>902.5</v>
      </c>
      <c r="E83" s="1480">
        <f t="shared" si="14"/>
        <v>166060</v>
      </c>
      <c r="F83" s="1480">
        <f t="shared" si="15"/>
        <v>20124</v>
      </c>
      <c r="G83" s="1479">
        <f>B83*C83</f>
        <v>184</v>
      </c>
      <c r="H83" s="1690">
        <f>3000*1.075</f>
        <v>3225</v>
      </c>
      <c r="I83" s="1480">
        <v>950</v>
      </c>
      <c r="J83" s="1483"/>
      <c r="K83" s="1483">
        <f>(G83*216)*0.75</f>
        <v>29808</v>
      </c>
    </row>
    <row r="84" spans="1:11">
      <c r="A84" s="1482" t="s">
        <v>2074</v>
      </c>
      <c r="B84" s="1691">
        <v>2</v>
      </c>
      <c r="C84" s="1691">
        <v>46</v>
      </c>
      <c r="D84" s="1690">
        <f t="shared" si="16"/>
        <v>712.5</v>
      </c>
      <c r="E84" s="1480">
        <f t="shared" si="14"/>
        <v>65550</v>
      </c>
      <c r="F84" s="1480">
        <f t="shared" si="15"/>
        <v>10062</v>
      </c>
      <c r="G84" s="1479">
        <f>B84*C84</f>
        <v>92</v>
      </c>
      <c r="H84" s="1690">
        <f>3000*1.075</f>
        <v>3225</v>
      </c>
      <c r="I84" s="1480">
        <v>750</v>
      </c>
      <c r="J84" s="1483"/>
      <c r="K84" s="1483">
        <f>(G84*216)*0.75</f>
        <v>14904</v>
      </c>
    </row>
    <row r="85" spans="1:11">
      <c r="A85" s="1482" t="s">
        <v>337</v>
      </c>
      <c r="B85" s="1691">
        <v>8</v>
      </c>
      <c r="C85" s="1691">
        <v>46</v>
      </c>
      <c r="D85" s="1690">
        <f t="shared" si="16"/>
        <v>812.25</v>
      </c>
      <c r="E85" s="1480">
        <f t="shared" si="14"/>
        <v>298908</v>
      </c>
      <c r="F85" s="1480">
        <f t="shared" si="15"/>
        <v>3354</v>
      </c>
      <c r="G85" s="1479">
        <f>B85*C85</f>
        <v>368</v>
      </c>
      <c r="H85" s="1480">
        <f>250*1.075</f>
        <v>268.75</v>
      </c>
      <c r="I85" s="1480">
        <v>855</v>
      </c>
      <c r="J85" s="1483"/>
      <c r="K85" s="1483">
        <f>(G85*216)*0.25</f>
        <v>19872</v>
      </c>
    </row>
    <row r="86" spans="1:11">
      <c r="A86" s="1482" t="s">
        <v>1909</v>
      </c>
      <c r="B86" s="1691">
        <v>18</v>
      </c>
      <c r="C86" s="1691">
        <v>46</v>
      </c>
      <c r="D86" s="1690">
        <f t="shared" si="16"/>
        <v>760</v>
      </c>
      <c r="E86" s="1480">
        <f t="shared" si="14"/>
        <v>629280</v>
      </c>
      <c r="F86" s="1480">
        <f t="shared" si="15"/>
        <v>7546.5</v>
      </c>
      <c r="G86" s="1479"/>
      <c r="H86" s="1480">
        <f>250*1.075</f>
        <v>268.75</v>
      </c>
      <c r="I86" s="1480">
        <v>800</v>
      </c>
      <c r="J86" s="1483"/>
      <c r="K86" s="1483"/>
    </row>
    <row r="87" spans="1:11">
      <c r="A87" s="1482" t="s">
        <v>336</v>
      </c>
      <c r="B87" s="1691">
        <v>4</v>
      </c>
      <c r="C87" s="1691">
        <v>46</v>
      </c>
      <c r="D87" s="1690">
        <f t="shared" si="16"/>
        <v>907.25</v>
      </c>
      <c r="E87" s="1480">
        <f t="shared" si="14"/>
        <v>166934</v>
      </c>
      <c r="F87" s="1480">
        <f t="shared" si="15"/>
        <v>1677</v>
      </c>
      <c r="G87" s="1479">
        <f>B87*C87</f>
        <v>184</v>
      </c>
      <c r="H87" s="1480">
        <f>250*1.075</f>
        <v>268.75</v>
      </c>
      <c r="I87" s="1480">
        <v>955</v>
      </c>
      <c r="J87" s="1483"/>
      <c r="K87" s="1483">
        <f>(G87*216)*0.75</f>
        <v>29808</v>
      </c>
    </row>
    <row r="88" spans="1:11">
      <c r="A88" s="1482" t="s">
        <v>1910</v>
      </c>
      <c r="B88" s="1691">
        <v>18</v>
      </c>
      <c r="C88" s="1691">
        <v>46</v>
      </c>
      <c r="D88" s="1690">
        <f t="shared" si="16"/>
        <v>855</v>
      </c>
      <c r="E88" s="1480">
        <f t="shared" si="14"/>
        <v>707940</v>
      </c>
      <c r="F88" s="1480">
        <f t="shared" si="15"/>
        <v>7546.5</v>
      </c>
      <c r="G88" s="1479"/>
      <c r="H88" s="1480">
        <f>250*1.075</f>
        <v>268.75</v>
      </c>
      <c r="I88" s="1480">
        <v>900</v>
      </c>
      <c r="J88" s="1483"/>
      <c r="K88" s="1483"/>
    </row>
    <row r="89" spans="1:11">
      <c r="A89" s="1482" t="s">
        <v>1075</v>
      </c>
      <c r="B89" s="1691">
        <v>2</v>
      </c>
      <c r="C89" s="1691">
        <v>65</v>
      </c>
      <c r="D89" s="1690">
        <f t="shared" si="16"/>
        <v>831.25</v>
      </c>
      <c r="E89" s="1480">
        <f t="shared" si="14"/>
        <v>108062.5</v>
      </c>
      <c r="F89" s="1480">
        <f t="shared" si="15"/>
        <v>838.5</v>
      </c>
      <c r="G89" s="1479"/>
      <c r="H89" s="1480">
        <f>250*1.075</f>
        <v>268.75</v>
      </c>
      <c r="I89" s="1480">
        <v>875</v>
      </c>
      <c r="J89" s="1483"/>
      <c r="K89" s="1483"/>
    </row>
    <row r="90" spans="1:11">
      <c r="A90" s="1482" t="s">
        <v>2075</v>
      </c>
      <c r="B90" s="1691">
        <v>4</v>
      </c>
      <c r="C90" s="1691">
        <v>32</v>
      </c>
      <c r="D90" s="1690">
        <f t="shared" si="16"/>
        <v>1187.5</v>
      </c>
      <c r="E90" s="1480">
        <f t="shared" si="14"/>
        <v>152000</v>
      </c>
      <c r="F90" s="1480">
        <f t="shared" si="15"/>
        <v>23478</v>
      </c>
      <c r="G90" s="1479"/>
      <c r="H90" s="1690">
        <f t="shared" ref="H90:H95" si="17">3500*1.075</f>
        <v>3762.5</v>
      </c>
      <c r="I90" s="1480">
        <v>1250</v>
      </c>
      <c r="J90" s="1483"/>
      <c r="K90" s="1483"/>
    </row>
    <row r="91" spans="1:11">
      <c r="A91" s="1482" t="s">
        <v>2075</v>
      </c>
      <c r="B91" s="1691">
        <v>8</v>
      </c>
      <c r="C91" s="1691">
        <v>44</v>
      </c>
      <c r="D91" s="1690">
        <f t="shared" si="16"/>
        <v>1187.5</v>
      </c>
      <c r="E91" s="1480">
        <f t="shared" si="14"/>
        <v>418000</v>
      </c>
      <c r="F91" s="1480">
        <f t="shared" si="15"/>
        <v>46956</v>
      </c>
      <c r="G91" s="1479"/>
      <c r="H91" s="1690">
        <f t="shared" si="17"/>
        <v>3762.5</v>
      </c>
      <c r="I91" s="1480">
        <v>1250</v>
      </c>
      <c r="J91" s="1483"/>
      <c r="K91" s="1483"/>
    </row>
    <row r="92" spans="1:11">
      <c r="A92" s="1482" t="s">
        <v>2076</v>
      </c>
      <c r="B92" s="1691">
        <v>8</v>
      </c>
      <c r="C92" s="1691">
        <v>36</v>
      </c>
      <c r="D92" s="1690">
        <f t="shared" si="16"/>
        <v>1425</v>
      </c>
      <c r="E92" s="1480">
        <f t="shared" si="14"/>
        <v>410400</v>
      </c>
      <c r="F92" s="1480">
        <f t="shared" si="15"/>
        <v>46956</v>
      </c>
      <c r="G92" s="1479"/>
      <c r="H92" s="1690">
        <f t="shared" si="17"/>
        <v>3762.5</v>
      </c>
      <c r="I92" s="1480">
        <v>1500</v>
      </c>
      <c r="J92" s="1483"/>
      <c r="K92" s="1483"/>
    </row>
    <row r="93" spans="1:11">
      <c r="A93" s="1482" t="s">
        <v>2076</v>
      </c>
      <c r="B93" s="1691">
        <v>14</v>
      </c>
      <c r="C93" s="1691">
        <v>30</v>
      </c>
      <c r="D93" s="1690">
        <f t="shared" si="16"/>
        <v>1425</v>
      </c>
      <c r="E93" s="1480">
        <f t="shared" si="14"/>
        <v>598500</v>
      </c>
      <c r="F93" s="1480">
        <f t="shared" si="15"/>
        <v>82173</v>
      </c>
      <c r="G93" s="1479"/>
      <c r="H93" s="1690">
        <f t="shared" si="17"/>
        <v>3762.5</v>
      </c>
      <c r="I93" s="1480">
        <v>1500</v>
      </c>
      <c r="J93" s="1483"/>
      <c r="K93" s="1483"/>
    </row>
    <row r="94" spans="1:11">
      <c r="A94" s="1482" t="s">
        <v>1805</v>
      </c>
      <c r="B94" s="1479">
        <v>2</v>
      </c>
      <c r="C94" s="1691">
        <v>38</v>
      </c>
      <c r="D94" s="1690">
        <f t="shared" si="16"/>
        <v>1282.5</v>
      </c>
      <c r="E94" s="1480">
        <f t="shared" si="14"/>
        <v>97470</v>
      </c>
      <c r="F94" s="1480">
        <f t="shared" si="15"/>
        <v>11739</v>
      </c>
      <c r="G94" s="1479"/>
      <c r="H94" s="1690">
        <f t="shared" si="17"/>
        <v>3762.5</v>
      </c>
      <c r="I94" s="1480">
        <v>1350</v>
      </c>
      <c r="J94" s="1483"/>
      <c r="K94" s="1483"/>
    </row>
    <row r="95" spans="1:11">
      <c r="A95" s="1482" t="s">
        <v>1805</v>
      </c>
      <c r="B95" s="1691">
        <v>5</v>
      </c>
      <c r="C95" s="1691">
        <v>46</v>
      </c>
      <c r="D95" s="1690">
        <f t="shared" si="16"/>
        <v>1282.5</v>
      </c>
      <c r="E95" s="1480">
        <f t="shared" si="14"/>
        <v>294975</v>
      </c>
      <c r="F95" s="1480">
        <f t="shared" si="15"/>
        <v>29347.5</v>
      </c>
      <c r="G95" s="1479"/>
      <c r="H95" s="1690">
        <f t="shared" si="17"/>
        <v>3762.5</v>
      </c>
      <c r="I95" s="1480">
        <v>1350</v>
      </c>
      <c r="J95" s="1483"/>
      <c r="K95" s="1483"/>
    </row>
    <row r="96" spans="1:11">
      <c r="A96" s="1482" t="s">
        <v>1806</v>
      </c>
      <c r="B96" s="1479">
        <v>10</v>
      </c>
      <c r="C96" s="1691">
        <v>38</v>
      </c>
      <c r="D96" s="1690">
        <f t="shared" si="16"/>
        <v>427.5</v>
      </c>
      <c r="E96" s="1480">
        <f t="shared" si="14"/>
        <v>162450</v>
      </c>
      <c r="F96" s="1480">
        <f t="shared" si="15"/>
        <v>1257.7500000000002</v>
      </c>
      <c r="G96" s="1479"/>
      <c r="H96" s="1480">
        <f>75*1.075</f>
        <v>80.625</v>
      </c>
      <c r="I96" s="1480">
        <v>450</v>
      </c>
      <c r="J96" s="1483"/>
      <c r="K96" s="1483"/>
    </row>
    <row r="97" spans="1:11">
      <c r="A97" s="1482" t="s">
        <v>465</v>
      </c>
      <c r="B97" s="1479">
        <v>1</v>
      </c>
      <c r="C97" s="1691">
        <v>46</v>
      </c>
      <c r="D97" s="1690">
        <f t="shared" si="16"/>
        <v>11875</v>
      </c>
      <c r="E97" s="1480">
        <f t="shared" si="14"/>
        <v>546250</v>
      </c>
      <c r="F97" s="1480">
        <f t="shared" si="15"/>
        <v>63911.25</v>
      </c>
      <c r="G97" s="1479"/>
      <c r="H97" s="1480">
        <f>0.075*E97</f>
        <v>40968.75</v>
      </c>
      <c r="I97" s="1480">
        <v>12500</v>
      </c>
      <c r="J97" s="1483"/>
      <c r="K97" s="1483"/>
    </row>
    <row r="98" spans="1:11">
      <c r="A98" s="1482" t="s">
        <v>2077</v>
      </c>
      <c r="B98" s="1479">
        <v>3</v>
      </c>
      <c r="C98" s="1691">
        <v>46</v>
      </c>
      <c r="D98" s="1690">
        <f t="shared" si="16"/>
        <v>2945</v>
      </c>
      <c r="E98" s="1480">
        <f t="shared" si="14"/>
        <v>406410</v>
      </c>
      <c r="F98" s="1480">
        <f t="shared" si="15"/>
        <v>17608.5</v>
      </c>
      <c r="G98" s="1479">
        <f>B98*C98</f>
        <v>138</v>
      </c>
      <c r="H98" s="1480">
        <f>3500*1.075</f>
        <v>3762.5</v>
      </c>
      <c r="I98" s="1480">
        <v>3100</v>
      </c>
      <c r="J98" s="1483"/>
      <c r="K98" s="1483">
        <f>(G98*216)*0.75</f>
        <v>22356</v>
      </c>
    </row>
    <row r="99" spans="1:11">
      <c r="A99" s="1482" t="s">
        <v>2078</v>
      </c>
      <c r="B99" s="1479">
        <v>4</v>
      </c>
      <c r="C99" s="1691">
        <v>38</v>
      </c>
      <c r="D99" s="1690">
        <f t="shared" si="16"/>
        <v>2612.5</v>
      </c>
      <c r="E99" s="1480">
        <f t="shared" si="14"/>
        <v>397100</v>
      </c>
      <c r="F99" s="1480">
        <f t="shared" si="15"/>
        <v>23478</v>
      </c>
      <c r="G99" s="1479">
        <f>B99*C99</f>
        <v>152</v>
      </c>
      <c r="H99" s="1480">
        <f>3500*1.075</f>
        <v>3762.5</v>
      </c>
      <c r="I99" s="1480">
        <v>2750</v>
      </c>
      <c r="J99" s="1483"/>
      <c r="K99" s="1483">
        <f>(G99*216)*0.75</f>
        <v>24624</v>
      </c>
    </row>
    <row r="100" spans="1:11">
      <c r="A100" s="1482" t="s">
        <v>1076</v>
      </c>
      <c r="B100" s="1479">
        <v>2</v>
      </c>
      <c r="C100" s="1691">
        <v>32</v>
      </c>
      <c r="D100" s="1690">
        <f t="shared" si="16"/>
        <v>3562.5</v>
      </c>
      <c r="E100" s="1480">
        <f t="shared" si="14"/>
        <v>228000</v>
      </c>
      <c r="F100" s="1480">
        <f t="shared" si="15"/>
        <v>12577.5</v>
      </c>
      <c r="G100" s="1479">
        <f>B100*C100</f>
        <v>64</v>
      </c>
      <c r="H100" s="1480">
        <f>3750*1.075</f>
        <v>4031.25</v>
      </c>
      <c r="I100" s="1480">
        <v>3750</v>
      </c>
      <c r="J100" s="1483">
        <f>(G100*216)*0.5</f>
        <v>6912</v>
      </c>
      <c r="K100" s="1483"/>
    </row>
    <row r="101" spans="1:11">
      <c r="A101" s="1482" t="s">
        <v>1076</v>
      </c>
      <c r="B101" s="1479">
        <v>4</v>
      </c>
      <c r="C101" s="1691">
        <v>42</v>
      </c>
      <c r="D101" s="1690">
        <f t="shared" si="16"/>
        <v>3562.5</v>
      </c>
      <c r="E101" s="1480">
        <f t="shared" si="14"/>
        <v>598500</v>
      </c>
      <c r="F101" s="1480">
        <f t="shared" si="15"/>
        <v>25155</v>
      </c>
      <c r="G101" s="1479">
        <f>B101*C101</f>
        <v>168</v>
      </c>
      <c r="H101" s="1480">
        <f>3750*1.075</f>
        <v>4031.25</v>
      </c>
      <c r="I101" s="1480">
        <v>3750</v>
      </c>
      <c r="J101" s="1483">
        <f>(G101*216)*0.5</f>
        <v>18144</v>
      </c>
      <c r="K101" s="1483"/>
    </row>
    <row r="102" spans="1:11">
      <c r="A102" s="1482" t="s">
        <v>1807</v>
      </c>
      <c r="B102" s="1479">
        <v>9</v>
      </c>
      <c r="C102" s="1691">
        <v>46</v>
      </c>
      <c r="D102" s="1690">
        <f t="shared" si="16"/>
        <v>237.5</v>
      </c>
      <c r="E102" s="1480">
        <f t="shared" si="14"/>
        <v>98325</v>
      </c>
      <c r="F102" s="1480">
        <f t="shared" si="15"/>
        <v>754.65</v>
      </c>
      <c r="G102" s="1479"/>
      <c r="H102" s="1480">
        <f>50*1.075</f>
        <v>53.75</v>
      </c>
      <c r="I102" s="1480">
        <v>250</v>
      </c>
      <c r="J102" s="1483"/>
      <c r="K102" s="1483"/>
    </row>
    <row r="103" spans="1:11">
      <c r="A103" s="1482" t="s">
        <v>1808</v>
      </c>
      <c r="B103" s="1479">
        <v>4</v>
      </c>
      <c r="C103" s="1691">
        <v>24</v>
      </c>
      <c r="D103" s="1690">
        <f t="shared" si="16"/>
        <v>190</v>
      </c>
      <c r="E103" s="1480">
        <f t="shared" si="14"/>
        <v>18240</v>
      </c>
      <c r="F103" s="1480">
        <f t="shared" si="15"/>
        <v>5031</v>
      </c>
      <c r="G103" s="1479"/>
      <c r="H103" s="1480">
        <f>750*1.075</f>
        <v>806.25</v>
      </c>
      <c r="I103" s="1480">
        <v>200</v>
      </c>
      <c r="J103" s="1483"/>
      <c r="K103" s="1483"/>
    </row>
    <row r="104" spans="1:11">
      <c r="A104" s="1482" t="s">
        <v>605</v>
      </c>
      <c r="B104" s="1479">
        <v>1</v>
      </c>
      <c r="C104" s="1479">
        <v>1</v>
      </c>
      <c r="D104" s="1480">
        <f>I104</f>
        <v>3700000</v>
      </c>
      <c r="E104" s="1480">
        <f t="shared" si="14"/>
        <v>3700000</v>
      </c>
      <c r="F104" s="1480">
        <f t="shared" si="15"/>
        <v>144300</v>
      </c>
      <c r="G104" s="1479">
        <f>D104*0.00001</f>
        <v>37</v>
      </c>
      <c r="H104" s="1480">
        <f>I104*0.025</f>
        <v>92500</v>
      </c>
      <c r="I104" s="1866">
        <v>3700000</v>
      </c>
      <c r="J104" s="1483">
        <f>(G104*216)*0.75</f>
        <v>5994</v>
      </c>
      <c r="K104" s="1483"/>
    </row>
    <row r="105" spans="1:11">
      <c r="A105" s="1484" t="s">
        <v>1908</v>
      </c>
      <c r="B105" s="1479"/>
      <c r="C105" s="1479"/>
      <c r="D105" s="1480"/>
      <c r="E105" s="1480"/>
      <c r="F105" s="1480"/>
      <c r="G105" s="1479" t="s">
        <v>816</v>
      </c>
      <c r="H105" s="1480"/>
      <c r="I105" s="1480"/>
      <c r="J105" s="1483">
        <f>(E116/87)*2.25/8</f>
        <v>2988.2616958512931</v>
      </c>
      <c r="K105" s="1483"/>
    </row>
    <row r="106" spans="1:11">
      <c r="A106" s="1484"/>
      <c r="B106" s="1479"/>
      <c r="C106" s="1479"/>
      <c r="D106" s="1480"/>
      <c r="E106" s="1480"/>
      <c r="F106" s="1480"/>
      <c r="G106" s="1479"/>
      <c r="H106" s="1480"/>
      <c r="I106" s="1480"/>
      <c r="J106" s="1483"/>
      <c r="K106" s="1483"/>
    </row>
    <row r="107" spans="1:11" s="1492" customFormat="1">
      <c r="A107" s="1485" t="s">
        <v>1521</v>
      </c>
      <c r="B107" s="1486"/>
      <c r="C107" s="1486"/>
      <c r="D107" s="1487"/>
      <c r="E107" s="1488">
        <f>SUM(E9:E106)</f>
        <v>41083064.5</v>
      </c>
      <c r="F107" s="1488">
        <f>SUM(F9:F106)</f>
        <v>2183301.8999999994</v>
      </c>
      <c r="G107" s="1489">
        <f>SUM(G9:G106)</f>
        <v>5479</v>
      </c>
      <c r="H107" s="1488"/>
      <c r="I107" s="1490"/>
      <c r="J107" s="1491">
        <f>SUM(J9:J106)</f>
        <v>434242.6616958513</v>
      </c>
      <c r="K107" s="1491">
        <f>SUM(K8:K106)</f>
        <v>215620</v>
      </c>
    </row>
    <row r="108" spans="1:11">
      <c r="A108" s="1465" t="s">
        <v>695</v>
      </c>
      <c r="B108" s="1493">
        <v>0.3</v>
      </c>
      <c r="C108" s="1469" t="s">
        <v>815</v>
      </c>
      <c r="D108" s="1494">
        <v>0.3</v>
      </c>
      <c r="E108" s="1495">
        <f>+(E107*B108)*D108</f>
        <v>3697475.8049999997</v>
      </c>
      <c r="F108" s="1496"/>
      <c r="G108" s="1497">
        <f>G107-SUM(G99,G98,G87,G85,G84,G83,G82,G28,G27,G22,G21)</f>
        <v>3934</v>
      </c>
      <c r="H108" s="1465" t="s">
        <v>2180</v>
      </c>
      <c r="J108" s="1498" t="s">
        <v>121</v>
      </c>
      <c r="K108" s="1499" t="s">
        <v>119</v>
      </c>
    </row>
    <row r="109" spans="1:11">
      <c r="A109" s="1465" t="s">
        <v>1522</v>
      </c>
      <c r="B109" s="1500">
        <v>0.7</v>
      </c>
      <c r="C109" s="1469" t="s">
        <v>815</v>
      </c>
      <c r="D109" s="1692">
        <v>0.06</v>
      </c>
      <c r="E109" s="1495">
        <f>((E108+E107)*D109)*B109</f>
        <v>1880782.6928099999</v>
      </c>
      <c r="F109" s="1496"/>
      <c r="G109" s="1497">
        <f>G107-G108</f>
        <v>1545</v>
      </c>
      <c r="H109" s="1465" t="s">
        <v>2181</v>
      </c>
      <c r="J109" s="1501">
        <f>J107/(G108*216)</f>
        <v>0.51102762913989541</v>
      </c>
      <c r="K109" s="1501">
        <f>K107/(G109*216)</f>
        <v>0.64611051180630463</v>
      </c>
    </row>
    <row r="110" spans="1:11">
      <c r="A110" s="1465" t="s">
        <v>523</v>
      </c>
      <c r="B110" s="1493">
        <v>0.6</v>
      </c>
      <c r="C110" s="1469" t="s">
        <v>815</v>
      </c>
      <c r="D110" s="1502">
        <v>1.2500000000000001E-2</v>
      </c>
      <c r="E110" s="1495">
        <f>E107*(B110*D110)</f>
        <v>308122.98375000001</v>
      </c>
      <c r="F110" s="1496"/>
      <c r="G110" s="1497"/>
      <c r="I110" s="1497"/>
    </row>
    <row r="111" spans="1:11">
      <c r="A111" s="1468"/>
      <c r="B111" s="1468"/>
      <c r="C111" s="1468"/>
      <c r="D111" s="1496"/>
      <c r="E111" s="1496"/>
      <c r="F111" s="1496"/>
      <c r="G111" s="1503"/>
    </row>
    <row r="112" spans="1:11">
      <c r="A112" s="1468"/>
      <c r="B112" s="1468"/>
      <c r="C112" s="1468"/>
      <c r="D112" s="1468"/>
      <c r="E112" s="1496"/>
      <c r="F112" s="1496"/>
      <c r="G112" s="1497"/>
    </row>
    <row r="113" spans="1:8">
      <c r="A113" s="1484" t="s">
        <v>980</v>
      </c>
      <c r="B113" s="1468"/>
      <c r="D113" s="1496"/>
      <c r="E113" s="1693">
        <f>+E107+E108+E109+E110</f>
        <v>46969445.981559999</v>
      </c>
      <c r="F113" s="1496"/>
    </row>
    <row r="114" spans="1:8">
      <c r="A114" s="1484" t="s">
        <v>981</v>
      </c>
      <c r="D114" s="1493">
        <v>0</v>
      </c>
      <c r="E114" s="1495">
        <f>E113*D114</f>
        <v>0</v>
      </c>
      <c r="F114" s="1496"/>
    </row>
    <row r="115" spans="1:8">
      <c r="A115" s="1484" t="s">
        <v>982</v>
      </c>
      <c r="D115" s="1504" t="s">
        <v>817</v>
      </c>
      <c r="E115" s="1495">
        <f>+F107</f>
        <v>2183301.8999999994</v>
      </c>
      <c r="F115" s="1497" t="s">
        <v>209</v>
      </c>
    </row>
    <row r="116" spans="1:8">
      <c r="A116" s="1484" t="s">
        <v>983</v>
      </c>
      <c r="B116" s="1505"/>
      <c r="D116" s="1493">
        <v>2.2499999999999999E-2</v>
      </c>
      <c r="E116" s="1495">
        <f>E107*D116</f>
        <v>924368.95124999993</v>
      </c>
      <c r="F116" s="1497" t="s">
        <v>209</v>
      </c>
    </row>
    <row r="117" spans="1:8">
      <c r="A117" s="1484" t="s">
        <v>984</v>
      </c>
      <c r="D117" s="1694" t="s">
        <v>816</v>
      </c>
      <c r="E117" s="1506">
        <f>(SUM(E9:E49)+(E63)+(E69))*0.225+(SUM(E82:E95)+SUM(E98:E101))*0.25</f>
        <v>7217083.9249999998</v>
      </c>
      <c r="F117" s="1497" t="s">
        <v>209</v>
      </c>
    </row>
    <row r="118" spans="1:8" ht="16.8" thickBot="1">
      <c r="A118" s="1484" t="s">
        <v>985</v>
      </c>
      <c r="D118" s="1493">
        <v>0.05</v>
      </c>
      <c r="E118" s="1495">
        <f>(E107+E108)*D118</f>
        <v>2239027.0152500002</v>
      </c>
      <c r="F118" s="1497" t="s">
        <v>209</v>
      </c>
    </row>
    <row r="119" spans="1:8" s="1492" customFormat="1" ht="20.399999999999999" thickBot="1">
      <c r="A119" s="1695" t="s">
        <v>986</v>
      </c>
      <c r="B119" s="1696"/>
      <c r="C119" s="1696"/>
      <c r="D119" s="1697"/>
      <c r="E119" s="1698">
        <f>SUM(E113:E118)</f>
        <v>59533227.773059994</v>
      </c>
      <c r="F119" s="1507" t="s">
        <v>209</v>
      </c>
    </row>
    <row r="120" spans="1:8" ht="16.8" thickBot="1">
      <c r="C120" s="1492" t="s">
        <v>1262</v>
      </c>
      <c r="E120" s="1942">
        <f>E119*0.9</f>
        <v>53579904.995753996</v>
      </c>
      <c r="F120" s="1508" t="s">
        <v>1911</v>
      </c>
      <c r="G120" s="1699">
        <f>(E112+E113)/7000000</f>
        <v>6.7099208545085709</v>
      </c>
      <c r="H120" s="1509" t="s">
        <v>125</v>
      </c>
    </row>
    <row r="121" spans="1:8" ht="16.8" thickBot="1">
      <c r="C121" s="3317" t="s">
        <v>1025</v>
      </c>
      <c r="D121" s="3318"/>
      <c r="F121" s="1508" t="s">
        <v>1502</v>
      </c>
      <c r="G121" s="1699">
        <f>E119/7000000</f>
        <v>8.5047468247228561</v>
      </c>
      <c r="H121" s="1509" t="s">
        <v>125</v>
      </c>
    </row>
    <row r="122" spans="1:8">
      <c r="C122" s="3319" t="s">
        <v>1026</v>
      </c>
      <c r="D122" s="3320"/>
    </row>
    <row r="123" spans="1:8">
      <c r="C123" s="3321" t="s">
        <v>770</v>
      </c>
      <c r="D123" s="3322"/>
    </row>
  </sheetData>
  <mergeCells count="3">
    <mergeCell ref="C121:D121"/>
    <mergeCell ref="C122:D122"/>
    <mergeCell ref="C123:D123"/>
  </mergeCells>
  <phoneticPr fontId="17" type="noConversion"/>
  <printOptions horizontalCentered="1"/>
  <pageMargins left="0.23" right="0.21" top="0.78" bottom="1" header="0.46" footer="0.5"/>
  <pageSetup paperSize="3" scale="67" firstPageNumber="15" fitToHeight="3" orientation="landscape" r:id="rId1"/>
  <headerFooter alignWithMargins="0">
    <oddHeader>&amp;C&amp;"Arial MT,Bold"&amp;A
PRELIMINARY FOR PLANNING PURPOSES&amp;RPrint Date: &amp;D</oddHeader>
    <oddFooter>&amp;L&amp;6          &amp;F\ &amp;A
&amp;C&amp;"Arial MT,Bold"&amp;10&amp;G&amp;R&amp;"Arial MT,Bold"&amp;14Confidential&amp;"Arial MT,Regular"&amp;10
Page &amp;P of &amp;N</oddFooter>
  </headerFooter>
  <rowBreaks count="1" manualBreakCount="1">
    <brk id="65" max="10" man="1"/>
  </rowBreaks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J43"/>
  <sheetViews>
    <sheetView showGridLines="0" topLeftCell="A28" zoomScale="90" zoomScaleNormal="90" workbookViewId="0">
      <selection activeCell="J43" sqref="J43"/>
    </sheetView>
  </sheetViews>
  <sheetFormatPr defaultColWidth="7.08984375" defaultRowHeight="12.6"/>
  <cols>
    <col min="1" max="1" width="5.54296875" style="1545" customWidth="1"/>
    <col min="2" max="2" width="33.81640625" style="1545" bestFit="1" customWidth="1"/>
    <col min="3" max="3" width="1.36328125" style="1545" customWidth="1"/>
    <col min="4" max="5" width="12.54296875" style="1556" bestFit="1" customWidth="1"/>
    <col min="6" max="6" width="12.6328125" style="1556" bestFit="1" customWidth="1"/>
    <col min="7" max="7" width="13" style="1556" customWidth="1"/>
    <col min="8" max="8" width="10.54296875" style="1545" customWidth="1"/>
    <col min="9" max="9" width="10.90625" style="1557" bestFit="1" customWidth="1"/>
    <col min="10" max="10" width="8.6328125" style="1545" bestFit="1" customWidth="1"/>
    <col min="11" max="16384" width="7.08984375" style="1545"/>
  </cols>
  <sheetData>
    <row r="1" spans="2:10" ht="32.4">
      <c r="B1" s="1555" t="str">
        <f>'Project Summary'!B1</f>
        <v>10 MW PV Solar  - Standard Efficiency Crystalline Panels</v>
      </c>
    </row>
    <row r="2" spans="2:10">
      <c r="D2" s="2646" t="str">
        <f>'Project Summary'!B2</f>
        <v>LOCATION:</v>
      </c>
      <c r="E2" s="2648" t="str">
        <f>'Project Summary'!C2</f>
        <v>Kentucky</v>
      </c>
    </row>
    <row r="3" spans="2:10" ht="25.2">
      <c r="D3" s="2646" t="str">
        <f>'Project Summary'!B3</f>
        <v xml:space="preserve">PROJECT # </v>
      </c>
      <c r="E3" s="2647">
        <f>'Project Summary'!C3</f>
        <v>221566</v>
      </c>
      <c r="H3" s="1545" t="s">
        <v>2325</v>
      </c>
      <c r="I3" s="2649" t="s">
        <v>2324</v>
      </c>
    </row>
    <row r="4" spans="2:10">
      <c r="H4" s="1545" t="s">
        <v>2326</v>
      </c>
      <c r="I4" s="3030">
        <v>40610</v>
      </c>
    </row>
    <row r="6" spans="2:10" ht="75.75" customHeight="1" thickBot="1">
      <c r="B6" s="2641" t="s">
        <v>397</v>
      </c>
      <c r="C6" s="2642"/>
      <c r="D6" s="2643" t="s">
        <v>1658</v>
      </c>
      <c r="E6" s="2643"/>
      <c r="F6" s="2643"/>
      <c r="G6" s="2643"/>
      <c r="H6" s="2643" t="s">
        <v>398</v>
      </c>
      <c r="I6" s="2644" t="s">
        <v>399</v>
      </c>
      <c r="J6" s="2645" t="s">
        <v>400</v>
      </c>
    </row>
    <row r="7" spans="2:10" ht="25.2">
      <c r="B7" s="2608" t="s">
        <v>468</v>
      </c>
      <c r="C7" s="2609"/>
      <c r="D7" s="2610" t="s">
        <v>469</v>
      </c>
      <c r="E7" s="2611" t="s">
        <v>1996</v>
      </c>
      <c r="F7" s="2610" t="s">
        <v>470</v>
      </c>
      <c r="G7" s="2611" t="s">
        <v>1995</v>
      </c>
      <c r="H7" s="2612"/>
      <c r="I7" s="2613"/>
      <c r="J7" s="2614"/>
    </row>
    <row r="8" spans="2:10">
      <c r="B8" s="2615" t="s">
        <v>946</v>
      </c>
      <c r="C8" s="2616"/>
      <c r="D8" s="2617"/>
      <c r="E8" s="2618">
        <v>1.1000000000000001</v>
      </c>
      <c r="F8" s="2619">
        <v>1.04</v>
      </c>
      <c r="G8" s="2619">
        <v>1</v>
      </c>
      <c r="H8" s="2612">
        <v>1</v>
      </c>
      <c r="I8" s="2620">
        <v>0.5</v>
      </c>
      <c r="J8" s="2621">
        <f>I8*(H8-1)</f>
        <v>0</v>
      </c>
    </row>
    <row r="9" spans="2:10">
      <c r="B9" s="2622" t="s">
        <v>1128</v>
      </c>
      <c r="C9" s="2623"/>
      <c r="D9" s="2624" t="s">
        <v>976</v>
      </c>
      <c r="E9" s="2624" t="s">
        <v>1129</v>
      </c>
      <c r="F9" s="2624" t="s">
        <v>1762</v>
      </c>
      <c r="G9" s="2624" t="s">
        <v>1867</v>
      </c>
      <c r="H9" s="2625"/>
      <c r="I9" s="2626"/>
      <c r="J9" s="2627"/>
    </row>
    <row r="10" spans="2:10">
      <c r="B10" s="2615"/>
      <c r="C10" s="2616"/>
      <c r="D10" s="2617"/>
      <c r="E10" s="2619">
        <v>1</v>
      </c>
      <c r="F10" s="2619">
        <v>0.95</v>
      </c>
      <c r="G10" s="2619">
        <v>0.9</v>
      </c>
      <c r="H10" s="2628">
        <v>1</v>
      </c>
      <c r="I10" s="2620">
        <v>1</v>
      </c>
      <c r="J10" s="2621">
        <f>I10*(H10-1)</f>
        <v>0</v>
      </c>
    </row>
    <row r="11" spans="2:10" ht="25.2">
      <c r="B11" s="2629" t="s">
        <v>1620</v>
      </c>
      <c r="C11" s="2623"/>
      <c r="D11" s="2630" t="s">
        <v>314</v>
      </c>
      <c r="E11" s="2624" t="s">
        <v>315</v>
      </c>
      <c r="F11" s="2624" t="s">
        <v>314</v>
      </c>
      <c r="G11" s="2624" t="s">
        <v>316</v>
      </c>
      <c r="H11" s="2631"/>
      <c r="I11" s="2626"/>
      <c r="J11" s="2627"/>
    </row>
    <row r="12" spans="2:10">
      <c r="B12" s="2632"/>
      <c r="C12" s="2623"/>
      <c r="D12" s="2624"/>
      <c r="E12" s="2624">
        <v>1.05</v>
      </c>
      <c r="F12" s="2624">
        <v>1</v>
      </c>
      <c r="G12" s="2624">
        <v>0.95</v>
      </c>
      <c r="H12" s="2625">
        <v>1</v>
      </c>
      <c r="I12" s="2626">
        <v>1</v>
      </c>
      <c r="J12" s="2627">
        <f>I12*(H12-1)</f>
        <v>0</v>
      </c>
    </row>
    <row r="13" spans="2:10" ht="25.2">
      <c r="B13" s="2629" t="s">
        <v>317</v>
      </c>
      <c r="C13" s="2623"/>
      <c r="D13" s="2624" t="s">
        <v>318</v>
      </c>
      <c r="E13" s="2624" t="s">
        <v>318</v>
      </c>
      <c r="F13" s="2624" t="s">
        <v>319</v>
      </c>
      <c r="G13" s="2624" t="s">
        <v>320</v>
      </c>
      <c r="H13" s="2625"/>
      <c r="I13" s="2626"/>
      <c r="J13" s="2627"/>
    </row>
    <row r="14" spans="2:10">
      <c r="B14" s="2615"/>
      <c r="C14" s="2616"/>
      <c r="D14" s="2617"/>
      <c r="E14" s="2619">
        <v>1</v>
      </c>
      <c r="F14" s="2619">
        <v>1.02</v>
      </c>
      <c r="G14" s="2619">
        <v>1.05</v>
      </c>
      <c r="H14" s="2628">
        <v>1.02</v>
      </c>
      <c r="I14" s="2620">
        <v>0.75</v>
      </c>
      <c r="J14" s="2621">
        <f>I14*(H14-1)</f>
        <v>1.5000000000000013E-2</v>
      </c>
    </row>
    <row r="15" spans="2:10" ht="37.799999999999997">
      <c r="B15" s="2629" t="s">
        <v>1948</v>
      </c>
      <c r="C15" s="2623"/>
      <c r="D15" s="2624" t="s">
        <v>1949</v>
      </c>
      <c r="E15" s="2624" t="s">
        <v>1950</v>
      </c>
      <c r="F15" s="2624" t="s">
        <v>1951</v>
      </c>
      <c r="G15" s="2624" t="s">
        <v>1952</v>
      </c>
      <c r="H15" s="2631"/>
      <c r="I15" s="2626"/>
      <c r="J15" s="2627"/>
    </row>
    <row r="16" spans="2:10">
      <c r="B16" s="2615"/>
      <c r="C16" s="2616"/>
      <c r="D16" s="2617"/>
      <c r="E16" s="2617">
        <v>1.1000000000000001</v>
      </c>
      <c r="F16" s="2617">
        <v>1.05</v>
      </c>
      <c r="G16" s="2617">
        <v>1</v>
      </c>
      <c r="H16" s="2612">
        <v>1</v>
      </c>
      <c r="I16" s="2620">
        <v>1</v>
      </c>
      <c r="J16" s="2621">
        <f>I16*(H16-1)</f>
        <v>0</v>
      </c>
    </row>
    <row r="17" spans="2:10" ht="37.799999999999997">
      <c r="B17" s="2622" t="s">
        <v>1953</v>
      </c>
      <c r="C17" s="2623"/>
      <c r="D17" s="2624" t="s">
        <v>2010</v>
      </c>
      <c r="E17" s="2624" t="s">
        <v>2011</v>
      </c>
      <c r="F17" s="2624" t="s">
        <v>2012</v>
      </c>
      <c r="G17" s="2624" t="s">
        <v>2013</v>
      </c>
      <c r="H17" s="2625"/>
      <c r="I17" s="2626"/>
      <c r="J17" s="2627"/>
    </row>
    <row r="18" spans="2:10">
      <c r="B18" s="2615"/>
      <c r="C18" s="2616"/>
      <c r="D18" s="2617"/>
      <c r="E18" s="2619">
        <v>1.05</v>
      </c>
      <c r="F18" s="2619">
        <v>1.02</v>
      </c>
      <c r="G18" s="2619">
        <v>1</v>
      </c>
      <c r="H18" s="2628">
        <v>1</v>
      </c>
      <c r="I18" s="2620">
        <v>1</v>
      </c>
      <c r="J18" s="2621">
        <f>I18*(H18-1)</f>
        <v>0</v>
      </c>
    </row>
    <row r="19" spans="2:10" ht="66" customHeight="1">
      <c r="B19" s="2629" t="s">
        <v>2014</v>
      </c>
      <c r="C19" s="2623"/>
      <c r="D19" s="2630" t="s">
        <v>2015</v>
      </c>
      <c r="E19" s="2624" t="s">
        <v>2016</v>
      </c>
      <c r="F19" s="2624" t="s">
        <v>947</v>
      </c>
      <c r="G19" s="2624" t="s">
        <v>1866</v>
      </c>
      <c r="H19" s="2631"/>
      <c r="I19" s="2626"/>
      <c r="J19" s="2627"/>
    </row>
    <row r="20" spans="2:10">
      <c r="B20" s="2615"/>
      <c r="C20" s="2616"/>
      <c r="D20" s="2617"/>
      <c r="E20" s="2619">
        <v>1.05</v>
      </c>
      <c r="F20" s="2619">
        <v>1.02</v>
      </c>
      <c r="G20" s="2619">
        <v>1</v>
      </c>
      <c r="H20" s="2612">
        <v>1</v>
      </c>
      <c r="I20" s="2620">
        <v>1</v>
      </c>
      <c r="J20" s="2621">
        <f>I20*(H20-1)</f>
        <v>0</v>
      </c>
    </row>
    <row r="21" spans="2:10" ht="41.25" customHeight="1">
      <c r="B21" s="2622" t="s">
        <v>166</v>
      </c>
      <c r="C21" s="2623"/>
      <c r="D21" s="2624" t="s">
        <v>948</v>
      </c>
      <c r="E21" s="2624" t="s">
        <v>167</v>
      </c>
      <c r="F21" s="2624" t="s">
        <v>168</v>
      </c>
      <c r="G21" s="2624" t="s">
        <v>169</v>
      </c>
      <c r="H21" s="2625"/>
      <c r="I21" s="2626"/>
      <c r="J21" s="2627"/>
    </row>
    <row r="22" spans="2:10">
      <c r="B22" s="2615"/>
      <c r="C22" s="2616"/>
      <c r="D22" s="2617"/>
      <c r="E22" s="2619">
        <v>1.04</v>
      </c>
      <c r="F22" s="2619">
        <v>1.02</v>
      </c>
      <c r="G22" s="2619">
        <v>1</v>
      </c>
      <c r="H22" s="3025">
        <v>1</v>
      </c>
      <c r="I22" s="3026">
        <v>0.5</v>
      </c>
      <c r="J22" s="3027">
        <f>I22*(H22-1)</f>
        <v>0</v>
      </c>
    </row>
    <row r="23" spans="2:10" ht="37.799999999999997">
      <c r="B23" s="2622" t="s">
        <v>170</v>
      </c>
      <c r="C23" s="2623"/>
      <c r="D23" s="2624" t="s">
        <v>171</v>
      </c>
      <c r="E23" s="2624" t="s">
        <v>316</v>
      </c>
      <c r="F23" s="2624" t="s">
        <v>171</v>
      </c>
      <c r="G23" s="2624" t="s">
        <v>315</v>
      </c>
      <c r="H23" s="2631"/>
      <c r="I23" s="2626"/>
      <c r="J23" s="2627"/>
    </row>
    <row r="24" spans="2:10">
      <c r="B24" s="2615"/>
      <c r="C24" s="2616"/>
      <c r="D24" s="2617"/>
      <c r="E24" s="2619">
        <v>1.1000000000000001</v>
      </c>
      <c r="F24" s="2619">
        <v>1</v>
      </c>
      <c r="G24" s="2619">
        <v>0.95</v>
      </c>
      <c r="H24" s="2612">
        <v>1</v>
      </c>
      <c r="I24" s="2620">
        <v>1</v>
      </c>
      <c r="J24" s="2633">
        <f>I24*(H24-1)</f>
        <v>0</v>
      </c>
    </row>
    <row r="25" spans="2:10" ht="25.2">
      <c r="B25" s="2622" t="s">
        <v>615</v>
      </c>
      <c r="C25" s="2623"/>
      <c r="D25" s="2624" t="s">
        <v>616</v>
      </c>
      <c r="E25" s="2624" t="s">
        <v>617</v>
      </c>
      <c r="F25" s="2624" t="s">
        <v>616</v>
      </c>
      <c r="G25" s="2624"/>
      <c r="H25" s="2625"/>
      <c r="I25" s="2626"/>
      <c r="J25" s="2627"/>
    </row>
    <row r="26" spans="2:10">
      <c r="B26" s="2615"/>
      <c r="C26" s="2616"/>
      <c r="D26" s="2617"/>
      <c r="E26" s="2619">
        <v>1.1000000000000001</v>
      </c>
      <c r="F26" s="2619">
        <v>1</v>
      </c>
      <c r="G26" s="2617"/>
      <c r="H26" s="2628">
        <v>1</v>
      </c>
      <c r="I26" s="2620">
        <v>1</v>
      </c>
      <c r="J26" s="2621">
        <f>I26*(H26-1)</f>
        <v>0</v>
      </c>
    </row>
    <row r="27" spans="2:10" ht="66" customHeight="1">
      <c r="B27" s="2622" t="s">
        <v>618</v>
      </c>
      <c r="C27" s="2623"/>
      <c r="D27" s="2624" t="s">
        <v>2013</v>
      </c>
      <c r="E27" s="2624" t="s">
        <v>619</v>
      </c>
      <c r="F27" s="2624" t="s">
        <v>211</v>
      </c>
      <c r="G27" s="2624" t="s">
        <v>212</v>
      </c>
      <c r="H27" s="2631"/>
      <c r="I27" s="2626"/>
      <c r="J27" s="2627"/>
    </row>
    <row r="28" spans="2:10">
      <c r="B28" s="2615"/>
      <c r="C28" s="2616"/>
      <c r="D28" s="2617"/>
      <c r="E28" s="2619">
        <v>1.1000000000000001</v>
      </c>
      <c r="F28" s="2619">
        <v>1.05</v>
      </c>
      <c r="G28" s="2619">
        <v>1</v>
      </c>
      <c r="H28" s="2612">
        <v>1</v>
      </c>
      <c r="I28" s="2620">
        <v>1</v>
      </c>
      <c r="J28" s="2621">
        <f>I28*(H28-1)</f>
        <v>0</v>
      </c>
    </row>
    <row r="29" spans="2:10" ht="25.2">
      <c r="B29" s="2622" t="s">
        <v>213</v>
      </c>
      <c r="C29" s="2623"/>
      <c r="D29" s="2624" t="s">
        <v>977</v>
      </c>
      <c r="E29" s="3323" t="s">
        <v>2184</v>
      </c>
      <c r="F29" s="3323"/>
      <c r="G29" s="3323"/>
      <c r="H29" s="2625"/>
      <c r="I29" s="2634"/>
      <c r="J29" s="2635"/>
    </row>
    <row r="30" spans="2:10">
      <c r="B30" s="2636" t="s">
        <v>486</v>
      </c>
      <c r="C30" s="2637"/>
      <c r="D30" s="2638" t="s">
        <v>487</v>
      </c>
      <c r="E30" s="2638" t="s">
        <v>978</v>
      </c>
      <c r="F30" s="2638" t="s">
        <v>2115</v>
      </c>
      <c r="G30" s="2638" t="s">
        <v>1868</v>
      </c>
      <c r="H30" s="2638"/>
      <c r="I30" s="2639"/>
      <c r="J30" s="2640"/>
    </row>
    <row r="31" spans="2:10">
      <c r="B31" s="2615"/>
      <c r="C31" s="2616"/>
      <c r="D31" s="2617">
        <v>1</v>
      </c>
      <c r="E31" s="2617" t="s">
        <v>979</v>
      </c>
      <c r="F31" s="2617">
        <v>1.1499999999999999</v>
      </c>
      <c r="G31" s="2617">
        <v>1.2</v>
      </c>
      <c r="H31" s="3029">
        <v>1.05</v>
      </c>
      <c r="I31" s="3026">
        <v>1</v>
      </c>
      <c r="J31" s="3027">
        <f>I31*(H31-1)</f>
        <v>5.0000000000000044E-2</v>
      </c>
    </row>
    <row r="32" spans="2:10" ht="25.5" customHeight="1">
      <c r="B32" s="2622" t="s">
        <v>2116</v>
      </c>
      <c r="C32" s="2623"/>
      <c r="D32" s="2624" t="s">
        <v>2117</v>
      </c>
      <c r="E32" s="2624" t="s">
        <v>2118</v>
      </c>
      <c r="F32" s="2624" t="s">
        <v>2119</v>
      </c>
      <c r="G32" s="2624" t="s">
        <v>2120</v>
      </c>
      <c r="H32" s="2624"/>
      <c r="I32" s="2626"/>
      <c r="J32" s="2627"/>
    </row>
    <row r="33" spans="2:10">
      <c r="B33" s="2615"/>
      <c r="C33" s="2616"/>
      <c r="D33" s="2617"/>
      <c r="E33" s="2619">
        <v>1</v>
      </c>
      <c r="F33" s="2619">
        <v>1.01</v>
      </c>
      <c r="G33" s="2619">
        <v>1.05</v>
      </c>
      <c r="H33" s="2612">
        <v>1</v>
      </c>
      <c r="I33" s="2620">
        <v>1</v>
      </c>
      <c r="J33" s="2621">
        <f>I33*(H33-1)</f>
        <v>0</v>
      </c>
    </row>
    <row r="34" spans="2:10" ht="25.2">
      <c r="B34" s="2622" t="s">
        <v>846</v>
      </c>
      <c r="C34" s="2623"/>
      <c r="D34" s="2624" t="s">
        <v>847</v>
      </c>
      <c r="E34" s="2624" t="s">
        <v>848</v>
      </c>
      <c r="F34" s="2624" t="s">
        <v>849</v>
      </c>
      <c r="G34" s="2624" t="s">
        <v>1869</v>
      </c>
      <c r="H34" s="2625"/>
      <c r="I34" s="2626"/>
      <c r="J34" s="2627"/>
    </row>
    <row r="35" spans="2:10">
      <c r="B35" s="2615"/>
      <c r="C35" s="2616"/>
      <c r="D35" s="2617"/>
      <c r="E35" s="2617">
        <v>1</v>
      </c>
      <c r="F35" s="2617">
        <v>1.02</v>
      </c>
      <c r="G35" s="2617">
        <v>1.05</v>
      </c>
      <c r="H35" s="2628">
        <v>1</v>
      </c>
      <c r="I35" s="2620">
        <v>0.5</v>
      </c>
      <c r="J35" s="2621">
        <f>I35*(H35-1)</f>
        <v>0</v>
      </c>
    </row>
    <row r="36" spans="2:10">
      <c r="B36" s="2622" t="s">
        <v>850</v>
      </c>
      <c r="C36" s="2623"/>
      <c r="D36" s="2624" t="s">
        <v>851</v>
      </c>
      <c r="E36" s="2624" t="s">
        <v>852</v>
      </c>
      <c r="F36" s="2624" t="s">
        <v>853</v>
      </c>
      <c r="G36" s="2624" t="s">
        <v>854</v>
      </c>
      <c r="H36" s="2631"/>
      <c r="I36" s="2626"/>
      <c r="J36" s="2627"/>
    </row>
    <row r="37" spans="2:10">
      <c r="B37" s="2615"/>
      <c r="C37" s="2616"/>
      <c r="D37" s="2617"/>
      <c r="E37" s="2619">
        <v>1</v>
      </c>
      <c r="F37" s="2619">
        <v>1.03</v>
      </c>
      <c r="G37" s="2619">
        <v>1.04</v>
      </c>
      <c r="H37" s="3028">
        <v>1</v>
      </c>
      <c r="I37" s="3026">
        <v>0.5</v>
      </c>
      <c r="J37" s="3027">
        <f>I37*(H37-1)</f>
        <v>0</v>
      </c>
    </row>
    <row r="38" spans="2:10" ht="37.799999999999997">
      <c r="B38" s="2622" t="s">
        <v>855</v>
      </c>
      <c r="C38" s="2623"/>
      <c r="D38" s="2624" t="s">
        <v>856</v>
      </c>
      <c r="E38" s="2624" t="s">
        <v>857</v>
      </c>
      <c r="F38" s="2624" t="s">
        <v>858</v>
      </c>
      <c r="G38" s="2624"/>
      <c r="H38" s="2625"/>
      <c r="I38" s="2626"/>
      <c r="J38" s="2627"/>
    </row>
    <row r="39" spans="2:10">
      <c r="B39" s="2615"/>
      <c r="C39" s="2616"/>
      <c r="D39" s="2617"/>
      <c r="E39" s="2619">
        <v>1</v>
      </c>
      <c r="F39" s="2619">
        <v>1.3</v>
      </c>
      <c r="G39" s="2617"/>
      <c r="H39" s="2628">
        <v>1</v>
      </c>
      <c r="I39" s="2620">
        <v>1</v>
      </c>
      <c r="J39" s="2621">
        <f>I39*(H39-1)</f>
        <v>0</v>
      </c>
    </row>
    <row r="40" spans="2:10" ht="25.2">
      <c r="B40" s="2622" t="s">
        <v>1657</v>
      </c>
      <c r="C40" s="2623"/>
      <c r="D40" s="2624" t="s">
        <v>859</v>
      </c>
      <c r="E40" s="2624" t="s">
        <v>859</v>
      </c>
      <c r="F40" s="2624" t="s">
        <v>860</v>
      </c>
      <c r="G40" s="2624" t="s">
        <v>769</v>
      </c>
      <c r="H40" s="2631"/>
      <c r="I40" s="2626"/>
      <c r="J40" s="2627"/>
    </row>
    <row r="41" spans="2:10">
      <c r="B41" s="2615"/>
      <c r="C41" s="2616"/>
      <c r="D41" s="2617"/>
      <c r="E41" s="2617">
        <v>1</v>
      </c>
      <c r="F41" s="2617">
        <v>1.02</v>
      </c>
      <c r="G41" s="2617">
        <v>1.05</v>
      </c>
      <c r="H41" s="2612">
        <v>1.02</v>
      </c>
      <c r="I41" s="2620">
        <v>1</v>
      </c>
      <c r="J41" s="2621">
        <f>I41*(H41-1)</f>
        <v>2.0000000000000018E-2</v>
      </c>
    </row>
    <row r="42" spans="2:10" ht="13.2" thickBot="1">
      <c r="B42" s="1546" t="s">
        <v>974</v>
      </c>
      <c r="C42" s="1543"/>
      <c r="D42" s="1544"/>
      <c r="E42" s="1544"/>
      <c r="F42" s="1544"/>
      <c r="G42" s="1544"/>
      <c r="H42" s="1547"/>
      <c r="I42" s="1548"/>
      <c r="J42" s="1549">
        <f>SUM(J7:J41)</f>
        <v>8.5000000000000075E-2</v>
      </c>
    </row>
    <row r="43" spans="2:10" s="1555" customFormat="1" ht="16.2">
      <c r="B43" s="1550" t="s">
        <v>975</v>
      </c>
      <c r="C43" s="1551"/>
      <c r="D43" s="1552"/>
      <c r="E43" s="1552"/>
      <c r="F43" s="1552"/>
      <c r="G43" s="1552"/>
      <c r="H43" s="1551"/>
      <c r="I43" s="1553"/>
      <c r="J43" s="1554">
        <f>1+J42</f>
        <v>1.085</v>
      </c>
    </row>
  </sheetData>
  <mergeCells count="1">
    <mergeCell ref="E29:G29"/>
  </mergeCells>
  <phoneticPr fontId="24" type="noConversion"/>
  <printOptions horizontalCentered="1"/>
  <pageMargins left="0.5" right="0.5" top="1.75" bottom="1.25" header="1.25" footer="0.75"/>
  <pageSetup paperSize="3" scale="65" firstPageNumber="18" fitToHeight="2" orientation="portrait" r:id="rId1"/>
  <headerFooter alignWithMargins="0">
    <oddHeader>&amp;L&amp;"Arial,Regular"&amp;10Confidential&amp;C&amp;"Arial MT,Bold"&amp;A
PRELIMINARY FOR PLANNING PURPOSES&amp;RPrint Date: &amp;D</oddHeader>
    <oddFooter>&amp;L&amp;6          &amp;F\ &amp;A
&amp;C&amp;"Arial MT,Bold"&amp;10&amp;G&amp;R&amp;"Arial MT,Bold"&amp;14Confindetial&amp;"Arial MT,Regular"&amp;10
Page &amp;P of &amp;N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1"/>
  <sheetViews>
    <sheetView showGridLines="0" workbookViewId="0">
      <selection activeCell="E99" sqref="E99"/>
    </sheetView>
  </sheetViews>
  <sheetFormatPr defaultColWidth="7.08984375" defaultRowHeight="12.6"/>
  <cols>
    <col min="1" max="1" width="7.453125" style="1566" bestFit="1" customWidth="1"/>
    <col min="2" max="2" width="10.08984375" style="1566" bestFit="1" customWidth="1"/>
    <col min="3" max="3" width="11.54296875" style="1566" bestFit="1" customWidth="1"/>
    <col min="4" max="4" width="9.453125" style="1567" bestFit="1" customWidth="1"/>
    <col min="5" max="5" width="10.08984375" style="1566" bestFit="1" customWidth="1"/>
    <col min="6" max="6" width="11" style="1566" bestFit="1" customWidth="1"/>
    <col min="7" max="7" width="9.453125" style="1566" bestFit="1" customWidth="1"/>
    <col min="8" max="8" width="10.08984375" style="1566" bestFit="1" customWidth="1"/>
    <col min="9" max="9" width="11" style="1566" bestFit="1" customWidth="1"/>
    <col min="10" max="10" width="9.453125" style="1566" bestFit="1" customWidth="1"/>
    <col min="11" max="11" width="9.453125" style="1566" customWidth="1"/>
    <col min="12" max="13" width="11" style="1566" bestFit="1" customWidth="1"/>
    <col min="14" max="14" width="13" style="1566" bestFit="1" customWidth="1"/>
    <col min="15" max="15" width="11" style="1566" customWidth="1"/>
    <col min="16" max="16" width="12.81640625" style="1566" bestFit="1" customWidth="1"/>
    <col min="17" max="17" width="9.54296875" style="1566" bestFit="1" customWidth="1"/>
    <col min="18" max="18" width="11" style="1566" bestFit="1" customWidth="1"/>
    <col min="19" max="19" width="7.08984375" style="1566" customWidth="1"/>
    <col min="20" max="20" width="10.453125" style="1566" bestFit="1" customWidth="1"/>
    <col min="21" max="21" width="11" style="1566" bestFit="1" customWidth="1"/>
    <col min="22" max="22" width="9.453125" style="1566" bestFit="1" customWidth="1"/>
    <col min="23" max="23" width="11" style="1566" bestFit="1" customWidth="1"/>
    <col min="24" max="24" width="9.54296875" style="1566" bestFit="1" customWidth="1"/>
    <col min="25" max="25" width="11" style="1566" bestFit="1" customWidth="1"/>
    <col min="26" max="26" width="9.453125" style="1566" bestFit="1" customWidth="1"/>
    <col min="27" max="27" width="9.54296875" style="1566" bestFit="1" customWidth="1"/>
    <col min="28" max="28" width="11" style="1566" bestFit="1" customWidth="1"/>
    <col min="29" max="29" width="9.453125" style="1566" bestFit="1" customWidth="1"/>
    <col min="30" max="30" width="11" style="1566" bestFit="1" customWidth="1"/>
    <col min="31" max="31" width="9.54296875" style="1566" bestFit="1" customWidth="1"/>
    <col min="32" max="32" width="11" style="1566" bestFit="1" customWidth="1"/>
    <col min="33" max="33" width="7.08984375" style="1566" customWidth="1"/>
    <col min="34" max="34" width="14.6328125" style="1566" bestFit="1" customWidth="1"/>
    <col min="35" max="35" width="7.08984375" style="1566" customWidth="1"/>
    <col min="36" max="36" width="11.81640625" style="1566" bestFit="1" customWidth="1"/>
    <col min="37" max="40" width="7.08984375" style="1566" customWidth="1"/>
    <col min="41" max="46" width="8.81640625" style="1566" customWidth="1"/>
    <col min="47" max="16384" width="7.08984375" style="1566"/>
  </cols>
  <sheetData>
    <row r="1" spans="1:48" s="1558" customFormat="1" ht="22.8">
      <c r="A1" s="3324" t="s">
        <v>1541</v>
      </c>
      <c r="B1" s="3325"/>
      <c r="C1" s="3325"/>
      <c r="D1" s="3325"/>
      <c r="E1" s="3325"/>
      <c r="F1" s="3325"/>
      <c r="G1" s="3325"/>
      <c r="H1" s="3325"/>
      <c r="I1" s="3325"/>
      <c r="J1" s="3325"/>
      <c r="K1" s="3325"/>
      <c r="L1" s="3325"/>
      <c r="M1" s="3325"/>
      <c r="N1" s="3325"/>
      <c r="O1" s="3325"/>
      <c r="P1" s="3325"/>
      <c r="Q1" s="3325"/>
      <c r="R1" s="3325"/>
      <c r="S1" s="1714"/>
      <c r="T1" s="1714"/>
      <c r="U1" s="1714"/>
      <c r="V1" s="1714"/>
      <c r="W1" s="1714"/>
      <c r="X1" s="1714"/>
      <c r="Y1" s="1714"/>
      <c r="Z1" s="1714"/>
      <c r="AA1" s="1714"/>
      <c r="AB1" s="1714"/>
      <c r="AC1" s="1714"/>
      <c r="AD1" s="1714"/>
      <c r="AE1" s="1714"/>
      <c r="AF1" s="1714"/>
    </row>
    <row r="2" spans="1:48" s="1558" customFormat="1" ht="22.8">
      <c r="A2" s="3326" t="s">
        <v>1625</v>
      </c>
      <c r="B2" s="3327"/>
      <c r="C2" s="3327"/>
      <c r="D2" s="3327"/>
      <c r="E2" s="3327"/>
      <c r="F2" s="3327"/>
      <c r="G2" s="3327"/>
      <c r="H2" s="3327"/>
      <c r="I2" s="3327"/>
      <c r="J2" s="3327"/>
      <c r="K2" s="3327"/>
      <c r="L2" s="3327"/>
      <c r="M2" s="3327"/>
      <c r="N2" s="3327"/>
      <c r="O2" s="3327"/>
      <c r="P2" s="3327"/>
      <c r="Q2" s="3327"/>
      <c r="R2" s="3327"/>
      <c r="S2" s="1714"/>
      <c r="T2" s="1714"/>
      <c r="U2" s="1714"/>
      <c r="V2" s="1714"/>
      <c r="W2" s="1714"/>
      <c r="X2" s="1714"/>
      <c r="Y2" s="1714"/>
      <c r="Z2" s="1714"/>
      <c r="AA2" s="1714"/>
      <c r="AB2" s="1714"/>
      <c r="AC2" s="1714"/>
      <c r="AD2" s="1714"/>
      <c r="AE2" s="1714"/>
      <c r="AF2" s="1714"/>
    </row>
    <row r="3" spans="1:48" s="1558" customFormat="1" ht="23.4" thickBot="1">
      <c r="A3" s="1715"/>
      <c r="B3" s="1716"/>
      <c r="C3" s="1716"/>
      <c r="D3" s="1716"/>
      <c r="E3" s="1716"/>
      <c r="F3" s="1716"/>
      <c r="G3" s="1716"/>
      <c r="H3" s="1716"/>
      <c r="I3" s="1716"/>
      <c r="J3" s="1716"/>
      <c r="K3" s="1716"/>
      <c r="L3" s="1716"/>
      <c r="M3" s="1716"/>
      <c r="N3" s="1716"/>
      <c r="O3" s="1716"/>
      <c r="P3" s="1716"/>
      <c r="Q3" s="1716"/>
      <c r="R3" s="1716"/>
      <c r="S3" s="1714"/>
      <c r="T3" s="1714"/>
      <c r="U3" s="1714"/>
      <c r="V3" s="1714"/>
      <c r="W3" s="1714"/>
      <c r="X3" s="1714"/>
      <c r="Y3" s="1714"/>
      <c r="Z3" s="1714"/>
      <c r="AA3" s="1714"/>
      <c r="AB3" s="1714"/>
      <c r="AC3" s="1714"/>
      <c r="AD3" s="1714"/>
      <c r="AE3" s="1714"/>
      <c r="AF3" s="1714"/>
    </row>
    <row r="4" spans="1:48" s="1558" customFormat="1" ht="22.8">
      <c r="A4" s="1717"/>
      <c r="B4" s="1718"/>
      <c r="C4" s="1719"/>
      <c r="D4" s="1719"/>
      <c r="E4" s="1718"/>
      <c r="F4" s="1719"/>
      <c r="G4" s="1719"/>
      <c r="H4" s="1718"/>
      <c r="I4" s="1719"/>
      <c r="J4" s="1719"/>
      <c r="K4" s="3334" t="s">
        <v>306</v>
      </c>
      <c r="L4" s="3335"/>
      <c r="M4" s="3336"/>
      <c r="N4" s="1718"/>
      <c r="O4" s="1719"/>
      <c r="P4" s="1719"/>
      <c r="Q4" s="1718"/>
      <c r="R4" s="1720"/>
      <c r="S4" s="1714"/>
      <c r="T4" s="1714"/>
      <c r="U4" s="1714"/>
      <c r="V4" s="1714"/>
      <c r="W4" s="1714"/>
      <c r="X4" s="1714"/>
      <c r="Y4" s="1714"/>
      <c r="Z4" s="1714"/>
      <c r="AA4" s="1714"/>
      <c r="AB4" s="1714"/>
      <c r="AC4" s="1714"/>
      <c r="AD4" s="1714"/>
      <c r="AE4" s="1714"/>
      <c r="AF4" s="1714"/>
    </row>
    <row r="5" spans="1:48" s="1559" customFormat="1" ht="20.100000000000001" customHeight="1" thickBot="1">
      <c r="A5" s="1721" t="s">
        <v>305</v>
      </c>
      <c r="B5" s="3328" t="s">
        <v>1049</v>
      </c>
      <c r="C5" s="3329"/>
      <c r="D5" s="3332"/>
      <c r="E5" s="3328" t="s">
        <v>1050</v>
      </c>
      <c r="F5" s="3329"/>
      <c r="G5" s="3333"/>
      <c r="H5" s="3328" t="s">
        <v>1051</v>
      </c>
      <c r="I5" s="3329"/>
      <c r="J5" s="3332"/>
      <c r="K5" s="3328" t="s">
        <v>1052</v>
      </c>
      <c r="L5" s="3329"/>
      <c r="M5" s="3332"/>
      <c r="N5" s="3328" t="s">
        <v>307</v>
      </c>
      <c r="O5" s="3329"/>
      <c r="P5" s="3330"/>
      <c r="Q5" s="3331" t="s">
        <v>1655</v>
      </c>
      <c r="R5" s="3331"/>
      <c r="S5" s="1714"/>
      <c r="T5" s="1722"/>
      <c r="U5" s="1722"/>
      <c r="V5" s="1722"/>
      <c r="W5" s="1722"/>
      <c r="X5" s="1722"/>
      <c r="Y5" s="1722"/>
      <c r="Z5" s="1722"/>
      <c r="AA5" s="1723" t="s">
        <v>5</v>
      </c>
      <c r="AB5" s="1723" t="s">
        <v>6</v>
      </c>
      <c r="AC5" s="1723" t="s">
        <v>83</v>
      </c>
      <c r="AD5" s="1723" t="s">
        <v>7</v>
      </c>
      <c r="AE5" s="1723" t="s">
        <v>8</v>
      </c>
      <c r="AF5" s="1723" t="s">
        <v>9</v>
      </c>
      <c r="AN5" s="1558"/>
    </row>
    <row r="6" spans="1:48" s="1559" customFormat="1" ht="15.75" customHeight="1" thickBot="1">
      <c r="A6" s="1724"/>
      <c r="B6" s="1725" t="s">
        <v>333</v>
      </c>
      <c r="C6" s="1726" t="s">
        <v>989</v>
      </c>
      <c r="D6" s="1727"/>
      <c r="E6" s="1725" t="s">
        <v>333</v>
      </c>
      <c r="F6" s="1726" t="s">
        <v>990</v>
      </c>
      <c r="G6" s="1728"/>
      <c r="H6" s="1729" t="s">
        <v>334</v>
      </c>
      <c r="I6" s="1726" t="s">
        <v>990</v>
      </c>
      <c r="J6" s="1728"/>
      <c r="K6" s="1729" t="s">
        <v>334</v>
      </c>
      <c r="L6" s="1726" t="s">
        <v>990</v>
      </c>
      <c r="M6" s="1728"/>
      <c r="N6" s="1730" t="s">
        <v>334</v>
      </c>
      <c r="O6" s="1731" t="s">
        <v>990</v>
      </c>
      <c r="P6" s="1732"/>
      <c r="Q6" s="1733" t="s">
        <v>334</v>
      </c>
      <c r="R6" s="1734" t="s">
        <v>990</v>
      </c>
      <c r="S6" s="1722"/>
      <c r="T6" s="1735" t="s">
        <v>1199</v>
      </c>
      <c r="U6" s="1722"/>
      <c r="V6" s="1722"/>
      <c r="W6" s="1722"/>
      <c r="X6" s="1722"/>
      <c r="Y6" s="1722"/>
      <c r="Z6" s="1722"/>
      <c r="AA6" s="1736">
        <v>14071.875</v>
      </c>
      <c r="AB6" s="1736">
        <v>582.5</v>
      </c>
      <c r="AC6" s="1736">
        <v>103.35</v>
      </c>
      <c r="AD6" s="1736">
        <v>300</v>
      </c>
      <c r="AE6" s="1736">
        <v>1665</v>
      </c>
      <c r="AF6" s="1736">
        <v>16722.724999999999</v>
      </c>
      <c r="AH6" s="1560"/>
      <c r="AO6" s="1561"/>
      <c r="AP6" s="1561"/>
      <c r="AQ6" s="1561"/>
      <c r="AR6" s="1561"/>
      <c r="AS6" s="1561"/>
      <c r="AT6" s="1561"/>
    </row>
    <row r="7" spans="1:48" s="1559" customFormat="1" ht="15.75" customHeight="1" thickBot="1">
      <c r="A7" s="1737" t="s">
        <v>1566</v>
      </c>
      <c r="B7" s="1738">
        <f>'Estimate Details'!$V$45/1000</f>
        <v>2573.317939971329</v>
      </c>
      <c r="C7" s="1739"/>
      <c r="D7" s="1740" t="s">
        <v>1780</v>
      </c>
      <c r="E7" s="1741" t="e">
        <f>'Estimate Details'!#REF!/1000</f>
        <v>#REF!</v>
      </c>
      <c r="F7" s="1739"/>
      <c r="G7" s="1740" t="s">
        <v>1780</v>
      </c>
      <c r="H7" s="1738" t="e">
        <f>'Estimate Details'!#REF!/1000</f>
        <v>#REF!</v>
      </c>
      <c r="I7" s="1739"/>
      <c r="J7" s="1740" t="s">
        <v>1780</v>
      </c>
      <c r="K7" s="1738" t="e">
        <f>B7+E7+H7</f>
        <v>#REF!</v>
      </c>
      <c r="L7" s="1739"/>
      <c r="M7" s="1740" t="s">
        <v>1780</v>
      </c>
      <c r="N7" s="1742" t="e">
        <f>'Estimate Details'!$V$113/1000-K7</f>
        <v>#REF!</v>
      </c>
      <c r="O7" s="1743"/>
      <c r="P7" s="1740" t="s">
        <v>1780</v>
      </c>
      <c r="Q7" s="1744" t="e">
        <f>SUM(B7,E7,H7,N7)</f>
        <v>#REF!</v>
      </c>
      <c r="R7" s="1745"/>
      <c r="S7" s="1722"/>
      <c r="T7" s="1746">
        <v>2022430.7097123396</v>
      </c>
      <c r="U7" s="1722"/>
      <c r="V7" s="1747"/>
      <c r="W7" s="1722"/>
      <c r="X7" s="1722"/>
      <c r="Y7" s="1722"/>
      <c r="Z7" s="1722"/>
      <c r="AA7" s="1736"/>
      <c r="AB7" s="1736"/>
      <c r="AC7" s="1736"/>
      <c r="AD7" s="1736"/>
      <c r="AE7" s="1736"/>
      <c r="AF7" s="1736"/>
      <c r="AH7" s="1562"/>
      <c r="AJ7" s="1563"/>
      <c r="AO7" s="1561"/>
      <c r="AP7" s="1561"/>
      <c r="AQ7" s="1561"/>
      <c r="AR7" s="1561"/>
      <c r="AS7" s="1561"/>
      <c r="AT7" s="1561"/>
    </row>
    <row r="8" spans="1:48" s="1559" customFormat="1" ht="16.2" thickBot="1">
      <c r="A8" s="1748" t="s">
        <v>1098</v>
      </c>
      <c r="B8" s="1749"/>
      <c r="C8" s="1749"/>
      <c r="D8" s="1750"/>
      <c r="E8" s="1751"/>
      <c r="F8" s="1751"/>
      <c r="G8" s="1751"/>
      <c r="H8" s="1751"/>
      <c r="I8" s="1751"/>
      <c r="J8" s="1751"/>
      <c r="K8" s="1751"/>
      <c r="L8" s="1751"/>
      <c r="M8" s="1751"/>
      <c r="N8" s="1751"/>
      <c r="O8" s="1752"/>
      <c r="P8" s="1751"/>
      <c r="Q8" s="1753"/>
      <c r="R8" s="1754"/>
      <c r="S8" s="1722"/>
      <c r="T8" s="1755" t="e">
        <f>+Q7-T7</f>
        <v>#REF!</v>
      </c>
      <c r="U8" s="1722"/>
      <c r="V8" s="1722"/>
      <c r="W8" s="1722"/>
      <c r="X8" s="1722"/>
      <c r="Y8" s="1722"/>
      <c r="Z8" s="1722"/>
      <c r="AA8" s="1736">
        <v>14071.875</v>
      </c>
      <c r="AB8" s="1736">
        <v>2330</v>
      </c>
      <c r="AC8" s="1736">
        <v>447.85</v>
      </c>
      <c r="AD8" s="1736">
        <v>600</v>
      </c>
      <c r="AE8" s="1736">
        <v>1998</v>
      </c>
      <c r="AF8" s="1736">
        <v>19447.724999999999</v>
      </c>
      <c r="AH8" s="1564"/>
      <c r="AO8" s="1561"/>
      <c r="AP8" s="1561"/>
      <c r="AQ8" s="1561"/>
      <c r="AR8" s="1561"/>
      <c r="AS8" s="1561"/>
      <c r="AT8" s="1561"/>
    </row>
    <row r="9" spans="1:48" s="1558" customFormat="1" ht="13.8" thickBot="1">
      <c r="A9" s="1756">
        <v>-4</v>
      </c>
      <c r="B9" s="1757"/>
      <c r="C9" s="1758">
        <f>B9</f>
        <v>0</v>
      </c>
      <c r="D9" s="1759">
        <v>0</v>
      </c>
      <c r="E9" s="1760"/>
      <c r="F9" s="1758">
        <f>E9</f>
        <v>0</v>
      </c>
      <c r="G9" s="1761">
        <v>0</v>
      </c>
      <c r="H9" s="1762"/>
      <c r="I9" s="1758">
        <f>H9</f>
        <v>0</v>
      </c>
      <c r="J9" s="1763">
        <v>0</v>
      </c>
      <c r="K9" s="1762"/>
      <c r="L9" s="1764">
        <f>K9</f>
        <v>0</v>
      </c>
      <c r="M9" s="1765" t="e">
        <f>+L9/$H$7</f>
        <v>#REF!</v>
      </c>
      <c r="N9" s="1766" t="e">
        <f>+N7*P9</f>
        <v>#REF!</v>
      </c>
      <c r="O9" s="1767" t="e">
        <f>N9</f>
        <v>#REF!</v>
      </c>
      <c r="P9" s="2021">
        <v>5.0000000000000001E-3</v>
      </c>
      <c r="Q9" s="1768" t="e">
        <f t="shared" ref="Q9:Q49" si="0">SUM(N9,H9,E9,B9)</f>
        <v>#REF!</v>
      </c>
      <c r="R9" s="1769" t="e">
        <f>Q9</f>
        <v>#REF!</v>
      </c>
      <c r="S9" s="1714"/>
      <c r="T9" s="1714"/>
      <c r="U9" s="1714"/>
      <c r="V9" s="1714"/>
      <c r="W9" s="1714" t="e">
        <f t="shared" ref="W9:W23" si="1">Q9*1000</f>
        <v>#REF!</v>
      </c>
      <c r="X9" s="1714"/>
      <c r="Y9" s="1714"/>
      <c r="Z9" s="1714"/>
      <c r="AA9" s="1736">
        <v>14071.875</v>
      </c>
      <c r="AB9" s="1736">
        <v>3495</v>
      </c>
      <c r="AC9" s="1736">
        <v>792.35</v>
      </c>
      <c r="AD9" s="1736">
        <v>900</v>
      </c>
      <c r="AE9" s="1736">
        <v>2331</v>
      </c>
      <c r="AF9" s="1736">
        <v>21590.224999999999</v>
      </c>
      <c r="AO9" s="1561"/>
      <c r="AP9" s="1561"/>
      <c r="AQ9" s="1561"/>
      <c r="AR9" s="1561"/>
      <c r="AS9" s="1561"/>
      <c r="AT9" s="1561"/>
      <c r="AU9" s="1561"/>
      <c r="AV9" s="1561"/>
    </row>
    <row r="10" spans="1:48" s="1558" customFormat="1" ht="13.8" thickBot="1">
      <c r="A10" s="1770">
        <f t="shared" ref="A10:A49" si="2">A9+1</f>
        <v>-3</v>
      </c>
      <c r="B10" s="1771">
        <f>+$B$7*D10</f>
        <v>128.66589699856647</v>
      </c>
      <c r="C10" s="1772">
        <f>+C9+B10</f>
        <v>128.66589699856647</v>
      </c>
      <c r="D10" s="1773">
        <v>0.05</v>
      </c>
      <c r="E10" s="1774" t="e">
        <f>+$E$7*G10</f>
        <v>#REF!</v>
      </c>
      <c r="F10" s="1772" t="e">
        <f>F9+E10</f>
        <v>#REF!</v>
      </c>
      <c r="G10" s="1775">
        <v>0.1</v>
      </c>
      <c r="H10" s="1771" t="e">
        <f>+$H$7*J10</f>
        <v>#REF!</v>
      </c>
      <c r="I10" s="1772" t="e">
        <f t="shared" ref="I10:I44" si="3">I9+H10</f>
        <v>#REF!</v>
      </c>
      <c r="J10" s="1775">
        <v>0.1</v>
      </c>
      <c r="K10" s="1771" t="e">
        <f t="shared" ref="K10:K45" si="4">B10+E10+H10</f>
        <v>#REF!</v>
      </c>
      <c r="L10" s="1776" t="e">
        <f t="shared" ref="L10:L44" si="5">L9+K10</f>
        <v>#REF!</v>
      </c>
      <c r="M10" s="1777" t="e">
        <f>K10/$K$7</f>
        <v>#REF!</v>
      </c>
      <c r="N10" s="1778" t="e">
        <f>$N$7*P10</f>
        <v>#REF!</v>
      </c>
      <c r="O10" s="1779" t="e">
        <f t="shared" ref="O10:O48" si="6">O9+N10</f>
        <v>#REF!</v>
      </c>
      <c r="P10" s="2021">
        <v>1E-3</v>
      </c>
      <c r="Q10" s="1768" t="e">
        <f t="shared" si="0"/>
        <v>#REF!</v>
      </c>
      <c r="R10" s="1780" t="e">
        <f t="shared" ref="R10:R49" si="7">R9+Q10</f>
        <v>#REF!</v>
      </c>
      <c r="S10" s="1714"/>
      <c r="T10" s="1714"/>
      <c r="U10" s="1714"/>
      <c r="V10" s="1714"/>
      <c r="W10" s="1714" t="e">
        <f t="shared" si="1"/>
        <v>#REF!</v>
      </c>
      <c r="X10" s="1714"/>
      <c r="Y10" s="1714"/>
      <c r="Z10" s="1714"/>
      <c r="AA10" s="1736">
        <v>14071.875</v>
      </c>
      <c r="AB10" s="1736">
        <v>4660</v>
      </c>
      <c r="AC10" s="1736">
        <v>1481.35</v>
      </c>
      <c r="AD10" s="1736">
        <v>1700</v>
      </c>
      <c r="AE10" s="1736">
        <v>2664</v>
      </c>
      <c r="AF10" s="1736">
        <v>24577.224999999999</v>
      </c>
      <c r="AO10" s="1561"/>
      <c r="AP10" s="1561"/>
      <c r="AQ10" s="1561"/>
      <c r="AR10" s="1561"/>
      <c r="AS10" s="1561"/>
      <c r="AT10" s="1561"/>
      <c r="AU10" s="1561"/>
      <c r="AV10" s="1561"/>
    </row>
    <row r="11" spans="1:48" s="1558" customFormat="1" ht="13.8" thickBot="1">
      <c r="A11" s="1770">
        <f t="shared" si="2"/>
        <v>-2</v>
      </c>
      <c r="B11" s="1771">
        <f t="shared" ref="B11:B49" si="8">+$B$7*D11</f>
        <v>25.73317939971329</v>
      </c>
      <c r="C11" s="1772">
        <f t="shared" ref="C11:C49" si="9">+C10+B11</f>
        <v>154.39907639827976</v>
      </c>
      <c r="D11" s="1773">
        <v>0.01</v>
      </c>
      <c r="E11" s="1774" t="e">
        <f t="shared" ref="E11:E45" si="10">+$E$7*G11</f>
        <v>#REF!</v>
      </c>
      <c r="F11" s="1772" t="e">
        <f>F10+E11</f>
        <v>#REF!</v>
      </c>
      <c r="G11" s="1775">
        <v>0.03</v>
      </c>
      <c r="H11" s="1771" t="e">
        <f t="shared" ref="H11:H45" si="11">+$H$7*J11</f>
        <v>#REF!</v>
      </c>
      <c r="I11" s="1772" t="e">
        <f t="shared" si="3"/>
        <v>#REF!</v>
      </c>
      <c r="J11" s="1775">
        <v>0.02</v>
      </c>
      <c r="K11" s="1771" t="e">
        <f t="shared" si="4"/>
        <v>#REF!</v>
      </c>
      <c r="L11" s="1776" t="e">
        <f t="shared" si="5"/>
        <v>#REF!</v>
      </c>
      <c r="M11" s="1777" t="e">
        <f t="shared" ref="M11:M45" si="12">K11/$K$7</f>
        <v>#REF!</v>
      </c>
      <c r="N11" s="1778" t="e">
        <f t="shared" ref="N11:N48" si="13">$N$7*P11</f>
        <v>#REF!</v>
      </c>
      <c r="O11" s="1779" t="e">
        <f t="shared" si="6"/>
        <v>#REF!</v>
      </c>
      <c r="P11" s="2021">
        <v>1E-3</v>
      </c>
      <c r="Q11" s="1768" t="e">
        <f t="shared" si="0"/>
        <v>#REF!</v>
      </c>
      <c r="R11" s="1780" t="e">
        <f t="shared" si="7"/>
        <v>#REF!</v>
      </c>
      <c r="S11" s="1714"/>
      <c r="T11" s="1714"/>
      <c r="U11" s="1714"/>
      <c r="V11" s="1714"/>
      <c r="W11" s="1714" t="e">
        <f t="shared" si="1"/>
        <v>#REF!</v>
      </c>
      <c r="X11" s="1714"/>
      <c r="Y11" s="1714"/>
      <c r="Z11" s="1714"/>
      <c r="AA11" s="1736">
        <v>14071.875</v>
      </c>
      <c r="AB11" s="1736">
        <v>4660</v>
      </c>
      <c r="AC11" s="1736">
        <v>2170.35</v>
      </c>
      <c r="AD11" s="1736">
        <v>2500</v>
      </c>
      <c r="AE11" s="1736">
        <v>2997</v>
      </c>
      <c r="AF11" s="1736">
        <v>26399.224999999999</v>
      </c>
      <c r="AO11" s="1561"/>
      <c r="AP11" s="1561"/>
      <c r="AQ11" s="1561"/>
      <c r="AR11" s="1561"/>
      <c r="AS11" s="1561"/>
      <c r="AT11" s="1561"/>
      <c r="AU11" s="1561"/>
      <c r="AV11" s="1561"/>
    </row>
    <row r="12" spans="1:48" s="1558" customFormat="1" ht="13.8" thickBot="1">
      <c r="A12" s="2001">
        <f t="shared" si="2"/>
        <v>-1</v>
      </c>
      <c r="B12" s="2002">
        <f t="shared" si="8"/>
        <v>25.73317939971329</v>
      </c>
      <c r="C12" s="2003">
        <f t="shared" si="9"/>
        <v>180.13225579799305</v>
      </c>
      <c r="D12" s="2004">
        <v>0.01</v>
      </c>
      <c r="E12" s="2005" t="e">
        <f t="shared" si="10"/>
        <v>#REF!</v>
      </c>
      <c r="F12" s="2003" t="e">
        <f t="shared" ref="F12:F45" si="14">F11+E12</f>
        <v>#REF!</v>
      </c>
      <c r="G12" s="2006">
        <v>0.04</v>
      </c>
      <c r="H12" s="2002" t="e">
        <f t="shared" si="11"/>
        <v>#REF!</v>
      </c>
      <c r="I12" s="2003" t="e">
        <f t="shared" si="3"/>
        <v>#REF!</v>
      </c>
      <c r="J12" s="2006">
        <v>0.02</v>
      </c>
      <c r="K12" s="2002" t="e">
        <f t="shared" si="4"/>
        <v>#REF!</v>
      </c>
      <c r="L12" s="2007" t="e">
        <f t="shared" si="5"/>
        <v>#REF!</v>
      </c>
      <c r="M12" s="2008" t="e">
        <f t="shared" si="12"/>
        <v>#REF!</v>
      </c>
      <c r="N12" s="2009" t="e">
        <f t="shared" si="13"/>
        <v>#REF!</v>
      </c>
      <c r="O12" s="2010" t="e">
        <f t="shared" si="6"/>
        <v>#REF!</v>
      </c>
      <c r="P12" s="2025">
        <v>1E-3</v>
      </c>
      <c r="Q12" s="1768" t="e">
        <f t="shared" si="0"/>
        <v>#REF!</v>
      </c>
      <c r="R12" s="1780" t="e">
        <f t="shared" si="7"/>
        <v>#REF!</v>
      </c>
      <c r="S12" s="1714"/>
      <c r="T12" s="1714"/>
      <c r="U12" s="1714"/>
      <c r="V12" s="1714"/>
      <c r="W12" s="1714" t="e">
        <f t="shared" si="1"/>
        <v>#REF!</v>
      </c>
      <c r="X12" s="1714"/>
      <c r="Y12" s="1714"/>
      <c r="Z12" s="1714"/>
      <c r="AA12" s="1736">
        <v>14071.875</v>
      </c>
      <c r="AB12" s="1736">
        <v>4660</v>
      </c>
      <c r="AC12" s="1736">
        <v>4926.3500000000004</v>
      </c>
      <c r="AD12" s="1736">
        <v>3753.6181284790559</v>
      </c>
      <c r="AE12" s="1736">
        <v>3330</v>
      </c>
      <c r="AF12" s="1736">
        <v>30741.843128479057</v>
      </c>
      <c r="AO12" s="1561"/>
      <c r="AP12" s="1561"/>
      <c r="AQ12" s="1561"/>
      <c r="AR12" s="1561"/>
      <c r="AS12" s="1561"/>
      <c r="AT12" s="1561"/>
      <c r="AU12" s="1561"/>
      <c r="AV12" s="1561"/>
    </row>
    <row r="13" spans="1:48" s="1558" customFormat="1" ht="14.4" thickTop="1" thickBot="1">
      <c r="A13" s="1994">
        <f t="shared" si="2"/>
        <v>0</v>
      </c>
      <c r="B13" s="1771">
        <f t="shared" si="8"/>
        <v>25.73317939971329</v>
      </c>
      <c r="C13" s="1995">
        <f t="shared" si="9"/>
        <v>205.86543519770635</v>
      </c>
      <c r="D13" s="1773">
        <v>0.01</v>
      </c>
      <c r="E13" s="1996" t="e">
        <f t="shared" si="10"/>
        <v>#REF!</v>
      </c>
      <c r="F13" s="1995" t="e">
        <f t="shared" si="14"/>
        <v>#REF!</v>
      </c>
      <c r="G13" s="1997">
        <v>0.1</v>
      </c>
      <c r="H13" s="1771" t="e">
        <f t="shared" si="11"/>
        <v>#REF!</v>
      </c>
      <c r="I13" s="1995" t="e">
        <f t="shared" si="3"/>
        <v>#REF!</v>
      </c>
      <c r="J13" s="1997">
        <v>0.1</v>
      </c>
      <c r="K13" s="1771" t="e">
        <f t="shared" si="4"/>
        <v>#REF!</v>
      </c>
      <c r="L13" s="1998" t="e">
        <f t="shared" si="5"/>
        <v>#REF!</v>
      </c>
      <c r="M13" s="1999" t="e">
        <f t="shared" si="12"/>
        <v>#REF!</v>
      </c>
      <c r="N13" s="1778" t="e">
        <f t="shared" si="13"/>
        <v>#REF!</v>
      </c>
      <c r="O13" s="2000" t="e">
        <f t="shared" si="6"/>
        <v>#REF!</v>
      </c>
      <c r="P13" s="2022">
        <v>1.4999999999999999E-2</v>
      </c>
      <c r="Q13" s="1768" t="e">
        <f t="shared" si="0"/>
        <v>#REF!</v>
      </c>
      <c r="R13" s="1780" t="e">
        <f t="shared" si="7"/>
        <v>#REF!</v>
      </c>
      <c r="S13" s="1714"/>
      <c r="T13" s="1714"/>
      <c r="U13" s="1714"/>
      <c r="V13" s="1714"/>
      <c r="W13" s="1714" t="e">
        <f t="shared" si="1"/>
        <v>#REF!</v>
      </c>
      <c r="X13" s="1714"/>
      <c r="Y13" s="1714"/>
      <c r="Z13" s="1714"/>
      <c r="AA13" s="1781">
        <v>28143.75</v>
      </c>
      <c r="AB13" s="1781">
        <v>4660</v>
      </c>
      <c r="AC13" s="1781">
        <v>6304.35</v>
      </c>
      <c r="AD13" s="1781">
        <v>5007.2362569581119</v>
      </c>
      <c r="AE13" s="1781">
        <v>3663</v>
      </c>
      <c r="AF13" s="1781">
        <v>47778.336256958108</v>
      </c>
      <c r="AO13" s="1565"/>
      <c r="AP13" s="1565"/>
      <c r="AQ13" s="1565"/>
      <c r="AR13" s="1565"/>
      <c r="AS13" s="1565"/>
      <c r="AT13" s="1565"/>
      <c r="AU13" s="1561"/>
      <c r="AV13" s="1561"/>
    </row>
    <row r="14" spans="1:48" s="1558" customFormat="1" ht="13.8" thickBot="1">
      <c r="A14" s="1770">
        <f t="shared" si="2"/>
        <v>1</v>
      </c>
      <c r="B14" s="1771">
        <f t="shared" si="8"/>
        <v>25.73317939971329</v>
      </c>
      <c r="C14" s="1772">
        <f t="shared" si="9"/>
        <v>231.59861459741964</v>
      </c>
      <c r="D14" s="1773">
        <v>0.01</v>
      </c>
      <c r="E14" s="1774" t="e">
        <f t="shared" si="10"/>
        <v>#REF!</v>
      </c>
      <c r="F14" s="1772" t="e">
        <f t="shared" si="14"/>
        <v>#REF!</v>
      </c>
      <c r="G14" s="1775">
        <v>0.03</v>
      </c>
      <c r="H14" s="1771" t="e">
        <f t="shared" si="11"/>
        <v>#REF!</v>
      </c>
      <c r="I14" s="1772" t="e">
        <f t="shared" si="3"/>
        <v>#REF!</v>
      </c>
      <c r="J14" s="1775">
        <v>0.02</v>
      </c>
      <c r="K14" s="1771" t="e">
        <f t="shared" si="4"/>
        <v>#REF!</v>
      </c>
      <c r="L14" s="1776" t="e">
        <f t="shared" si="5"/>
        <v>#REF!</v>
      </c>
      <c r="M14" s="1777" t="e">
        <f t="shared" si="12"/>
        <v>#REF!</v>
      </c>
      <c r="N14" s="1778" t="e">
        <f t="shared" si="13"/>
        <v>#REF!</v>
      </c>
      <c r="O14" s="1779" t="e">
        <f t="shared" si="6"/>
        <v>#REF!</v>
      </c>
      <c r="P14" s="2023">
        <v>1.4999999999999999E-2</v>
      </c>
      <c r="Q14" s="1768" t="e">
        <f t="shared" si="0"/>
        <v>#REF!</v>
      </c>
      <c r="R14" s="1780" t="e">
        <f t="shared" si="7"/>
        <v>#REF!</v>
      </c>
      <c r="S14" s="1714"/>
      <c r="T14" s="1714"/>
      <c r="U14" s="1714"/>
      <c r="V14" s="1714"/>
      <c r="W14" s="1714" t="e">
        <f t="shared" si="1"/>
        <v>#REF!</v>
      </c>
      <c r="X14" s="1714"/>
      <c r="Y14" s="1714"/>
      <c r="Z14" s="1714"/>
      <c r="AA14" s="1781">
        <v>28143.75</v>
      </c>
      <c r="AB14" s="1781">
        <v>4660</v>
      </c>
      <c r="AC14" s="1781">
        <v>8026.85</v>
      </c>
      <c r="AD14" s="1781">
        <v>6260.8543854371674</v>
      </c>
      <c r="AE14" s="1781">
        <v>3996</v>
      </c>
      <c r="AF14" s="1781">
        <v>51087.454385437166</v>
      </c>
      <c r="AO14" s="1565"/>
      <c r="AP14" s="1565"/>
      <c r="AQ14" s="1565"/>
      <c r="AR14" s="1565"/>
      <c r="AS14" s="1565"/>
      <c r="AT14" s="1565"/>
      <c r="AU14" s="1561"/>
      <c r="AV14" s="1561"/>
    </row>
    <row r="15" spans="1:48" ht="13.8" thickBot="1">
      <c r="A15" s="1770">
        <f t="shared" si="2"/>
        <v>2</v>
      </c>
      <c r="B15" s="1771">
        <f t="shared" si="8"/>
        <v>25.73317939971329</v>
      </c>
      <c r="C15" s="1772">
        <f t="shared" si="9"/>
        <v>257.33179399713293</v>
      </c>
      <c r="D15" s="1773">
        <v>0.01</v>
      </c>
      <c r="E15" s="1774" t="e">
        <f t="shared" si="10"/>
        <v>#REF!</v>
      </c>
      <c r="F15" s="1772" t="e">
        <f t="shared" si="14"/>
        <v>#REF!</v>
      </c>
      <c r="G15" s="1775">
        <v>0.03</v>
      </c>
      <c r="H15" s="1771" t="e">
        <f t="shared" si="11"/>
        <v>#REF!</v>
      </c>
      <c r="I15" s="1772" t="e">
        <f t="shared" si="3"/>
        <v>#REF!</v>
      </c>
      <c r="J15" s="1775">
        <v>0.02</v>
      </c>
      <c r="K15" s="1771" t="e">
        <f t="shared" si="4"/>
        <v>#REF!</v>
      </c>
      <c r="L15" s="1776" t="e">
        <f t="shared" si="5"/>
        <v>#REF!</v>
      </c>
      <c r="M15" s="1777" t="e">
        <f t="shared" si="12"/>
        <v>#REF!</v>
      </c>
      <c r="N15" s="1778" t="e">
        <f t="shared" si="13"/>
        <v>#REF!</v>
      </c>
      <c r="O15" s="1779" t="e">
        <f t="shared" si="6"/>
        <v>#REF!</v>
      </c>
      <c r="P15" s="2023">
        <v>1.4999999999999999E-2</v>
      </c>
      <c r="Q15" s="1768" t="e">
        <f t="shared" si="0"/>
        <v>#REF!</v>
      </c>
      <c r="R15" s="1780" t="e">
        <f t="shared" si="7"/>
        <v>#REF!</v>
      </c>
      <c r="S15" s="1782"/>
      <c r="T15" s="1782"/>
      <c r="U15" s="1782"/>
      <c r="V15" s="1782"/>
      <c r="W15" s="1714" t="e">
        <f t="shared" si="1"/>
        <v>#REF!</v>
      </c>
      <c r="X15" s="1782"/>
      <c r="Y15" s="1782"/>
      <c r="Z15" s="1782"/>
      <c r="AA15" s="1781">
        <v>28143.75</v>
      </c>
      <c r="AB15" s="1781">
        <v>4660</v>
      </c>
      <c r="AC15" s="1781">
        <v>10093.85</v>
      </c>
      <c r="AD15" s="1781">
        <v>7514.4725139162238</v>
      </c>
      <c r="AE15" s="1781">
        <v>4329</v>
      </c>
      <c r="AF15" s="1781">
        <v>54741.072513916224</v>
      </c>
      <c r="AK15" s="1558"/>
      <c r="AO15" s="1565"/>
      <c r="AP15" s="1565"/>
      <c r="AQ15" s="1565"/>
      <c r="AR15" s="1565"/>
      <c r="AS15" s="1565"/>
      <c r="AT15" s="1565"/>
      <c r="AU15" s="1565"/>
      <c r="AV15" s="1565"/>
    </row>
    <row r="16" spans="1:48" ht="13.8" thickBot="1">
      <c r="A16" s="1770">
        <f t="shared" si="2"/>
        <v>3</v>
      </c>
      <c r="B16" s="1771">
        <f t="shared" si="8"/>
        <v>385.99769099569932</v>
      </c>
      <c r="C16" s="1772">
        <f t="shared" si="9"/>
        <v>643.32948499283225</v>
      </c>
      <c r="D16" s="1773">
        <v>0.15</v>
      </c>
      <c r="E16" s="1774" t="e">
        <f t="shared" si="10"/>
        <v>#REF!</v>
      </c>
      <c r="F16" s="1772" t="e">
        <f t="shared" si="14"/>
        <v>#REF!</v>
      </c>
      <c r="G16" s="1775">
        <v>0.03</v>
      </c>
      <c r="H16" s="1771" t="e">
        <f t="shared" si="11"/>
        <v>#REF!</v>
      </c>
      <c r="I16" s="1772" t="e">
        <f t="shared" si="3"/>
        <v>#REF!</v>
      </c>
      <c r="J16" s="1775">
        <v>0.02</v>
      </c>
      <c r="K16" s="1771" t="e">
        <f t="shared" si="4"/>
        <v>#REF!</v>
      </c>
      <c r="L16" s="1776" t="e">
        <f t="shared" si="5"/>
        <v>#REF!</v>
      </c>
      <c r="M16" s="1777" t="e">
        <f t="shared" si="12"/>
        <v>#REF!</v>
      </c>
      <c r="N16" s="1778" t="e">
        <f t="shared" si="13"/>
        <v>#REF!</v>
      </c>
      <c r="O16" s="1779" t="e">
        <f t="shared" si="6"/>
        <v>#REF!</v>
      </c>
      <c r="P16" s="2023">
        <v>1.4999999999999999E-2</v>
      </c>
      <c r="Q16" s="1768" t="e">
        <f t="shared" si="0"/>
        <v>#REF!</v>
      </c>
      <c r="R16" s="1780" t="e">
        <f t="shared" si="7"/>
        <v>#REF!</v>
      </c>
      <c r="S16" s="1782"/>
      <c r="T16" s="1782"/>
      <c r="U16" s="1782"/>
      <c r="V16" s="1782"/>
      <c r="W16" s="1714" t="e">
        <f t="shared" si="1"/>
        <v>#REF!</v>
      </c>
      <c r="X16" s="1782"/>
      <c r="Y16" s="1782"/>
      <c r="Z16" s="1782"/>
      <c r="AA16" s="1781">
        <v>28143.75</v>
      </c>
      <c r="AB16" s="1781">
        <v>4660</v>
      </c>
      <c r="AC16" s="1781">
        <v>12160.85</v>
      </c>
      <c r="AD16" s="1781">
        <v>8768.0906423952802</v>
      </c>
      <c r="AE16" s="1781">
        <v>4662</v>
      </c>
      <c r="AF16" s="1781">
        <v>58394.690642395282</v>
      </c>
      <c r="AK16" s="1558"/>
      <c r="AO16" s="1565"/>
      <c r="AP16" s="1565"/>
      <c r="AQ16" s="1565"/>
      <c r="AR16" s="1565"/>
      <c r="AS16" s="1565"/>
      <c r="AT16" s="1565"/>
      <c r="AU16" s="1565"/>
      <c r="AV16" s="1565"/>
    </row>
    <row r="17" spans="1:48" ht="13.8" thickBot="1">
      <c r="A17" s="1770">
        <f t="shared" si="2"/>
        <v>4</v>
      </c>
      <c r="B17" s="1771">
        <f t="shared" si="8"/>
        <v>25.73317939971329</v>
      </c>
      <c r="C17" s="1772">
        <f t="shared" si="9"/>
        <v>669.06266439254557</v>
      </c>
      <c r="D17" s="1773">
        <v>0.01</v>
      </c>
      <c r="E17" s="1774" t="e">
        <f t="shared" si="10"/>
        <v>#REF!</v>
      </c>
      <c r="F17" s="1772" t="e">
        <f t="shared" si="14"/>
        <v>#REF!</v>
      </c>
      <c r="G17" s="1775">
        <v>0.03</v>
      </c>
      <c r="H17" s="1771" t="e">
        <f t="shared" si="11"/>
        <v>#REF!</v>
      </c>
      <c r="I17" s="1772" t="e">
        <f t="shared" si="3"/>
        <v>#REF!</v>
      </c>
      <c r="J17" s="1775">
        <v>0.02</v>
      </c>
      <c r="K17" s="1771" t="e">
        <f t="shared" si="4"/>
        <v>#REF!</v>
      </c>
      <c r="L17" s="1776" t="e">
        <f t="shared" si="5"/>
        <v>#REF!</v>
      </c>
      <c r="M17" s="1777" t="e">
        <f t="shared" si="12"/>
        <v>#REF!</v>
      </c>
      <c r="N17" s="1778" t="e">
        <f t="shared" si="13"/>
        <v>#REF!</v>
      </c>
      <c r="O17" s="1779" t="e">
        <f t="shared" si="6"/>
        <v>#REF!</v>
      </c>
      <c r="P17" s="2023">
        <v>0.02</v>
      </c>
      <c r="Q17" s="1768" t="e">
        <f t="shared" si="0"/>
        <v>#REF!</v>
      </c>
      <c r="R17" s="1780" t="e">
        <f t="shared" si="7"/>
        <v>#REF!</v>
      </c>
      <c r="S17" s="1782"/>
      <c r="T17" s="1782"/>
      <c r="U17" s="1782"/>
      <c r="V17" s="1782"/>
      <c r="W17" s="1714" t="e">
        <f t="shared" si="1"/>
        <v>#REF!</v>
      </c>
      <c r="X17" s="1782"/>
      <c r="Y17" s="1782"/>
      <c r="Z17" s="1782"/>
      <c r="AA17" s="1781">
        <v>28877.36375</v>
      </c>
      <c r="AB17" s="1781">
        <v>4660</v>
      </c>
      <c r="AC17" s="1781">
        <v>14227.85</v>
      </c>
      <c r="AD17" s="1781">
        <v>10021.708770874337</v>
      </c>
      <c r="AE17" s="1781">
        <v>4995</v>
      </c>
      <c r="AF17" s="1781">
        <v>62781.922520874337</v>
      </c>
      <c r="AK17" s="1558"/>
      <c r="AO17" s="1565"/>
      <c r="AP17" s="1565"/>
      <c r="AQ17" s="1565"/>
      <c r="AR17" s="1565"/>
      <c r="AS17" s="1565"/>
      <c r="AT17" s="1565"/>
      <c r="AU17" s="1565"/>
      <c r="AV17" s="1565"/>
    </row>
    <row r="18" spans="1:48" ht="13.8" thickBot="1">
      <c r="A18" s="1770">
        <f t="shared" si="2"/>
        <v>5</v>
      </c>
      <c r="B18" s="1771">
        <f t="shared" si="8"/>
        <v>25.73317939971329</v>
      </c>
      <c r="C18" s="1772">
        <f t="shared" si="9"/>
        <v>694.79584379225889</v>
      </c>
      <c r="D18" s="1773">
        <v>0.01</v>
      </c>
      <c r="E18" s="1774" t="e">
        <f t="shared" si="10"/>
        <v>#REF!</v>
      </c>
      <c r="F18" s="1772" t="e">
        <f t="shared" si="14"/>
        <v>#REF!</v>
      </c>
      <c r="G18" s="1775">
        <v>0.03</v>
      </c>
      <c r="H18" s="1771" t="e">
        <f t="shared" si="11"/>
        <v>#REF!</v>
      </c>
      <c r="I18" s="1772" t="e">
        <f t="shared" si="3"/>
        <v>#REF!</v>
      </c>
      <c r="J18" s="1775">
        <v>0.02</v>
      </c>
      <c r="K18" s="1771" t="e">
        <f t="shared" si="4"/>
        <v>#REF!</v>
      </c>
      <c r="L18" s="1776" t="e">
        <f t="shared" si="5"/>
        <v>#REF!</v>
      </c>
      <c r="M18" s="1777" t="e">
        <f t="shared" si="12"/>
        <v>#REF!</v>
      </c>
      <c r="N18" s="1778" t="e">
        <f t="shared" si="13"/>
        <v>#REF!</v>
      </c>
      <c r="O18" s="1779" t="e">
        <f t="shared" si="6"/>
        <v>#REF!</v>
      </c>
      <c r="P18" s="2023">
        <v>0.02</v>
      </c>
      <c r="Q18" s="1768" t="e">
        <f t="shared" si="0"/>
        <v>#REF!</v>
      </c>
      <c r="R18" s="1780" t="e">
        <f t="shared" si="7"/>
        <v>#REF!</v>
      </c>
      <c r="S18" s="1782"/>
      <c r="T18" s="1782"/>
      <c r="U18" s="1782"/>
      <c r="V18" s="1782"/>
      <c r="W18" s="1714" t="e">
        <f t="shared" si="1"/>
        <v>#REF!</v>
      </c>
      <c r="X18" s="1782"/>
      <c r="Y18" s="1782"/>
      <c r="Z18" s="1782"/>
      <c r="AA18" s="1781">
        <v>48238.387499999997</v>
      </c>
      <c r="AB18" s="1781">
        <v>5242.5</v>
      </c>
      <c r="AC18" s="1781">
        <v>16398.2</v>
      </c>
      <c r="AD18" s="1781">
        <v>12528.945027832448</v>
      </c>
      <c r="AE18" s="1781">
        <v>5328</v>
      </c>
      <c r="AF18" s="1781">
        <v>87736.032527832445</v>
      </c>
      <c r="AK18" s="1558"/>
      <c r="AO18" s="1565"/>
      <c r="AP18" s="1565"/>
      <c r="AQ18" s="1565"/>
      <c r="AR18" s="1565"/>
      <c r="AS18" s="1565"/>
      <c r="AT18" s="1565"/>
      <c r="AU18" s="1565"/>
      <c r="AV18" s="1565"/>
    </row>
    <row r="19" spans="1:48" ht="13.8" thickBot="1">
      <c r="A19" s="1770">
        <f t="shared" si="2"/>
        <v>6</v>
      </c>
      <c r="B19" s="1771">
        <f t="shared" si="8"/>
        <v>25.73317939971329</v>
      </c>
      <c r="C19" s="1772">
        <f t="shared" si="9"/>
        <v>720.52902319197221</v>
      </c>
      <c r="D19" s="1773">
        <v>0.01</v>
      </c>
      <c r="E19" s="1774" t="e">
        <f t="shared" si="10"/>
        <v>#REF!</v>
      </c>
      <c r="F19" s="1772" t="e">
        <f t="shared" si="14"/>
        <v>#REF!</v>
      </c>
      <c r="G19" s="1775">
        <v>0.02</v>
      </c>
      <c r="H19" s="1771" t="e">
        <f t="shared" si="11"/>
        <v>#REF!</v>
      </c>
      <c r="I19" s="1772" t="e">
        <f t="shared" si="3"/>
        <v>#REF!</v>
      </c>
      <c r="J19" s="1775">
        <v>0.02</v>
      </c>
      <c r="K19" s="1771" t="e">
        <f t="shared" si="4"/>
        <v>#REF!</v>
      </c>
      <c r="L19" s="1776" t="e">
        <f t="shared" si="5"/>
        <v>#REF!</v>
      </c>
      <c r="M19" s="1777" t="e">
        <f t="shared" si="12"/>
        <v>#REF!</v>
      </c>
      <c r="N19" s="1778" t="e">
        <f t="shared" si="13"/>
        <v>#REF!</v>
      </c>
      <c r="O19" s="1779" t="e">
        <f t="shared" si="6"/>
        <v>#REF!</v>
      </c>
      <c r="P19" s="2023">
        <v>2.5000000000000001E-2</v>
      </c>
      <c r="Q19" s="1768" t="e">
        <f t="shared" si="0"/>
        <v>#REF!</v>
      </c>
      <c r="R19" s="1780" t="e">
        <f t="shared" si="7"/>
        <v>#REF!</v>
      </c>
      <c r="S19" s="1782"/>
      <c r="T19" s="1782"/>
      <c r="U19" s="1782"/>
      <c r="V19" s="1782"/>
      <c r="W19" s="1714" t="e">
        <f t="shared" si="1"/>
        <v>#REF!</v>
      </c>
      <c r="X19" s="1782"/>
      <c r="Y19" s="1782"/>
      <c r="Z19" s="1782"/>
      <c r="AA19" s="1781">
        <v>57574.607499999998</v>
      </c>
      <c r="AB19" s="1781">
        <v>6990</v>
      </c>
      <c r="AC19" s="1781">
        <v>18809.7</v>
      </c>
      <c r="AD19" s="1781">
        <v>15036.18128479056</v>
      </c>
      <c r="AE19" s="1781">
        <v>5661</v>
      </c>
      <c r="AF19" s="1781">
        <v>104071.48878479056</v>
      </c>
      <c r="AK19" s="1558"/>
      <c r="AO19" s="1565"/>
      <c r="AP19" s="1565"/>
      <c r="AQ19" s="1565"/>
      <c r="AR19" s="1565"/>
      <c r="AS19" s="1565"/>
      <c r="AT19" s="1565"/>
      <c r="AU19" s="1565"/>
      <c r="AV19" s="1565"/>
    </row>
    <row r="20" spans="1:48" ht="13.8" thickBot="1">
      <c r="A20" s="1770">
        <f t="shared" si="2"/>
        <v>7</v>
      </c>
      <c r="B20" s="1771">
        <f t="shared" si="8"/>
        <v>25.73317939971329</v>
      </c>
      <c r="C20" s="1772">
        <f t="shared" si="9"/>
        <v>746.26220259168554</v>
      </c>
      <c r="D20" s="1773">
        <v>0.01</v>
      </c>
      <c r="E20" s="1774" t="e">
        <f t="shared" si="10"/>
        <v>#REF!</v>
      </c>
      <c r="F20" s="1772" t="e">
        <f t="shared" si="14"/>
        <v>#REF!</v>
      </c>
      <c r="G20" s="1775">
        <v>0.02</v>
      </c>
      <c r="H20" s="1771" t="e">
        <f t="shared" si="11"/>
        <v>#REF!</v>
      </c>
      <c r="I20" s="1772" t="e">
        <f t="shared" si="3"/>
        <v>#REF!</v>
      </c>
      <c r="J20" s="1775">
        <v>0.02</v>
      </c>
      <c r="K20" s="1771" t="e">
        <f t="shared" si="4"/>
        <v>#REF!</v>
      </c>
      <c r="L20" s="1776" t="e">
        <f t="shared" si="5"/>
        <v>#REF!</v>
      </c>
      <c r="M20" s="1777" t="e">
        <f t="shared" si="12"/>
        <v>#REF!</v>
      </c>
      <c r="N20" s="1778" t="e">
        <f t="shared" si="13"/>
        <v>#REF!</v>
      </c>
      <c r="O20" s="1779" t="e">
        <f t="shared" si="6"/>
        <v>#REF!</v>
      </c>
      <c r="P20" s="2023">
        <v>2.5000000000000001E-2</v>
      </c>
      <c r="Q20" s="1768" t="e">
        <f t="shared" si="0"/>
        <v>#REF!</v>
      </c>
      <c r="R20" s="1780" t="e">
        <f t="shared" si="7"/>
        <v>#REF!</v>
      </c>
      <c r="S20" s="1782"/>
      <c r="T20" s="1782"/>
      <c r="U20" s="1782"/>
      <c r="V20" s="1782"/>
      <c r="W20" s="1714" t="e">
        <f t="shared" si="1"/>
        <v>#REF!</v>
      </c>
      <c r="X20" s="1782"/>
      <c r="Y20" s="1782"/>
      <c r="Z20" s="1782"/>
      <c r="AA20" s="1781">
        <v>59548.422500000001</v>
      </c>
      <c r="AB20" s="1781">
        <v>19222.5</v>
      </c>
      <c r="AC20" s="1781">
        <v>21221.200000000001</v>
      </c>
      <c r="AD20" s="1781">
        <v>27572.362569581121</v>
      </c>
      <c r="AE20" s="1781">
        <v>6000</v>
      </c>
      <c r="AF20" s="1781">
        <v>133564.48506958113</v>
      </c>
      <c r="AK20" s="1558"/>
      <c r="AO20" s="1565"/>
      <c r="AP20" s="1565"/>
      <c r="AQ20" s="1565"/>
      <c r="AR20" s="1565"/>
      <c r="AS20" s="1565"/>
      <c r="AT20" s="1565"/>
      <c r="AU20" s="1565"/>
      <c r="AV20" s="1565"/>
    </row>
    <row r="21" spans="1:48" ht="13.8" thickBot="1">
      <c r="A21" s="1770">
        <f t="shared" si="2"/>
        <v>8</v>
      </c>
      <c r="B21" s="1771">
        <f t="shared" si="8"/>
        <v>514.66358799426587</v>
      </c>
      <c r="C21" s="1772">
        <f t="shared" si="9"/>
        <v>1260.9257905859513</v>
      </c>
      <c r="D21" s="1773">
        <v>0.2</v>
      </c>
      <c r="E21" s="1774" t="e">
        <f t="shared" si="10"/>
        <v>#REF!</v>
      </c>
      <c r="F21" s="1772" t="e">
        <f t="shared" si="14"/>
        <v>#REF!</v>
      </c>
      <c r="G21" s="1775">
        <v>0.02</v>
      </c>
      <c r="H21" s="1771" t="e">
        <f t="shared" si="11"/>
        <v>#REF!</v>
      </c>
      <c r="I21" s="1772" t="e">
        <f t="shared" si="3"/>
        <v>#REF!</v>
      </c>
      <c r="J21" s="1775">
        <v>0.02</v>
      </c>
      <c r="K21" s="1771" t="e">
        <f t="shared" si="4"/>
        <v>#REF!</v>
      </c>
      <c r="L21" s="1776" t="e">
        <f t="shared" si="5"/>
        <v>#REF!</v>
      </c>
      <c r="M21" s="1777" t="e">
        <f t="shared" si="12"/>
        <v>#REF!</v>
      </c>
      <c r="N21" s="1778" t="e">
        <f t="shared" si="13"/>
        <v>#REF!</v>
      </c>
      <c r="O21" s="1779" t="e">
        <f t="shared" si="6"/>
        <v>#REF!</v>
      </c>
      <c r="P21" s="2023">
        <v>2.5000000000000001E-2</v>
      </c>
      <c r="Q21" s="1768" t="e">
        <f t="shared" si="0"/>
        <v>#REF!</v>
      </c>
      <c r="R21" s="1780" t="e">
        <f t="shared" si="7"/>
        <v>#REF!</v>
      </c>
      <c r="S21" s="1782"/>
      <c r="T21" s="1782"/>
      <c r="U21" s="1782"/>
      <c r="V21" s="1782"/>
      <c r="W21" s="1714" t="e">
        <f t="shared" si="1"/>
        <v>#REF!</v>
      </c>
      <c r="X21" s="1782"/>
      <c r="Y21" s="1782"/>
      <c r="Z21" s="1782"/>
      <c r="AA21" s="1781"/>
      <c r="AB21" s="1781"/>
      <c r="AC21" s="1781"/>
      <c r="AD21" s="1781"/>
      <c r="AE21" s="1781"/>
      <c r="AF21" s="1781"/>
      <c r="AK21" s="1558"/>
      <c r="AO21" s="1565"/>
      <c r="AP21" s="1565"/>
      <c r="AQ21" s="1565"/>
      <c r="AR21" s="1565"/>
      <c r="AS21" s="1565"/>
      <c r="AT21" s="1565"/>
      <c r="AU21" s="1565"/>
      <c r="AV21" s="1565"/>
    </row>
    <row r="22" spans="1:48" ht="13.8" thickBot="1">
      <c r="A22" s="1770">
        <f t="shared" si="2"/>
        <v>9</v>
      </c>
      <c r="B22" s="1771">
        <f t="shared" si="8"/>
        <v>25.73317939971329</v>
      </c>
      <c r="C22" s="1772">
        <f t="shared" si="9"/>
        <v>1286.6589699856645</v>
      </c>
      <c r="D22" s="1773">
        <v>0.01</v>
      </c>
      <c r="E22" s="1774" t="e">
        <f t="shared" si="10"/>
        <v>#REF!</v>
      </c>
      <c r="F22" s="1772" t="e">
        <f t="shared" si="14"/>
        <v>#REF!</v>
      </c>
      <c r="G22" s="1775">
        <v>0.02</v>
      </c>
      <c r="H22" s="1771" t="e">
        <f t="shared" si="11"/>
        <v>#REF!</v>
      </c>
      <c r="I22" s="1772" t="e">
        <f t="shared" si="3"/>
        <v>#REF!</v>
      </c>
      <c r="J22" s="1775">
        <v>0.05</v>
      </c>
      <c r="K22" s="1771" t="e">
        <f t="shared" si="4"/>
        <v>#REF!</v>
      </c>
      <c r="L22" s="1776" t="e">
        <f t="shared" si="5"/>
        <v>#REF!</v>
      </c>
      <c r="M22" s="1777" t="e">
        <f t="shared" si="12"/>
        <v>#REF!</v>
      </c>
      <c r="N22" s="1778" t="e">
        <f t="shared" si="13"/>
        <v>#REF!</v>
      </c>
      <c r="O22" s="1779" t="e">
        <f t="shared" si="6"/>
        <v>#REF!</v>
      </c>
      <c r="P22" s="2023">
        <v>0.03</v>
      </c>
      <c r="Q22" s="1768" t="e">
        <f t="shared" si="0"/>
        <v>#REF!</v>
      </c>
      <c r="R22" s="1780" t="e">
        <f t="shared" si="7"/>
        <v>#REF!</v>
      </c>
      <c r="S22" s="1782"/>
      <c r="T22" s="1782"/>
      <c r="U22" s="1782"/>
      <c r="V22" s="1782"/>
      <c r="W22" s="1714" t="e">
        <f>Q22*1000</f>
        <v>#REF!</v>
      </c>
      <c r="X22" s="1782"/>
      <c r="Y22" s="1782"/>
      <c r="Z22" s="1782"/>
      <c r="AA22" s="1781"/>
      <c r="AB22" s="1781"/>
      <c r="AC22" s="1781"/>
      <c r="AD22" s="1781"/>
      <c r="AE22" s="1781"/>
      <c r="AF22" s="1781"/>
      <c r="AK22" s="1558"/>
      <c r="AO22" s="1565"/>
      <c r="AP22" s="1565"/>
      <c r="AQ22" s="1565"/>
      <c r="AR22" s="1565"/>
      <c r="AS22" s="1565"/>
      <c r="AT22" s="1565"/>
      <c r="AU22" s="1565"/>
      <c r="AV22" s="1565"/>
    </row>
    <row r="23" spans="1:48" ht="13.8" thickBot="1">
      <c r="A23" s="1770">
        <f t="shared" si="2"/>
        <v>10</v>
      </c>
      <c r="B23" s="1771">
        <f t="shared" si="8"/>
        <v>25.73317939971329</v>
      </c>
      <c r="C23" s="1772">
        <f t="shared" si="9"/>
        <v>1312.3921493853777</v>
      </c>
      <c r="D23" s="1773">
        <v>0.01</v>
      </c>
      <c r="E23" s="1774" t="e">
        <f t="shared" si="10"/>
        <v>#REF!</v>
      </c>
      <c r="F23" s="1772" t="e">
        <f t="shared" si="14"/>
        <v>#REF!</v>
      </c>
      <c r="G23" s="1775">
        <v>0.02</v>
      </c>
      <c r="H23" s="1771" t="e">
        <f t="shared" si="11"/>
        <v>#REF!</v>
      </c>
      <c r="I23" s="1772" t="e">
        <f t="shared" si="3"/>
        <v>#REF!</v>
      </c>
      <c r="J23" s="1775">
        <v>0.05</v>
      </c>
      <c r="K23" s="1771" t="e">
        <f t="shared" si="4"/>
        <v>#REF!</v>
      </c>
      <c r="L23" s="1776" t="e">
        <f t="shared" si="5"/>
        <v>#REF!</v>
      </c>
      <c r="M23" s="1777" t="e">
        <f t="shared" si="12"/>
        <v>#REF!</v>
      </c>
      <c r="N23" s="1778" t="e">
        <f t="shared" si="13"/>
        <v>#REF!</v>
      </c>
      <c r="O23" s="1779" t="e">
        <f t="shared" si="6"/>
        <v>#REF!</v>
      </c>
      <c r="P23" s="2023">
        <v>0.03</v>
      </c>
      <c r="Q23" s="1768" t="e">
        <f t="shared" si="0"/>
        <v>#REF!</v>
      </c>
      <c r="R23" s="1780" t="e">
        <f t="shared" si="7"/>
        <v>#REF!</v>
      </c>
      <c r="S23" s="1782"/>
      <c r="T23" s="1782"/>
      <c r="U23" s="1782"/>
      <c r="V23" s="1782"/>
      <c r="W23" s="1714" t="e">
        <f t="shared" si="1"/>
        <v>#REF!</v>
      </c>
      <c r="X23" s="1782"/>
      <c r="Y23" s="1782"/>
      <c r="Z23" s="1782"/>
      <c r="AA23" s="1781"/>
      <c r="AB23" s="1781"/>
      <c r="AC23" s="1781"/>
      <c r="AD23" s="1781"/>
      <c r="AE23" s="1781"/>
      <c r="AF23" s="1781"/>
      <c r="AK23" s="1558"/>
      <c r="AO23" s="1565"/>
      <c r="AP23" s="1565"/>
      <c r="AQ23" s="1565"/>
      <c r="AR23" s="1565"/>
      <c r="AS23" s="1565"/>
      <c r="AT23" s="1565"/>
      <c r="AU23" s="1565"/>
      <c r="AV23" s="1565"/>
    </row>
    <row r="24" spans="1:48" ht="13.8" thickBot="1">
      <c r="A24" s="1770">
        <f t="shared" si="2"/>
        <v>11</v>
      </c>
      <c r="B24" s="1771">
        <f t="shared" si="8"/>
        <v>25.73317939971329</v>
      </c>
      <c r="C24" s="1772">
        <f t="shared" si="9"/>
        <v>1338.1253287850909</v>
      </c>
      <c r="D24" s="1773">
        <v>0.01</v>
      </c>
      <c r="E24" s="1774" t="e">
        <f t="shared" si="10"/>
        <v>#REF!</v>
      </c>
      <c r="F24" s="1772" t="e">
        <f t="shared" si="14"/>
        <v>#REF!</v>
      </c>
      <c r="G24" s="1775">
        <v>0.02</v>
      </c>
      <c r="H24" s="1771" t="e">
        <f t="shared" si="11"/>
        <v>#REF!</v>
      </c>
      <c r="I24" s="1772" t="e">
        <f t="shared" si="3"/>
        <v>#REF!</v>
      </c>
      <c r="J24" s="1775">
        <v>0.05</v>
      </c>
      <c r="K24" s="1771" t="e">
        <f t="shared" si="4"/>
        <v>#REF!</v>
      </c>
      <c r="L24" s="1776" t="e">
        <f t="shared" si="5"/>
        <v>#REF!</v>
      </c>
      <c r="M24" s="1777" t="e">
        <f t="shared" si="12"/>
        <v>#REF!</v>
      </c>
      <c r="N24" s="1778" t="e">
        <f t="shared" si="13"/>
        <v>#REF!</v>
      </c>
      <c r="O24" s="1779" t="e">
        <f t="shared" si="6"/>
        <v>#REF!</v>
      </c>
      <c r="P24" s="2023">
        <v>0.03</v>
      </c>
      <c r="Q24" s="1768" t="e">
        <f t="shared" si="0"/>
        <v>#REF!</v>
      </c>
      <c r="R24" s="1780" t="e">
        <f t="shared" si="7"/>
        <v>#REF!</v>
      </c>
      <c r="S24" s="1782"/>
      <c r="T24" s="1782"/>
      <c r="U24" s="1782"/>
      <c r="V24" s="1782"/>
      <c r="W24" s="1714"/>
      <c r="X24" s="1782"/>
      <c r="Y24" s="1782"/>
      <c r="Z24" s="1782"/>
      <c r="AA24" s="1781"/>
      <c r="AB24" s="1781"/>
      <c r="AC24" s="1781"/>
      <c r="AD24" s="1781"/>
      <c r="AE24" s="1781"/>
      <c r="AF24" s="1781"/>
      <c r="AK24" s="1558"/>
      <c r="AO24" s="1565"/>
      <c r="AP24" s="1565"/>
      <c r="AQ24" s="1565"/>
      <c r="AR24" s="1565"/>
      <c r="AS24" s="1565"/>
      <c r="AT24" s="1565"/>
      <c r="AU24" s="1565"/>
      <c r="AV24" s="1565"/>
    </row>
    <row r="25" spans="1:48" ht="13.8" thickBot="1">
      <c r="A25" s="1770">
        <f t="shared" si="2"/>
        <v>12</v>
      </c>
      <c r="B25" s="1771">
        <f t="shared" si="8"/>
        <v>25.73317939971329</v>
      </c>
      <c r="C25" s="1772">
        <f t="shared" si="9"/>
        <v>1363.8585081848041</v>
      </c>
      <c r="D25" s="1773">
        <v>0.01</v>
      </c>
      <c r="E25" s="1774" t="e">
        <f t="shared" si="10"/>
        <v>#REF!</v>
      </c>
      <c r="F25" s="1772" t="e">
        <f t="shared" si="14"/>
        <v>#REF!</v>
      </c>
      <c r="G25" s="1775">
        <v>0.02</v>
      </c>
      <c r="H25" s="1771" t="e">
        <f t="shared" si="11"/>
        <v>#REF!</v>
      </c>
      <c r="I25" s="1772" t="e">
        <f t="shared" si="3"/>
        <v>#REF!</v>
      </c>
      <c r="J25" s="1775">
        <v>0.05</v>
      </c>
      <c r="K25" s="1771" t="e">
        <f t="shared" si="4"/>
        <v>#REF!</v>
      </c>
      <c r="L25" s="1776" t="e">
        <f t="shared" si="5"/>
        <v>#REF!</v>
      </c>
      <c r="M25" s="1777" t="e">
        <f t="shared" si="12"/>
        <v>#REF!</v>
      </c>
      <c r="N25" s="1778" t="e">
        <f t="shared" si="13"/>
        <v>#REF!</v>
      </c>
      <c r="O25" s="1779" t="e">
        <f t="shared" si="6"/>
        <v>#REF!</v>
      </c>
      <c r="P25" s="2023">
        <v>0.04</v>
      </c>
      <c r="Q25" s="1768" t="e">
        <f t="shared" si="0"/>
        <v>#REF!</v>
      </c>
      <c r="R25" s="1780" t="e">
        <f t="shared" si="7"/>
        <v>#REF!</v>
      </c>
      <c r="S25" s="1782"/>
      <c r="T25" s="1782"/>
      <c r="U25" s="1782"/>
      <c r="V25" s="1782"/>
      <c r="W25" s="1714"/>
      <c r="X25" s="1782"/>
      <c r="Y25" s="1782"/>
      <c r="Z25" s="1782"/>
      <c r="AA25" s="1781"/>
      <c r="AB25" s="1781"/>
      <c r="AC25" s="1781"/>
      <c r="AD25" s="1781"/>
      <c r="AE25" s="1781"/>
      <c r="AF25" s="1781"/>
      <c r="AK25" s="1558"/>
      <c r="AO25" s="1565"/>
      <c r="AP25" s="1565"/>
      <c r="AQ25" s="1565"/>
      <c r="AR25" s="1565"/>
      <c r="AS25" s="1565"/>
      <c r="AT25" s="1565"/>
      <c r="AU25" s="1565"/>
      <c r="AV25" s="1565"/>
    </row>
    <row r="26" spans="1:48" ht="13.8" thickBot="1">
      <c r="A26" s="1770">
        <f t="shared" si="2"/>
        <v>13</v>
      </c>
      <c r="B26" s="1771">
        <f t="shared" si="8"/>
        <v>128.66589699856647</v>
      </c>
      <c r="C26" s="1772">
        <f t="shared" si="9"/>
        <v>1492.5244051833706</v>
      </c>
      <c r="D26" s="1773">
        <v>0.05</v>
      </c>
      <c r="E26" s="1774" t="e">
        <f t="shared" si="10"/>
        <v>#REF!</v>
      </c>
      <c r="F26" s="1772" t="e">
        <f t="shared" si="14"/>
        <v>#REF!</v>
      </c>
      <c r="G26" s="1775">
        <v>0.01</v>
      </c>
      <c r="H26" s="1771" t="e">
        <f t="shared" si="11"/>
        <v>#REF!</v>
      </c>
      <c r="I26" s="1772" t="e">
        <f t="shared" si="3"/>
        <v>#REF!</v>
      </c>
      <c r="J26" s="1775">
        <v>0.05</v>
      </c>
      <c r="K26" s="1771" t="e">
        <f t="shared" si="4"/>
        <v>#REF!</v>
      </c>
      <c r="L26" s="1776" t="e">
        <f t="shared" si="5"/>
        <v>#REF!</v>
      </c>
      <c r="M26" s="1777" t="e">
        <f t="shared" si="12"/>
        <v>#REF!</v>
      </c>
      <c r="N26" s="1778" t="e">
        <f t="shared" si="13"/>
        <v>#REF!</v>
      </c>
      <c r="O26" s="1779" t="e">
        <f t="shared" si="6"/>
        <v>#REF!</v>
      </c>
      <c r="P26" s="2023">
        <v>0.04</v>
      </c>
      <c r="Q26" s="1768" t="e">
        <f t="shared" si="0"/>
        <v>#REF!</v>
      </c>
      <c r="R26" s="1780" t="e">
        <f t="shared" si="7"/>
        <v>#REF!</v>
      </c>
      <c r="S26" s="1782"/>
      <c r="T26" s="1782"/>
      <c r="U26" s="1782"/>
      <c r="V26" s="1782"/>
      <c r="W26" s="1714"/>
      <c r="X26" s="1782"/>
      <c r="Y26" s="1782"/>
      <c r="Z26" s="1782"/>
      <c r="AA26" s="1781"/>
      <c r="AB26" s="1781"/>
      <c r="AC26" s="1781"/>
      <c r="AD26" s="1781"/>
      <c r="AE26" s="1781"/>
      <c r="AF26" s="1781"/>
      <c r="AK26" s="1558"/>
      <c r="AO26" s="1565"/>
      <c r="AP26" s="1565"/>
      <c r="AQ26" s="1565"/>
      <c r="AR26" s="1565"/>
      <c r="AS26" s="1565"/>
      <c r="AT26" s="1565"/>
      <c r="AU26" s="1565"/>
      <c r="AV26" s="1565"/>
    </row>
    <row r="27" spans="1:48" ht="13.8" thickBot="1">
      <c r="A27" s="1770">
        <f t="shared" si="2"/>
        <v>14</v>
      </c>
      <c r="B27" s="1771">
        <f t="shared" si="8"/>
        <v>77.199538199139866</v>
      </c>
      <c r="C27" s="1772">
        <f t="shared" si="9"/>
        <v>1569.7239433825105</v>
      </c>
      <c r="D27" s="1773">
        <v>0.03</v>
      </c>
      <c r="E27" s="1774" t="e">
        <f t="shared" si="10"/>
        <v>#REF!</v>
      </c>
      <c r="F27" s="1772" t="e">
        <f t="shared" si="14"/>
        <v>#REF!</v>
      </c>
      <c r="G27" s="1775">
        <v>0.02</v>
      </c>
      <c r="H27" s="1771" t="e">
        <f t="shared" si="11"/>
        <v>#REF!</v>
      </c>
      <c r="I27" s="1772" t="e">
        <f t="shared" si="3"/>
        <v>#REF!</v>
      </c>
      <c r="J27" s="1775">
        <v>0.05</v>
      </c>
      <c r="K27" s="1771" t="e">
        <f t="shared" si="4"/>
        <v>#REF!</v>
      </c>
      <c r="L27" s="1776" t="e">
        <f t="shared" si="5"/>
        <v>#REF!</v>
      </c>
      <c r="M27" s="1777" t="e">
        <f t="shared" si="12"/>
        <v>#REF!</v>
      </c>
      <c r="N27" s="1778" t="e">
        <f t="shared" si="13"/>
        <v>#REF!</v>
      </c>
      <c r="O27" s="1779" t="e">
        <f t="shared" si="6"/>
        <v>#REF!</v>
      </c>
      <c r="P27" s="2023">
        <v>0.04</v>
      </c>
      <c r="Q27" s="1768" t="e">
        <f t="shared" si="0"/>
        <v>#REF!</v>
      </c>
      <c r="R27" s="1780" t="e">
        <f t="shared" si="7"/>
        <v>#REF!</v>
      </c>
      <c r="S27" s="1782"/>
      <c r="T27" s="1782"/>
      <c r="U27" s="1782"/>
      <c r="V27" s="1782"/>
      <c r="W27" s="1714"/>
      <c r="X27" s="1782"/>
      <c r="Y27" s="1782"/>
      <c r="Z27" s="1782"/>
      <c r="AA27" s="1781"/>
      <c r="AB27" s="1781"/>
      <c r="AC27" s="1781"/>
      <c r="AD27" s="1781"/>
      <c r="AE27" s="1781"/>
      <c r="AF27" s="1781"/>
      <c r="AK27" s="1558"/>
      <c r="AO27" s="1565"/>
      <c r="AP27" s="1565"/>
      <c r="AQ27" s="1565"/>
      <c r="AR27" s="1565"/>
      <c r="AS27" s="1565"/>
      <c r="AT27" s="1565"/>
      <c r="AU27" s="1565"/>
      <c r="AV27" s="1565"/>
    </row>
    <row r="28" spans="1:48" ht="13.8" thickBot="1">
      <c r="A28" s="1770">
        <f t="shared" si="2"/>
        <v>15</v>
      </c>
      <c r="B28" s="1771">
        <f t="shared" si="8"/>
        <v>77.199538199139866</v>
      </c>
      <c r="C28" s="1772">
        <f t="shared" si="9"/>
        <v>1646.9234815816503</v>
      </c>
      <c r="D28" s="1773">
        <v>0.03</v>
      </c>
      <c r="E28" s="1774" t="e">
        <f t="shared" si="10"/>
        <v>#REF!</v>
      </c>
      <c r="F28" s="1772" t="e">
        <f t="shared" si="14"/>
        <v>#REF!</v>
      </c>
      <c r="G28" s="1775">
        <v>0.02</v>
      </c>
      <c r="H28" s="1771" t="e">
        <f t="shared" si="11"/>
        <v>#REF!</v>
      </c>
      <c r="I28" s="1772" t="e">
        <f t="shared" si="3"/>
        <v>#REF!</v>
      </c>
      <c r="J28" s="1775">
        <v>0.05</v>
      </c>
      <c r="K28" s="1771" t="e">
        <f t="shared" si="4"/>
        <v>#REF!</v>
      </c>
      <c r="L28" s="1776" t="e">
        <f t="shared" si="5"/>
        <v>#REF!</v>
      </c>
      <c r="M28" s="1777" t="e">
        <f t="shared" si="12"/>
        <v>#REF!</v>
      </c>
      <c r="N28" s="1778" t="e">
        <f t="shared" si="13"/>
        <v>#REF!</v>
      </c>
      <c r="O28" s="1779" t="e">
        <f t="shared" si="6"/>
        <v>#REF!</v>
      </c>
      <c r="P28" s="2023">
        <v>0.04</v>
      </c>
      <c r="Q28" s="1768" t="e">
        <f t="shared" si="0"/>
        <v>#REF!</v>
      </c>
      <c r="R28" s="1780" t="e">
        <f t="shared" si="7"/>
        <v>#REF!</v>
      </c>
      <c r="S28" s="1782"/>
      <c r="T28" s="1782"/>
      <c r="U28" s="1782"/>
      <c r="V28" s="1782"/>
      <c r="W28" s="1714"/>
      <c r="X28" s="1782"/>
      <c r="Y28" s="1782"/>
      <c r="Z28" s="1782"/>
      <c r="AA28" s="1781"/>
      <c r="AB28" s="1781"/>
      <c r="AC28" s="1781"/>
      <c r="AD28" s="1781"/>
      <c r="AE28" s="1781"/>
      <c r="AF28" s="1781"/>
      <c r="AK28" s="1558"/>
      <c r="AO28" s="1565"/>
      <c r="AP28" s="1565"/>
      <c r="AQ28" s="1565"/>
      <c r="AR28" s="1565"/>
      <c r="AS28" s="1565"/>
      <c r="AT28" s="1565"/>
      <c r="AU28" s="1565"/>
      <c r="AV28" s="1565"/>
    </row>
    <row r="29" spans="1:48" ht="13.8" thickBot="1">
      <c r="A29" s="1770">
        <f t="shared" si="2"/>
        <v>16</v>
      </c>
      <c r="B29" s="1771">
        <f t="shared" si="8"/>
        <v>77.199538199139866</v>
      </c>
      <c r="C29" s="1772">
        <f t="shared" si="9"/>
        <v>1724.1230197807902</v>
      </c>
      <c r="D29" s="1773">
        <v>0.03</v>
      </c>
      <c r="E29" s="1774" t="e">
        <f t="shared" si="10"/>
        <v>#REF!</v>
      </c>
      <c r="F29" s="1772" t="e">
        <f t="shared" si="14"/>
        <v>#REF!</v>
      </c>
      <c r="G29" s="1775">
        <v>0.02</v>
      </c>
      <c r="H29" s="1771" t="e">
        <f t="shared" si="11"/>
        <v>#REF!</v>
      </c>
      <c r="I29" s="1772" t="e">
        <f t="shared" si="3"/>
        <v>#REF!</v>
      </c>
      <c r="J29" s="1775">
        <v>0.05</v>
      </c>
      <c r="K29" s="1771" t="e">
        <f t="shared" si="4"/>
        <v>#REF!</v>
      </c>
      <c r="L29" s="1776" t="e">
        <f t="shared" si="5"/>
        <v>#REF!</v>
      </c>
      <c r="M29" s="1777" t="e">
        <f t="shared" si="12"/>
        <v>#REF!</v>
      </c>
      <c r="N29" s="1778" t="e">
        <f t="shared" si="13"/>
        <v>#REF!</v>
      </c>
      <c r="O29" s="1779" t="e">
        <f t="shared" si="6"/>
        <v>#REF!</v>
      </c>
      <c r="P29" s="2023">
        <v>0.04</v>
      </c>
      <c r="Q29" s="1768" t="e">
        <f t="shared" si="0"/>
        <v>#REF!</v>
      </c>
      <c r="R29" s="1780" t="e">
        <f t="shared" si="7"/>
        <v>#REF!</v>
      </c>
      <c r="S29" s="1782"/>
      <c r="T29" s="1782"/>
      <c r="U29" s="1782"/>
      <c r="V29" s="1782"/>
      <c r="W29" s="1714"/>
      <c r="X29" s="1782"/>
      <c r="Y29" s="1782"/>
      <c r="Z29" s="1782"/>
      <c r="AA29" s="1781"/>
      <c r="AB29" s="1781"/>
      <c r="AC29" s="1781"/>
      <c r="AD29" s="1781"/>
      <c r="AE29" s="1781"/>
      <c r="AF29" s="1781"/>
      <c r="AK29" s="1558"/>
      <c r="AO29" s="1565"/>
      <c r="AP29" s="1565"/>
      <c r="AQ29" s="1565"/>
      <c r="AR29" s="1565"/>
      <c r="AS29" s="1565"/>
      <c r="AT29" s="1565"/>
      <c r="AU29" s="1565"/>
      <c r="AV29" s="1565"/>
    </row>
    <row r="30" spans="1:48" ht="13.8" thickBot="1">
      <c r="A30" s="1770">
        <f t="shared" si="2"/>
        <v>17</v>
      </c>
      <c r="B30" s="1771">
        <f t="shared" si="8"/>
        <v>77.199538199139866</v>
      </c>
      <c r="C30" s="1772">
        <f t="shared" si="9"/>
        <v>1801.32255797993</v>
      </c>
      <c r="D30" s="1773">
        <v>0.03</v>
      </c>
      <c r="E30" s="1774" t="e">
        <f t="shared" si="10"/>
        <v>#REF!</v>
      </c>
      <c r="F30" s="1772" t="e">
        <f t="shared" si="14"/>
        <v>#REF!</v>
      </c>
      <c r="G30" s="1775">
        <v>0.03</v>
      </c>
      <c r="H30" s="1771" t="e">
        <f t="shared" si="11"/>
        <v>#REF!</v>
      </c>
      <c r="I30" s="1772" t="e">
        <f t="shared" si="3"/>
        <v>#REF!</v>
      </c>
      <c r="J30" s="1775">
        <v>0.05</v>
      </c>
      <c r="K30" s="1771" t="e">
        <f t="shared" si="4"/>
        <v>#REF!</v>
      </c>
      <c r="L30" s="1776" t="e">
        <f t="shared" si="5"/>
        <v>#REF!</v>
      </c>
      <c r="M30" s="1777" t="e">
        <f t="shared" si="12"/>
        <v>#REF!</v>
      </c>
      <c r="N30" s="1778" t="e">
        <f t="shared" si="13"/>
        <v>#REF!</v>
      </c>
      <c r="O30" s="1779" t="e">
        <f t="shared" si="6"/>
        <v>#REF!</v>
      </c>
      <c r="P30" s="2023">
        <v>0.04</v>
      </c>
      <c r="Q30" s="1768" t="e">
        <f t="shared" si="0"/>
        <v>#REF!</v>
      </c>
      <c r="R30" s="1780" t="e">
        <f t="shared" si="7"/>
        <v>#REF!</v>
      </c>
      <c r="S30" s="1782"/>
      <c r="T30" s="1782"/>
      <c r="U30" s="1782"/>
      <c r="V30" s="1782"/>
      <c r="W30" s="1714"/>
      <c r="X30" s="1782"/>
      <c r="Y30" s="1782"/>
      <c r="Z30" s="1782"/>
      <c r="AA30" s="1781"/>
      <c r="AB30" s="1781"/>
      <c r="AC30" s="1781"/>
      <c r="AD30" s="1781"/>
      <c r="AE30" s="1781"/>
      <c r="AF30" s="1781"/>
      <c r="AK30" s="1558"/>
      <c r="AO30" s="1565"/>
      <c r="AP30" s="1565"/>
      <c r="AQ30" s="1565"/>
      <c r="AR30" s="1565"/>
      <c r="AS30" s="1565"/>
      <c r="AT30" s="1565"/>
      <c r="AU30" s="1565"/>
      <c r="AV30" s="1565"/>
    </row>
    <row r="31" spans="1:48" ht="13.8" thickBot="1">
      <c r="A31" s="1770">
        <f t="shared" si="2"/>
        <v>18</v>
      </c>
      <c r="B31" s="1771">
        <f t="shared" si="8"/>
        <v>514.66358799426587</v>
      </c>
      <c r="C31" s="1772">
        <f t="shared" si="9"/>
        <v>2315.986145974196</v>
      </c>
      <c r="D31" s="1773">
        <v>0.2</v>
      </c>
      <c r="E31" s="1774" t="e">
        <f t="shared" si="10"/>
        <v>#REF!</v>
      </c>
      <c r="F31" s="1772" t="e">
        <f t="shared" si="14"/>
        <v>#REF!</v>
      </c>
      <c r="G31" s="1775">
        <v>0.02</v>
      </c>
      <c r="H31" s="1771" t="e">
        <f t="shared" si="11"/>
        <v>#REF!</v>
      </c>
      <c r="I31" s="1772" t="e">
        <f t="shared" si="3"/>
        <v>#REF!</v>
      </c>
      <c r="J31" s="1775">
        <v>0.1</v>
      </c>
      <c r="K31" s="1771" t="e">
        <f t="shared" si="4"/>
        <v>#REF!</v>
      </c>
      <c r="L31" s="1776" t="e">
        <f t="shared" si="5"/>
        <v>#REF!</v>
      </c>
      <c r="M31" s="1777" t="e">
        <f t="shared" si="12"/>
        <v>#REF!</v>
      </c>
      <c r="N31" s="1778" t="e">
        <f t="shared" si="13"/>
        <v>#REF!</v>
      </c>
      <c r="O31" s="1779" t="e">
        <f t="shared" si="6"/>
        <v>#REF!</v>
      </c>
      <c r="P31" s="2023">
        <v>0.04</v>
      </c>
      <c r="Q31" s="1768" t="e">
        <f t="shared" si="0"/>
        <v>#REF!</v>
      </c>
      <c r="R31" s="1780" t="e">
        <f t="shared" si="7"/>
        <v>#REF!</v>
      </c>
      <c r="S31" s="1782"/>
      <c r="T31" s="1782"/>
      <c r="U31" s="1782"/>
      <c r="V31" s="1782"/>
      <c r="W31" s="1714"/>
      <c r="X31" s="1782"/>
      <c r="Y31" s="1782"/>
      <c r="Z31" s="1782"/>
      <c r="AA31" s="1781"/>
      <c r="AB31" s="1781"/>
      <c r="AC31" s="1781"/>
      <c r="AD31" s="1781"/>
      <c r="AE31" s="1781"/>
      <c r="AF31" s="1781"/>
      <c r="AK31" s="1558"/>
      <c r="AO31" s="1565"/>
      <c r="AP31" s="1565"/>
      <c r="AQ31" s="1565"/>
      <c r="AR31" s="1565"/>
      <c r="AS31" s="1565"/>
      <c r="AT31" s="1565"/>
      <c r="AU31" s="1565"/>
      <c r="AV31" s="1565"/>
    </row>
    <row r="32" spans="1:48" ht="13.8" thickBot="1">
      <c r="A32" s="1770">
        <f t="shared" si="2"/>
        <v>19</v>
      </c>
      <c r="B32" s="1771">
        <f t="shared" si="8"/>
        <v>0</v>
      </c>
      <c r="C32" s="1772">
        <f t="shared" si="9"/>
        <v>2315.986145974196</v>
      </c>
      <c r="D32" s="1773">
        <v>0</v>
      </c>
      <c r="E32" s="1774" t="e">
        <f t="shared" si="10"/>
        <v>#REF!</v>
      </c>
      <c r="F32" s="1772" t="e">
        <f t="shared" si="14"/>
        <v>#REF!</v>
      </c>
      <c r="G32" s="1775">
        <v>0.02</v>
      </c>
      <c r="H32" s="1771" t="e">
        <f t="shared" si="11"/>
        <v>#REF!</v>
      </c>
      <c r="I32" s="1772" t="e">
        <f t="shared" si="3"/>
        <v>#REF!</v>
      </c>
      <c r="J32" s="1775">
        <v>0</v>
      </c>
      <c r="K32" s="1771" t="e">
        <f t="shared" si="4"/>
        <v>#REF!</v>
      </c>
      <c r="L32" s="1776" t="e">
        <f t="shared" si="5"/>
        <v>#REF!</v>
      </c>
      <c r="M32" s="1777" t="e">
        <f t="shared" si="12"/>
        <v>#REF!</v>
      </c>
      <c r="N32" s="1778" t="e">
        <f t="shared" si="13"/>
        <v>#REF!</v>
      </c>
      <c r="O32" s="1779" t="e">
        <f t="shared" si="6"/>
        <v>#REF!</v>
      </c>
      <c r="P32" s="2023">
        <v>0.04</v>
      </c>
      <c r="Q32" s="1768" t="e">
        <f t="shared" si="0"/>
        <v>#REF!</v>
      </c>
      <c r="R32" s="1780" t="e">
        <f t="shared" si="7"/>
        <v>#REF!</v>
      </c>
      <c r="S32" s="1782"/>
      <c r="T32" s="1782"/>
      <c r="U32" s="1782"/>
      <c r="V32" s="1782"/>
      <c r="W32" s="1714"/>
      <c r="X32" s="1782"/>
      <c r="Y32" s="1782"/>
      <c r="Z32" s="1782"/>
      <c r="AA32" s="1781"/>
      <c r="AB32" s="1781"/>
      <c r="AC32" s="1781"/>
      <c r="AD32" s="1781"/>
      <c r="AE32" s="1781"/>
      <c r="AF32" s="1781"/>
      <c r="AK32" s="1558"/>
      <c r="AO32" s="1565"/>
      <c r="AP32" s="1565"/>
      <c r="AQ32" s="1565"/>
      <c r="AR32" s="1565"/>
      <c r="AS32" s="1565"/>
      <c r="AT32" s="1565"/>
      <c r="AU32" s="1565"/>
      <c r="AV32" s="1565"/>
    </row>
    <row r="33" spans="1:48" ht="13.8" thickBot="1">
      <c r="A33" s="1770">
        <f t="shared" si="2"/>
        <v>20</v>
      </c>
      <c r="B33" s="1771">
        <f t="shared" si="8"/>
        <v>0</v>
      </c>
      <c r="C33" s="1772">
        <f t="shared" si="9"/>
        <v>2315.986145974196</v>
      </c>
      <c r="D33" s="1773">
        <v>0</v>
      </c>
      <c r="E33" s="1774" t="e">
        <f t="shared" si="10"/>
        <v>#REF!</v>
      </c>
      <c r="F33" s="1772" t="e">
        <f t="shared" si="14"/>
        <v>#REF!</v>
      </c>
      <c r="G33" s="1775">
        <v>0.05</v>
      </c>
      <c r="H33" s="1771" t="e">
        <f t="shared" si="11"/>
        <v>#REF!</v>
      </c>
      <c r="I33" s="1772" t="e">
        <f t="shared" si="3"/>
        <v>#REF!</v>
      </c>
      <c r="J33" s="1775">
        <v>0</v>
      </c>
      <c r="K33" s="1771" t="e">
        <f t="shared" si="4"/>
        <v>#REF!</v>
      </c>
      <c r="L33" s="1776" t="e">
        <f t="shared" si="5"/>
        <v>#REF!</v>
      </c>
      <c r="M33" s="1777" t="e">
        <f t="shared" si="12"/>
        <v>#REF!</v>
      </c>
      <c r="N33" s="1778" t="e">
        <f t="shared" si="13"/>
        <v>#REF!</v>
      </c>
      <c r="O33" s="1779" t="e">
        <f t="shared" si="6"/>
        <v>#REF!</v>
      </c>
      <c r="P33" s="2023">
        <v>0.04</v>
      </c>
      <c r="Q33" s="1768" t="e">
        <f t="shared" si="0"/>
        <v>#REF!</v>
      </c>
      <c r="R33" s="1780" t="e">
        <f t="shared" si="7"/>
        <v>#REF!</v>
      </c>
      <c r="S33" s="1782"/>
      <c r="T33" s="1782"/>
      <c r="U33" s="1782"/>
      <c r="V33" s="1782"/>
      <c r="W33" s="1714"/>
      <c r="X33" s="1782"/>
      <c r="Y33" s="1782"/>
      <c r="Z33" s="1782"/>
      <c r="AA33" s="1781"/>
      <c r="AB33" s="1781"/>
      <c r="AC33" s="1781"/>
      <c r="AD33" s="1781"/>
      <c r="AE33" s="1781"/>
      <c r="AF33" s="1781"/>
      <c r="AK33" s="1558"/>
      <c r="AO33" s="1565"/>
      <c r="AP33" s="1565"/>
      <c r="AQ33" s="1565"/>
      <c r="AR33" s="1565"/>
      <c r="AS33" s="1565"/>
      <c r="AT33" s="1565"/>
      <c r="AU33" s="1565"/>
      <c r="AV33" s="1565"/>
    </row>
    <row r="34" spans="1:48" ht="13.8" thickBot="1">
      <c r="A34" s="1770">
        <f t="shared" si="2"/>
        <v>21</v>
      </c>
      <c r="B34" s="1771">
        <f t="shared" si="8"/>
        <v>0</v>
      </c>
      <c r="C34" s="1772">
        <f t="shared" si="9"/>
        <v>2315.986145974196</v>
      </c>
      <c r="D34" s="1773">
        <v>0</v>
      </c>
      <c r="E34" s="1774" t="e">
        <f t="shared" si="10"/>
        <v>#REF!</v>
      </c>
      <c r="F34" s="1772" t="e">
        <f t="shared" si="14"/>
        <v>#REF!</v>
      </c>
      <c r="G34" s="1775">
        <v>0.05</v>
      </c>
      <c r="H34" s="1771" t="e">
        <f t="shared" si="11"/>
        <v>#REF!</v>
      </c>
      <c r="I34" s="1772" t="e">
        <f t="shared" si="3"/>
        <v>#REF!</v>
      </c>
      <c r="J34" s="1775">
        <v>0</v>
      </c>
      <c r="K34" s="1771" t="e">
        <f t="shared" si="4"/>
        <v>#REF!</v>
      </c>
      <c r="L34" s="1776" t="e">
        <f t="shared" si="5"/>
        <v>#REF!</v>
      </c>
      <c r="M34" s="1777" t="e">
        <f t="shared" si="12"/>
        <v>#REF!</v>
      </c>
      <c r="N34" s="1778" t="e">
        <f t="shared" si="13"/>
        <v>#REF!</v>
      </c>
      <c r="O34" s="1779" t="e">
        <f t="shared" si="6"/>
        <v>#REF!</v>
      </c>
      <c r="P34" s="2023">
        <v>0.04</v>
      </c>
      <c r="Q34" s="1768" t="e">
        <f t="shared" si="0"/>
        <v>#REF!</v>
      </c>
      <c r="R34" s="1780" t="e">
        <f t="shared" si="7"/>
        <v>#REF!</v>
      </c>
      <c r="S34" s="1782"/>
      <c r="T34" s="1782"/>
      <c r="U34" s="1782"/>
      <c r="V34" s="1782"/>
      <c r="W34" s="1714"/>
      <c r="X34" s="1782"/>
      <c r="Y34" s="1782"/>
      <c r="Z34" s="1782"/>
      <c r="AA34" s="1781"/>
      <c r="AB34" s="1781"/>
      <c r="AC34" s="1781"/>
      <c r="AD34" s="1781"/>
      <c r="AE34" s="1781"/>
      <c r="AF34" s="1781"/>
      <c r="AK34" s="1558"/>
      <c r="AO34" s="1565"/>
      <c r="AP34" s="1565"/>
      <c r="AQ34" s="1565"/>
      <c r="AR34" s="1565"/>
      <c r="AS34" s="1565"/>
      <c r="AT34" s="1565"/>
      <c r="AU34" s="1565"/>
      <c r="AV34" s="1565"/>
    </row>
    <row r="35" spans="1:48" ht="13.8" thickBot="1">
      <c r="A35" s="1770">
        <f t="shared" si="2"/>
        <v>22</v>
      </c>
      <c r="B35" s="1771">
        <f t="shared" si="8"/>
        <v>0</v>
      </c>
      <c r="C35" s="1772">
        <f t="shared" si="9"/>
        <v>2315.986145974196</v>
      </c>
      <c r="D35" s="1773">
        <v>0</v>
      </c>
      <c r="E35" s="1774" t="e">
        <f t="shared" si="10"/>
        <v>#REF!</v>
      </c>
      <c r="F35" s="1772" t="e">
        <f t="shared" si="14"/>
        <v>#REF!</v>
      </c>
      <c r="G35" s="1775">
        <v>0.15</v>
      </c>
      <c r="H35" s="1771" t="e">
        <f t="shared" si="11"/>
        <v>#REF!</v>
      </c>
      <c r="I35" s="1772" t="e">
        <f t="shared" si="3"/>
        <v>#REF!</v>
      </c>
      <c r="J35" s="1775">
        <v>0</v>
      </c>
      <c r="K35" s="1771" t="e">
        <f t="shared" si="4"/>
        <v>#REF!</v>
      </c>
      <c r="L35" s="1776" t="e">
        <f t="shared" si="5"/>
        <v>#REF!</v>
      </c>
      <c r="M35" s="1777" t="e">
        <f t="shared" si="12"/>
        <v>#REF!</v>
      </c>
      <c r="N35" s="1778" t="e">
        <f t="shared" si="13"/>
        <v>#REF!</v>
      </c>
      <c r="O35" s="1779" t="e">
        <f t="shared" si="6"/>
        <v>#REF!</v>
      </c>
      <c r="P35" s="2023">
        <v>3.5000000000000003E-2</v>
      </c>
      <c r="Q35" s="1768" t="e">
        <f t="shared" si="0"/>
        <v>#REF!</v>
      </c>
      <c r="R35" s="1780" t="e">
        <f t="shared" si="7"/>
        <v>#REF!</v>
      </c>
      <c r="S35" s="1782"/>
      <c r="T35" s="1782"/>
      <c r="U35" s="1782"/>
      <c r="V35" s="1782"/>
      <c r="W35" s="1714"/>
      <c r="X35" s="1782"/>
      <c r="Y35" s="1782"/>
      <c r="Z35" s="1782"/>
      <c r="AA35" s="1781"/>
      <c r="AB35" s="1781"/>
      <c r="AC35" s="1781"/>
      <c r="AD35" s="1781"/>
      <c r="AE35" s="1781"/>
      <c r="AF35" s="1781"/>
      <c r="AK35" s="1558"/>
      <c r="AO35" s="1565"/>
      <c r="AP35" s="1565"/>
      <c r="AQ35" s="1565"/>
      <c r="AR35" s="1565"/>
      <c r="AS35" s="1565"/>
      <c r="AT35" s="1565"/>
      <c r="AU35" s="1565"/>
      <c r="AV35" s="1565"/>
    </row>
    <row r="36" spans="1:48" ht="13.8" thickBot="1">
      <c r="A36" s="1770">
        <f t="shared" si="2"/>
        <v>23</v>
      </c>
      <c r="B36" s="1771">
        <f t="shared" si="8"/>
        <v>0</v>
      </c>
      <c r="C36" s="1772">
        <f t="shared" si="9"/>
        <v>2315.986145974196</v>
      </c>
      <c r="D36" s="1773">
        <v>0</v>
      </c>
      <c r="E36" s="1774" t="e">
        <f t="shared" si="10"/>
        <v>#REF!</v>
      </c>
      <c r="F36" s="1772" t="e">
        <f t="shared" si="14"/>
        <v>#REF!</v>
      </c>
      <c r="G36" s="1775">
        <v>0</v>
      </c>
      <c r="H36" s="1771" t="e">
        <f t="shared" si="11"/>
        <v>#REF!</v>
      </c>
      <c r="I36" s="1772" t="e">
        <f t="shared" si="3"/>
        <v>#REF!</v>
      </c>
      <c r="J36" s="1775">
        <v>0</v>
      </c>
      <c r="K36" s="1771" t="e">
        <f t="shared" si="4"/>
        <v>#REF!</v>
      </c>
      <c r="L36" s="1776" t="e">
        <f t="shared" si="5"/>
        <v>#REF!</v>
      </c>
      <c r="M36" s="1777" t="e">
        <f t="shared" si="12"/>
        <v>#REF!</v>
      </c>
      <c r="N36" s="1778" t="e">
        <f t="shared" si="13"/>
        <v>#REF!</v>
      </c>
      <c r="O36" s="1779" t="e">
        <f t="shared" si="6"/>
        <v>#REF!</v>
      </c>
      <c r="P36" s="2023">
        <v>3.5000000000000003E-2</v>
      </c>
      <c r="Q36" s="1768" t="e">
        <f t="shared" si="0"/>
        <v>#REF!</v>
      </c>
      <c r="R36" s="1780" t="e">
        <f t="shared" si="7"/>
        <v>#REF!</v>
      </c>
      <c r="S36" s="1782"/>
      <c r="T36" s="1782"/>
      <c r="U36" s="1782"/>
      <c r="V36" s="1782"/>
      <c r="W36" s="1714"/>
      <c r="X36" s="1782"/>
      <c r="Y36" s="1782"/>
      <c r="Z36" s="1782"/>
      <c r="AA36" s="1781"/>
      <c r="AB36" s="1781"/>
      <c r="AC36" s="1781"/>
      <c r="AD36" s="1781"/>
      <c r="AE36" s="1781"/>
      <c r="AF36" s="1781"/>
      <c r="AK36" s="1558"/>
      <c r="AO36" s="1565"/>
      <c r="AP36" s="1565"/>
      <c r="AQ36" s="1565"/>
      <c r="AR36" s="1565"/>
      <c r="AS36" s="1565"/>
      <c r="AT36" s="1565"/>
      <c r="AU36" s="1565"/>
      <c r="AV36" s="1565"/>
    </row>
    <row r="37" spans="1:48" ht="13.8" thickBot="1">
      <c r="A37" s="1770">
        <f t="shared" si="2"/>
        <v>24</v>
      </c>
      <c r="B37" s="1771">
        <f t="shared" si="8"/>
        <v>0</v>
      </c>
      <c r="C37" s="1772">
        <f t="shared" si="9"/>
        <v>2315.986145974196</v>
      </c>
      <c r="D37" s="1773">
        <v>0</v>
      </c>
      <c r="E37" s="1774" t="e">
        <f t="shared" si="10"/>
        <v>#REF!</v>
      </c>
      <c r="F37" s="1772" t="e">
        <f t="shared" si="14"/>
        <v>#REF!</v>
      </c>
      <c r="G37" s="1775">
        <v>0</v>
      </c>
      <c r="H37" s="1771" t="e">
        <f t="shared" si="11"/>
        <v>#REF!</v>
      </c>
      <c r="I37" s="1772" t="e">
        <f t="shared" si="3"/>
        <v>#REF!</v>
      </c>
      <c r="J37" s="1775">
        <v>0</v>
      </c>
      <c r="K37" s="1771" t="e">
        <f t="shared" si="4"/>
        <v>#REF!</v>
      </c>
      <c r="L37" s="1776" t="e">
        <f t="shared" si="5"/>
        <v>#REF!</v>
      </c>
      <c r="M37" s="1777" t="e">
        <f t="shared" si="12"/>
        <v>#REF!</v>
      </c>
      <c r="N37" s="1778" t="e">
        <f t="shared" si="13"/>
        <v>#REF!</v>
      </c>
      <c r="O37" s="1779" t="e">
        <f t="shared" si="6"/>
        <v>#REF!</v>
      </c>
      <c r="P37" s="2023">
        <v>0.03</v>
      </c>
      <c r="Q37" s="1768" t="e">
        <f t="shared" si="0"/>
        <v>#REF!</v>
      </c>
      <c r="R37" s="1780" t="e">
        <f t="shared" si="7"/>
        <v>#REF!</v>
      </c>
      <c r="S37" s="1782"/>
      <c r="T37" s="1782"/>
      <c r="U37" s="1782"/>
      <c r="V37" s="1782"/>
      <c r="W37" s="1782"/>
      <c r="X37" s="1782"/>
      <c r="Y37" s="1782"/>
      <c r="Z37" s="1782"/>
      <c r="AA37" s="1782"/>
      <c r="AB37" s="1782"/>
      <c r="AC37" s="1782"/>
      <c r="AD37" s="1782"/>
      <c r="AE37" s="1782"/>
      <c r="AF37" s="1782"/>
    </row>
    <row r="38" spans="1:48" ht="13.8" thickBot="1">
      <c r="A38" s="1770">
        <f t="shared" si="2"/>
        <v>25</v>
      </c>
      <c r="B38" s="1771">
        <f t="shared" si="8"/>
        <v>0</v>
      </c>
      <c r="C38" s="1772">
        <f t="shared" si="9"/>
        <v>2315.986145974196</v>
      </c>
      <c r="D38" s="1773">
        <v>0</v>
      </c>
      <c r="E38" s="1774" t="e">
        <f t="shared" si="10"/>
        <v>#REF!</v>
      </c>
      <c r="F38" s="1772" t="e">
        <f t="shared" si="14"/>
        <v>#REF!</v>
      </c>
      <c r="G38" s="1775">
        <v>0</v>
      </c>
      <c r="H38" s="1771" t="e">
        <f t="shared" si="11"/>
        <v>#REF!</v>
      </c>
      <c r="I38" s="1772" t="e">
        <f t="shared" si="3"/>
        <v>#REF!</v>
      </c>
      <c r="J38" s="1775">
        <v>0</v>
      </c>
      <c r="K38" s="1771" t="e">
        <f t="shared" si="4"/>
        <v>#REF!</v>
      </c>
      <c r="L38" s="1776" t="e">
        <f t="shared" si="5"/>
        <v>#REF!</v>
      </c>
      <c r="M38" s="1777" t="e">
        <f t="shared" si="12"/>
        <v>#REF!</v>
      </c>
      <c r="N38" s="1778" t="e">
        <f t="shared" si="13"/>
        <v>#REF!</v>
      </c>
      <c r="O38" s="1779" t="e">
        <f t="shared" si="6"/>
        <v>#REF!</v>
      </c>
      <c r="P38" s="2023">
        <v>0.03</v>
      </c>
      <c r="Q38" s="1768" t="e">
        <f t="shared" si="0"/>
        <v>#REF!</v>
      </c>
      <c r="R38" s="1780" t="e">
        <f t="shared" si="7"/>
        <v>#REF!</v>
      </c>
      <c r="S38" s="1782"/>
      <c r="T38" s="1782"/>
      <c r="U38" s="1782"/>
      <c r="V38" s="1782"/>
      <c r="W38" s="1782"/>
      <c r="X38" s="1782"/>
      <c r="Y38" s="1782"/>
      <c r="Z38" s="1782"/>
      <c r="AA38" s="1782"/>
      <c r="AB38" s="1782"/>
      <c r="AC38" s="1782"/>
      <c r="AD38" s="1782"/>
      <c r="AE38" s="1782"/>
      <c r="AF38" s="1782"/>
    </row>
    <row r="39" spans="1:48" ht="13.8" thickBot="1">
      <c r="A39" s="1770">
        <f t="shared" si="2"/>
        <v>26</v>
      </c>
      <c r="B39" s="1771">
        <f t="shared" si="8"/>
        <v>0</v>
      </c>
      <c r="C39" s="1772">
        <f t="shared" si="9"/>
        <v>2315.986145974196</v>
      </c>
      <c r="D39" s="1773">
        <v>0</v>
      </c>
      <c r="E39" s="1774" t="e">
        <f t="shared" si="10"/>
        <v>#REF!</v>
      </c>
      <c r="F39" s="1772" t="e">
        <f t="shared" si="14"/>
        <v>#REF!</v>
      </c>
      <c r="G39" s="1775">
        <v>0</v>
      </c>
      <c r="H39" s="1771" t="e">
        <f t="shared" si="11"/>
        <v>#REF!</v>
      </c>
      <c r="I39" s="1772" t="e">
        <f t="shared" si="3"/>
        <v>#REF!</v>
      </c>
      <c r="J39" s="1775">
        <v>0</v>
      </c>
      <c r="K39" s="1771" t="e">
        <f t="shared" si="4"/>
        <v>#REF!</v>
      </c>
      <c r="L39" s="1776" t="e">
        <f t="shared" si="5"/>
        <v>#REF!</v>
      </c>
      <c r="M39" s="1777" t="e">
        <f t="shared" si="12"/>
        <v>#REF!</v>
      </c>
      <c r="N39" s="1778" t="e">
        <f t="shared" si="13"/>
        <v>#REF!</v>
      </c>
      <c r="O39" s="1779" t="e">
        <f t="shared" si="6"/>
        <v>#REF!</v>
      </c>
      <c r="P39" s="2023">
        <v>0.03</v>
      </c>
      <c r="Q39" s="1768" t="e">
        <f t="shared" si="0"/>
        <v>#REF!</v>
      </c>
      <c r="R39" s="1780" t="e">
        <f t="shared" si="7"/>
        <v>#REF!</v>
      </c>
      <c r="S39" s="1782"/>
      <c r="T39" s="1782"/>
      <c r="U39" s="1782"/>
      <c r="V39" s="1782"/>
      <c r="W39" s="1782"/>
      <c r="X39" s="1782"/>
      <c r="Y39" s="1782"/>
      <c r="Z39" s="1782"/>
      <c r="AA39" s="1782"/>
      <c r="AB39" s="1782"/>
      <c r="AC39" s="1782"/>
      <c r="AD39" s="1782"/>
      <c r="AE39" s="1782"/>
      <c r="AF39" s="1782"/>
    </row>
    <row r="40" spans="1:48" ht="13.8" thickBot="1">
      <c r="A40" s="1770">
        <f t="shared" si="2"/>
        <v>27</v>
      </c>
      <c r="B40" s="1771">
        <f t="shared" si="8"/>
        <v>0</v>
      </c>
      <c r="C40" s="1772">
        <f t="shared" si="9"/>
        <v>2315.986145974196</v>
      </c>
      <c r="D40" s="1773">
        <v>0</v>
      </c>
      <c r="E40" s="1774" t="e">
        <f t="shared" si="10"/>
        <v>#REF!</v>
      </c>
      <c r="F40" s="1772" t="e">
        <f t="shared" si="14"/>
        <v>#REF!</v>
      </c>
      <c r="G40" s="1775">
        <v>0</v>
      </c>
      <c r="H40" s="1771" t="e">
        <f t="shared" si="11"/>
        <v>#REF!</v>
      </c>
      <c r="I40" s="1772" t="e">
        <f t="shared" si="3"/>
        <v>#REF!</v>
      </c>
      <c r="J40" s="1775">
        <v>0</v>
      </c>
      <c r="K40" s="1771" t="e">
        <f t="shared" si="4"/>
        <v>#REF!</v>
      </c>
      <c r="L40" s="1776" t="e">
        <f t="shared" si="5"/>
        <v>#REF!</v>
      </c>
      <c r="M40" s="1777" t="e">
        <f t="shared" si="12"/>
        <v>#REF!</v>
      </c>
      <c r="N40" s="1778" t="e">
        <f t="shared" si="13"/>
        <v>#REF!</v>
      </c>
      <c r="O40" s="1779" t="e">
        <f t="shared" si="6"/>
        <v>#REF!</v>
      </c>
      <c r="P40" s="2023">
        <v>0.03</v>
      </c>
      <c r="Q40" s="1768" t="e">
        <f t="shared" si="0"/>
        <v>#REF!</v>
      </c>
      <c r="R40" s="1780" t="e">
        <f t="shared" si="7"/>
        <v>#REF!</v>
      </c>
      <c r="S40" s="1782"/>
      <c r="T40" s="1782"/>
      <c r="U40" s="1782"/>
      <c r="V40" s="1782"/>
      <c r="W40" s="1714"/>
      <c r="X40" s="1782"/>
      <c r="Y40" s="1782"/>
      <c r="Z40" s="1782"/>
      <c r="AA40" s="1781"/>
      <c r="AB40" s="1781"/>
      <c r="AC40" s="1781"/>
      <c r="AD40" s="1781"/>
      <c r="AE40" s="1781"/>
      <c r="AF40" s="1781"/>
      <c r="AK40" s="1558"/>
      <c r="AO40" s="1565"/>
      <c r="AP40" s="1565"/>
      <c r="AQ40" s="1565"/>
      <c r="AR40" s="1565"/>
      <c r="AS40" s="1565"/>
      <c r="AT40" s="1565"/>
      <c r="AU40" s="1565"/>
      <c r="AV40" s="1565"/>
    </row>
    <row r="41" spans="1:48" ht="13.8" thickBot="1">
      <c r="A41" s="1770">
        <f t="shared" si="2"/>
        <v>28</v>
      </c>
      <c r="B41" s="1771">
        <f t="shared" si="8"/>
        <v>0</v>
      </c>
      <c r="C41" s="1772">
        <f t="shared" si="9"/>
        <v>2315.986145974196</v>
      </c>
      <c r="D41" s="1773">
        <v>0</v>
      </c>
      <c r="E41" s="1774" t="e">
        <f t="shared" si="10"/>
        <v>#REF!</v>
      </c>
      <c r="F41" s="1772" t="e">
        <f t="shared" si="14"/>
        <v>#REF!</v>
      </c>
      <c r="G41" s="1775">
        <v>0</v>
      </c>
      <c r="H41" s="1771" t="e">
        <f t="shared" si="11"/>
        <v>#REF!</v>
      </c>
      <c r="I41" s="1772" t="e">
        <f t="shared" si="3"/>
        <v>#REF!</v>
      </c>
      <c r="J41" s="1775">
        <v>0</v>
      </c>
      <c r="K41" s="1771" t="e">
        <f t="shared" si="4"/>
        <v>#REF!</v>
      </c>
      <c r="L41" s="1776" t="e">
        <f t="shared" si="5"/>
        <v>#REF!</v>
      </c>
      <c r="M41" s="1777" t="e">
        <f t="shared" si="12"/>
        <v>#REF!</v>
      </c>
      <c r="N41" s="1778" t="e">
        <f t="shared" si="13"/>
        <v>#REF!</v>
      </c>
      <c r="O41" s="1779" t="e">
        <f t="shared" si="6"/>
        <v>#REF!</v>
      </c>
      <c r="P41" s="2023">
        <v>2.5000000000000001E-2</v>
      </c>
      <c r="Q41" s="1768" t="e">
        <f t="shared" si="0"/>
        <v>#REF!</v>
      </c>
      <c r="R41" s="1780" t="e">
        <f t="shared" si="7"/>
        <v>#REF!</v>
      </c>
      <c r="S41" s="1782"/>
      <c r="T41" s="1782"/>
      <c r="U41" s="1782"/>
      <c r="V41" s="1782"/>
      <c r="W41" s="1782"/>
      <c r="X41" s="1782"/>
      <c r="Y41" s="1782"/>
      <c r="Z41" s="1782"/>
      <c r="AA41" s="1782"/>
      <c r="AB41" s="1782"/>
      <c r="AC41" s="1782"/>
      <c r="AD41" s="1782"/>
      <c r="AE41" s="1782"/>
      <c r="AF41" s="1782"/>
    </row>
    <row r="42" spans="1:48" ht="13.8" thickBot="1">
      <c r="A42" s="1770">
        <f t="shared" si="2"/>
        <v>29</v>
      </c>
      <c r="B42" s="1771">
        <f t="shared" si="8"/>
        <v>0</v>
      </c>
      <c r="C42" s="1772">
        <f t="shared" si="9"/>
        <v>2315.986145974196</v>
      </c>
      <c r="D42" s="1773">
        <v>0</v>
      </c>
      <c r="E42" s="1774" t="e">
        <f t="shared" si="10"/>
        <v>#REF!</v>
      </c>
      <c r="F42" s="1772" t="e">
        <f t="shared" si="14"/>
        <v>#REF!</v>
      </c>
      <c r="G42" s="1775">
        <v>0</v>
      </c>
      <c r="H42" s="1771" t="e">
        <f t="shared" si="11"/>
        <v>#REF!</v>
      </c>
      <c r="I42" s="1772" t="e">
        <f t="shared" si="3"/>
        <v>#REF!</v>
      </c>
      <c r="J42" s="1775">
        <v>0</v>
      </c>
      <c r="K42" s="1771" t="e">
        <f t="shared" si="4"/>
        <v>#REF!</v>
      </c>
      <c r="L42" s="1776" t="e">
        <f t="shared" si="5"/>
        <v>#REF!</v>
      </c>
      <c r="M42" s="1777" t="e">
        <f t="shared" si="12"/>
        <v>#REF!</v>
      </c>
      <c r="N42" s="1778" t="e">
        <f t="shared" si="13"/>
        <v>#REF!</v>
      </c>
      <c r="O42" s="1779" t="e">
        <f t="shared" si="6"/>
        <v>#REF!</v>
      </c>
      <c r="P42" s="2023">
        <v>2.5000000000000001E-2</v>
      </c>
      <c r="Q42" s="1768" t="e">
        <f t="shared" si="0"/>
        <v>#REF!</v>
      </c>
      <c r="R42" s="1780" t="e">
        <f t="shared" si="7"/>
        <v>#REF!</v>
      </c>
      <c r="S42" s="1782"/>
      <c r="T42" s="1782"/>
      <c r="U42" s="1782"/>
      <c r="V42" s="1782"/>
      <c r="W42" s="1782"/>
      <c r="X42" s="1782"/>
      <c r="Y42" s="1782"/>
      <c r="Z42" s="1782"/>
      <c r="AA42" s="1782"/>
      <c r="AB42" s="1782"/>
      <c r="AC42" s="1782"/>
      <c r="AD42" s="1782"/>
      <c r="AE42" s="1782"/>
      <c r="AF42" s="1782"/>
    </row>
    <row r="43" spans="1:48" ht="13.8" thickBot="1">
      <c r="A43" s="1770">
        <f t="shared" si="2"/>
        <v>30</v>
      </c>
      <c r="B43" s="1771">
        <f t="shared" si="8"/>
        <v>0</v>
      </c>
      <c r="C43" s="1772">
        <f t="shared" si="9"/>
        <v>2315.986145974196</v>
      </c>
      <c r="D43" s="1773">
        <v>0</v>
      </c>
      <c r="E43" s="1774" t="e">
        <f t="shared" si="10"/>
        <v>#REF!</v>
      </c>
      <c r="F43" s="1772" t="e">
        <f t="shared" si="14"/>
        <v>#REF!</v>
      </c>
      <c r="G43" s="1775">
        <v>0</v>
      </c>
      <c r="H43" s="1771" t="e">
        <f t="shared" si="11"/>
        <v>#REF!</v>
      </c>
      <c r="I43" s="1772" t="e">
        <f t="shared" si="3"/>
        <v>#REF!</v>
      </c>
      <c r="J43" s="1775">
        <v>0</v>
      </c>
      <c r="K43" s="1771" t="e">
        <f t="shared" si="4"/>
        <v>#REF!</v>
      </c>
      <c r="L43" s="1776" t="e">
        <f t="shared" si="5"/>
        <v>#REF!</v>
      </c>
      <c r="M43" s="1777" t="e">
        <f t="shared" si="12"/>
        <v>#REF!</v>
      </c>
      <c r="N43" s="1778" t="e">
        <f t="shared" si="13"/>
        <v>#REF!</v>
      </c>
      <c r="O43" s="1779" t="e">
        <f t="shared" si="6"/>
        <v>#REF!</v>
      </c>
      <c r="P43" s="2023">
        <v>0.02</v>
      </c>
      <c r="Q43" s="1768" t="e">
        <f t="shared" si="0"/>
        <v>#REF!</v>
      </c>
      <c r="R43" s="1780" t="e">
        <f t="shared" si="7"/>
        <v>#REF!</v>
      </c>
      <c r="S43" s="1782"/>
      <c r="T43" s="1782"/>
      <c r="U43" s="1782"/>
      <c r="V43" s="1782"/>
      <c r="W43" s="1782"/>
      <c r="X43" s="1782"/>
      <c r="Y43" s="1782"/>
      <c r="Z43" s="1782"/>
      <c r="AA43" s="1782"/>
      <c r="AB43" s="1782"/>
      <c r="AC43" s="1782"/>
      <c r="AD43" s="1782"/>
      <c r="AE43" s="1782"/>
      <c r="AF43" s="1782"/>
    </row>
    <row r="44" spans="1:48" ht="13.8" thickBot="1">
      <c r="A44" s="1770">
        <f t="shared" si="2"/>
        <v>31</v>
      </c>
      <c r="B44" s="1771">
        <f t="shared" si="8"/>
        <v>0</v>
      </c>
      <c r="C44" s="1772">
        <f t="shared" si="9"/>
        <v>2315.986145974196</v>
      </c>
      <c r="D44" s="1773">
        <v>0</v>
      </c>
      <c r="E44" s="1774" t="e">
        <f t="shared" si="10"/>
        <v>#REF!</v>
      </c>
      <c r="F44" s="1772" t="e">
        <f t="shared" si="14"/>
        <v>#REF!</v>
      </c>
      <c r="G44" s="1775">
        <v>0</v>
      </c>
      <c r="H44" s="1771" t="e">
        <f t="shared" si="11"/>
        <v>#REF!</v>
      </c>
      <c r="I44" s="1772" t="e">
        <f t="shared" si="3"/>
        <v>#REF!</v>
      </c>
      <c r="J44" s="1775">
        <v>0</v>
      </c>
      <c r="K44" s="1771" t="e">
        <f t="shared" si="4"/>
        <v>#REF!</v>
      </c>
      <c r="L44" s="1776" t="e">
        <f t="shared" si="5"/>
        <v>#REF!</v>
      </c>
      <c r="M44" s="1777" t="e">
        <f t="shared" si="12"/>
        <v>#REF!</v>
      </c>
      <c r="N44" s="1778" t="e">
        <f t="shared" si="13"/>
        <v>#REF!</v>
      </c>
      <c r="O44" s="1779" t="e">
        <f t="shared" si="6"/>
        <v>#REF!</v>
      </c>
      <c r="P44" s="2023">
        <v>0.02</v>
      </c>
      <c r="Q44" s="1768" t="e">
        <f t="shared" si="0"/>
        <v>#REF!</v>
      </c>
      <c r="R44" s="1780" t="e">
        <f t="shared" si="7"/>
        <v>#REF!</v>
      </c>
      <c r="S44" s="1782"/>
      <c r="T44" s="1782"/>
      <c r="U44" s="1782"/>
      <c r="V44" s="1782"/>
      <c r="W44" s="1782"/>
      <c r="X44" s="1782"/>
      <c r="Y44" s="1782"/>
      <c r="Z44" s="1782"/>
      <c r="AA44" s="1782"/>
      <c r="AB44" s="1782"/>
      <c r="AC44" s="1782"/>
      <c r="AD44" s="1782"/>
      <c r="AE44" s="1782"/>
      <c r="AF44" s="1782"/>
    </row>
    <row r="45" spans="1:48" ht="13.8" thickBot="1">
      <c r="A45" s="1770">
        <f t="shared" si="2"/>
        <v>32</v>
      </c>
      <c r="B45" s="1771">
        <f t="shared" si="8"/>
        <v>257.33179399713293</v>
      </c>
      <c r="C45" s="1772">
        <f t="shared" si="9"/>
        <v>2573.317939971329</v>
      </c>
      <c r="D45" s="1773">
        <v>0.1</v>
      </c>
      <c r="E45" s="1774" t="e">
        <f t="shared" si="10"/>
        <v>#REF!</v>
      </c>
      <c r="F45" s="1772" t="e">
        <f t="shared" si="14"/>
        <v>#REF!</v>
      </c>
      <c r="G45" s="1775">
        <v>0.05</v>
      </c>
      <c r="H45" s="1771" t="e">
        <f t="shared" si="11"/>
        <v>#REF!</v>
      </c>
      <c r="I45" s="1772" t="e">
        <f>I44+H45</f>
        <v>#REF!</v>
      </c>
      <c r="J45" s="1775">
        <v>0.05</v>
      </c>
      <c r="K45" s="1771" t="e">
        <f t="shared" si="4"/>
        <v>#REF!</v>
      </c>
      <c r="L45" s="1776" t="e">
        <f>L44+K45</f>
        <v>#REF!</v>
      </c>
      <c r="M45" s="1777" t="e">
        <f t="shared" si="12"/>
        <v>#REF!</v>
      </c>
      <c r="N45" s="1778" t="e">
        <f t="shared" si="13"/>
        <v>#REF!</v>
      </c>
      <c r="O45" s="1779" t="e">
        <f t="shared" si="6"/>
        <v>#REF!</v>
      </c>
      <c r="P45" s="2023">
        <v>0.02</v>
      </c>
      <c r="Q45" s="1768" t="e">
        <f t="shared" si="0"/>
        <v>#REF!</v>
      </c>
      <c r="R45" s="1780" t="e">
        <f t="shared" si="7"/>
        <v>#REF!</v>
      </c>
      <c r="S45" s="1782"/>
      <c r="T45" s="1782"/>
      <c r="U45" s="1782"/>
      <c r="V45" s="1782"/>
      <c r="W45" s="1782"/>
      <c r="X45" s="1782"/>
      <c r="Y45" s="1782"/>
      <c r="Z45" s="1782"/>
      <c r="AA45" s="1782"/>
      <c r="AB45" s="1782"/>
      <c r="AC45" s="1782"/>
      <c r="AD45" s="1782"/>
      <c r="AE45" s="1782"/>
      <c r="AF45" s="1782"/>
    </row>
    <row r="46" spans="1:48" ht="13.8" thickBot="1">
      <c r="A46" s="1770">
        <f t="shared" si="2"/>
        <v>33</v>
      </c>
      <c r="B46" s="1771">
        <f t="shared" si="8"/>
        <v>0</v>
      </c>
      <c r="C46" s="1772">
        <f t="shared" si="9"/>
        <v>2573.317939971329</v>
      </c>
      <c r="D46" s="1773">
        <v>0</v>
      </c>
      <c r="E46" s="1774"/>
      <c r="F46" s="1772"/>
      <c r="G46" s="1775"/>
      <c r="H46" s="1771" t="s">
        <v>305</v>
      </c>
      <c r="I46" s="1772" t="s">
        <v>305</v>
      </c>
      <c r="J46" s="1775" t="s">
        <v>305</v>
      </c>
      <c r="K46" s="1771" t="s">
        <v>305</v>
      </c>
      <c r="L46" s="1776" t="s">
        <v>305</v>
      </c>
      <c r="M46" s="1777" t="s">
        <v>305</v>
      </c>
      <c r="N46" s="1778" t="e">
        <f t="shared" si="13"/>
        <v>#REF!</v>
      </c>
      <c r="O46" s="1779" t="e">
        <f t="shared" si="6"/>
        <v>#REF!</v>
      </c>
      <c r="P46" s="2023">
        <v>1.4999999999999999E-2</v>
      </c>
      <c r="Q46" s="1768" t="e">
        <f t="shared" si="0"/>
        <v>#REF!</v>
      </c>
      <c r="R46" s="1780" t="e">
        <f t="shared" si="7"/>
        <v>#REF!</v>
      </c>
      <c r="S46" s="1782"/>
      <c r="T46" s="1782"/>
      <c r="U46" s="1782"/>
      <c r="V46" s="1782"/>
      <c r="W46" s="1782"/>
      <c r="X46" s="1782"/>
      <c r="Y46" s="1782"/>
      <c r="Z46" s="1782"/>
      <c r="AA46" s="1782"/>
      <c r="AB46" s="1782"/>
      <c r="AC46" s="1782"/>
      <c r="AD46" s="1782"/>
      <c r="AE46" s="1782"/>
      <c r="AF46" s="1782"/>
    </row>
    <row r="47" spans="1:48" ht="13.8" thickBot="1">
      <c r="A47" s="1770">
        <f t="shared" si="2"/>
        <v>34</v>
      </c>
      <c r="B47" s="1771">
        <f t="shared" si="8"/>
        <v>0</v>
      </c>
      <c r="C47" s="1772">
        <f t="shared" si="9"/>
        <v>2573.317939971329</v>
      </c>
      <c r="D47" s="1773">
        <v>0</v>
      </c>
      <c r="E47" s="1774"/>
      <c r="F47" s="1772"/>
      <c r="G47" s="1775"/>
      <c r="H47" s="1771" t="s">
        <v>305</v>
      </c>
      <c r="I47" s="1772" t="s">
        <v>305</v>
      </c>
      <c r="J47" s="1775" t="s">
        <v>305</v>
      </c>
      <c r="K47" s="1771" t="s">
        <v>305</v>
      </c>
      <c r="L47" s="1776" t="s">
        <v>305</v>
      </c>
      <c r="M47" s="1777" t="s">
        <v>305</v>
      </c>
      <c r="N47" s="1778" t="e">
        <f t="shared" si="13"/>
        <v>#REF!</v>
      </c>
      <c r="O47" s="1779" t="e">
        <f t="shared" si="6"/>
        <v>#REF!</v>
      </c>
      <c r="P47" s="2023">
        <v>6.0000000000000001E-3</v>
      </c>
      <c r="Q47" s="1768" t="e">
        <f t="shared" si="0"/>
        <v>#REF!</v>
      </c>
      <c r="R47" s="1780" t="e">
        <f t="shared" si="7"/>
        <v>#REF!</v>
      </c>
      <c r="S47" s="1782"/>
      <c r="T47" s="1782"/>
      <c r="U47" s="1782"/>
      <c r="V47" s="1782"/>
      <c r="W47" s="1782"/>
      <c r="X47" s="1782"/>
      <c r="Y47" s="1782"/>
      <c r="Z47" s="1782"/>
      <c r="AA47" s="1782"/>
      <c r="AB47" s="1782"/>
      <c r="AC47" s="1782"/>
      <c r="AD47" s="1782"/>
      <c r="AE47" s="1782"/>
      <c r="AF47" s="1782"/>
    </row>
    <row r="48" spans="1:48" ht="13.8" thickBot="1">
      <c r="A48" s="1770">
        <f t="shared" si="2"/>
        <v>35</v>
      </c>
      <c r="B48" s="1771">
        <f t="shared" si="8"/>
        <v>0</v>
      </c>
      <c r="C48" s="1772">
        <f t="shared" si="9"/>
        <v>2573.317939971329</v>
      </c>
      <c r="D48" s="1773">
        <v>0</v>
      </c>
      <c r="E48" s="1774"/>
      <c r="F48" s="1772"/>
      <c r="G48" s="1775"/>
      <c r="H48" s="1771" t="s">
        <v>305</v>
      </c>
      <c r="I48" s="1772" t="s">
        <v>305</v>
      </c>
      <c r="J48" s="1775" t="s">
        <v>305</v>
      </c>
      <c r="K48" s="1771" t="s">
        <v>305</v>
      </c>
      <c r="L48" s="1776" t="s">
        <v>305</v>
      </c>
      <c r="M48" s="1777" t="s">
        <v>305</v>
      </c>
      <c r="N48" s="1778" t="e">
        <f t="shared" si="13"/>
        <v>#REF!</v>
      </c>
      <c r="O48" s="1779" t="e">
        <f t="shared" si="6"/>
        <v>#REF!</v>
      </c>
      <c r="P48" s="2024">
        <v>6.0000000000000001E-3</v>
      </c>
      <c r="Q48" s="1768" t="e">
        <f t="shared" si="0"/>
        <v>#REF!</v>
      </c>
      <c r="R48" s="1780" t="e">
        <f t="shared" si="7"/>
        <v>#REF!</v>
      </c>
      <c r="S48" s="1782"/>
      <c r="T48" s="1782"/>
      <c r="U48" s="1782"/>
      <c r="V48" s="1782"/>
      <c r="W48" s="1782"/>
      <c r="X48" s="1782"/>
      <c r="Y48" s="1782"/>
      <c r="Z48" s="1782"/>
      <c r="AA48" s="1782"/>
      <c r="AB48" s="1782"/>
      <c r="AC48" s="1782"/>
      <c r="AD48" s="1782"/>
      <c r="AE48" s="1782"/>
      <c r="AF48" s="1782"/>
    </row>
    <row r="49" spans="1:32" ht="13.8" thickBot="1">
      <c r="A49" s="1770">
        <f t="shared" si="2"/>
        <v>36</v>
      </c>
      <c r="B49" s="1771">
        <f t="shared" si="8"/>
        <v>0</v>
      </c>
      <c r="C49" s="1772">
        <f t="shared" si="9"/>
        <v>2573.317939971329</v>
      </c>
      <c r="D49" s="1773">
        <v>0</v>
      </c>
      <c r="E49" s="1774"/>
      <c r="F49" s="1772"/>
      <c r="G49" s="1775"/>
      <c r="H49" s="1771" t="s">
        <v>305</v>
      </c>
      <c r="I49" s="1772" t="s">
        <v>305</v>
      </c>
      <c r="J49" s="1775" t="s">
        <v>305</v>
      </c>
      <c r="K49" s="1771" t="s">
        <v>305</v>
      </c>
      <c r="L49" s="1776" t="s">
        <v>305</v>
      </c>
      <c r="M49" s="1777" t="s">
        <v>305</v>
      </c>
      <c r="N49" s="1778" t="s">
        <v>305</v>
      </c>
      <c r="O49" s="1779" t="s">
        <v>305</v>
      </c>
      <c r="P49" s="2011" t="s">
        <v>305</v>
      </c>
      <c r="Q49" s="1768">
        <f t="shared" si="0"/>
        <v>0</v>
      </c>
      <c r="R49" s="1780" t="e">
        <f t="shared" si="7"/>
        <v>#REF!</v>
      </c>
      <c r="S49" s="1782"/>
      <c r="T49" s="1782"/>
      <c r="U49" s="1782"/>
      <c r="V49" s="1782"/>
      <c r="W49" s="1782"/>
      <c r="X49" s="1782"/>
      <c r="Y49" s="1782"/>
      <c r="Z49" s="1782"/>
      <c r="AA49" s="1782"/>
      <c r="AB49" s="1782"/>
      <c r="AC49" s="1782"/>
      <c r="AD49" s="1782"/>
      <c r="AE49" s="1782"/>
      <c r="AF49" s="1782"/>
    </row>
    <row r="50" spans="1:32" ht="13.8" thickBot="1">
      <c r="A50" s="1783" t="s">
        <v>1372</v>
      </c>
      <c r="B50" s="1784">
        <f>SUM(B9:B49)</f>
        <v>2573.317939971329</v>
      </c>
      <c r="C50" s="1785"/>
      <c r="D50" s="1786">
        <f>SUM(D9:D49)</f>
        <v>1.0000000000000002</v>
      </c>
      <c r="E50" s="1784" t="e">
        <f>SUM(E9:E49)</f>
        <v>#REF!</v>
      </c>
      <c r="F50" s="1785"/>
      <c r="G50" s="1786">
        <f>SUM(G9:G49)</f>
        <v>1.0000000000000004</v>
      </c>
      <c r="H50" s="1784" t="e">
        <f>SUM(H9:H49)</f>
        <v>#REF!</v>
      </c>
      <c r="I50" s="1785"/>
      <c r="J50" s="1786">
        <f>SUM(J9:J49)</f>
        <v>1.0000000000000004</v>
      </c>
      <c r="K50" s="1784" t="e">
        <f>SUM(K9:K49)</f>
        <v>#REF!</v>
      </c>
      <c r="L50" s="1785"/>
      <c r="M50" s="1786" t="e">
        <f>SUM(M9:M49)</f>
        <v>#REF!</v>
      </c>
      <c r="N50" s="1784" t="e">
        <f>SUM(N9:N49)</f>
        <v>#REF!</v>
      </c>
      <c r="O50" s="1787"/>
      <c r="P50" s="1788">
        <f>SUM(P9:P49)</f>
        <v>1.0000000000000002</v>
      </c>
      <c r="Q50" s="1789" t="e">
        <f>SUM(Q9:Q49)</f>
        <v>#REF!</v>
      </c>
      <c r="R50" s="1790" t="e">
        <f>Q50/Q7</f>
        <v>#REF!</v>
      </c>
      <c r="S50" s="1782"/>
      <c r="T50" s="1782"/>
      <c r="U50" s="1782"/>
      <c r="V50" s="1782"/>
      <c r="W50" s="1782"/>
      <c r="X50" s="1782"/>
      <c r="Y50" s="1782"/>
      <c r="Z50" s="1782"/>
      <c r="AA50" s="1782"/>
      <c r="AB50" s="1782"/>
      <c r="AC50" s="1782"/>
      <c r="AD50" s="1782"/>
      <c r="AE50" s="1782"/>
      <c r="AF50" s="1782"/>
    </row>
    <row r="71" spans="31:31">
      <c r="AE71" s="1565"/>
    </row>
  </sheetData>
  <mergeCells count="9">
    <mergeCell ref="A1:R1"/>
    <mergeCell ref="A2:R2"/>
    <mergeCell ref="N5:P5"/>
    <mergeCell ref="Q5:R5"/>
    <mergeCell ref="B5:D5"/>
    <mergeCell ref="E5:G5"/>
    <mergeCell ref="H5:J5"/>
    <mergeCell ref="K5:M5"/>
    <mergeCell ref="K4:M4"/>
  </mergeCells>
  <phoneticPr fontId="29" type="noConversion"/>
  <pageMargins left="0.75" right="0.75" top="1" bottom="1" header="0.5" footer="0.5"/>
  <pageSetup paperSize="3" scale="53" orientation="landscape" r:id="rId1"/>
  <headerFooter alignWithMargins="0">
    <oddHeader>&amp;C&amp;"Arial MT,Bold"&amp;18PRELIMINARY FOR PLANNING PURPOSES&amp;R&amp;10Print Date: &amp;D</oddHeader>
    <oddFooter>&amp;L&amp;8&amp;Z&amp;F&amp;C&amp;G&amp;R&amp;"Arial MT,Bold"&amp;14Confidential &amp;"Arial MT,Regular"&amp;10
Page &amp;P of &amp;N</oddFooter>
  </headerFooter>
  <rowBreaks count="4" manualBreakCount="4">
    <brk id="60" max="16383" man="1"/>
    <brk id="68" max="16383" man="1"/>
    <brk id="69" max="16383" man="1"/>
    <brk id="102" max="16383" man="1"/>
  </rowBreaks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S122"/>
  <sheetViews>
    <sheetView showGridLines="0" topLeftCell="F1" zoomScaleNormal="75" workbookViewId="0">
      <selection activeCell="E99" sqref="E99"/>
    </sheetView>
  </sheetViews>
  <sheetFormatPr defaultColWidth="8.90625" defaultRowHeight="16.2"/>
  <cols>
    <col min="1" max="1" width="3.1796875" style="710" bestFit="1" customWidth="1"/>
    <col min="2" max="3" width="8.81640625" style="710" customWidth="1"/>
    <col min="4" max="4" width="10.453125" style="710" bestFit="1" customWidth="1"/>
    <col min="5" max="5" width="13.36328125" style="1569" customWidth="1"/>
    <col min="6" max="6" width="2.1796875" style="1569" customWidth="1"/>
    <col min="7" max="7" width="12.81640625" style="1572" customWidth="1"/>
    <col min="8" max="8" width="9.6328125" style="1569" customWidth="1"/>
    <col min="9" max="9" width="14" style="1570" customWidth="1"/>
    <col min="10" max="10" width="17.08984375" style="1571" customWidth="1"/>
    <col min="11" max="11" width="12.81640625" style="710" customWidth="1"/>
    <col min="12" max="12" width="20.36328125" style="713" bestFit="1" customWidth="1"/>
    <col min="13" max="13" width="9.90625" style="710" bestFit="1" customWidth="1"/>
    <col min="14" max="14" width="12.81640625" style="710" bestFit="1" customWidth="1"/>
    <col min="15" max="15" width="14.6328125" style="710" bestFit="1" customWidth="1"/>
    <col min="16" max="16" width="12.6328125" style="710" bestFit="1" customWidth="1"/>
    <col min="17" max="17" width="11.81640625" style="710" bestFit="1" customWidth="1"/>
    <col min="18" max="18" width="10.1796875" style="710" bestFit="1" customWidth="1"/>
    <col min="19" max="16384" width="8.90625" style="710"/>
  </cols>
  <sheetData>
    <row r="1" spans="1:19" ht="17.399999999999999">
      <c r="A1"/>
      <c r="B1" s="3339" t="s">
        <v>2296</v>
      </c>
      <c r="C1" s="3339"/>
      <c r="D1" s="3339"/>
      <c r="E1" s="3339"/>
      <c r="F1" s="3339"/>
      <c r="G1" s="3339"/>
      <c r="H1" s="3339"/>
      <c r="I1" s="3339"/>
      <c r="J1" s="3339"/>
      <c r="K1" s="3339"/>
      <c r="L1" s="3340"/>
      <c r="M1"/>
      <c r="N1"/>
      <c r="O1" s="1669" t="s">
        <v>1266</v>
      </c>
      <c r="P1"/>
      <c r="Q1"/>
      <c r="R1"/>
      <c r="S1"/>
    </row>
    <row r="2" spans="1:19" ht="17.399999999999999">
      <c r="A2"/>
      <c r="B2" s="3337"/>
      <c r="C2" s="3338"/>
      <c r="D2" s="3338"/>
      <c r="E2" s="3338"/>
      <c r="F2" s="3338"/>
      <c r="G2" s="3338"/>
      <c r="H2" s="3338"/>
      <c r="I2" s="3338"/>
      <c r="J2" s="3338"/>
      <c r="K2" s="3338"/>
      <c r="L2" s="3338"/>
      <c r="M2"/>
      <c r="N2" s="1669" t="s">
        <v>331</v>
      </c>
      <c r="O2" s="1669" t="s">
        <v>2160</v>
      </c>
      <c r="P2"/>
      <c r="Q2"/>
      <c r="R2"/>
      <c r="S2"/>
    </row>
    <row r="3" spans="1:19" s="1568" customFormat="1" ht="47.25" customHeight="1">
      <c r="A3" s="303"/>
      <c r="B3" s="1791" t="s">
        <v>1098</v>
      </c>
      <c r="C3" s="1791" t="s">
        <v>1619</v>
      </c>
      <c r="D3" s="1791" t="s">
        <v>1264</v>
      </c>
      <c r="E3" s="1792" t="s">
        <v>841</v>
      </c>
      <c r="F3" s="1792"/>
      <c r="G3" s="1793" t="s">
        <v>1263</v>
      </c>
      <c r="H3" s="1980" t="s">
        <v>841</v>
      </c>
      <c r="I3" s="1794" t="s">
        <v>1265</v>
      </c>
      <c r="J3" s="1793" t="s">
        <v>1099</v>
      </c>
      <c r="K3" s="1791" t="s">
        <v>1100</v>
      </c>
      <c r="L3" s="1791" t="s">
        <v>1618</v>
      </c>
      <c r="M3" s="1713" t="s">
        <v>2085</v>
      </c>
      <c r="N3" s="1795" t="s">
        <v>1358</v>
      </c>
      <c r="O3" s="1796"/>
      <c r="P3"/>
      <c r="Q3"/>
      <c r="R3" s="1797"/>
      <c r="S3" s="1797"/>
    </row>
    <row r="4" spans="1:19" s="1568" customFormat="1" ht="16.5" customHeight="1">
      <c r="A4" s="303">
        <v>1</v>
      </c>
      <c r="B4" s="1798">
        <f t="shared" ref="B4:B27" si="0">B5-1</f>
        <v>-24</v>
      </c>
      <c r="C4" s="1981"/>
      <c r="D4" s="1981"/>
      <c r="E4" s="1982"/>
      <c r="F4" s="1982"/>
      <c r="G4" s="1983"/>
      <c r="H4" s="2015"/>
      <c r="I4" s="2013"/>
      <c r="J4" s="1984"/>
      <c r="K4" s="1985"/>
      <c r="L4" s="1799"/>
      <c r="M4" s="1795">
        <v>0</v>
      </c>
      <c r="N4">
        <f>(1.00347)^M4-1</f>
        <v>0</v>
      </c>
      <c r="O4" s="40">
        <f>G4*N4</f>
        <v>0</v>
      </c>
      <c r="P4"/>
      <c r="Q4"/>
      <c r="R4" s="1800"/>
      <c r="S4" s="1797"/>
    </row>
    <row r="5" spans="1:19" s="1568" customFormat="1" ht="18.75" customHeight="1">
      <c r="A5" s="303">
        <f t="shared" ref="A5:B36" si="1">A4+1</f>
        <v>2</v>
      </c>
      <c r="B5" s="1798">
        <f t="shared" si="0"/>
        <v>-23</v>
      </c>
      <c r="C5" s="1808"/>
      <c r="D5" s="1808"/>
      <c r="E5" s="1809"/>
      <c r="F5" s="1809"/>
      <c r="G5" s="1986"/>
      <c r="H5" s="2016"/>
      <c r="I5" s="1991"/>
      <c r="J5" s="1810"/>
      <c r="K5" s="1811"/>
      <c r="L5" s="1799"/>
      <c r="M5" s="1795"/>
      <c r="N5"/>
      <c r="O5" s="40"/>
      <c r="P5"/>
      <c r="Q5"/>
      <c r="R5" s="1800"/>
      <c r="S5" s="1797"/>
    </row>
    <row r="6" spans="1:19" s="1568" customFormat="1">
      <c r="A6" s="303">
        <f t="shared" si="1"/>
        <v>3</v>
      </c>
      <c r="B6" s="1798">
        <f t="shared" si="0"/>
        <v>-22</v>
      </c>
      <c r="C6" s="1808"/>
      <c r="D6" s="1808"/>
      <c r="E6" s="1809"/>
      <c r="F6" s="1809"/>
      <c r="G6" s="1986"/>
      <c r="H6" s="2016"/>
      <c r="I6" s="1991"/>
      <c r="J6" s="1810"/>
      <c r="K6" s="1811"/>
      <c r="L6" s="1799"/>
      <c r="M6" s="1795"/>
      <c r="N6"/>
      <c r="O6" s="40"/>
      <c r="P6"/>
      <c r="Q6"/>
      <c r="R6" s="1800"/>
      <c r="S6" s="1797"/>
    </row>
    <row r="7" spans="1:19" s="1568" customFormat="1">
      <c r="A7" s="303">
        <f t="shared" si="1"/>
        <v>4</v>
      </c>
      <c r="B7" s="1798">
        <f t="shared" si="0"/>
        <v>-21</v>
      </c>
      <c r="C7" s="1801"/>
      <c r="D7" s="1801"/>
      <c r="E7" s="1802"/>
      <c r="F7" s="1802"/>
      <c r="G7" s="1992">
        <f t="shared" ref="G7:G38" si="2">$G$65*H7</f>
        <v>0</v>
      </c>
      <c r="H7" s="2017">
        <v>0</v>
      </c>
      <c r="I7" s="1987">
        <f>O7+G7</f>
        <v>0</v>
      </c>
      <c r="J7" s="1988"/>
      <c r="K7" s="1989">
        <f>I7</f>
        <v>0</v>
      </c>
      <c r="L7" s="1799" t="s">
        <v>305</v>
      </c>
      <c r="M7" s="1795">
        <v>0</v>
      </c>
      <c r="N7">
        <f>(1.00347)^M7-1</f>
        <v>0</v>
      </c>
      <c r="O7" s="40">
        <f>G7*N7</f>
        <v>0</v>
      </c>
      <c r="P7"/>
      <c r="Q7"/>
      <c r="R7" s="1800"/>
      <c r="S7" s="1797"/>
    </row>
    <row r="8" spans="1:19" s="1568" customFormat="1">
      <c r="A8" s="303">
        <f t="shared" si="1"/>
        <v>5</v>
      </c>
      <c r="B8" s="1798">
        <f t="shared" si="0"/>
        <v>-20</v>
      </c>
      <c r="C8" s="1801"/>
      <c r="D8" s="1801"/>
      <c r="E8" s="1802"/>
      <c r="F8" s="1802"/>
      <c r="G8" s="1992">
        <f t="shared" si="2"/>
        <v>0</v>
      </c>
      <c r="H8" s="2017">
        <v>0</v>
      </c>
      <c r="I8" s="1987">
        <f t="shared" ref="I8:I61" si="3">G8*N8</f>
        <v>0</v>
      </c>
      <c r="J8" s="1805"/>
      <c r="K8" s="1806">
        <f t="shared" ref="K8:K14" si="4">K7+I8</f>
        <v>0</v>
      </c>
      <c r="L8" s="1799"/>
      <c r="M8" s="1795">
        <v>0</v>
      </c>
      <c r="N8">
        <f t="shared" ref="N8:N63" si="5">(1.003274)^M8</f>
        <v>1</v>
      </c>
      <c r="O8" s="40">
        <f t="shared" ref="O8:O63" si="6">I8-G8</f>
        <v>0</v>
      </c>
      <c r="P8"/>
      <c r="Q8"/>
      <c r="R8" s="1800"/>
      <c r="S8" s="1797"/>
    </row>
    <row r="9" spans="1:19" s="1568" customFormat="1">
      <c r="A9" s="303">
        <f t="shared" si="1"/>
        <v>6</v>
      </c>
      <c r="B9" s="1798">
        <f t="shared" si="0"/>
        <v>-19</v>
      </c>
      <c r="C9" s="1808"/>
      <c r="D9" s="1808"/>
      <c r="E9" s="1809"/>
      <c r="F9" s="1809"/>
      <c r="G9" s="1992">
        <f t="shared" si="2"/>
        <v>0</v>
      </c>
      <c r="H9" s="2017">
        <v>0</v>
      </c>
      <c r="I9" s="1987">
        <f t="shared" si="3"/>
        <v>0</v>
      </c>
      <c r="J9" s="1810"/>
      <c r="K9" s="1811">
        <f t="shared" si="4"/>
        <v>0</v>
      </c>
      <c r="L9" s="1799"/>
      <c r="M9" s="1795">
        <v>0</v>
      </c>
      <c r="N9">
        <f t="shared" si="5"/>
        <v>1</v>
      </c>
      <c r="O9" s="40">
        <f t="shared" si="6"/>
        <v>0</v>
      </c>
      <c r="P9"/>
      <c r="Q9"/>
      <c r="R9" s="1800"/>
      <c r="S9" s="1797"/>
    </row>
    <row r="10" spans="1:19" s="1568" customFormat="1">
      <c r="A10" s="303">
        <f t="shared" si="1"/>
        <v>7</v>
      </c>
      <c r="B10" s="1798">
        <f t="shared" si="0"/>
        <v>-18</v>
      </c>
      <c r="C10" s="1808"/>
      <c r="D10" s="1808"/>
      <c r="E10" s="1809"/>
      <c r="F10" s="1809"/>
      <c r="G10" s="1992">
        <f t="shared" si="2"/>
        <v>0</v>
      </c>
      <c r="H10" s="2017">
        <v>0</v>
      </c>
      <c r="I10" s="1987">
        <f t="shared" si="3"/>
        <v>0</v>
      </c>
      <c r="J10" s="1810"/>
      <c r="K10" s="1811">
        <f t="shared" si="4"/>
        <v>0</v>
      </c>
      <c r="L10" s="1799"/>
      <c r="M10" s="1795">
        <v>0</v>
      </c>
      <c r="N10">
        <f t="shared" si="5"/>
        <v>1</v>
      </c>
      <c r="O10" s="40">
        <f t="shared" si="6"/>
        <v>0</v>
      </c>
      <c r="P10"/>
      <c r="Q10"/>
      <c r="R10" s="1800"/>
      <c r="S10" s="1797"/>
    </row>
    <row r="11" spans="1:19" s="1568" customFormat="1">
      <c r="A11" s="303">
        <f t="shared" si="1"/>
        <v>8</v>
      </c>
      <c r="B11" s="1798">
        <f t="shared" si="0"/>
        <v>-17</v>
      </c>
      <c r="C11" s="1808"/>
      <c r="D11" s="1808"/>
      <c r="E11" s="1809"/>
      <c r="F11" s="1809"/>
      <c r="G11" s="1992">
        <f t="shared" si="2"/>
        <v>0</v>
      </c>
      <c r="H11" s="2017">
        <v>0</v>
      </c>
      <c r="I11" s="1987">
        <f t="shared" si="3"/>
        <v>0</v>
      </c>
      <c r="J11" s="1810"/>
      <c r="K11" s="1811">
        <f t="shared" si="4"/>
        <v>0</v>
      </c>
      <c r="L11" s="1799"/>
      <c r="M11" s="1795">
        <v>0</v>
      </c>
      <c r="N11">
        <f t="shared" si="5"/>
        <v>1</v>
      </c>
      <c r="O11" s="40">
        <f t="shared" si="6"/>
        <v>0</v>
      </c>
      <c r="P11"/>
      <c r="Q11"/>
      <c r="R11" s="1800"/>
      <c r="S11" s="1797"/>
    </row>
    <row r="12" spans="1:19">
      <c r="A12" s="303">
        <f t="shared" si="1"/>
        <v>9</v>
      </c>
      <c r="B12" s="1798">
        <f t="shared" si="0"/>
        <v>-16</v>
      </c>
      <c r="C12" s="1808"/>
      <c r="D12" s="1808"/>
      <c r="E12" s="1809"/>
      <c r="F12" s="1809"/>
      <c r="G12" s="1992">
        <f t="shared" si="2"/>
        <v>0</v>
      </c>
      <c r="H12" s="2017">
        <v>0</v>
      </c>
      <c r="I12" s="1987">
        <f t="shared" si="3"/>
        <v>0</v>
      </c>
      <c r="J12" s="1810"/>
      <c r="K12" s="1811">
        <f t="shared" si="4"/>
        <v>0</v>
      </c>
      <c r="L12" s="1799" t="s">
        <v>305</v>
      </c>
      <c r="M12" s="1795">
        <v>0</v>
      </c>
      <c r="N12">
        <f t="shared" si="5"/>
        <v>1</v>
      </c>
      <c r="O12" s="40">
        <f t="shared" si="6"/>
        <v>0</v>
      </c>
      <c r="P12"/>
      <c r="Q12"/>
      <c r="R12" s="1800"/>
      <c r="S12" s="1797"/>
    </row>
    <row r="13" spans="1:19">
      <c r="A13" s="303">
        <f t="shared" si="1"/>
        <v>10</v>
      </c>
      <c r="B13" s="1798">
        <f t="shared" si="0"/>
        <v>-15</v>
      </c>
      <c r="C13" s="1808"/>
      <c r="D13" s="1808"/>
      <c r="E13" s="1809"/>
      <c r="F13" s="1809"/>
      <c r="G13" s="1992">
        <f t="shared" si="2"/>
        <v>0</v>
      </c>
      <c r="H13" s="2017">
        <v>0</v>
      </c>
      <c r="I13" s="1987">
        <f t="shared" si="3"/>
        <v>0</v>
      </c>
      <c r="J13" s="1810"/>
      <c r="K13" s="1811">
        <f t="shared" si="4"/>
        <v>0</v>
      </c>
      <c r="L13" s="1799"/>
      <c r="M13" s="1795">
        <v>0</v>
      </c>
      <c r="N13">
        <f t="shared" si="5"/>
        <v>1</v>
      </c>
      <c r="O13" s="40">
        <f t="shared" si="6"/>
        <v>0</v>
      </c>
      <c r="P13"/>
      <c r="Q13"/>
      <c r="R13" s="1797"/>
      <c r="S13" s="1797"/>
    </row>
    <row r="14" spans="1:19">
      <c r="A14" s="303">
        <f t="shared" si="1"/>
        <v>11</v>
      </c>
      <c r="B14" s="1798">
        <f t="shared" si="0"/>
        <v>-14</v>
      </c>
      <c r="C14" s="1812"/>
      <c r="D14" s="1812"/>
      <c r="E14" s="1813"/>
      <c r="F14" s="1813"/>
      <c r="G14" s="1992">
        <f t="shared" si="2"/>
        <v>0</v>
      </c>
      <c r="H14" s="2017">
        <v>0</v>
      </c>
      <c r="I14" s="1987">
        <f t="shared" si="3"/>
        <v>0</v>
      </c>
      <c r="J14" s="1814"/>
      <c r="K14" s="1811">
        <f t="shared" si="4"/>
        <v>0</v>
      </c>
      <c r="L14" s="1799"/>
      <c r="M14" s="1795">
        <v>0</v>
      </c>
      <c r="N14">
        <f t="shared" si="5"/>
        <v>1</v>
      </c>
      <c r="O14" s="40">
        <f t="shared" si="6"/>
        <v>0</v>
      </c>
      <c r="P14"/>
      <c r="Q14"/>
      <c r="R14" s="1797"/>
      <c r="S14" s="1797"/>
    </row>
    <row r="15" spans="1:19">
      <c r="A15" s="303">
        <f t="shared" si="1"/>
        <v>12</v>
      </c>
      <c r="B15" s="1798">
        <f t="shared" si="0"/>
        <v>-13</v>
      </c>
      <c r="C15" s="1808"/>
      <c r="D15" s="1808"/>
      <c r="E15" s="1809"/>
      <c r="F15" s="1809"/>
      <c r="G15" s="1992">
        <f t="shared" si="2"/>
        <v>0</v>
      </c>
      <c r="H15" s="2017">
        <v>0</v>
      </c>
      <c r="I15" s="1987">
        <f t="shared" si="3"/>
        <v>0</v>
      </c>
      <c r="J15" s="1815"/>
      <c r="K15" s="1816">
        <f>SUM(K14+I15)</f>
        <v>0</v>
      </c>
      <c r="L15" s="1799"/>
      <c r="M15" s="1795">
        <v>0</v>
      </c>
      <c r="N15">
        <f t="shared" si="5"/>
        <v>1</v>
      </c>
      <c r="O15" s="40">
        <f t="shared" si="6"/>
        <v>0</v>
      </c>
      <c r="P15"/>
      <c r="Q15"/>
      <c r="R15" s="1797"/>
      <c r="S15" s="1797"/>
    </row>
    <row r="16" spans="1:19">
      <c r="A16" s="303">
        <f t="shared" si="1"/>
        <v>13</v>
      </c>
      <c r="B16" s="1798">
        <f t="shared" si="0"/>
        <v>-12</v>
      </c>
      <c r="C16" s="1808"/>
      <c r="D16" s="1808"/>
      <c r="E16" s="1809"/>
      <c r="F16" s="1809"/>
      <c r="G16" s="1992">
        <f t="shared" si="2"/>
        <v>0</v>
      </c>
      <c r="H16" s="2017">
        <v>0</v>
      </c>
      <c r="I16" s="1987">
        <f t="shared" si="3"/>
        <v>0</v>
      </c>
      <c r="J16" s="1815"/>
      <c r="K16" s="1816">
        <f>SUM(K15+I16)</f>
        <v>0</v>
      </c>
      <c r="L16" s="1817"/>
      <c r="M16" s="1795">
        <v>0</v>
      </c>
      <c r="N16">
        <f t="shared" si="5"/>
        <v>1</v>
      </c>
      <c r="O16" s="40">
        <f t="shared" si="6"/>
        <v>0</v>
      </c>
      <c r="P16"/>
      <c r="Q16"/>
      <c r="R16" s="1797"/>
      <c r="S16" s="1797"/>
    </row>
    <row r="17" spans="1:19">
      <c r="A17" s="303">
        <f t="shared" si="1"/>
        <v>14</v>
      </c>
      <c r="B17" s="1818">
        <f t="shared" si="0"/>
        <v>-11</v>
      </c>
      <c r="C17" s="1808"/>
      <c r="D17" s="1808"/>
      <c r="E17" s="1809"/>
      <c r="F17" s="1809"/>
      <c r="G17" s="1992">
        <f t="shared" si="2"/>
        <v>0</v>
      </c>
      <c r="H17" s="2018">
        <v>0</v>
      </c>
      <c r="I17" s="1987">
        <f t="shared" si="3"/>
        <v>0</v>
      </c>
      <c r="J17" s="1990"/>
      <c r="K17" s="1816">
        <f>SUM(K16+I17)</f>
        <v>0</v>
      </c>
      <c r="L17" s="1831" t="s">
        <v>305</v>
      </c>
      <c r="M17" s="1795">
        <v>0</v>
      </c>
      <c r="N17">
        <f t="shared" si="5"/>
        <v>1</v>
      </c>
      <c r="O17" s="40">
        <f t="shared" si="6"/>
        <v>0</v>
      </c>
      <c r="P17"/>
      <c r="Q17"/>
      <c r="R17" s="1797"/>
      <c r="S17" s="1797"/>
    </row>
    <row r="18" spans="1:19">
      <c r="A18" s="303">
        <f t="shared" si="1"/>
        <v>15</v>
      </c>
      <c r="B18" s="1818">
        <f t="shared" si="0"/>
        <v>-10</v>
      </c>
      <c r="C18" s="1808"/>
      <c r="D18" s="1808"/>
      <c r="E18" s="1809"/>
      <c r="F18" s="1809"/>
      <c r="G18" s="1992">
        <f t="shared" si="2"/>
        <v>0</v>
      </c>
      <c r="H18" s="2018">
        <v>0</v>
      </c>
      <c r="I18" s="1987">
        <f t="shared" si="3"/>
        <v>0</v>
      </c>
      <c r="J18" s="1820" t="s">
        <v>305</v>
      </c>
      <c r="K18" s="1816">
        <f>SUM(K17+I18)</f>
        <v>0</v>
      </c>
      <c r="L18" s="1819"/>
      <c r="M18" s="1795">
        <v>0</v>
      </c>
      <c r="N18">
        <f t="shared" si="5"/>
        <v>1</v>
      </c>
      <c r="O18" s="40">
        <f t="shared" si="6"/>
        <v>0</v>
      </c>
      <c r="P18"/>
      <c r="Q18"/>
      <c r="R18" s="1797"/>
      <c r="S18" s="1797"/>
    </row>
    <row r="19" spans="1:19">
      <c r="A19" s="303">
        <f t="shared" si="1"/>
        <v>16</v>
      </c>
      <c r="B19" s="1818">
        <f t="shared" si="0"/>
        <v>-9</v>
      </c>
      <c r="C19" s="1808"/>
      <c r="D19" s="1808"/>
      <c r="E19" s="1809"/>
      <c r="F19" s="1809"/>
      <c r="G19" s="1992">
        <f t="shared" si="2"/>
        <v>0</v>
      </c>
      <c r="H19" s="2018">
        <v>0</v>
      </c>
      <c r="I19" s="1987">
        <f t="shared" si="3"/>
        <v>0</v>
      </c>
      <c r="J19" s="1820"/>
      <c r="K19" s="1811">
        <f>K18+I19</f>
        <v>0</v>
      </c>
      <c r="L19" s="1819"/>
      <c r="M19" s="1795">
        <v>0</v>
      </c>
      <c r="N19">
        <f t="shared" si="5"/>
        <v>1</v>
      </c>
      <c r="O19" s="40">
        <f t="shared" si="6"/>
        <v>0</v>
      </c>
      <c r="P19"/>
      <c r="Q19"/>
      <c r="R19" s="1797"/>
      <c r="S19" s="1797"/>
    </row>
    <row r="20" spans="1:19">
      <c r="A20" s="303">
        <f t="shared" si="1"/>
        <v>17</v>
      </c>
      <c r="B20" s="1818">
        <f t="shared" si="0"/>
        <v>-8</v>
      </c>
      <c r="C20" s="1808"/>
      <c r="D20" s="1808"/>
      <c r="E20" s="1809"/>
      <c r="F20" s="1809"/>
      <c r="G20" s="1992">
        <f t="shared" si="2"/>
        <v>0</v>
      </c>
      <c r="H20" s="2018">
        <v>0</v>
      </c>
      <c r="I20" s="1987">
        <f t="shared" si="3"/>
        <v>0</v>
      </c>
      <c r="J20" s="1810"/>
      <c r="K20" s="1811">
        <f>K19+I20</f>
        <v>0</v>
      </c>
      <c r="L20" s="1819"/>
      <c r="M20" s="1795">
        <v>0</v>
      </c>
      <c r="N20">
        <f t="shared" si="5"/>
        <v>1</v>
      </c>
      <c r="O20" s="40">
        <f t="shared" si="6"/>
        <v>0</v>
      </c>
      <c r="P20"/>
      <c r="Q20"/>
      <c r="R20"/>
      <c r="S20"/>
    </row>
    <row r="21" spans="1:19">
      <c r="A21" s="303">
        <f t="shared" si="1"/>
        <v>18</v>
      </c>
      <c r="B21" s="1818">
        <f t="shared" si="0"/>
        <v>-7</v>
      </c>
      <c r="C21" s="1808"/>
      <c r="D21" s="1808"/>
      <c r="E21" s="1809"/>
      <c r="F21" s="1809"/>
      <c r="G21" s="1992">
        <f t="shared" si="2"/>
        <v>0</v>
      </c>
      <c r="H21" s="2018">
        <v>0</v>
      </c>
      <c r="I21" s="1987">
        <f t="shared" si="3"/>
        <v>0</v>
      </c>
      <c r="J21" s="1810"/>
      <c r="K21" s="1811">
        <f>K20+I21</f>
        <v>0</v>
      </c>
      <c r="L21" s="1819"/>
      <c r="M21" s="1795">
        <v>0</v>
      </c>
      <c r="N21">
        <f t="shared" si="5"/>
        <v>1</v>
      </c>
      <c r="O21" s="40">
        <f t="shared" si="6"/>
        <v>0</v>
      </c>
      <c r="P21"/>
      <c r="Q21"/>
      <c r="R21"/>
      <c r="S21"/>
    </row>
    <row r="22" spans="1:19">
      <c r="A22" s="303">
        <f t="shared" si="1"/>
        <v>19</v>
      </c>
      <c r="B22" s="1818">
        <f t="shared" si="0"/>
        <v>-6</v>
      </c>
      <c r="C22" s="1821"/>
      <c r="D22" s="1821"/>
      <c r="E22" s="1822"/>
      <c r="F22" s="1822"/>
      <c r="G22" s="1992">
        <f t="shared" si="2"/>
        <v>0</v>
      </c>
      <c r="H22" s="2018">
        <v>0</v>
      </c>
      <c r="I22" s="1987">
        <f t="shared" si="3"/>
        <v>0</v>
      </c>
      <c r="J22" s="1814"/>
      <c r="K22" s="1811">
        <f>K21+I22</f>
        <v>0</v>
      </c>
      <c r="L22" s="1823"/>
      <c r="M22" s="1795">
        <v>0</v>
      </c>
      <c r="N22">
        <f t="shared" si="5"/>
        <v>1</v>
      </c>
      <c r="O22" s="40">
        <f t="shared" si="6"/>
        <v>0</v>
      </c>
      <c r="P22"/>
      <c r="Q22"/>
      <c r="R22"/>
      <c r="S22"/>
    </row>
    <row r="23" spans="1:19">
      <c r="A23" s="303">
        <f t="shared" si="1"/>
        <v>20</v>
      </c>
      <c r="B23" s="1798">
        <f t="shared" si="0"/>
        <v>-5</v>
      </c>
      <c r="C23" s="1824"/>
      <c r="D23" s="1824"/>
      <c r="E23" s="1825"/>
      <c r="F23" s="1825"/>
      <c r="G23" s="1992">
        <f t="shared" si="2"/>
        <v>0</v>
      </c>
      <c r="H23" s="2018">
        <v>0</v>
      </c>
      <c r="I23" s="1987">
        <f t="shared" si="3"/>
        <v>0</v>
      </c>
      <c r="J23" s="1815"/>
      <c r="K23" s="1816">
        <f t="shared" ref="K23:K61" si="7">SUM(K22+I23)</f>
        <v>0</v>
      </c>
      <c r="L23" s="1826"/>
      <c r="M23" s="1795">
        <v>0</v>
      </c>
      <c r="N23">
        <f t="shared" si="5"/>
        <v>1</v>
      </c>
      <c r="O23" s="40">
        <f t="shared" si="6"/>
        <v>0</v>
      </c>
      <c r="P23"/>
      <c r="Q23"/>
      <c r="R23"/>
      <c r="S23"/>
    </row>
    <row r="24" spans="1:19">
      <c r="A24" s="303">
        <f t="shared" si="1"/>
        <v>21</v>
      </c>
      <c r="B24" s="1798">
        <f t="shared" si="0"/>
        <v>-4</v>
      </c>
      <c r="C24" s="1824"/>
      <c r="D24" s="1824"/>
      <c r="E24" s="1825"/>
      <c r="F24" s="1825"/>
      <c r="G24" s="1992">
        <f t="shared" si="2"/>
        <v>144.95142880812114</v>
      </c>
      <c r="H24" s="2017">
        <v>5.0000000000000001E-3</v>
      </c>
      <c r="I24" s="1987">
        <f t="shared" si="3"/>
        <v>144.95142880812114</v>
      </c>
      <c r="J24" s="1815"/>
      <c r="K24" s="1816">
        <f t="shared" si="7"/>
        <v>144.95142880812114</v>
      </c>
      <c r="L24" s="1831" t="s">
        <v>1048</v>
      </c>
      <c r="M24" s="1795">
        <v>0</v>
      </c>
      <c r="N24">
        <f t="shared" si="5"/>
        <v>1</v>
      </c>
      <c r="O24" s="40">
        <f t="shared" si="6"/>
        <v>0</v>
      </c>
      <c r="P24"/>
      <c r="Q24"/>
      <c r="R24"/>
      <c r="S24"/>
    </row>
    <row r="25" spans="1:19">
      <c r="A25" s="303">
        <f t="shared" si="1"/>
        <v>22</v>
      </c>
      <c r="B25" s="1798">
        <f t="shared" si="0"/>
        <v>-3</v>
      </c>
      <c r="C25" s="1824"/>
      <c r="D25" s="1824"/>
      <c r="E25" s="1825"/>
      <c r="F25" s="1825"/>
      <c r="G25" s="1992">
        <f t="shared" si="2"/>
        <v>28.990285761624225</v>
      </c>
      <c r="H25" s="2017">
        <v>1E-3</v>
      </c>
      <c r="I25" s="1987">
        <f t="shared" si="3"/>
        <v>28.990285761624225</v>
      </c>
      <c r="J25" s="1815"/>
      <c r="K25" s="1816">
        <f t="shared" si="7"/>
        <v>173.94171456974536</v>
      </c>
      <c r="L25" s="1826"/>
      <c r="M25" s="1795">
        <v>0</v>
      </c>
      <c r="N25">
        <f t="shared" si="5"/>
        <v>1</v>
      </c>
      <c r="O25" s="40">
        <f t="shared" si="6"/>
        <v>0</v>
      </c>
      <c r="P25"/>
      <c r="Q25"/>
      <c r="R25"/>
      <c r="S25"/>
    </row>
    <row r="26" spans="1:19">
      <c r="A26" s="303">
        <f t="shared" si="1"/>
        <v>23</v>
      </c>
      <c r="B26" s="1798">
        <f t="shared" si="0"/>
        <v>-2</v>
      </c>
      <c r="C26" s="1824"/>
      <c r="D26" s="1824"/>
      <c r="E26" s="1825"/>
      <c r="F26" s="1825"/>
      <c r="G26" s="1992">
        <f t="shared" si="2"/>
        <v>28.990285761624225</v>
      </c>
      <c r="H26" s="2017">
        <v>1E-3</v>
      </c>
      <c r="I26" s="1987">
        <f t="shared" si="3"/>
        <v>28.990285761624225</v>
      </c>
      <c r="J26" s="1815"/>
      <c r="K26" s="1816">
        <f t="shared" si="7"/>
        <v>202.93200033136958</v>
      </c>
      <c r="L26" s="1826"/>
      <c r="M26" s="1795">
        <v>0</v>
      </c>
      <c r="N26">
        <f t="shared" si="5"/>
        <v>1</v>
      </c>
      <c r="O26" s="40">
        <f t="shared" si="6"/>
        <v>0</v>
      </c>
      <c r="P26"/>
      <c r="Q26"/>
      <c r="R26"/>
      <c r="S26"/>
    </row>
    <row r="27" spans="1:19">
      <c r="A27" s="303">
        <f t="shared" si="1"/>
        <v>24</v>
      </c>
      <c r="B27" s="1827">
        <f t="shared" si="0"/>
        <v>-1</v>
      </c>
      <c r="C27" s="1828"/>
      <c r="D27" s="1828"/>
      <c r="E27" s="1829"/>
      <c r="F27" s="1829"/>
      <c r="G27" s="1803">
        <f t="shared" si="2"/>
        <v>28.990285761624225</v>
      </c>
      <c r="H27" s="2012">
        <v>1E-3</v>
      </c>
      <c r="I27" s="1987">
        <f t="shared" si="3"/>
        <v>28.990285761624225</v>
      </c>
      <c r="J27" s="1820"/>
      <c r="K27" s="1830">
        <f t="shared" si="7"/>
        <v>231.9222860929938</v>
      </c>
      <c r="L27" s="1831"/>
      <c r="M27" s="1795">
        <v>0</v>
      </c>
      <c r="N27">
        <f t="shared" si="5"/>
        <v>1</v>
      </c>
      <c r="O27" s="40">
        <f t="shared" si="6"/>
        <v>0</v>
      </c>
      <c r="P27"/>
      <c r="Q27"/>
      <c r="R27"/>
      <c r="S27"/>
    </row>
    <row r="28" spans="1:19">
      <c r="A28" s="303">
        <f t="shared" si="1"/>
        <v>25</v>
      </c>
      <c r="B28" s="1827">
        <v>0</v>
      </c>
      <c r="C28" s="1832">
        <f t="shared" ref="C28:C61" si="8">D28/216.5</f>
        <v>1.2930011756411817</v>
      </c>
      <c r="D28" s="1816">
        <f t="shared" ref="D28:D63" si="9">$D$65*E28</f>
        <v>279.93475452631583</v>
      </c>
      <c r="E28" s="1825">
        <f>0.003</f>
        <v>3.0000000000000001E-3</v>
      </c>
      <c r="F28" s="1829"/>
      <c r="G28" s="1803">
        <f t="shared" si="2"/>
        <v>434.85428642436335</v>
      </c>
      <c r="H28" s="2014">
        <v>1.4999999999999999E-2</v>
      </c>
      <c r="I28" s="1804">
        <f t="shared" si="3"/>
        <v>434.85428642436335</v>
      </c>
      <c r="J28" s="1820"/>
      <c r="K28" s="1830">
        <f t="shared" si="7"/>
        <v>666.77657251735718</v>
      </c>
      <c r="L28" s="1831" t="s">
        <v>1567</v>
      </c>
      <c r="M28" s="1795">
        <v>0</v>
      </c>
      <c r="N28">
        <f t="shared" si="5"/>
        <v>1</v>
      </c>
      <c r="O28" s="40">
        <f t="shared" si="6"/>
        <v>0</v>
      </c>
      <c r="P28"/>
      <c r="Q28"/>
      <c r="R28"/>
      <c r="S28"/>
    </row>
    <row r="29" spans="1:19">
      <c r="A29" s="303">
        <f t="shared" si="1"/>
        <v>26</v>
      </c>
      <c r="B29" s="1798">
        <f t="shared" si="1"/>
        <v>1</v>
      </c>
      <c r="C29" s="1832">
        <f t="shared" si="8"/>
        <v>1.2930011756411817</v>
      </c>
      <c r="D29" s="1816">
        <f t="shared" si="9"/>
        <v>279.93475452631583</v>
      </c>
      <c r="E29" s="1825">
        <f>0.003</f>
        <v>3.0000000000000001E-3</v>
      </c>
      <c r="F29" s="1825"/>
      <c r="G29" s="1803">
        <f t="shared" si="2"/>
        <v>434.85428642436335</v>
      </c>
      <c r="H29" s="2012">
        <v>1.4999999999999999E-2</v>
      </c>
      <c r="I29" s="1804">
        <f t="shared" si="3"/>
        <v>436.27799935811674</v>
      </c>
      <c r="J29" s="1990"/>
      <c r="K29" s="1816">
        <f t="shared" si="7"/>
        <v>1103.0545718754738</v>
      </c>
      <c r="L29" s="1823"/>
      <c r="M29" s="1795">
        <f t="shared" ref="M29:M61" si="10">M28+1</f>
        <v>1</v>
      </c>
      <c r="N29">
        <f t="shared" si="5"/>
        <v>1.003274</v>
      </c>
      <c r="O29" s="40">
        <f t="shared" si="6"/>
        <v>1.4237129337533929</v>
      </c>
      <c r="P29"/>
      <c r="Q29"/>
      <c r="R29"/>
      <c r="S29"/>
    </row>
    <row r="30" spans="1:19">
      <c r="A30" s="303">
        <f t="shared" si="1"/>
        <v>27</v>
      </c>
      <c r="B30" s="1798">
        <f t="shared" si="1"/>
        <v>2</v>
      </c>
      <c r="C30" s="1832">
        <f t="shared" si="8"/>
        <v>12.930011756411815</v>
      </c>
      <c r="D30" s="1816">
        <f t="shared" si="9"/>
        <v>2799.3475452631578</v>
      </c>
      <c r="E30" s="1825">
        <v>0.03</v>
      </c>
      <c r="F30" s="1825"/>
      <c r="G30" s="1803">
        <f t="shared" si="2"/>
        <v>434.85428642436335</v>
      </c>
      <c r="H30" s="2012">
        <v>1.4999999999999999E-2</v>
      </c>
      <c r="I30" s="1804">
        <f t="shared" si="3"/>
        <v>437.70637352801515</v>
      </c>
      <c r="J30" s="1815" t="s">
        <v>305</v>
      </c>
      <c r="K30" s="1816">
        <f t="shared" si="7"/>
        <v>1540.7609454034889</v>
      </c>
      <c r="L30" s="1826"/>
      <c r="M30" s="1795">
        <f t="shared" si="10"/>
        <v>2</v>
      </c>
      <c r="N30">
        <f t="shared" si="5"/>
        <v>1.0065587190759999</v>
      </c>
      <c r="O30" s="40">
        <f t="shared" si="6"/>
        <v>2.8520871036517974</v>
      </c>
      <c r="P30"/>
      <c r="Q30"/>
      <c r="R30"/>
      <c r="S30"/>
    </row>
    <row r="31" spans="1:19">
      <c r="A31" s="303">
        <f t="shared" si="1"/>
        <v>28</v>
      </c>
      <c r="B31" s="1798">
        <f t="shared" si="1"/>
        <v>3</v>
      </c>
      <c r="C31" s="1832">
        <f t="shared" si="8"/>
        <v>4.3100039188039387</v>
      </c>
      <c r="D31" s="1816">
        <f t="shared" si="9"/>
        <v>933.11584842105265</v>
      </c>
      <c r="E31" s="1825">
        <v>0.01</v>
      </c>
      <c r="F31" s="1825"/>
      <c r="G31" s="1803">
        <f t="shared" si="2"/>
        <v>434.85428642436335</v>
      </c>
      <c r="H31" s="2012">
        <v>1.4999999999999999E-2</v>
      </c>
      <c r="I31" s="1804">
        <f t="shared" si="3"/>
        <v>439.13942419494589</v>
      </c>
      <c r="K31" s="1816">
        <f t="shared" si="7"/>
        <v>1979.9003695984347</v>
      </c>
      <c r="L31" s="1826"/>
      <c r="M31" s="1795">
        <f t="shared" si="10"/>
        <v>3</v>
      </c>
      <c r="N31">
        <f t="shared" si="5"/>
        <v>1.0098541923222548</v>
      </c>
      <c r="O31" s="40">
        <f t="shared" si="6"/>
        <v>4.2851377705825371</v>
      </c>
      <c r="P31"/>
      <c r="Q31"/>
      <c r="R31"/>
      <c r="S31"/>
    </row>
    <row r="32" spans="1:19">
      <c r="A32" s="303">
        <f t="shared" si="1"/>
        <v>29</v>
      </c>
      <c r="B32" s="1798">
        <f t="shared" si="1"/>
        <v>4</v>
      </c>
      <c r="C32" s="1832">
        <f t="shared" si="8"/>
        <v>4.3100039188039387</v>
      </c>
      <c r="D32" s="1816">
        <f t="shared" si="9"/>
        <v>933.11584842105265</v>
      </c>
      <c r="E32" s="1825">
        <v>0.01</v>
      </c>
      <c r="F32" s="1825"/>
      <c r="G32" s="1803">
        <f t="shared" si="2"/>
        <v>579.80571523248454</v>
      </c>
      <c r="H32" s="2012">
        <v>0.02</v>
      </c>
      <c r="I32" s="1804">
        <f t="shared" si="3"/>
        <v>587.43622222634679</v>
      </c>
      <c r="J32" s="1815"/>
      <c r="K32" s="1816">
        <f t="shared" si="7"/>
        <v>2567.3365918247814</v>
      </c>
      <c r="L32" s="1823"/>
      <c r="M32" s="1795">
        <f t="shared" si="10"/>
        <v>4</v>
      </c>
      <c r="N32">
        <f t="shared" si="5"/>
        <v>1.0131604549479176</v>
      </c>
      <c r="O32" s="40">
        <f t="shared" si="6"/>
        <v>7.630506993862241</v>
      </c>
      <c r="P32"/>
      <c r="Q32"/>
      <c r="R32"/>
      <c r="S32"/>
    </row>
    <row r="33" spans="1:19">
      <c r="A33" s="303">
        <f t="shared" si="1"/>
        <v>30</v>
      </c>
      <c r="B33" s="1798">
        <f t="shared" si="1"/>
        <v>5</v>
      </c>
      <c r="C33" s="1832">
        <f t="shared" si="8"/>
        <v>4.3100039188039387</v>
      </c>
      <c r="D33" s="1816">
        <f t="shared" si="9"/>
        <v>933.11584842105265</v>
      </c>
      <c r="E33" s="1829">
        <v>0.01</v>
      </c>
      <c r="F33" s="1829"/>
      <c r="G33" s="1803">
        <f t="shared" si="2"/>
        <v>579.80571523248454</v>
      </c>
      <c r="H33" s="2012">
        <v>0.02</v>
      </c>
      <c r="I33" s="1804">
        <f t="shared" si="3"/>
        <v>589.35948841791583</v>
      </c>
      <c r="J33" s="1820"/>
      <c r="K33" s="1830">
        <f t="shared" si="7"/>
        <v>3156.6960802426975</v>
      </c>
      <c r="L33" s="1823"/>
      <c r="M33" s="1795">
        <f t="shared" si="10"/>
        <v>5</v>
      </c>
      <c r="N33">
        <f t="shared" si="5"/>
        <v>1.016477542277417</v>
      </c>
      <c r="O33" s="40">
        <f t="shared" si="6"/>
        <v>9.5537731854312824</v>
      </c>
      <c r="P33"/>
      <c r="Q33"/>
      <c r="R33"/>
      <c r="S33"/>
    </row>
    <row r="34" spans="1:19">
      <c r="A34" s="303">
        <f t="shared" si="1"/>
        <v>31</v>
      </c>
      <c r="B34" s="1798">
        <f t="shared" si="1"/>
        <v>6</v>
      </c>
      <c r="C34" s="1832">
        <f t="shared" si="8"/>
        <v>8.6200078376078775</v>
      </c>
      <c r="D34" s="1816">
        <f t="shared" si="9"/>
        <v>1866.2316968421053</v>
      </c>
      <c r="E34" s="1825">
        <v>0.02</v>
      </c>
      <c r="F34" s="1825"/>
      <c r="G34" s="1803">
        <f t="shared" si="2"/>
        <v>724.75714404060568</v>
      </c>
      <c r="H34" s="2012">
        <v>2.5000000000000001E-2</v>
      </c>
      <c r="I34" s="1804">
        <f t="shared" si="3"/>
        <v>739.11131422874507</v>
      </c>
      <c r="J34" s="1815"/>
      <c r="K34" s="1816">
        <f t="shared" si="7"/>
        <v>3895.8073944714424</v>
      </c>
      <c r="L34" s="1833"/>
      <c r="M34" s="1795">
        <f t="shared" si="10"/>
        <v>6</v>
      </c>
      <c r="N34">
        <f t="shared" si="5"/>
        <v>1.0198054897508333</v>
      </c>
      <c r="O34" s="40">
        <f t="shared" si="6"/>
        <v>14.354170188139392</v>
      </c>
      <c r="P34"/>
      <c r="Q34"/>
      <c r="R34"/>
      <c r="S34"/>
    </row>
    <row r="35" spans="1:19">
      <c r="A35" s="303">
        <f t="shared" si="1"/>
        <v>32</v>
      </c>
      <c r="B35" s="1798">
        <f t="shared" si="1"/>
        <v>7</v>
      </c>
      <c r="C35" s="1832">
        <f t="shared" si="8"/>
        <v>8.6200078376078775</v>
      </c>
      <c r="D35" s="1816">
        <f t="shared" si="9"/>
        <v>1866.2316968421053</v>
      </c>
      <c r="E35" s="1825">
        <v>0.02</v>
      </c>
      <c r="F35" s="1825"/>
      <c r="G35" s="1803">
        <f t="shared" si="2"/>
        <v>724.75714404060568</v>
      </c>
      <c r="H35" s="2012">
        <v>2.5000000000000001E-2</v>
      </c>
      <c r="I35" s="1804">
        <f t="shared" si="3"/>
        <v>741.53116467153006</v>
      </c>
      <c r="J35" s="1815"/>
      <c r="K35" s="1816">
        <f t="shared" si="7"/>
        <v>4637.3385591429724</v>
      </c>
      <c r="L35" s="1823"/>
      <c r="M35" s="1795">
        <f t="shared" si="10"/>
        <v>7</v>
      </c>
      <c r="N35">
        <f t="shared" si="5"/>
        <v>1.0231443329242775</v>
      </c>
      <c r="O35" s="40">
        <f t="shared" si="6"/>
        <v>16.774020630924383</v>
      </c>
      <c r="P35"/>
      <c r="Q35"/>
      <c r="R35"/>
      <c r="S35"/>
    </row>
    <row r="36" spans="1:19">
      <c r="A36" s="303">
        <f t="shared" si="1"/>
        <v>33</v>
      </c>
      <c r="B36" s="1798">
        <f t="shared" si="1"/>
        <v>8</v>
      </c>
      <c r="C36" s="1832">
        <f t="shared" si="8"/>
        <v>8.6200078376078775</v>
      </c>
      <c r="D36" s="1816">
        <f t="shared" si="9"/>
        <v>1866.2316968421053</v>
      </c>
      <c r="E36" s="1825">
        <v>0.02</v>
      </c>
      <c r="F36" s="1825"/>
      <c r="G36" s="1803">
        <f t="shared" si="2"/>
        <v>724.75714404060568</v>
      </c>
      <c r="H36" s="2012">
        <v>2.5000000000000001E-2</v>
      </c>
      <c r="I36" s="1804">
        <f t="shared" si="3"/>
        <v>743.95893770466444</v>
      </c>
      <c r="J36" s="1815"/>
      <c r="K36" s="1816">
        <f t="shared" si="7"/>
        <v>5381.2974968476365</v>
      </c>
      <c r="L36" s="1823"/>
      <c r="M36" s="1795">
        <f t="shared" si="10"/>
        <v>8</v>
      </c>
      <c r="N36">
        <f t="shared" si="5"/>
        <v>1.0264941074702714</v>
      </c>
      <c r="O36" s="40">
        <f t="shared" si="6"/>
        <v>19.201793664058755</v>
      </c>
      <c r="P36"/>
      <c r="Q36"/>
      <c r="R36"/>
      <c r="S36"/>
    </row>
    <row r="37" spans="1:19">
      <c r="A37" s="303">
        <f t="shared" ref="A37:B62" si="11">A36+1</f>
        <v>34</v>
      </c>
      <c r="B37" s="1798">
        <f t="shared" si="11"/>
        <v>9</v>
      </c>
      <c r="C37" s="1832">
        <f t="shared" si="8"/>
        <v>8.6200078376078775</v>
      </c>
      <c r="D37" s="1816">
        <f t="shared" si="9"/>
        <v>1866.2316968421053</v>
      </c>
      <c r="E37" s="1825">
        <v>0.02</v>
      </c>
      <c r="F37" s="1834"/>
      <c r="G37" s="1803">
        <f t="shared" si="2"/>
        <v>869.7085728487267</v>
      </c>
      <c r="H37" s="2012">
        <v>0.03</v>
      </c>
      <c r="I37" s="1804">
        <f t="shared" si="3"/>
        <v>895.67359112005124</v>
      </c>
      <c r="J37" s="1815"/>
      <c r="K37" s="1816">
        <f t="shared" si="7"/>
        <v>6276.9710879676877</v>
      </c>
      <c r="L37" s="1823"/>
      <c r="M37" s="1795">
        <f t="shared" si="10"/>
        <v>9</v>
      </c>
      <c r="N37">
        <f t="shared" si="5"/>
        <v>1.029854849178129</v>
      </c>
      <c r="O37" s="40">
        <f t="shared" si="6"/>
        <v>25.965018271324539</v>
      </c>
      <c r="P37"/>
      <c r="Q37"/>
      <c r="R37"/>
      <c r="S37"/>
    </row>
    <row r="38" spans="1:19">
      <c r="A38" s="303">
        <f t="shared" si="11"/>
        <v>35</v>
      </c>
      <c r="B38" s="1798">
        <f t="shared" si="11"/>
        <v>10</v>
      </c>
      <c r="C38" s="1832">
        <f t="shared" si="8"/>
        <v>10.775009797009847</v>
      </c>
      <c r="D38" s="1816">
        <f t="shared" si="9"/>
        <v>2332.7896210526319</v>
      </c>
      <c r="E38" s="1825">
        <v>2.5000000000000001E-2</v>
      </c>
      <c r="F38" s="1825"/>
      <c r="G38" s="1803">
        <f t="shared" si="2"/>
        <v>869.7085728487267</v>
      </c>
      <c r="H38" s="2012">
        <v>0.03</v>
      </c>
      <c r="I38" s="1804">
        <f t="shared" si="3"/>
        <v>898.60602645737822</v>
      </c>
      <c r="J38" s="1815"/>
      <c r="K38" s="1816">
        <f t="shared" si="7"/>
        <v>7175.5771144250657</v>
      </c>
      <c r="L38" s="1823"/>
      <c r="M38" s="1795">
        <f t="shared" si="10"/>
        <v>10</v>
      </c>
      <c r="N38">
        <f t="shared" si="5"/>
        <v>1.0332265939543381</v>
      </c>
      <c r="O38" s="40">
        <f t="shared" si="6"/>
        <v>28.897453608651517</v>
      </c>
      <c r="P38"/>
      <c r="Q38"/>
      <c r="R38"/>
      <c r="S38"/>
    </row>
    <row r="39" spans="1:19">
      <c r="A39" s="303">
        <f t="shared" si="11"/>
        <v>36</v>
      </c>
      <c r="B39" s="1798">
        <f t="shared" si="11"/>
        <v>11</v>
      </c>
      <c r="C39" s="1832">
        <f t="shared" si="8"/>
        <v>10.775009797009847</v>
      </c>
      <c r="D39" s="1816">
        <f t="shared" si="9"/>
        <v>2332.7896210526319</v>
      </c>
      <c r="E39" s="1825">
        <v>2.5000000000000001E-2</v>
      </c>
      <c r="F39" s="1834"/>
      <c r="G39" s="1803">
        <f t="shared" ref="G39:G63" si="12">$G$65*H39</f>
        <v>869.7085728487267</v>
      </c>
      <c r="H39" s="2012">
        <v>0.03</v>
      </c>
      <c r="I39" s="1804">
        <f t="shared" si="3"/>
        <v>901.54806258799988</v>
      </c>
      <c r="J39" s="1815"/>
      <c r="K39" s="1816">
        <f t="shared" si="7"/>
        <v>8077.1251770130657</v>
      </c>
      <c r="L39" s="1823"/>
      <c r="M39" s="1795">
        <f t="shared" si="10"/>
        <v>11</v>
      </c>
      <c r="N39">
        <f t="shared" si="5"/>
        <v>1.0366093778229448</v>
      </c>
      <c r="O39" s="40">
        <f t="shared" si="6"/>
        <v>31.839489739273176</v>
      </c>
      <c r="P39"/>
      <c r="Q39"/>
      <c r="R39"/>
      <c r="S39"/>
    </row>
    <row r="40" spans="1:19">
      <c r="A40" s="303">
        <f t="shared" si="11"/>
        <v>37</v>
      </c>
      <c r="B40" s="1798">
        <f t="shared" si="11"/>
        <v>12</v>
      </c>
      <c r="C40" s="1832">
        <f t="shared" si="8"/>
        <v>10.775009797009847</v>
      </c>
      <c r="D40" s="1816">
        <f t="shared" si="9"/>
        <v>2332.7896210526319</v>
      </c>
      <c r="E40" s="1825">
        <v>2.5000000000000001E-2</v>
      </c>
      <c r="F40" s="1825"/>
      <c r="G40" s="1803">
        <f t="shared" si="12"/>
        <v>1159.6114304649691</v>
      </c>
      <c r="H40" s="2012">
        <v>0.04</v>
      </c>
      <c r="I40" s="1804">
        <f t="shared" si="3"/>
        <v>1205.9996412598839</v>
      </c>
      <c r="J40" s="1815"/>
      <c r="K40" s="1816">
        <f t="shared" si="7"/>
        <v>9283.1248182729505</v>
      </c>
      <c r="L40" s="1823"/>
      <c r="M40" s="1795">
        <f t="shared" si="10"/>
        <v>12</v>
      </c>
      <c r="N40">
        <f t="shared" si="5"/>
        <v>1.0400032369259369</v>
      </c>
      <c r="O40" s="40">
        <f t="shared" si="6"/>
        <v>46.388210794914812</v>
      </c>
      <c r="P40"/>
      <c r="Q40"/>
      <c r="R40"/>
      <c r="S40"/>
    </row>
    <row r="41" spans="1:19">
      <c r="A41" s="303">
        <f t="shared" si="11"/>
        <v>38</v>
      </c>
      <c r="B41" s="1798">
        <f t="shared" si="11"/>
        <v>13</v>
      </c>
      <c r="C41" s="1832">
        <f t="shared" si="8"/>
        <v>10.775009797009847</v>
      </c>
      <c r="D41" s="1816">
        <f t="shared" si="9"/>
        <v>2332.7896210526319</v>
      </c>
      <c r="E41" s="1825">
        <v>2.5000000000000001E-2</v>
      </c>
      <c r="F41" s="1825"/>
      <c r="G41" s="1803">
        <f t="shared" si="12"/>
        <v>1159.6114304649691</v>
      </c>
      <c r="H41" s="2012">
        <v>0.04</v>
      </c>
      <c r="I41" s="1804">
        <f t="shared" si="3"/>
        <v>1209.9480840853685</v>
      </c>
      <c r="J41" s="1990"/>
      <c r="K41" s="1816">
        <f t="shared" si="7"/>
        <v>10493.072902358319</v>
      </c>
      <c r="L41" s="1823"/>
      <c r="M41" s="1795">
        <f t="shared" si="10"/>
        <v>13</v>
      </c>
      <c r="N41">
        <f t="shared" si="5"/>
        <v>1.0434082075236322</v>
      </c>
      <c r="O41" s="40">
        <f t="shared" si="6"/>
        <v>50.336653620399375</v>
      </c>
      <c r="P41"/>
      <c r="Q41"/>
      <c r="R41"/>
      <c r="S41"/>
    </row>
    <row r="42" spans="1:19">
      <c r="A42" s="303">
        <f t="shared" si="11"/>
        <v>39</v>
      </c>
      <c r="B42" s="1798">
        <f t="shared" si="11"/>
        <v>14</v>
      </c>
      <c r="C42" s="1832">
        <f t="shared" si="8"/>
        <v>10.775009797009847</v>
      </c>
      <c r="D42" s="1816">
        <f t="shared" si="9"/>
        <v>2332.7896210526319</v>
      </c>
      <c r="E42" s="1825">
        <v>2.5000000000000001E-2</v>
      </c>
      <c r="F42" s="1825"/>
      <c r="G42" s="1803">
        <f t="shared" si="12"/>
        <v>1159.6114304649691</v>
      </c>
      <c r="H42" s="2012">
        <v>0.04</v>
      </c>
      <c r="I42" s="1804">
        <f t="shared" si="3"/>
        <v>1213.9094541126642</v>
      </c>
      <c r="J42" s="1815" t="s">
        <v>305</v>
      </c>
      <c r="K42" s="1816">
        <f t="shared" si="7"/>
        <v>11706.982356470984</v>
      </c>
      <c r="L42" s="1823"/>
      <c r="M42" s="1795">
        <f t="shared" si="10"/>
        <v>14</v>
      </c>
      <c r="N42">
        <f t="shared" si="5"/>
        <v>1.0468243259950647</v>
      </c>
      <c r="O42" s="40">
        <f t="shared" si="6"/>
        <v>54.298023647695118</v>
      </c>
      <c r="P42"/>
      <c r="Q42"/>
      <c r="R42"/>
      <c r="S42"/>
    </row>
    <row r="43" spans="1:19">
      <c r="A43" s="303">
        <f t="shared" si="11"/>
        <v>40</v>
      </c>
      <c r="B43" s="1798">
        <f t="shared" si="11"/>
        <v>15</v>
      </c>
      <c r="C43" s="1832">
        <f t="shared" si="8"/>
        <v>10.775009797009847</v>
      </c>
      <c r="D43" s="1816">
        <f t="shared" si="9"/>
        <v>2332.7896210526319</v>
      </c>
      <c r="E43" s="1825">
        <v>2.5000000000000001E-2</v>
      </c>
      <c r="F43" s="1825"/>
      <c r="G43" s="1803">
        <f t="shared" si="12"/>
        <v>1159.6114304649691</v>
      </c>
      <c r="H43" s="2012">
        <v>0.04</v>
      </c>
      <c r="I43" s="1804">
        <f t="shared" si="3"/>
        <v>1217.883793665429</v>
      </c>
      <c r="J43" s="1815"/>
      <c r="K43" s="1816">
        <f t="shared" si="7"/>
        <v>12924.866150136413</v>
      </c>
      <c r="L43" s="1823"/>
      <c r="M43" s="1795">
        <f t="shared" si="10"/>
        <v>15</v>
      </c>
      <c r="N43">
        <f t="shared" si="5"/>
        <v>1.0502516288383725</v>
      </c>
      <c r="O43" s="40">
        <f t="shared" si="6"/>
        <v>58.272363200459949</v>
      </c>
      <c r="P43"/>
      <c r="Q43"/>
      <c r="R43"/>
      <c r="S43"/>
    </row>
    <row r="44" spans="1:19">
      <c r="A44" s="303">
        <f t="shared" si="11"/>
        <v>41</v>
      </c>
      <c r="B44" s="1798">
        <f t="shared" si="11"/>
        <v>16</v>
      </c>
      <c r="C44" s="1832">
        <f t="shared" si="8"/>
        <v>15.085013715813785</v>
      </c>
      <c r="D44" s="1816">
        <f t="shared" si="9"/>
        <v>3265.9054694736847</v>
      </c>
      <c r="E44" s="1825">
        <v>3.5000000000000003E-2</v>
      </c>
      <c r="F44" s="1825"/>
      <c r="G44" s="1803">
        <f t="shared" si="12"/>
        <v>1159.6114304649691</v>
      </c>
      <c r="H44" s="2012">
        <v>0.04</v>
      </c>
      <c r="I44" s="1804">
        <f t="shared" si="3"/>
        <v>1221.8711452058892</v>
      </c>
      <c r="J44" s="1815"/>
      <c r="K44" s="1816">
        <f t="shared" si="7"/>
        <v>14146.737295342302</v>
      </c>
      <c r="L44" s="1823"/>
      <c r="M44" s="1795">
        <f t="shared" si="10"/>
        <v>16</v>
      </c>
      <c r="N44">
        <f t="shared" si="5"/>
        <v>1.053690152671189</v>
      </c>
      <c r="O44" s="40">
        <f t="shared" si="6"/>
        <v>62.259714740920117</v>
      </c>
      <c r="P44"/>
      <c r="Q44"/>
      <c r="R44"/>
      <c r="S44"/>
    </row>
    <row r="45" spans="1:19">
      <c r="A45" s="303">
        <f t="shared" si="11"/>
        <v>42</v>
      </c>
      <c r="B45" s="1798">
        <f t="shared" si="11"/>
        <v>17</v>
      </c>
      <c r="C45" s="1832">
        <f t="shared" si="8"/>
        <v>12.930011756411815</v>
      </c>
      <c r="D45" s="1816">
        <f t="shared" si="9"/>
        <v>2799.3475452631578</v>
      </c>
      <c r="E45" s="1825">
        <v>0.03</v>
      </c>
      <c r="F45" s="1825"/>
      <c r="G45" s="1803">
        <f t="shared" si="12"/>
        <v>1159.6114304649691</v>
      </c>
      <c r="H45" s="2012">
        <v>0.04</v>
      </c>
      <c r="I45" s="1804">
        <f t="shared" si="3"/>
        <v>1225.8715513352934</v>
      </c>
      <c r="J45" s="1815"/>
      <c r="K45" s="1816">
        <f t="shared" si="7"/>
        <v>15372.608846677595</v>
      </c>
      <c r="L45" s="1823"/>
      <c r="M45" s="1795">
        <f t="shared" si="10"/>
        <v>17</v>
      </c>
      <c r="N45">
        <f t="shared" si="5"/>
        <v>1.0571399342310346</v>
      </c>
      <c r="O45" s="40">
        <f t="shared" si="6"/>
        <v>66.260120870324272</v>
      </c>
      <c r="P45"/>
      <c r="Q45"/>
      <c r="R45"/>
      <c r="S45"/>
    </row>
    <row r="46" spans="1:19">
      <c r="A46" s="303">
        <f t="shared" si="11"/>
        <v>43</v>
      </c>
      <c r="B46" s="1798">
        <f t="shared" si="11"/>
        <v>18</v>
      </c>
      <c r="C46" s="1832">
        <f t="shared" si="8"/>
        <v>15.085013715813785</v>
      </c>
      <c r="D46" s="1816">
        <f t="shared" si="9"/>
        <v>3265.9054694736847</v>
      </c>
      <c r="E46" s="1825">
        <v>3.5000000000000003E-2</v>
      </c>
      <c r="F46" s="1825"/>
      <c r="G46" s="1803">
        <f t="shared" si="12"/>
        <v>1159.6114304649691</v>
      </c>
      <c r="H46" s="2012">
        <v>0.04</v>
      </c>
      <c r="I46" s="1804">
        <f t="shared" si="3"/>
        <v>1229.885054794365</v>
      </c>
      <c r="J46" s="1815"/>
      <c r="K46" s="1816">
        <f t="shared" si="7"/>
        <v>16602.49390147196</v>
      </c>
      <c r="L46" s="1823"/>
      <c r="M46" s="1795">
        <f t="shared" si="10"/>
        <v>18</v>
      </c>
      <c r="N46">
        <f t="shared" si="5"/>
        <v>1.0606010103757069</v>
      </c>
      <c r="O46" s="40">
        <f t="shared" si="6"/>
        <v>70.273624329395943</v>
      </c>
      <c r="P46"/>
      <c r="Q46"/>
      <c r="R46"/>
      <c r="S46"/>
    </row>
    <row r="47" spans="1:19">
      <c r="A47" s="303">
        <f t="shared" si="11"/>
        <v>44</v>
      </c>
      <c r="B47" s="1798">
        <f t="shared" si="11"/>
        <v>19</v>
      </c>
      <c r="C47" s="1832">
        <f t="shared" si="8"/>
        <v>15.085013715813785</v>
      </c>
      <c r="D47" s="1816">
        <f t="shared" si="9"/>
        <v>3265.9054694736847</v>
      </c>
      <c r="E47" s="1825">
        <v>3.5000000000000003E-2</v>
      </c>
      <c r="F47" s="1825"/>
      <c r="G47" s="1803">
        <f t="shared" si="12"/>
        <v>1159.6114304649691</v>
      </c>
      <c r="H47" s="2012">
        <v>0.04</v>
      </c>
      <c r="I47" s="1804">
        <f t="shared" si="3"/>
        <v>1233.9116984637619</v>
      </c>
      <c r="J47" s="1815"/>
      <c r="K47" s="1816">
        <f t="shared" si="7"/>
        <v>17836.405599935722</v>
      </c>
      <c r="L47" s="1823"/>
      <c r="M47" s="1795">
        <f t="shared" si="10"/>
        <v>19</v>
      </c>
      <c r="N47">
        <f t="shared" si="5"/>
        <v>1.0640734180836771</v>
      </c>
      <c r="O47" s="40">
        <f t="shared" si="6"/>
        <v>74.300267998792833</v>
      </c>
      <c r="P47"/>
      <c r="Q47"/>
      <c r="R47"/>
      <c r="S47"/>
    </row>
    <row r="48" spans="1:19">
      <c r="A48" s="303">
        <f t="shared" si="11"/>
        <v>45</v>
      </c>
      <c r="B48" s="1798">
        <f t="shared" si="11"/>
        <v>20</v>
      </c>
      <c r="C48" s="1832">
        <f t="shared" si="8"/>
        <v>17.240015675215755</v>
      </c>
      <c r="D48" s="1816">
        <f t="shared" si="9"/>
        <v>3732.4633936842106</v>
      </c>
      <c r="E48" s="1825">
        <v>0.04</v>
      </c>
      <c r="F48" s="1825"/>
      <c r="G48" s="1803">
        <f t="shared" si="12"/>
        <v>1159.6114304649691</v>
      </c>
      <c r="H48" s="2012">
        <v>0.04</v>
      </c>
      <c r="I48" s="1804">
        <f t="shared" si="3"/>
        <v>1237.9515253645318</v>
      </c>
      <c r="J48" s="1815"/>
      <c r="K48" s="1816">
        <f t="shared" si="7"/>
        <v>19074.357125300256</v>
      </c>
      <c r="L48" s="1823"/>
      <c r="M48" s="1795">
        <f t="shared" si="10"/>
        <v>20</v>
      </c>
      <c r="N48">
        <f t="shared" si="5"/>
        <v>1.0675571944544826</v>
      </c>
      <c r="O48" s="40">
        <f t="shared" si="6"/>
        <v>78.3400948995627</v>
      </c>
      <c r="P48"/>
      <c r="Q48"/>
      <c r="R48"/>
      <c r="S48"/>
    </row>
    <row r="49" spans="1:19">
      <c r="A49" s="303">
        <f t="shared" si="11"/>
        <v>46</v>
      </c>
      <c r="B49" s="1798">
        <f t="shared" si="11"/>
        <v>21</v>
      </c>
      <c r="C49" s="1832">
        <f t="shared" si="8"/>
        <v>19.395017634617723</v>
      </c>
      <c r="D49" s="1816">
        <f t="shared" si="9"/>
        <v>4199.021317894737</v>
      </c>
      <c r="E49" s="1825">
        <v>4.4999999999999998E-2</v>
      </c>
      <c r="F49" s="1825"/>
      <c r="G49" s="1803">
        <f t="shared" si="12"/>
        <v>1159.6114304649691</v>
      </c>
      <c r="H49" s="2012">
        <v>0.04</v>
      </c>
      <c r="I49" s="1804">
        <f t="shared" si="3"/>
        <v>1242.0045786585754</v>
      </c>
      <c r="J49" s="1815"/>
      <c r="K49" s="1816">
        <f t="shared" si="7"/>
        <v>20316.361703958832</v>
      </c>
      <c r="L49" s="1823"/>
      <c r="M49" s="1795">
        <f t="shared" si="10"/>
        <v>21</v>
      </c>
      <c r="N49">
        <f t="shared" si="5"/>
        <v>1.0710523767091267</v>
      </c>
      <c r="O49" s="40">
        <f t="shared" si="6"/>
        <v>82.393148193606294</v>
      </c>
      <c r="P49"/>
      <c r="Q49"/>
      <c r="R49"/>
      <c r="S49"/>
    </row>
    <row r="50" spans="1:19">
      <c r="A50" s="303">
        <f t="shared" si="11"/>
        <v>47</v>
      </c>
      <c r="B50" s="1798">
        <f t="shared" si="11"/>
        <v>22</v>
      </c>
      <c r="C50" s="1832">
        <f t="shared" si="8"/>
        <v>19.395017634617723</v>
      </c>
      <c r="D50" s="1816">
        <f t="shared" si="9"/>
        <v>4199.021317894737</v>
      </c>
      <c r="E50" s="1825">
        <v>4.4999999999999998E-2</v>
      </c>
      <c r="F50" s="1825"/>
      <c r="G50" s="1803">
        <f t="shared" si="12"/>
        <v>1014.660001656848</v>
      </c>
      <c r="H50" s="2012">
        <v>3.5000000000000003E-2</v>
      </c>
      <c r="I50" s="1804">
        <f t="shared" si="3"/>
        <v>1090.3120389429655</v>
      </c>
      <c r="J50" s="1815"/>
      <c r="K50" s="1816">
        <f t="shared" si="7"/>
        <v>21406.673742901796</v>
      </c>
      <c r="L50" s="1823"/>
      <c r="M50" s="1795">
        <f t="shared" si="10"/>
        <v>22</v>
      </c>
      <c r="N50">
        <f t="shared" si="5"/>
        <v>1.0745590021904723</v>
      </c>
      <c r="O50" s="40">
        <f t="shared" si="6"/>
        <v>75.652037286117547</v>
      </c>
      <c r="P50"/>
      <c r="Q50"/>
      <c r="R50"/>
      <c r="S50"/>
    </row>
    <row r="51" spans="1:19">
      <c r="A51" s="303">
        <f t="shared" si="11"/>
        <v>48</v>
      </c>
      <c r="B51" s="1798">
        <f t="shared" si="11"/>
        <v>23</v>
      </c>
      <c r="C51" s="1832">
        <f t="shared" si="8"/>
        <v>19.395017634617723</v>
      </c>
      <c r="D51" s="1816">
        <f t="shared" si="9"/>
        <v>4199.021317894737</v>
      </c>
      <c r="E51" s="1825">
        <v>4.4999999999999998E-2</v>
      </c>
      <c r="F51" s="1825"/>
      <c r="G51" s="1803">
        <f t="shared" si="12"/>
        <v>1014.660001656848</v>
      </c>
      <c r="H51" s="2012">
        <v>3.5000000000000003E-2</v>
      </c>
      <c r="I51" s="1804">
        <f t="shared" si="3"/>
        <v>1093.8817205584646</v>
      </c>
      <c r="J51" s="1815"/>
      <c r="K51" s="1816">
        <f t="shared" si="7"/>
        <v>22500.555463460259</v>
      </c>
      <c r="L51" s="1823"/>
      <c r="M51" s="1795">
        <f t="shared" si="10"/>
        <v>23</v>
      </c>
      <c r="N51">
        <f t="shared" si="5"/>
        <v>1.0780771083636438</v>
      </c>
      <c r="O51" s="40">
        <f t="shared" si="6"/>
        <v>79.221718901616669</v>
      </c>
      <c r="P51"/>
      <c r="Q51"/>
      <c r="R51"/>
      <c r="S51"/>
    </row>
    <row r="52" spans="1:19">
      <c r="A52" s="303">
        <f t="shared" si="11"/>
        <v>49</v>
      </c>
      <c r="B52" s="1798">
        <f t="shared" si="11"/>
        <v>24</v>
      </c>
      <c r="C52" s="1832">
        <f t="shared" si="8"/>
        <v>19.395017634617723</v>
      </c>
      <c r="D52" s="1816">
        <f t="shared" si="9"/>
        <v>4199.021317894737</v>
      </c>
      <c r="E52" s="1825">
        <v>4.4999999999999998E-2</v>
      </c>
      <c r="F52" s="1825"/>
      <c r="G52" s="1803">
        <f t="shared" si="12"/>
        <v>869.7085728487267</v>
      </c>
      <c r="H52" s="2012">
        <v>0.03</v>
      </c>
      <c r="I52" s="1804">
        <f t="shared" si="3"/>
        <v>940.68264798134817</v>
      </c>
      <c r="J52" s="1815"/>
      <c r="K52" s="1816">
        <f t="shared" si="7"/>
        <v>23441.238111441609</v>
      </c>
      <c r="L52" s="1823"/>
      <c r="M52" s="1795">
        <f t="shared" si="10"/>
        <v>24</v>
      </c>
      <c r="N52">
        <f t="shared" si="5"/>
        <v>1.0816067328164263</v>
      </c>
      <c r="O52" s="40">
        <f t="shared" si="6"/>
        <v>70.974075132621465</v>
      </c>
      <c r="P52"/>
      <c r="Q52"/>
      <c r="R52"/>
      <c r="S52"/>
    </row>
    <row r="53" spans="1:19">
      <c r="A53" s="303">
        <f t="shared" si="11"/>
        <v>50</v>
      </c>
      <c r="B53" s="1798">
        <f t="shared" si="11"/>
        <v>25</v>
      </c>
      <c r="C53" s="1832">
        <f t="shared" si="8"/>
        <v>17.240015675215755</v>
      </c>
      <c r="D53" s="1816">
        <f t="shared" si="9"/>
        <v>3732.4633936842106</v>
      </c>
      <c r="E53" s="1825">
        <v>0.04</v>
      </c>
      <c r="F53" s="1825"/>
      <c r="G53" s="1803">
        <f t="shared" si="12"/>
        <v>869.7085728487267</v>
      </c>
      <c r="H53" s="2012">
        <v>0.03</v>
      </c>
      <c r="I53" s="1804">
        <f t="shared" si="3"/>
        <v>943.76244297083895</v>
      </c>
      <c r="J53" s="1990"/>
      <c r="K53" s="1816">
        <f t="shared" si="7"/>
        <v>24385.000554412447</v>
      </c>
      <c r="L53" s="1823"/>
      <c r="M53" s="1795">
        <f t="shared" si="10"/>
        <v>25</v>
      </c>
      <c r="N53">
        <f t="shared" si="5"/>
        <v>1.0851479132596671</v>
      </c>
      <c r="O53" s="40">
        <f t="shared" si="6"/>
        <v>74.053870122112244</v>
      </c>
      <c r="P53"/>
      <c r="Q53"/>
      <c r="R53"/>
      <c r="S53"/>
    </row>
    <row r="54" spans="1:19">
      <c r="A54" s="303">
        <f t="shared" si="11"/>
        <v>51</v>
      </c>
      <c r="B54" s="1798">
        <f t="shared" si="11"/>
        <v>26</v>
      </c>
      <c r="C54" s="1832">
        <f t="shared" si="8"/>
        <v>17.240015675215755</v>
      </c>
      <c r="D54" s="1816">
        <f t="shared" si="9"/>
        <v>3732.4633936842106</v>
      </c>
      <c r="E54" s="1825">
        <v>0.04</v>
      </c>
      <c r="F54" s="1825"/>
      <c r="G54" s="1803">
        <f t="shared" si="12"/>
        <v>869.7085728487267</v>
      </c>
      <c r="H54" s="2012">
        <v>0.03</v>
      </c>
      <c r="I54" s="1804">
        <f t="shared" si="3"/>
        <v>946.85232120912542</v>
      </c>
      <c r="J54" s="1815" t="s">
        <v>305</v>
      </c>
      <c r="K54" s="1816">
        <f t="shared" si="7"/>
        <v>25331.852875621571</v>
      </c>
      <c r="L54" s="1823"/>
      <c r="M54" s="1795">
        <f t="shared" si="10"/>
        <v>26</v>
      </c>
      <c r="N54">
        <f t="shared" si="5"/>
        <v>1.0887006875276792</v>
      </c>
      <c r="O54" s="40">
        <f t="shared" si="6"/>
        <v>77.143748360398718</v>
      </c>
      <c r="P54"/>
      <c r="Q54"/>
      <c r="R54"/>
      <c r="S54"/>
    </row>
    <row r="55" spans="1:19">
      <c r="A55" s="303">
        <f t="shared" si="11"/>
        <v>52</v>
      </c>
      <c r="B55" s="1798">
        <f t="shared" si="11"/>
        <v>27</v>
      </c>
      <c r="C55" s="1832">
        <f t="shared" si="8"/>
        <v>17.240015675215755</v>
      </c>
      <c r="D55" s="1816">
        <f t="shared" si="9"/>
        <v>3732.4633936842106</v>
      </c>
      <c r="E55" s="1825">
        <v>0.04</v>
      </c>
      <c r="F55" s="1825"/>
      <c r="G55" s="1803">
        <f t="shared" si="12"/>
        <v>869.7085728487267</v>
      </c>
      <c r="H55" s="2012">
        <v>0.03</v>
      </c>
      <c r="I55" s="1804">
        <f t="shared" si="3"/>
        <v>949.95231570876433</v>
      </c>
      <c r="J55" s="1815"/>
      <c r="K55" s="1816">
        <f t="shared" si="7"/>
        <v>26281.805191330335</v>
      </c>
      <c r="L55" s="1823"/>
      <c r="M55" s="1795">
        <f t="shared" si="10"/>
        <v>27</v>
      </c>
      <c r="N55">
        <f t="shared" si="5"/>
        <v>1.0922650935786451</v>
      </c>
      <c r="O55" s="40">
        <f t="shared" si="6"/>
        <v>80.243742860037628</v>
      </c>
      <c r="P55"/>
      <c r="Q55"/>
      <c r="R55"/>
      <c r="S55"/>
    </row>
    <row r="56" spans="1:19">
      <c r="A56" s="303">
        <f t="shared" si="11"/>
        <v>53</v>
      </c>
      <c r="B56" s="1798">
        <f t="shared" si="11"/>
        <v>28</v>
      </c>
      <c r="C56" s="1832">
        <f t="shared" si="8"/>
        <v>15.085013715813785</v>
      </c>
      <c r="D56" s="1816">
        <f t="shared" si="9"/>
        <v>3265.9054694736847</v>
      </c>
      <c r="E56" s="1825">
        <v>3.5000000000000003E-2</v>
      </c>
      <c r="F56" s="1825"/>
      <c r="G56" s="1803">
        <f t="shared" si="12"/>
        <v>724.75714404060568</v>
      </c>
      <c r="H56" s="2012">
        <v>2.5000000000000001E-2</v>
      </c>
      <c r="I56" s="1804">
        <f t="shared" si="3"/>
        <v>794.21871632532884</v>
      </c>
      <c r="J56" s="1815"/>
      <c r="K56" s="1816">
        <f t="shared" si="7"/>
        <v>27076.023907655665</v>
      </c>
      <c r="L56" s="1823"/>
      <c r="M56" s="1795">
        <f t="shared" si="10"/>
        <v>28</v>
      </c>
      <c r="N56">
        <f t="shared" si="5"/>
        <v>1.0958411694950212</v>
      </c>
      <c r="O56" s="40">
        <f t="shared" si="6"/>
        <v>69.461572284723161</v>
      </c>
      <c r="P56"/>
      <c r="Q56"/>
      <c r="R56"/>
      <c r="S56"/>
    </row>
    <row r="57" spans="1:19">
      <c r="A57" s="303">
        <f t="shared" si="11"/>
        <v>54</v>
      </c>
      <c r="B57" s="1798">
        <f t="shared" si="11"/>
        <v>29</v>
      </c>
      <c r="C57" s="1832">
        <f t="shared" si="8"/>
        <v>15.085013715813785</v>
      </c>
      <c r="D57" s="1816">
        <f t="shared" si="9"/>
        <v>3265.9054694736847</v>
      </c>
      <c r="E57" s="1825">
        <v>3.5000000000000003E-2</v>
      </c>
      <c r="F57" s="1825"/>
      <c r="G57" s="1803">
        <f t="shared" si="12"/>
        <v>724.75714404060568</v>
      </c>
      <c r="H57" s="2012">
        <v>2.5000000000000001E-2</v>
      </c>
      <c r="I57" s="1804">
        <f t="shared" si="3"/>
        <v>796.81898840257782</v>
      </c>
      <c r="J57" s="1815"/>
      <c r="K57" s="1816">
        <f t="shared" si="7"/>
        <v>27872.842896058242</v>
      </c>
      <c r="L57" s="1835"/>
      <c r="M57" s="1795">
        <f t="shared" si="10"/>
        <v>29</v>
      </c>
      <c r="N57">
        <f t="shared" si="5"/>
        <v>1.0994289534839476</v>
      </c>
      <c r="O57" s="40">
        <f t="shared" si="6"/>
        <v>72.061844361972135</v>
      </c>
      <c r="P57"/>
      <c r="Q57"/>
      <c r="R57"/>
      <c r="S57"/>
    </row>
    <row r="58" spans="1:19">
      <c r="A58" s="303">
        <f t="shared" si="11"/>
        <v>55</v>
      </c>
      <c r="B58" s="1798">
        <f t="shared" si="11"/>
        <v>30</v>
      </c>
      <c r="C58" s="1832">
        <f t="shared" si="8"/>
        <v>15.085013715813785</v>
      </c>
      <c r="D58" s="1816">
        <f t="shared" si="9"/>
        <v>3265.9054694736847</v>
      </c>
      <c r="E58" s="1825">
        <v>3.5000000000000003E-2</v>
      </c>
      <c r="F58" s="1825"/>
      <c r="G58" s="1803">
        <f t="shared" si="12"/>
        <v>579.80571523248454</v>
      </c>
      <c r="H58" s="2012">
        <v>0.02</v>
      </c>
      <c r="I58" s="1804">
        <f t="shared" si="3"/>
        <v>639.54221901648634</v>
      </c>
      <c r="J58" s="1815"/>
      <c r="K58" s="1816">
        <f t="shared" si="7"/>
        <v>28512.385115074729</v>
      </c>
      <c r="L58" s="1836"/>
      <c r="M58" s="1795">
        <f t="shared" si="10"/>
        <v>30</v>
      </c>
      <c r="N58">
        <f t="shared" si="5"/>
        <v>1.1030284838776543</v>
      </c>
      <c r="O58" s="40">
        <f t="shared" si="6"/>
        <v>59.736503784001798</v>
      </c>
      <c r="P58"/>
      <c r="Q58"/>
      <c r="R58"/>
      <c r="S58"/>
    </row>
    <row r="59" spans="1:19">
      <c r="A59" s="303">
        <f t="shared" si="11"/>
        <v>56</v>
      </c>
      <c r="B59" s="1798">
        <f t="shared" si="11"/>
        <v>31</v>
      </c>
      <c r="C59" s="1832">
        <f t="shared" si="8"/>
        <v>15.085013715813785</v>
      </c>
      <c r="D59" s="1816">
        <f t="shared" si="9"/>
        <v>3265.9054694736847</v>
      </c>
      <c r="E59" s="1825">
        <v>3.5000000000000003E-2</v>
      </c>
      <c r="F59" s="1825"/>
      <c r="G59" s="1803">
        <f t="shared" si="12"/>
        <v>579.80571523248454</v>
      </c>
      <c r="H59" s="2012">
        <v>0.02</v>
      </c>
      <c r="I59" s="1804">
        <f t="shared" si="3"/>
        <v>641.63608024154632</v>
      </c>
      <c r="J59" s="1815"/>
      <c r="K59" s="1816">
        <f t="shared" si="7"/>
        <v>29154.021195316276</v>
      </c>
      <c r="L59" s="1831"/>
      <c r="M59" s="1795">
        <f t="shared" si="10"/>
        <v>31</v>
      </c>
      <c r="N59">
        <f t="shared" si="5"/>
        <v>1.1066397991338697</v>
      </c>
      <c r="O59" s="40">
        <f t="shared" si="6"/>
        <v>61.830365009061779</v>
      </c>
      <c r="P59"/>
      <c r="Q59"/>
      <c r="R59"/>
      <c r="S59"/>
    </row>
    <row r="60" spans="1:19">
      <c r="A60" s="303">
        <f t="shared" si="11"/>
        <v>57</v>
      </c>
      <c r="B60" s="1798">
        <f t="shared" si="11"/>
        <v>32</v>
      </c>
      <c r="C60" s="1837">
        <f t="shared" si="8"/>
        <v>12.930011756411815</v>
      </c>
      <c r="D60" s="1816">
        <f t="shared" si="9"/>
        <v>2799.3475452631578</v>
      </c>
      <c r="E60" s="1829">
        <v>0.03</v>
      </c>
      <c r="F60" s="1829"/>
      <c r="G60" s="1803">
        <f t="shared" si="12"/>
        <v>579.80571523248454</v>
      </c>
      <c r="H60" s="2012">
        <v>0.02</v>
      </c>
      <c r="I60" s="1804">
        <f t="shared" si="3"/>
        <v>643.73679676825702</v>
      </c>
      <c r="J60" s="1820"/>
      <c r="K60" s="1830">
        <f t="shared" si="7"/>
        <v>29797.757992084535</v>
      </c>
      <c r="L60" s="1823"/>
      <c r="M60" s="1795">
        <f t="shared" si="10"/>
        <v>32</v>
      </c>
      <c r="N60">
        <f t="shared" si="5"/>
        <v>1.1102629378362336</v>
      </c>
      <c r="O60" s="40">
        <f t="shared" si="6"/>
        <v>63.931081535772478</v>
      </c>
      <c r="P60"/>
      <c r="Q60"/>
      <c r="R60"/>
      <c r="S60"/>
    </row>
    <row r="61" spans="1:19">
      <c r="A61" s="303">
        <f t="shared" si="11"/>
        <v>58</v>
      </c>
      <c r="B61" s="1798">
        <f t="shared" si="11"/>
        <v>33</v>
      </c>
      <c r="C61" s="1832">
        <f t="shared" si="8"/>
        <v>12.930011756411815</v>
      </c>
      <c r="D61" s="1816">
        <f t="shared" si="9"/>
        <v>2799.3475452631578</v>
      </c>
      <c r="E61" s="1825">
        <v>0.03</v>
      </c>
      <c r="F61" s="1825"/>
      <c r="G61" s="1803">
        <f t="shared" si="12"/>
        <v>434.85428642436335</v>
      </c>
      <c r="H61" s="2012">
        <v>1.4999999999999999E-2</v>
      </c>
      <c r="I61" s="1804">
        <f t="shared" si="3"/>
        <v>484.38329328065709</v>
      </c>
      <c r="J61" s="1815"/>
      <c r="K61" s="1816">
        <f t="shared" si="7"/>
        <v>30282.141285365193</v>
      </c>
      <c r="L61" s="1823"/>
      <c r="M61" s="1795">
        <f t="shared" si="10"/>
        <v>33</v>
      </c>
      <c r="N61">
        <f t="shared" si="5"/>
        <v>1.1138979386947094</v>
      </c>
      <c r="O61" s="40">
        <f t="shared" si="6"/>
        <v>49.529006856293734</v>
      </c>
      <c r="P61"/>
      <c r="Q61"/>
      <c r="R61"/>
      <c r="S61"/>
    </row>
    <row r="62" spans="1:19">
      <c r="A62" s="303">
        <f t="shared" si="11"/>
        <v>59</v>
      </c>
      <c r="B62" s="1798">
        <f t="shared" si="11"/>
        <v>34</v>
      </c>
      <c r="C62" s="1832">
        <f>D62/216.5</f>
        <v>12.930011756411815</v>
      </c>
      <c r="D62" s="1816">
        <f t="shared" si="9"/>
        <v>2799.3475452631578</v>
      </c>
      <c r="E62" s="1825">
        <v>0.03</v>
      </c>
      <c r="F62" s="1825"/>
      <c r="G62" s="1803">
        <f t="shared" si="12"/>
        <v>173.94171456974536</v>
      </c>
      <c r="H62" s="2012">
        <v>6.0000000000000001E-3</v>
      </c>
      <c r="I62" s="1804">
        <f>G62*N62</f>
        <v>194.38766567314318</v>
      </c>
      <c r="J62" s="1815"/>
      <c r="K62" s="1816">
        <f>SUM(K61+I62)</f>
        <v>30476.528951038337</v>
      </c>
      <c r="L62" s="1831"/>
      <c r="M62" s="1795">
        <f>M61+1</f>
        <v>34</v>
      </c>
      <c r="N62">
        <f t="shared" si="5"/>
        <v>1.1175448405459958</v>
      </c>
      <c r="O62" s="40">
        <f t="shared" si="6"/>
        <v>20.445951103397817</v>
      </c>
      <c r="P62"/>
      <c r="Q62"/>
      <c r="R62"/>
      <c r="S62"/>
    </row>
    <row r="63" spans="1:19" ht="16.8" thickBot="1">
      <c r="A63" s="303">
        <f>A62+1</f>
        <v>60</v>
      </c>
      <c r="B63" s="1798">
        <f>B62+1</f>
        <v>35</v>
      </c>
      <c r="C63" s="1832">
        <f>D63/216.5</f>
        <v>12.930011756411815</v>
      </c>
      <c r="D63" s="1816">
        <f t="shared" si="9"/>
        <v>2799.3475452631578</v>
      </c>
      <c r="E63" s="1825">
        <v>0.03</v>
      </c>
      <c r="F63" s="1860"/>
      <c r="G63" s="2019">
        <f t="shared" si="12"/>
        <v>173.94171456974536</v>
      </c>
      <c r="H63" s="2020">
        <v>6.0000000000000001E-3</v>
      </c>
      <c r="I63" s="1861">
        <f>G63*N63</f>
        <v>195.02409089055709</v>
      </c>
      <c r="J63" s="1862"/>
      <c r="K63" s="1863">
        <f>SUM(K62+I63)</f>
        <v>30671.553041928895</v>
      </c>
      <c r="L63" s="1838"/>
      <c r="M63" s="1795">
        <f>M62+1</f>
        <v>35</v>
      </c>
      <c r="N63">
        <f t="shared" si="5"/>
        <v>1.1212036823539435</v>
      </c>
      <c r="O63" s="40">
        <f t="shared" si="6"/>
        <v>21.082376320811733</v>
      </c>
      <c r="P63"/>
      <c r="Q63"/>
      <c r="R63"/>
      <c r="S63"/>
    </row>
    <row r="64" spans="1:19" ht="16.8" thickBot="1">
      <c r="A64" s="123"/>
      <c r="B64" s="296"/>
      <c r="C64" s="1839"/>
      <c r="D64" s="1840">
        <f>SUM(D28:D63)</f>
        <v>96204.243972210505</v>
      </c>
      <c r="E64" s="1993">
        <f>SUM(E28:E62)</f>
        <v>1.0010000000000003</v>
      </c>
      <c r="F64" s="1841"/>
      <c r="G64" s="1807">
        <f>SUM(G7:G63)</f>
        <v>28990.285761624218</v>
      </c>
      <c r="H64" s="1993">
        <f>SUM(H7:H63)</f>
        <v>1.0000000000000002</v>
      </c>
      <c r="I64" s="1807">
        <f>SUM(I7:I63)</f>
        <v>30671.553041928895</v>
      </c>
      <c r="J64" s="1842" t="s">
        <v>305</v>
      </c>
      <c r="K64" s="123"/>
      <c r="L64" s="130"/>
      <c r="M64"/>
      <c r="N64"/>
      <c r="O64" s="1843">
        <f>SUM(O7:O63)</f>
        <v>1681.2672803046637</v>
      </c>
      <c r="P64"/>
      <c r="Q64"/>
      <c r="R64"/>
      <c r="S64"/>
    </row>
    <row r="65" spans="1:19" ht="16.8" thickBot="1">
      <c r="A65"/>
      <c r="B65" s="39"/>
      <c r="C65" s="1844"/>
      <c r="D65" s="1840">
        <f>'Project Summary'!$D$50</f>
        <v>93311.584842105265</v>
      </c>
      <c r="E65" s="1845"/>
      <c r="F65" s="1845"/>
      <c r="G65" s="1846">
        <f>('Estimate Details'!$V$113-'Estimate Details'!$N$113)/1000</f>
        <v>28990.285761624225</v>
      </c>
      <c r="H65" s="1847"/>
      <c r="I65" s="1848"/>
      <c r="J65" s="1849"/>
      <c r="K65"/>
      <c r="L65" s="38"/>
      <c r="M65"/>
      <c r="N65"/>
      <c r="O65"/>
      <c r="P65"/>
      <c r="Q65"/>
      <c r="R65"/>
      <c r="S65"/>
    </row>
    <row r="66" spans="1:19" ht="16.8" thickBot="1">
      <c r="A66"/>
      <c r="B66"/>
      <c r="C66" s="40"/>
      <c r="D66"/>
      <c r="E66" s="1847"/>
      <c r="F66" s="1850"/>
      <c r="G66" s="1846"/>
      <c r="H66" s="1847"/>
      <c r="I66" s="1848"/>
      <c r="J66" s="1851"/>
      <c r="K66"/>
      <c r="L66" s="297"/>
      <c r="M66" s="297"/>
      <c r="N66" s="1852" t="s">
        <v>85</v>
      </c>
      <c r="O66" s="1853">
        <f>O64/G64</f>
        <v>5.7994160324222638E-2</v>
      </c>
      <c r="P66"/>
      <c r="Q66"/>
      <c r="R66"/>
      <c r="S66"/>
    </row>
    <row r="67" spans="1:19">
      <c r="A67"/>
      <c r="B67"/>
      <c r="C67" s="40"/>
      <c r="D67"/>
      <c r="E67" s="1847"/>
      <c r="F67" s="1850"/>
      <c r="G67" s="1846"/>
      <c r="H67" s="1847"/>
      <c r="I67" s="1848"/>
      <c r="J67" s="1851"/>
      <c r="K67"/>
      <c r="L67" s="297"/>
      <c r="M67" s="297"/>
      <c r="N67" s="1852"/>
      <c r="O67" s="1854"/>
      <c r="P67"/>
      <c r="Q67"/>
      <c r="R67"/>
      <c r="S67"/>
    </row>
    <row r="68" spans="1:19">
      <c r="A68"/>
      <c r="B68"/>
      <c r="C68" s="40"/>
      <c r="D68"/>
      <c r="E68" s="1847"/>
      <c r="F68" s="1850"/>
      <c r="G68" s="1846"/>
      <c r="H68" s="1847"/>
      <c r="I68" s="1848"/>
      <c r="J68" s="1851"/>
      <c r="K68"/>
      <c r="L68" s="297"/>
      <c r="M68" s="297"/>
      <c r="N68" s="1852"/>
      <c r="O68" s="1854"/>
      <c r="P68"/>
      <c r="Q68"/>
      <c r="R68"/>
      <c r="S68"/>
    </row>
    <row r="69" spans="1:19">
      <c r="A69"/>
      <c r="B69"/>
      <c r="C69" s="40"/>
      <c r="D69"/>
      <c r="E69" s="1847"/>
      <c r="F69" s="1850"/>
      <c r="G69" s="1846"/>
      <c r="H69" s="1847"/>
      <c r="I69" s="1848"/>
      <c r="J69" s="1851"/>
      <c r="K69"/>
      <c r="L69" s="297"/>
      <c r="M69" s="297"/>
      <c r="N69" s="1852"/>
      <c r="O69" s="1854"/>
      <c r="P69"/>
      <c r="Q69"/>
      <c r="R69"/>
      <c r="S69"/>
    </row>
    <row r="70" spans="1:19">
      <c r="A70"/>
      <c r="B70"/>
      <c r="C70" s="40"/>
      <c r="D70"/>
      <c r="E70" s="1847"/>
      <c r="F70" s="1850"/>
      <c r="G70" s="1846"/>
      <c r="H70" s="1847"/>
      <c r="I70" s="1848"/>
      <c r="J70" s="1851"/>
      <c r="K70"/>
      <c r="L70" s="297"/>
      <c r="M70" s="297"/>
      <c r="N70" s="1852"/>
      <c r="O70" s="1854"/>
      <c r="P70"/>
      <c r="Q70"/>
      <c r="R70"/>
      <c r="S70"/>
    </row>
    <row r="71" spans="1:19">
      <c r="A71"/>
      <c r="B71"/>
      <c r="C71" s="40"/>
      <c r="D71"/>
      <c r="E71" s="1847"/>
      <c r="F71" s="1850"/>
      <c r="G71" s="1846"/>
      <c r="H71" s="1847"/>
      <c r="I71" s="1848"/>
      <c r="J71" s="1851"/>
      <c r="K71"/>
      <c r="L71" s="297"/>
      <c r="M71" s="297"/>
      <c r="N71" s="1852"/>
      <c r="O71" s="1854"/>
      <c r="P71"/>
      <c r="Q71"/>
      <c r="R71"/>
      <c r="S71"/>
    </row>
    <row r="72" spans="1:19">
      <c r="A72"/>
      <c r="B72" s="1855"/>
      <c r="C72"/>
      <c r="D72"/>
      <c r="E72" s="1847"/>
      <c r="F72" s="1847"/>
      <c r="G72" s="1846"/>
      <c r="H72" s="1847"/>
      <c r="I72" s="1848"/>
      <c r="J72" s="1856"/>
      <c r="K72"/>
      <c r="L72" s="38"/>
      <c r="M72"/>
      <c r="N72"/>
      <c r="O72"/>
      <c r="P72"/>
      <c r="Q72"/>
      <c r="R72"/>
      <c r="S72"/>
    </row>
    <row r="73" spans="1:19">
      <c r="A73"/>
      <c r="B73" s="1855"/>
      <c r="C73"/>
      <c r="D73"/>
      <c r="E73" s="1847"/>
      <c r="F73" s="1847"/>
      <c r="G73" s="1846"/>
      <c r="H73" s="1847"/>
      <c r="I73" s="1848"/>
      <c r="J73" s="1856"/>
      <c r="K73"/>
      <c r="L73" s="38"/>
      <c r="M73"/>
      <c r="N73"/>
      <c r="O73"/>
      <c r="P73"/>
      <c r="Q73"/>
      <c r="R73"/>
      <c r="S73"/>
    </row>
    <row r="74" spans="1:19">
      <c r="A74"/>
      <c r="B74" s="1857"/>
      <c r="C74"/>
      <c r="D74"/>
      <c r="E74" s="1847"/>
      <c r="F74" s="1847"/>
      <c r="G74" s="1846"/>
      <c r="H74" s="1847"/>
      <c r="I74" s="1848"/>
      <c r="J74" s="1856"/>
      <c r="K74"/>
      <c r="L74" s="38"/>
      <c r="M74"/>
      <c r="N74"/>
      <c r="O74"/>
      <c r="P74"/>
      <c r="Q74"/>
      <c r="R74"/>
      <c r="S74"/>
    </row>
    <row r="75" spans="1:19">
      <c r="A75"/>
      <c r="B75" s="1857"/>
      <c r="C75" s="1857"/>
      <c r="D75" s="1857"/>
      <c r="E75" s="1847"/>
      <c r="F75" s="1847"/>
      <c r="G75" s="1846"/>
      <c r="H75" s="1847"/>
      <c r="I75" s="1848"/>
      <c r="J75" s="1856"/>
      <c r="K75"/>
      <c r="L75" s="38"/>
      <c r="M75"/>
      <c r="N75"/>
      <c r="O75"/>
      <c r="P75"/>
      <c r="Q75"/>
      <c r="R75"/>
      <c r="S75"/>
    </row>
    <row r="76" spans="1:19">
      <c r="A76"/>
      <c r="B76"/>
      <c r="C76"/>
      <c r="D76"/>
      <c r="E76" s="1847"/>
      <c r="F76" s="1847"/>
      <c r="G76" s="1846"/>
      <c r="H76" s="1847"/>
      <c r="I76" s="1848"/>
      <c r="J76" s="1856"/>
      <c r="K76"/>
      <c r="L76" s="38"/>
      <c r="M76"/>
      <c r="N76"/>
      <c r="O76"/>
      <c r="P76"/>
      <c r="Q76"/>
      <c r="R76"/>
      <c r="S76"/>
    </row>
    <row r="77" spans="1:19">
      <c r="A77"/>
      <c r="B77"/>
      <c r="C77"/>
      <c r="D77"/>
      <c r="E77" s="1847"/>
      <c r="F77" s="1847"/>
      <c r="G77" s="1846"/>
      <c r="H77" s="1847"/>
      <c r="I77" s="1848"/>
      <c r="J77" s="1856"/>
      <c r="K77"/>
      <c r="L77" s="38"/>
      <c r="M77"/>
      <c r="N77"/>
      <c r="O77"/>
      <c r="P77"/>
      <c r="Q77"/>
      <c r="R77"/>
      <c r="S77"/>
    </row>
    <row r="78" spans="1:19">
      <c r="A78"/>
      <c r="B78"/>
      <c r="C78"/>
      <c r="D78"/>
      <c r="E78" s="1847"/>
      <c r="F78" s="1847"/>
      <c r="G78" s="1846"/>
      <c r="H78" s="1847"/>
      <c r="I78" s="1848"/>
      <c r="J78" s="1856"/>
      <c r="K78"/>
      <c r="L78" s="38"/>
      <c r="M78"/>
      <c r="N78"/>
      <c r="O78"/>
      <c r="P78"/>
      <c r="Q78"/>
      <c r="R78"/>
      <c r="S78"/>
    </row>
    <row r="79" spans="1:19">
      <c r="A79"/>
      <c r="B79"/>
      <c r="C79"/>
      <c r="D79"/>
      <c r="E79" s="1847"/>
      <c r="F79" s="1847"/>
      <c r="G79" s="1846"/>
      <c r="H79" s="1847"/>
      <c r="I79" s="1848"/>
      <c r="J79" s="1856"/>
      <c r="K79"/>
      <c r="L79" s="38"/>
      <c r="M79"/>
      <c r="N79"/>
      <c r="O79"/>
      <c r="P79"/>
      <c r="Q79"/>
      <c r="R79"/>
      <c r="S79"/>
    </row>
    <row r="80" spans="1:19">
      <c r="A80"/>
      <c r="B80"/>
      <c r="C80"/>
      <c r="D80"/>
      <c r="E80" s="1847"/>
      <c r="F80" s="1847"/>
      <c r="G80" s="1846"/>
      <c r="H80" s="1847"/>
      <c r="I80" s="1848"/>
      <c r="J80" s="1856"/>
      <c r="K80"/>
      <c r="L80" s="38"/>
      <c r="M80"/>
      <c r="N80"/>
      <c r="O80"/>
      <c r="P80"/>
      <c r="Q80"/>
      <c r="R80"/>
      <c r="S80"/>
    </row>
    <row r="81" spans="1:19">
      <c r="A81"/>
      <c r="B81"/>
      <c r="C81"/>
      <c r="D81"/>
      <c r="E81" s="1847"/>
      <c r="F81" s="1847"/>
      <c r="G81" s="1846"/>
      <c r="H81" s="1847"/>
      <c r="I81" s="1848"/>
      <c r="J81" s="1856"/>
      <c r="K81"/>
      <c r="L81" s="38"/>
      <c r="M81"/>
      <c r="N81"/>
      <c r="O81"/>
      <c r="P81"/>
      <c r="Q81"/>
      <c r="R81"/>
      <c r="S81"/>
    </row>
    <row r="82" spans="1:19">
      <c r="A82"/>
      <c r="B82"/>
      <c r="C82"/>
      <c r="D82"/>
      <c r="E82" s="1847"/>
      <c r="F82" s="1847"/>
      <c r="G82" s="1846"/>
      <c r="H82" s="1847"/>
      <c r="I82" s="1848"/>
      <c r="J82" s="1856"/>
      <c r="K82"/>
      <c r="L82" s="38"/>
      <c r="M82"/>
      <c r="N82"/>
      <c r="O82"/>
      <c r="P82"/>
      <c r="Q82"/>
      <c r="R82"/>
      <c r="S82"/>
    </row>
    <row r="83" spans="1:19">
      <c r="A83"/>
      <c r="B83"/>
      <c r="C83"/>
      <c r="D83"/>
      <c r="E83" s="1847"/>
      <c r="F83" s="1847"/>
      <c r="G83" s="1846"/>
      <c r="H83" s="1847"/>
      <c r="I83" s="1848"/>
      <c r="J83" s="1856"/>
      <c r="K83"/>
      <c r="L83" s="38"/>
      <c r="M83"/>
      <c r="N83"/>
      <c r="O83"/>
      <c r="P83"/>
      <c r="Q83"/>
      <c r="R83"/>
      <c r="S83"/>
    </row>
    <row r="84" spans="1:19">
      <c r="A84"/>
      <c r="B84"/>
      <c r="C84"/>
      <c r="D84"/>
      <c r="E84" s="1847"/>
      <c r="F84" s="1847"/>
      <c r="G84" s="1846"/>
      <c r="H84" s="1847"/>
      <c r="I84" s="1848"/>
      <c r="J84" s="1856"/>
      <c r="K84"/>
      <c r="L84" s="38"/>
      <c r="M84"/>
      <c r="N84"/>
      <c r="O84"/>
      <c r="P84"/>
      <c r="Q84"/>
      <c r="R84"/>
      <c r="S84"/>
    </row>
    <row r="85" spans="1:19">
      <c r="A85"/>
      <c r="B85"/>
      <c r="C85"/>
      <c r="D85"/>
      <c r="E85" s="1847"/>
      <c r="F85" s="1847"/>
      <c r="G85" s="1846"/>
      <c r="H85" s="1847"/>
      <c r="I85" s="1848"/>
      <c r="J85" s="1856"/>
      <c r="K85"/>
      <c r="L85" s="38"/>
      <c r="M85"/>
      <c r="N85"/>
      <c r="O85"/>
      <c r="P85"/>
      <c r="Q85"/>
      <c r="R85"/>
      <c r="S85"/>
    </row>
    <row r="86" spans="1:19">
      <c r="A86"/>
      <c r="B86"/>
      <c r="C86"/>
      <c r="D86"/>
      <c r="E86" s="1847"/>
      <c r="F86" s="1847"/>
      <c r="G86" s="1846"/>
      <c r="H86" s="1847"/>
      <c r="I86" s="1848"/>
      <c r="J86" s="1856"/>
      <c r="K86"/>
      <c r="L86" s="38"/>
      <c r="M86"/>
      <c r="N86"/>
      <c r="O86"/>
      <c r="P86"/>
      <c r="Q86"/>
      <c r="R86"/>
      <c r="S86"/>
    </row>
    <row r="87" spans="1:19">
      <c r="A87"/>
      <c r="B87"/>
      <c r="C87"/>
      <c r="D87"/>
      <c r="E87" s="1847"/>
      <c r="F87" s="1847"/>
      <c r="G87" s="1846"/>
      <c r="H87" s="1847"/>
      <c r="I87" s="1848"/>
      <c r="J87" s="1856"/>
      <c r="K87"/>
      <c r="L87" s="38"/>
      <c r="M87"/>
      <c r="N87"/>
      <c r="O87"/>
      <c r="P87"/>
      <c r="Q87"/>
      <c r="R87"/>
      <c r="S87"/>
    </row>
    <row r="88" spans="1:19">
      <c r="A88"/>
      <c r="B88"/>
      <c r="C88"/>
      <c r="D88"/>
      <c r="E88" s="1847"/>
      <c r="F88" s="1847"/>
      <c r="G88" s="1846"/>
      <c r="H88" s="1847"/>
      <c r="I88" s="1848"/>
      <c r="J88" s="1856"/>
      <c r="K88"/>
      <c r="L88" s="38"/>
      <c r="M88"/>
      <c r="N88"/>
      <c r="O88"/>
      <c r="P88"/>
      <c r="Q88"/>
      <c r="R88"/>
      <c r="S88"/>
    </row>
    <row r="89" spans="1:19">
      <c r="A89"/>
      <c r="B89"/>
      <c r="C89"/>
      <c r="D89"/>
      <c r="E89" s="1847"/>
      <c r="F89" s="1847"/>
      <c r="G89" s="1846"/>
      <c r="H89" s="1847"/>
      <c r="I89" s="1848"/>
      <c r="J89" s="1856"/>
      <c r="K89"/>
      <c r="L89" s="38"/>
      <c r="M89"/>
      <c r="N89"/>
      <c r="O89"/>
      <c r="P89"/>
      <c r="Q89"/>
      <c r="R89"/>
      <c r="S89"/>
    </row>
    <row r="90" spans="1:19">
      <c r="A90"/>
      <c r="B90"/>
      <c r="C90"/>
      <c r="D90"/>
      <c r="E90" s="1847"/>
      <c r="F90" s="1847"/>
      <c r="G90" s="1846"/>
      <c r="H90" s="1847"/>
      <c r="I90" s="1848"/>
      <c r="J90" s="1856"/>
      <c r="K90"/>
      <c r="L90" s="38"/>
      <c r="M90"/>
      <c r="N90"/>
      <c r="O90"/>
      <c r="P90"/>
      <c r="Q90"/>
      <c r="R90"/>
      <c r="S90"/>
    </row>
    <row r="91" spans="1:19">
      <c r="A91"/>
      <c r="B91"/>
      <c r="C91"/>
      <c r="D91"/>
      <c r="E91" s="1847"/>
      <c r="F91" s="1847"/>
      <c r="G91" s="1846"/>
      <c r="H91" s="1847"/>
      <c r="I91" s="1848"/>
      <c r="J91" s="1856"/>
      <c r="K91"/>
      <c r="L91" s="38"/>
      <c r="M91"/>
      <c r="N91"/>
      <c r="O91"/>
      <c r="P91"/>
      <c r="Q91"/>
      <c r="R91"/>
      <c r="S91"/>
    </row>
    <row r="92" spans="1:19">
      <c r="A92"/>
      <c r="B92"/>
      <c r="C92"/>
      <c r="D92"/>
      <c r="E92" s="1847"/>
      <c r="F92" s="1847"/>
      <c r="G92" s="1846"/>
      <c r="H92" s="1847"/>
      <c r="I92" s="1848"/>
      <c r="J92" s="1856"/>
      <c r="K92"/>
      <c r="L92" s="38"/>
      <c r="M92"/>
      <c r="N92"/>
      <c r="O92"/>
      <c r="P92"/>
      <c r="Q92"/>
      <c r="R92"/>
      <c r="S92"/>
    </row>
    <row r="93" spans="1:19">
      <c r="A93"/>
      <c r="B93"/>
      <c r="C93"/>
      <c r="D93"/>
      <c r="E93" s="1847"/>
      <c r="F93" s="1847"/>
      <c r="G93" s="1846"/>
      <c r="H93" s="1847"/>
      <c r="I93" s="1848"/>
      <c r="J93" s="1856"/>
      <c r="K93"/>
      <c r="L93" s="38"/>
      <c r="M93"/>
      <c r="N93"/>
      <c r="O93"/>
      <c r="P93"/>
      <c r="Q93"/>
      <c r="R93"/>
      <c r="S93"/>
    </row>
    <row r="94" spans="1:19">
      <c r="A94"/>
      <c r="B94"/>
      <c r="C94"/>
      <c r="D94"/>
      <c r="E94" s="1847"/>
      <c r="F94" s="1847"/>
      <c r="G94" s="1846"/>
      <c r="H94" s="1847"/>
      <c r="I94" s="1848"/>
      <c r="J94" s="1856"/>
      <c r="K94"/>
      <c r="L94" s="38"/>
      <c r="M94"/>
      <c r="N94"/>
      <c r="O94"/>
      <c r="P94"/>
      <c r="Q94"/>
      <c r="R94"/>
      <c r="S94"/>
    </row>
    <row r="95" spans="1:19">
      <c r="A95"/>
      <c r="B95"/>
      <c r="C95"/>
      <c r="D95"/>
      <c r="E95" s="1847"/>
      <c r="F95" s="1847"/>
      <c r="G95" s="1846"/>
      <c r="H95" s="1847"/>
      <c r="I95" s="1848"/>
      <c r="J95" s="1856"/>
      <c r="K95"/>
      <c r="L95" s="38"/>
      <c r="M95"/>
      <c r="N95"/>
      <c r="O95"/>
      <c r="P95"/>
      <c r="Q95"/>
      <c r="R95"/>
      <c r="S95"/>
    </row>
    <row r="96" spans="1:19">
      <c r="A96"/>
      <c r="B96"/>
      <c r="C96"/>
      <c r="D96"/>
      <c r="E96" s="1847"/>
      <c r="F96" s="1847"/>
      <c r="G96" s="1846"/>
      <c r="H96" s="1847"/>
      <c r="I96" s="1848"/>
      <c r="J96" s="1856"/>
      <c r="K96"/>
      <c r="L96" s="38"/>
      <c r="M96"/>
      <c r="N96"/>
      <c r="O96"/>
      <c r="P96"/>
      <c r="Q96"/>
      <c r="R96"/>
      <c r="S96"/>
    </row>
    <row r="97" spans="1:19">
      <c r="A97"/>
      <c r="B97"/>
      <c r="C97"/>
      <c r="D97"/>
      <c r="E97" s="1847"/>
      <c r="F97" s="1847"/>
      <c r="G97" s="1846"/>
      <c r="H97" s="1847"/>
      <c r="I97" s="1848"/>
      <c r="J97" s="1856"/>
      <c r="K97"/>
      <c r="L97" s="38"/>
      <c r="M97"/>
      <c r="N97"/>
      <c r="O97"/>
      <c r="P97"/>
      <c r="Q97"/>
      <c r="R97"/>
      <c r="S97"/>
    </row>
    <row r="98" spans="1:19">
      <c r="A98"/>
      <c r="B98"/>
      <c r="C98"/>
      <c r="D98"/>
      <c r="E98" s="1847"/>
      <c r="F98" s="1847"/>
      <c r="G98" s="1846"/>
      <c r="H98" s="1847"/>
      <c r="I98" s="1848"/>
      <c r="J98" s="1856"/>
      <c r="K98"/>
      <c r="L98" s="38"/>
      <c r="M98"/>
      <c r="N98"/>
      <c r="O98"/>
      <c r="P98"/>
      <c r="Q98"/>
      <c r="R98"/>
      <c r="S98"/>
    </row>
    <row r="99" spans="1:19">
      <c r="A99"/>
      <c r="B99"/>
      <c r="C99"/>
      <c r="D99"/>
      <c r="E99" s="1847"/>
      <c r="F99" s="1847"/>
      <c r="G99" s="1846"/>
      <c r="H99" s="1847"/>
      <c r="I99" s="1848"/>
      <c r="J99" s="1856"/>
      <c r="K99"/>
      <c r="L99" s="38"/>
      <c r="M99"/>
      <c r="N99"/>
      <c r="O99"/>
      <c r="P99"/>
      <c r="Q99"/>
      <c r="R99"/>
      <c r="S99"/>
    </row>
    <row r="100" spans="1:19">
      <c r="A100"/>
      <c r="B100"/>
      <c r="C100"/>
      <c r="D100"/>
      <c r="E100" s="1847"/>
      <c r="F100" s="1847"/>
      <c r="G100" s="1846"/>
      <c r="H100" s="1847"/>
      <c r="I100" s="1848"/>
      <c r="J100" s="1856"/>
      <c r="K100"/>
      <c r="L100" s="38"/>
      <c r="M100"/>
      <c r="N100"/>
      <c r="O100"/>
      <c r="P100"/>
      <c r="Q100"/>
      <c r="R100"/>
      <c r="S100"/>
    </row>
    <row r="101" spans="1:19">
      <c r="A101"/>
      <c r="B101"/>
      <c r="C101"/>
      <c r="D101"/>
      <c r="E101" s="1847"/>
      <c r="F101" s="1847"/>
      <c r="G101" s="1846"/>
      <c r="H101" s="1847"/>
      <c r="I101" s="1848"/>
      <c r="J101" s="1856"/>
      <c r="K101"/>
      <c r="L101" s="38"/>
      <c r="M101"/>
      <c r="N101"/>
      <c r="O101"/>
      <c r="P101"/>
      <c r="Q101"/>
    </row>
    <row r="102" spans="1:19">
      <c r="A102"/>
      <c r="B102"/>
      <c r="C102"/>
      <c r="D102"/>
      <c r="E102" s="1847"/>
      <c r="F102" s="1847"/>
      <c r="G102" s="1846"/>
      <c r="H102" s="1847"/>
      <c r="I102" s="1848"/>
      <c r="J102" s="1856"/>
      <c r="K102"/>
      <c r="L102" s="38"/>
      <c r="M102"/>
      <c r="N102"/>
      <c r="O102"/>
      <c r="P102"/>
      <c r="Q102"/>
    </row>
    <row r="103" spans="1:19">
      <c r="A103"/>
      <c r="B103"/>
      <c r="C103"/>
      <c r="D103"/>
      <c r="E103" s="1847"/>
      <c r="F103" s="1847"/>
      <c r="G103" s="1846"/>
      <c r="H103" s="1847"/>
      <c r="I103" s="1848"/>
      <c r="J103" s="1856"/>
      <c r="K103"/>
      <c r="L103" s="38"/>
      <c r="M103"/>
      <c r="N103"/>
      <c r="O103"/>
      <c r="P103"/>
      <c r="Q103"/>
    </row>
    <row r="104" spans="1:19">
      <c r="A104"/>
      <c r="B104"/>
      <c r="C104"/>
      <c r="D104"/>
      <c r="E104" s="1847"/>
      <c r="F104" s="1847"/>
      <c r="G104" s="1846"/>
      <c r="H104" s="1847"/>
      <c r="I104" s="1848"/>
      <c r="J104" s="1856"/>
      <c r="K104"/>
      <c r="L104" s="38"/>
      <c r="M104"/>
      <c r="N104"/>
      <c r="O104"/>
      <c r="P104"/>
      <c r="Q104"/>
    </row>
    <row r="105" spans="1:19">
      <c r="A105"/>
      <c r="B105"/>
      <c r="C105"/>
      <c r="D105"/>
      <c r="E105" s="1847"/>
      <c r="F105" s="1847"/>
      <c r="G105" s="1846"/>
      <c r="H105" s="1847"/>
      <c r="I105" s="1848"/>
      <c r="J105" s="1856"/>
      <c r="K105"/>
      <c r="L105" s="38"/>
      <c r="M105"/>
      <c r="N105"/>
      <c r="O105"/>
      <c r="P105"/>
      <c r="Q105"/>
    </row>
    <row r="106" spans="1:19">
      <c r="A106"/>
      <c r="B106"/>
      <c r="C106"/>
      <c r="D106"/>
      <c r="E106" s="1847"/>
      <c r="F106" s="1847"/>
      <c r="G106" s="1846"/>
      <c r="H106" s="1847"/>
      <c r="I106" s="1848"/>
      <c r="J106" s="1856"/>
      <c r="K106"/>
      <c r="L106" s="38"/>
      <c r="M106"/>
      <c r="N106"/>
      <c r="O106"/>
      <c r="P106"/>
      <c r="Q106"/>
    </row>
    <row r="107" spans="1:19">
      <c r="A107"/>
      <c r="B107"/>
      <c r="C107"/>
      <c r="D107"/>
      <c r="E107" s="1847"/>
      <c r="F107" s="1847"/>
      <c r="G107" s="1846"/>
      <c r="H107" s="1847"/>
      <c r="I107" s="1848"/>
      <c r="J107" s="1856"/>
      <c r="K107"/>
      <c r="L107" s="38"/>
      <c r="M107"/>
      <c r="N107"/>
      <c r="O107"/>
      <c r="P107"/>
      <c r="Q107"/>
    </row>
    <row r="108" spans="1:19">
      <c r="A108"/>
      <c r="B108"/>
      <c r="C108"/>
      <c r="D108"/>
      <c r="E108" s="1847"/>
      <c r="F108" s="1847"/>
      <c r="G108" s="1846"/>
      <c r="H108" s="1847"/>
      <c r="I108" s="1848"/>
      <c r="J108" s="1856"/>
      <c r="K108"/>
      <c r="L108" s="38"/>
      <c r="M108"/>
      <c r="N108"/>
      <c r="O108"/>
      <c r="P108"/>
      <c r="Q108"/>
    </row>
    <row r="109" spans="1:19">
      <c r="A109"/>
      <c r="B109"/>
      <c r="C109"/>
      <c r="D109"/>
      <c r="E109" s="1847"/>
      <c r="F109" s="1847"/>
      <c r="G109" s="1846"/>
      <c r="H109" s="1847"/>
      <c r="I109" s="1848"/>
      <c r="J109" s="1856"/>
      <c r="K109"/>
      <c r="L109" s="38"/>
      <c r="M109"/>
      <c r="N109"/>
      <c r="O109"/>
      <c r="P109"/>
      <c r="Q109"/>
    </row>
    <row r="110" spans="1:19">
      <c r="A110"/>
      <c r="B110"/>
      <c r="C110"/>
      <c r="D110"/>
      <c r="E110" s="1847"/>
      <c r="F110" s="1847"/>
      <c r="G110" s="1846"/>
      <c r="H110" s="1847"/>
      <c r="I110" s="1848"/>
      <c r="J110" s="1856"/>
      <c r="K110"/>
      <c r="L110" s="38"/>
      <c r="M110"/>
      <c r="N110"/>
      <c r="O110"/>
      <c r="P110"/>
      <c r="Q110"/>
    </row>
    <row r="111" spans="1:19">
      <c r="A111"/>
      <c r="B111"/>
      <c r="C111"/>
      <c r="D111"/>
      <c r="E111" s="1847"/>
      <c r="F111" s="1847"/>
      <c r="G111" s="1846"/>
      <c r="H111" s="1847"/>
      <c r="I111" s="1848"/>
      <c r="J111" s="1856"/>
      <c r="K111"/>
      <c r="L111" s="38"/>
      <c r="M111"/>
      <c r="N111"/>
      <c r="O111"/>
      <c r="P111"/>
      <c r="Q111"/>
    </row>
    <row r="112" spans="1:19">
      <c r="A112"/>
      <c r="B112"/>
      <c r="C112"/>
      <c r="D112"/>
      <c r="E112" s="1847"/>
      <c r="F112" s="1847"/>
      <c r="G112" s="1846"/>
      <c r="H112" s="1847"/>
      <c r="I112" s="1848"/>
      <c r="J112" s="1856"/>
      <c r="K112"/>
      <c r="L112" s="38"/>
      <c r="M112"/>
      <c r="N112"/>
      <c r="O112"/>
      <c r="P112"/>
      <c r="Q112"/>
    </row>
    <row r="113" spans="1:17">
      <c r="A113"/>
      <c r="B113"/>
      <c r="C113"/>
      <c r="D113"/>
      <c r="E113" s="1847"/>
      <c r="F113" s="1847"/>
      <c r="G113" s="1846"/>
      <c r="H113" s="1847"/>
      <c r="I113" s="1848"/>
      <c r="J113" s="1856"/>
      <c r="K113"/>
      <c r="L113" s="38"/>
      <c r="M113"/>
      <c r="N113"/>
      <c r="O113"/>
      <c r="P113"/>
      <c r="Q113"/>
    </row>
    <row r="114" spans="1:17">
      <c r="A114"/>
      <c r="B114"/>
      <c r="C114"/>
      <c r="D114"/>
      <c r="E114" s="1847"/>
      <c r="F114" s="1847"/>
      <c r="G114" s="1846"/>
      <c r="H114" s="1847"/>
      <c r="I114" s="1848"/>
      <c r="J114" s="1856"/>
      <c r="K114"/>
      <c r="L114" s="38"/>
      <c r="M114"/>
      <c r="N114"/>
      <c r="O114"/>
      <c r="P114"/>
      <c r="Q114"/>
    </row>
    <row r="115" spans="1:17">
      <c r="P115"/>
      <c r="Q115"/>
    </row>
    <row r="116" spans="1:17">
      <c r="P116"/>
      <c r="Q116"/>
    </row>
    <row r="117" spans="1:17">
      <c r="P117"/>
      <c r="Q117"/>
    </row>
    <row r="118" spans="1:17">
      <c r="P118"/>
      <c r="Q118"/>
    </row>
    <row r="119" spans="1:17">
      <c r="P119"/>
      <c r="Q119"/>
    </row>
    <row r="120" spans="1:17">
      <c r="P120"/>
      <c r="Q120"/>
    </row>
    <row r="121" spans="1:17">
      <c r="P121"/>
      <c r="Q121"/>
    </row>
    <row r="122" spans="1:17">
      <c r="P122"/>
      <c r="Q122"/>
    </row>
  </sheetData>
  <mergeCells count="2">
    <mergeCell ref="B2:L2"/>
    <mergeCell ref="B1:L1"/>
  </mergeCells>
  <phoneticPr fontId="0" type="noConversion"/>
  <printOptions horizontalCentered="1"/>
  <pageMargins left="0.39" right="0.17" top="1" bottom="0.91" header="0.41" footer="0.5"/>
  <pageSetup paperSize="3" scale="96" firstPageNumber="20" fitToHeight="3" orientation="landscape" r:id="rId1"/>
  <headerFooter alignWithMargins="0">
    <oddHeader>&amp;C&amp;"Arial MT,Bold"&amp;A&amp;RPrint Date: &amp;D</oddHeader>
    <oddFooter>&amp;L&amp;6          &amp;F\ &amp;A
&amp;C&amp;"Arial MT,Bold"&amp;10&amp;G&amp;R&amp;"Arial MT,Bold"&amp;10Confidential&amp;"Arial MT,Regular"
Page &amp;P of &amp;N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C15161"/>
  <sheetViews>
    <sheetView topLeftCell="A824" workbookViewId="0">
      <selection activeCell="A9" sqref="A9"/>
    </sheetView>
  </sheetViews>
  <sheetFormatPr defaultColWidth="7.08984375" defaultRowHeight="13.2"/>
  <cols>
    <col min="1" max="1" width="7.08984375" style="51" customWidth="1"/>
    <col min="2" max="5" width="5.81640625" style="51" customWidth="1"/>
    <col min="6" max="6" width="43.08984375" style="51" bestFit="1" customWidth="1"/>
    <col min="7" max="16384" width="7.08984375" style="51"/>
  </cols>
  <sheetData>
    <row r="1" spans="1:29" customFormat="1" ht="24.6">
      <c r="A1" s="2"/>
      <c r="B1" s="2" t="str">
        <f>+'Estimate Details'!B1</f>
        <v>10 MW PV Solar  - Standard Efficiency Crystalline Panels</v>
      </c>
      <c r="C1" s="2"/>
      <c r="D1" s="2"/>
      <c r="E1" s="3"/>
      <c r="F1" s="1"/>
      <c r="G1" s="1"/>
      <c r="I1" s="4"/>
      <c r="K1" s="45"/>
      <c r="L1" s="4"/>
      <c r="M1" s="34"/>
      <c r="N1" s="4"/>
      <c r="O1" s="4"/>
      <c r="P1" s="4"/>
      <c r="Q1" s="4"/>
      <c r="R1" s="4"/>
      <c r="S1" s="1"/>
      <c r="T1" s="1"/>
      <c r="U1" s="1"/>
      <c r="V1" s="1"/>
      <c r="W1" s="1"/>
      <c r="X1" s="1"/>
      <c r="Y1" s="1"/>
      <c r="AB1" s="5"/>
    </row>
    <row r="2" spans="1:29" customFormat="1" ht="15.9" customHeight="1">
      <c r="A2" s="6"/>
      <c r="B2" s="6" t="e">
        <f>+'Estimate Details'!#REF!</f>
        <v>#REF!</v>
      </c>
      <c r="C2" s="6"/>
      <c r="D2" s="6"/>
      <c r="E2" t="str">
        <f>+'Estimate Details'!B2</f>
        <v>Kentucky</v>
      </c>
      <c r="F2" s="3"/>
      <c r="G2" s="7"/>
      <c r="H2" s="8"/>
      <c r="I2" s="4"/>
      <c r="J2" s="4"/>
      <c r="K2" s="46"/>
      <c r="L2" s="9"/>
      <c r="M2" s="35"/>
      <c r="N2" s="9"/>
      <c r="O2" s="9"/>
      <c r="P2" s="9"/>
      <c r="Q2" s="9"/>
      <c r="R2" s="4"/>
      <c r="U2" s="14"/>
      <c r="V2" s="15"/>
      <c r="W2" s="1"/>
      <c r="X2" s="1"/>
      <c r="Y2" s="10"/>
      <c r="Z2" s="11"/>
      <c r="AA2" s="11"/>
      <c r="AB2" s="12"/>
      <c r="AC2" s="13"/>
    </row>
    <row r="3" spans="1:29" customFormat="1" ht="15.9" customHeight="1">
      <c r="A3" s="6"/>
      <c r="B3" s="6" t="e">
        <f>+'Estimate Details'!#REF!</f>
        <v>#REF!</v>
      </c>
      <c r="C3" s="6"/>
      <c r="D3" s="6"/>
      <c r="E3" s="107" t="e">
        <f>+'Estimate Details'!#REF!</f>
        <v>#REF!</v>
      </c>
      <c r="F3" s="32"/>
      <c r="G3" s="1"/>
      <c r="H3" s="1"/>
      <c r="I3" s="1"/>
      <c r="J3" s="1"/>
      <c r="K3" s="47"/>
      <c r="L3" s="9"/>
      <c r="M3" s="35"/>
      <c r="N3" s="9"/>
      <c r="O3" s="9"/>
      <c r="P3" s="9"/>
      <c r="Q3" s="9"/>
      <c r="R3" s="1"/>
      <c r="U3" s="14"/>
      <c r="V3" s="15"/>
      <c r="W3" s="1"/>
      <c r="X3" s="16"/>
      <c r="Y3" s="17"/>
      <c r="Z3" s="18"/>
      <c r="AA3" s="19"/>
      <c r="AB3" s="19"/>
      <c r="AC3" s="20"/>
    </row>
    <row r="4" spans="1:29" customFormat="1" ht="15.9" customHeight="1">
      <c r="A4" s="6"/>
      <c r="B4" s="6" t="e">
        <f>+'Estimate Details'!#REF!</f>
        <v>#REF!</v>
      </c>
      <c r="C4" s="6"/>
      <c r="D4" s="6"/>
      <c r="E4" t="str">
        <f>+'Estimate Details'!B3</f>
        <v>Solar PV</v>
      </c>
      <c r="F4" s="21"/>
      <c r="G4" s="1"/>
      <c r="H4" s="22"/>
      <c r="I4" s="22"/>
      <c r="J4" s="22"/>
      <c r="K4" s="47"/>
      <c r="L4" s="22"/>
      <c r="M4" s="36"/>
      <c r="N4" s="22"/>
      <c r="O4" s="22"/>
      <c r="P4" s="22"/>
      <c r="Q4" s="22"/>
      <c r="R4" s="23"/>
      <c r="U4" s="14"/>
      <c r="V4" s="28"/>
      <c r="W4" s="1"/>
      <c r="X4" s="16"/>
      <c r="Y4" s="24"/>
      <c r="Z4" s="18"/>
      <c r="AA4" s="25"/>
      <c r="AB4" s="19"/>
      <c r="AC4" s="20"/>
    </row>
    <row r="5" spans="1:29" customFormat="1" ht="15.9" customHeight="1">
      <c r="A5" s="6"/>
      <c r="B5" s="6" t="e">
        <f>+'Estimate Details'!#REF!</f>
        <v>#REF!</v>
      </c>
      <c r="C5" s="6"/>
      <c r="D5" s="6"/>
      <c r="E5" t="str">
        <f>+'Estimate Details'!B4</f>
        <v>LG&amp;E/KU</v>
      </c>
      <c r="F5" s="3"/>
      <c r="G5" s="26"/>
      <c r="H5" s="4"/>
      <c r="I5" s="4"/>
      <c r="J5" s="4"/>
      <c r="K5" s="46"/>
      <c r="L5" s="9"/>
      <c r="M5" s="35"/>
      <c r="N5" s="9"/>
      <c r="O5" s="9"/>
      <c r="P5" s="9"/>
      <c r="Q5" s="9"/>
      <c r="R5" s="27"/>
      <c r="V5" s="26"/>
      <c r="W5" s="16"/>
      <c r="X5" s="16"/>
      <c r="Y5" s="24"/>
      <c r="Z5" s="18"/>
      <c r="AA5" s="25"/>
      <c r="AB5" s="19"/>
      <c r="AC5" s="20"/>
    </row>
    <row r="6" spans="1:29" customFormat="1" ht="15.9" customHeight="1">
      <c r="A6" s="6"/>
      <c r="B6" s="6" t="e">
        <f>+'Estimate Details'!#REF!</f>
        <v>#REF!</v>
      </c>
      <c r="C6" s="6"/>
      <c r="D6" s="6"/>
      <c r="E6" t="str">
        <f>+'Estimate Details'!B5</f>
        <v>Conceptual</v>
      </c>
      <c r="F6" s="21"/>
      <c r="G6" s="26"/>
      <c r="H6" s="1"/>
      <c r="I6" s="1"/>
      <c r="J6" s="1"/>
      <c r="K6" s="44"/>
      <c r="L6" s="1"/>
      <c r="M6" s="33"/>
      <c r="N6" s="1"/>
      <c r="O6" s="1"/>
      <c r="P6" s="1"/>
      <c r="Q6" s="26"/>
      <c r="R6" s="1"/>
      <c r="S6" s="1"/>
      <c r="T6" s="1"/>
      <c r="U6" s="1"/>
      <c r="V6" s="26"/>
      <c r="W6" s="26"/>
      <c r="X6" s="1"/>
      <c r="Y6" s="24"/>
      <c r="Z6" s="18"/>
      <c r="AA6" s="25"/>
      <c r="AB6" s="19"/>
      <c r="AC6" s="20"/>
    </row>
    <row r="7" spans="1:29" ht="15.9" customHeight="1">
      <c r="B7" s="50"/>
      <c r="C7" s="50"/>
      <c r="D7" s="50"/>
      <c r="E7" s="50"/>
      <c r="F7" s="50"/>
      <c r="G7" s="50"/>
      <c r="H7" s="52"/>
      <c r="I7" s="52"/>
      <c r="J7" s="52"/>
      <c r="K7" s="52"/>
    </row>
    <row r="8" spans="1:29">
      <c r="B8" s="3341" t="s">
        <v>1966</v>
      </c>
      <c r="C8" s="3341"/>
      <c r="D8" s="3341"/>
      <c r="E8" s="3341"/>
    </row>
    <row r="9" spans="1:29" ht="15.6" thickBot="1">
      <c r="B9" s="53">
        <v>1</v>
      </c>
      <c r="C9" s="53">
        <f>+B9+1</f>
        <v>2</v>
      </c>
      <c r="D9" s="53">
        <f>+C9+1</f>
        <v>3</v>
      </c>
      <c r="E9" s="53">
        <f>+D9+1</f>
        <v>4</v>
      </c>
      <c r="F9" s="54"/>
    </row>
    <row r="10" spans="1:29" ht="12.75" customHeight="1" thickTop="1"/>
    <row r="11" spans="1:29" ht="15.6">
      <c r="B11" s="55">
        <v>1</v>
      </c>
      <c r="C11" s="3347" t="s">
        <v>1967</v>
      </c>
      <c r="D11" s="3348"/>
      <c r="E11" s="3348"/>
      <c r="F11" s="3348"/>
      <c r="G11" s="56"/>
    </row>
    <row r="12" spans="1:29" ht="15.6">
      <c r="B12" s="55">
        <v>2</v>
      </c>
      <c r="C12" s="3347" t="s">
        <v>1968</v>
      </c>
      <c r="D12" s="3348"/>
      <c r="E12" s="3348"/>
      <c r="F12" s="3348"/>
      <c r="G12" s="56"/>
    </row>
    <row r="13" spans="1:29" ht="15.6">
      <c r="B13" s="55">
        <v>9</v>
      </c>
      <c r="C13" s="3347" t="s">
        <v>1969</v>
      </c>
      <c r="D13" s="3348"/>
      <c r="E13" s="3348"/>
      <c r="F13" s="3348"/>
      <c r="G13" s="56"/>
    </row>
    <row r="14" spans="1:29" ht="12.75" customHeight="1">
      <c r="B14" s="57"/>
      <c r="C14" s="56"/>
      <c r="D14" s="56"/>
      <c r="E14" s="56"/>
      <c r="F14" s="56"/>
      <c r="G14" s="56"/>
    </row>
    <row r="15" spans="1:29" ht="15.6">
      <c r="B15" s="57"/>
      <c r="C15" s="58" t="s">
        <v>1970</v>
      </c>
      <c r="D15" s="3345" t="s">
        <v>1971</v>
      </c>
      <c r="E15" s="3346"/>
      <c r="F15" s="3346"/>
      <c r="G15" s="56"/>
    </row>
    <row r="16" spans="1:29" ht="6" customHeight="1">
      <c r="B16" s="57"/>
      <c r="C16" s="59"/>
      <c r="D16" s="56"/>
      <c r="E16" s="56"/>
      <c r="F16" s="56"/>
      <c r="G16" s="56"/>
    </row>
    <row r="17" spans="1:11" ht="12.75" customHeight="1">
      <c r="B17" s="57"/>
      <c r="C17" s="60" t="s">
        <v>1970</v>
      </c>
      <c r="D17" s="61">
        <v>10</v>
      </c>
      <c r="E17" s="3342" t="s">
        <v>584</v>
      </c>
      <c r="F17" s="3342"/>
      <c r="G17" s="56"/>
    </row>
    <row r="18" spans="1:11" ht="6" customHeight="1">
      <c r="B18" s="57"/>
      <c r="C18" s="60"/>
      <c r="D18" s="61"/>
      <c r="E18" s="62"/>
      <c r="F18" s="62"/>
      <c r="G18" s="56"/>
    </row>
    <row r="19" spans="1:11" ht="12.75" customHeight="1">
      <c r="A19" s="110"/>
      <c r="B19" s="111"/>
      <c r="C19" s="112" t="s">
        <v>1970</v>
      </c>
      <c r="D19" s="98">
        <v>10</v>
      </c>
      <c r="E19" s="98">
        <v>100</v>
      </c>
      <c r="F19" s="113" t="s">
        <v>1972</v>
      </c>
      <c r="G19" s="111"/>
      <c r="H19" s="111"/>
      <c r="I19" s="111"/>
      <c r="J19" s="66"/>
      <c r="K19" s="66"/>
    </row>
    <row r="20" spans="1:11" ht="12.75" customHeight="1">
      <c r="B20" s="63"/>
      <c r="C20" s="59" t="s">
        <v>1970</v>
      </c>
      <c r="D20" s="64">
        <v>10</v>
      </c>
      <c r="E20" s="64">
        <f>E19+10</f>
        <v>110</v>
      </c>
      <c r="F20" s="65" t="s">
        <v>1973</v>
      </c>
      <c r="G20" s="63"/>
      <c r="H20" s="66"/>
      <c r="I20" s="66"/>
      <c r="J20" s="66"/>
      <c r="K20" s="66"/>
    </row>
    <row r="21" spans="1:11" ht="12.75" customHeight="1">
      <c r="B21" s="63"/>
      <c r="C21" s="59"/>
      <c r="D21" s="64"/>
      <c r="E21" s="64"/>
      <c r="F21" s="65"/>
      <c r="G21" s="63"/>
      <c r="H21" s="66"/>
      <c r="I21" s="66"/>
      <c r="J21" s="66"/>
      <c r="K21" s="66"/>
    </row>
    <row r="22" spans="1:11" ht="12.75" customHeight="1">
      <c r="B22" s="57"/>
      <c r="C22" s="60" t="s">
        <v>1970</v>
      </c>
      <c r="D22" s="61">
        <v>20</v>
      </c>
      <c r="E22" s="3342" t="s">
        <v>1974</v>
      </c>
      <c r="F22" s="3342"/>
      <c r="G22" s="56"/>
    </row>
    <row r="23" spans="1:11" ht="6" customHeight="1">
      <c r="B23" s="57"/>
      <c r="C23" s="59"/>
      <c r="D23" s="57"/>
      <c r="E23" s="56"/>
      <c r="F23" s="56"/>
      <c r="G23" s="56"/>
    </row>
    <row r="24" spans="1:11" ht="12.75" customHeight="1">
      <c r="B24" s="63"/>
      <c r="C24" s="59" t="s">
        <v>1970</v>
      </c>
      <c r="D24" s="57">
        <v>20</v>
      </c>
      <c r="E24" s="64">
        <v>100</v>
      </c>
      <c r="F24" s="65" t="s">
        <v>1975</v>
      </c>
      <c r="G24" s="63"/>
      <c r="H24" s="66"/>
      <c r="I24" s="66"/>
      <c r="J24" s="66"/>
      <c r="K24" s="66"/>
    </row>
    <row r="25" spans="1:11" ht="12.75" customHeight="1">
      <c r="B25" s="63"/>
      <c r="C25" s="59" t="s">
        <v>1970</v>
      </c>
      <c r="D25" s="57">
        <v>20</v>
      </c>
      <c r="E25" s="64">
        <f t="shared" ref="E25:E56" si="0">E24+5</f>
        <v>105</v>
      </c>
      <c r="F25" s="67" t="s">
        <v>1615</v>
      </c>
      <c r="G25" s="63"/>
      <c r="H25" s="66"/>
      <c r="I25" s="66"/>
      <c r="J25" s="66"/>
      <c r="K25" s="66"/>
    </row>
    <row r="26" spans="1:11" ht="12.75" customHeight="1">
      <c r="B26" s="63"/>
      <c r="C26" s="59" t="s">
        <v>1970</v>
      </c>
      <c r="D26" s="57">
        <v>20</v>
      </c>
      <c r="E26" s="64">
        <f t="shared" si="0"/>
        <v>110</v>
      </c>
      <c r="F26" s="65" t="s">
        <v>1976</v>
      </c>
      <c r="G26" s="63"/>
      <c r="H26" s="66"/>
      <c r="I26" s="66"/>
      <c r="J26" s="66"/>
      <c r="K26" s="66"/>
    </row>
    <row r="27" spans="1:11" ht="12.75" customHeight="1">
      <c r="B27" s="63"/>
      <c r="C27" s="59" t="s">
        <v>1970</v>
      </c>
      <c r="D27" s="57">
        <v>20</v>
      </c>
      <c r="E27" s="64">
        <f t="shared" si="0"/>
        <v>115</v>
      </c>
      <c r="F27" s="65" t="s">
        <v>2127</v>
      </c>
      <c r="G27" s="63"/>
      <c r="H27" s="66"/>
      <c r="I27" s="66"/>
      <c r="J27" s="66"/>
      <c r="K27" s="66"/>
    </row>
    <row r="28" spans="1:11" ht="12.75" customHeight="1">
      <c r="B28" s="63"/>
      <c r="C28" s="59" t="s">
        <v>1970</v>
      </c>
      <c r="D28" s="57">
        <v>20</v>
      </c>
      <c r="E28" s="64">
        <f t="shared" si="0"/>
        <v>120</v>
      </c>
      <c r="F28" s="65" t="s">
        <v>898</v>
      </c>
      <c r="G28" s="63"/>
      <c r="H28" s="66"/>
      <c r="I28" s="66"/>
      <c r="J28" s="66"/>
      <c r="K28" s="66"/>
    </row>
    <row r="29" spans="1:11" ht="12.75" customHeight="1">
      <c r="B29" s="63"/>
      <c r="C29" s="59" t="s">
        <v>1970</v>
      </c>
      <c r="D29" s="57">
        <v>20</v>
      </c>
      <c r="E29" s="64">
        <f t="shared" si="0"/>
        <v>125</v>
      </c>
      <c r="F29" s="65" t="s">
        <v>177</v>
      </c>
      <c r="G29" s="63"/>
      <c r="H29" s="66"/>
      <c r="I29" s="66"/>
      <c r="J29" s="66"/>
      <c r="K29" s="66"/>
    </row>
    <row r="30" spans="1:11" ht="12.75" customHeight="1">
      <c r="B30" s="63"/>
      <c r="C30" s="59" t="s">
        <v>1970</v>
      </c>
      <c r="D30" s="57">
        <v>20</v>
      </c>
      <c r="E30" s="64">
        <f t="shared" si="0"/>
        <v>130</v>
      </c>
      <c r="F30" s="65" t="s">
        <v>86</v>
      </c>
      <c r="G30" s="63"/>
      <c r="H30" s="66"/>
      <c r="I30" s="66"/>
      <c r="J30" s="66"/>
      <c r="K30" s="66"/>
    </row>
    <row r="31" spans="1:11" ht="12.75" customHeight="1">
      <c r="B31" s="63"/>
      <c r="C31" s="59" t="s">
        <v>1970</v>
      </c>
      <c r="D31" s="57">
        <v>20</v>
      </c>
      <c r="E31" s="64">
        <f t="shared" si="0"/>
        <v>135</v>
      </c>
      <c r="F31" s="65" t="s">
        <v>178</v>
      </c>
      <c r="G31" s="63"/>
      <c r="H31" s="66"/>
      <c r="I31" s="66"/>
      <c r="J31" s="66"/>
      <c r="K31" s="66"/>
    </row>
    <row r="32" spans="1:11" ht="12.75" customHeight="1">
      <c r="B32" s="63"/>
      <c r="C32" s="59" t="s">
        <v>1970</v>
      </c>
      <c r="D32" s="57">
        <v>20</v>
      </c>
      <c r="E32" s="64">
        <f t="shared" si="0"/>
        <v>140</v>
      </c>
      <c r="F32" s="65" t="s">
        <v>179</v>
      </c>
      <c r="G32" s="63"/>
      <c r="H32" s="66"/>
      <c r="I32" s="66"/>
      <c r="J32" s="66"/>
      <c r="K32" s="66"/>
    </row>
    <row r="33" spans="2:11" ht="12.75" customHeight="1">
      <c r="B33" s="63"/>
      <c r="C33" s="59" t="s">
        <v>1970</v>
      </c>
      <c r="D33" s="57">
        <v>20</v>
      </c>
      <c r="E33" s="64">
        <f t="shared" si="0"/>
        <v>145</v>
      </c>
      <c r="F33" s="65" t="s">
        <v>594</v>
      </c>
      <c r="G33" s="63"/>
      <c r="H33" s="66"/>
      <c r="I33" s="66"/>
      <c r="J33" s="66"/>
      <c r="K33" s="66"/>
    </row>
    <row r="34" spans="2:11" ht="12.75" customHeight="1">
      <c r="B34" s="63"/>
      <c r="C34" s="59" t="s">
        <v>1970</v>
      </c>
      <c r="D34" s="57">
        <v>20</v>
      </c>
      <c r="E34" s="64">
        <f t="shared" si="0"/>
        <v>150</v>
      </c>
      <c r="F34" s="65" t="s">
        <v>1257</v>
      </c>
      <c r="G34" s="63"/>
      <c r="H34" s="66"/>
      <c r="I34" s="66"/>
      <c r="J34" s="66"/>
      <c r="K34" s="66"/>
    </row>
    <row r="35" spans="2:11" ht="12.75" customHeight="1">
      <c r="B35" s="63"/>
      <c r="C35" s="59" t="s">
        <v>1970</v>
      </c>
      <c r="D35" s="57">
        <v>20</v>
      </c>
      <c r="E35" s="64">
        <f t="shared" si="0"/>
        <v>155</v>
      </c>
      <c r="F35" s="65" t="s">
        <v>1674</v>
      </c>
      <c r="G35" s="63"/>
      <c r="H35" s="66"/>
      <c r="I35" s="66"/>
      <c r="J35" s="66"/>
      <c r="K35" s="66"/>
    </row>
    <row r="36" spans="2:11" ht="12.75" customHeight="1">
      <c r="B36" s="63"/>
      <c r="C36" s="59" t="s">
        <v>1970</v>
      </c>
      <c r="D36" s="57">
        <v>20</v>
      </c>
      <c r="E36" s="64">
        <f t="shared" si="0"/>
        <v>160</v>
      </c>
      <c r="F36" s="65" t="s">
        <v>1614</v>
      </c>
      <c r="G36" s="63"/>
      <c r="H36" s="66"/>
      <c r="I36" s="66"/>
      <c r="J36" s="66"/>
      <c r="K36" s="66"/>
    </row>
    <row r="37" spans="2:11" ht="12.75" customHeight="1">
      <c r="B37" s="63"/>
      <c r="C37" s="59" t="s">
        <v>1970</v>
      </c>
      <c r="D37" s="57">
        <v>20</v>
      </c>
      <c r="E37" s="64">
        <f t="shared" si="0"/>
        <v>165</v>
      </c>
      <c r="F37" s="65" t="s">
        <v>184</v>
      </c>
      <c r="G37" s="63"/>
      <c r="H37" s="66"/>
      <c r="I37" s="66"/>
      <c r="J37" s="66"/>
      <c r="K37" s="66"/>
    </row>
    <row r="38" spans="2:11" ht="12.75" customHeight="1">
      <c r="B38" s="63"/>
      <c r="C38" s="59" t="s">
        <v>1970</v>
      </c>
      <c r="D38" s="57">
        <v>20</v>
      </c>
      <c r="E38" s="64">
        <f t="shared" si="0"/>
        <v>170</v>
      </c>
      <c r="F38" s="65" t="s">
        <v>185</v>
      </c>
      <c r="G38" s="63"/>
      <c r="H38" s="66"/>
      <c r="I38" s="66"/>
      <c r="J38" s="66"/>
      <c r="K38" s="66"/>
    </row>
    <row r="39" spans="2:11" ht="12.75" customHeight="1">
      <c r="B39" s="63"/>
      <c r="C39" s="59" t="s">
        <v>1970</v>
      </c>
      <c r="D39" s="57">
        <v>20</v>
      </c>
      <c r="E39" s="64">
        <f t="shared" si="0"/>
        <v>175</v>
      </c>
      <c r="F39" s="65" t="s">
        <v>595</v>
      </c>
      <c r="G39" s="63"/>
      <c r="H39" s="66"/>
      <c r="I39" s="66"/>
      <c r="J39" s="66"/>
      <c r="K39" s="66"/>
    </row>
    <row r="40" spans="2:11" ht="12.75" customHeight="1">
      <c r="B40" s="63"/>
      <c r="C40" s="59" t="s">
        <v>1970</v>
      </c>
      <c r="D40" s="57">
        <v>20</v>
      </c>
      <c r="E40" s="64">
        <f t="shared" si="0"/>
        <v>180</v>
      </c>
      <c r="F40" s="65" t="s">
        <v>596</v>
      </c>
      <c r="G40" s="63"/>
      <c r="H40" s="66"/>
      <c r="I40" s="66"/>
      <c r="J40" s="66"/>
      <c r="K40" s="66"/>
    </row>
    <row r="41" spans="2:11" ht="12.75" customHeight="1">
      <c r="B41" s="63"/>
      <c r="C41" s="59" t="s">
        <v>1970</v>
      </c>
      <c r="D41" s="57">
        <v>20</v>
      </c>
      <c r="E41" s="64">
        <f t="shared" si="0"/>
        <v>185</v>
      </c>
      <c r="F41" s="65" t="s">
        <v>597</v>
      </c>
      <c r="G41" s="63"/>
      <c r="H41" s="66"/>
      <c r="I41" s="66"/>
      <c r="J41" s="66"/>
      <c r="K41" s="66"/>
    </row>
    <row r="42" spans="2:11" ht="12.75" customHeight="1">
      <c r="B42" s="63"/>
      <c r="C42" s="59" t="s">
        <v>1970</v>
      </c>
      <c r="D42" s="57">
        <v>20</v>
      </c>
      <c r="E42" s="64">
        <f t="shared" si="0"/>
        <v>190</v>
      </c>
      <c r="F42" s="65" t="s">
        <v>1047</v>
      </c>
      <c r="G42" s="63"/>
      <c r="H42" s="66"/>
      <c r="I42" s="66"/>
      <c r="J42" s="66"/>
      <c r="K42" s="66"/>
    </row>
    <row r="43" spans="2:11" ht="12.75" customHeight="1">
      <c r="B43" s="63"/>
      <c r="C43" s="59" t="s">
        <v>1970</v>
      </c>
      <c r="D43" s="57">
        <v>20</v>
      </c>
      <c r="E43" s="64">
        <f t="shared" si="0"/>
        <v>195</v>
      </c>
      <c r="F43" s="65" t="s">
        <v>1101</v>
      </c>
      <c r="G43" s="63"/>
      <c r="H43" s="66"/>
      <c r="I43" s="66"/>
      <c r="J43" s="66"/>
      <c r="K43" s="66"/>
    </row>
    <row r="44" spans="2:11" ht="12.75" customHeight="1">
      <c r="B44" s="63"/>
      <c r="C44" s="59" t="s">
        <v>1970</v>
      </c>
      <c r="D44" s="57">
        <v>20</v>
      </c>
      <c r="E44" s="64">
        <f t="shared" si="0"/>
        <v>200</v>
      </c>
      <c r="F44" s="65" t="s">
        <v>1102</v>
      </c>
      <c r="G44" s="63"/>
      <c r="H44" s="66"/>
      <c r="I44" s="66"/>
      <c r="J44" s="66"/>
      <c r="K44" s="66"/>
    </row>
    <row r="45" spans="2:11" ht="12.75" customHeight="1">
      <c r="B45" s="63"/>
      <c r="C45" s="59" t="s">
        <v>1970</v>
      </c>
      <c r="D45" s="57">
        <v>20</v>
      </c>
      <c r="E45" s="64">
        <f t="shared" si="0"/>
        <v>205</v>
      </c>
      <c r="F45" s="65" t="s">
        <v>598</v>
      </c>
      <c r="G45" s="63"/>
      <c r="H45" s="66"/>
      <c r="I45" s="66"/>
      <c r="J45" s="66"/>
      <c r="K45" s="66"/>
    </row>
    <row r="46" spans="2:11" ht="12.75" customHeight="1">
      <c r="B46" s="63"/>
      <c r="C46" s="59" t="s">
        <v>1970</v>
      </c>
      <c r="D46" s="57">
        <v>20</v>
      </c>
      <c r="E46" s="64">
        <f t="shared" si="0"/>
        <v>210</v>
      </c>
      <c r="F46" s="65" t="s">
        <v>1559</v>
      </c>
      <c r="G46" s="63"/>
      <c r="H46" s="66"/>
      <c r="I46" s="66"/>
      <c r="J46" s="66"/>
      <c r="K46" s="66"/>
    </row>
    <row r="47" spans="2:11" ht="12.75" customHeight="1">
      <c r="B47" s="63"/>
      <c r="C47" s="59" t="s">
        <v>1970</v>
      </c>
      <c r="D47" s="57">
        <v>20</v>
      </c>
      <c r="E47" s="64">
        <f t="shared" si="0"/>
        <v>215</v>
      </c>
      <c r="F47" s="65" t="s">
        <v>1042</v>
      </c>
      <c r="G47" s="63"/>
      <c r="H47" s="66"/>
      <c r="I47" s="66"/>
      <c r="J47" s="66"/>
      <c r="K47" s="66"/>
    </row>
    <row r="48" spans="2:11" ht="12.75" customHeight="1">
      <c r="B48" s="63"/>
      <c r="C48" s="59" t="s">
        <v>1970</v>
      </c>
      <c r="D48" s="57">
        <v>20</v>
      </c>
      <c r="E48" s="64">
        <f t="shared" si="0"/>
        <v>220</v>
      </c>
      <c r="F48" s="65" t="s">
        <v>1043</v>
      </c>
      <c r="G48" s="63"/>
      <c r="H48" s="66"/>
      <c r="I48" s="66"/>
      <c r="J48" s="66"/>
      <c r="K48" s="66"/>
    </row>
    <row r="49" spans="2:11" ht="12.75" customHeight="1">
      <c r="B49" s="63"/>
      <c r="C49" s="59" t="s">
        <v>1970</v>
      </c>
      <c r="D49" s="57">
        <v>20</v>
      </c>
      <c r="E49" s="64">
        <f t="shared" si="0"/>
        <v>225</v>
      </c>
      <c r="F49" s="65" t="s">
        <v>1044</v>
      </c>
      <c r="G49" s="63"/>
      <c r="H49" s="66"/>
      <c r="I49" s="66"/>
      <c r="J49" s="66"/>
      <c r="K49" s="66"/>
    </row>
    <row r="50" spans="2:11" ht="12.75" customHeight="1">
      <c r="B50" s="63"/>
      <c r="C50" s="59" t="s">
        <v>1970</v>
      </c>
      <c r="D50" s="57">
        <v>20</v>
      </c>
      <c r="E50" s="64">
        <f t="shared" si="0"/>
        <v>230</v>
      </c>
      <c r="F50" s="65" t="s">
        <v>1045</v>
      </c>
      <c r="G50" s="63"/>
      <c r="H50" s="66"/>
      <c r="I50" s="66"/>
      <c r="J50" s="66"/>
      <c r="K50" s="66"/>
    </row>
    <row r="51" spans="2:11" ht="12.75" customHeight="1">
      <c r="B51" s="63"/>
      <c r="C51" s="59" t="s">
        <v>1970</v>
      </c>
      <c r="D51" s="57">
        <v>20</v>
      </c>
      <c r="E51" s="64">
        <f t="shared" si="0"/>
        <v>235</v>
      </c>
      <c r="F51" s="65" t="s">
        <v>1046</v>
      </c>
      <c r="G51" s="63"/>
      <c r="H51" s="66"/>
      <c r="I51" s="66"/>
      <c r="J51" s="66"/>
      <c r="K51" s="66"/>
    </row>
    <row r="52" spans="2:11" ht="12.75" customHeight="1">
      <c r="B52" s="63"/>
      <c r="C52" s="59" t="s">
        <v>1970</v>
      </c>
      <c r="D52" s="57">
        <v>20</v>
      </c>
      <c r="E52" s="64">
        <f t="shared" si="0"/>
        <v>240</v>
      </c>
      <c r="F52" s="67" t="s">
        <v>1617</v>
      </c>
      <c r="G52" s="63"/>
      <c r="H52" s="66"/>
      <c r="I52" s="66"/>
      <c r="J52" s="66"/>
      <c r="K52" s="66"/>
    </row>
    <row r="53" spans="2:11" ht="12.75" customHeight="1">
      <c r="B53" s="63"/>
      <c r="C53" s="59" t="s">
        <v>1970</v>
      </c>
      <c r="D53" s="57">
        <v>20</v>
      </c>
      <c r="E53" s="64">
        <f t="shared" si="0"/>
        <v>245</v>
      </c>
      <c r="F53" s="65" t="s">
        <v>599</v>
      </c>
      <c r="G53" s="63"/>
      <c r="H53" s="66"/>
      <c r="I53" s="66"/>
      <c r="J53" s="66"/>
      <c r="K53" s="66"/>
    </row>
    <row r="54" spans="2:11" ht="12.75" customHeight="1">
      <c r="B54" s="63"/>
      <c r="C54" s="59" t="s">
        <v>1970</v>
      </c>
      <c r="D54" s="57">
        <v>20</v>
      </c>
      <c r="E54" s="64">
        <f t="shared" si="0"/>
        <v>250</v>
      </c>
      <c r="F54" s="65" t="s">
        <v>1155</v>
      </c>
      <c r="G54" s="63"/>
      <c r="H54" s="66"/>
      <c r="I54" s="66"/>
      <c r="J54" s="66"/>
      <c r="K54" s="66"/>
    </row>
    <row r="55" spans="2:11" ht="12.75" customHeight="1">
      <c r="B55" s="63"/>
      <c r="C55" s="59" t="s">
        <v>1970</v>
      </c>
      <c r="D55" s="57">
        <v>20</v>
      </c>
      <c r="E55" s="64">
        <f t="shared" si="0"/>
        <v>255</v>
      </c>
      <c r="F55" s="65" t="s">
        <v>1156</v>
      </c>
      <c r="G55" s="63"/>
      <c r="H55" s="66"/>
      <c r="I55" s="66"/>
      <c r="J55" s="66"/>
      <c r="K55" s="66"/>
    </row>
    <row r="56" spans="2:11" ht="12.75" customHeight="1">
      <c r="B56" s="63"/>
      <c r="C56" s="59" t="s">
        <v>1970</v>
      </c>
      <c r="D56" s="57">
        <v>20</v>
      </c>
      <c r="E56" s="64">
        <f t="shared" si="0"/>
        <v>260</v>
      </c>
      <c r="F56" s="65" t="s">
        <v>1157</v>
      </c>
      <c r="G56" s="63"/>
      <c r="H56" s="66"/>
      <c r="I56" s="66"/>
      <c r="J56" s="66"/>
      <c r="K56" s="66"/>
    </row>
    <row r="57" spans="2:11" ht="12.75" customHeight="1">
      <c r="B57" s="63"/>
      <c r="C57" s="59" t="s">
        <v>1970</v>
      </c>
      <c r="D57" s="57">
        <v>20</v>
      </c>
      <c r="E57" s="64">
        <f t="shared" ref="E57:E88" si="1">E56+5</f>
        <v>265</v>
      </c>
      <c r="F57" s="65" t="s">
        <v>1119</v>
      </c>
      <c r="G57" s="63"/>
      <c r="H57" s="66"/>
      <c r="I57" s="66"/>
      <c r="J57" s="66"/>
      <c r="K57" s="66"/>
    </row>
    <row r="58" spans="2:11" ht="12.75" customHeight="1">
      <c r="B58" s="63"/>
      <c r="C58" s="59" t="s">
        <v>1970</v>
      </c>
      <c r="D58" s="57">
        <v>20</v>
      </c>
      <c r="E58" s="64">
        <f t="shared" si="1"/>
        <v>270</v>
      </c>
      <c r="F58" s="65" t="s">
        <v>140</v>
      </c>
      <c r="G58" s="63"/>
      <c r="H58" s="66"/>
      <c r="I58" s="66"/>
      <c r="J58" s="66"/>
      <c r="K58" s="66"/>
    </row>
    <row r="59" spans="2:11" ht="12.75" customHeight="1">
      <c r="B59" s="63"/>
      <c r="C59" s="59" t="s">
        <v>1970</v>
      </c>
      <c r="D59" s="57">
        <v>20</v>
      </c>
      <c r="E59" s="64">
        <f t="shared" si="1"/>
        <v>275</v>
      </c>
      <c r="F59" s="65" t="s">
        <v>2009</v>
      </c>
      <c r="G59" s="63"/>
      <c r="H59" s="66"/>
      <c r="I59" s="66"/>
      <c r="J59" s="66"/>
      <c r="K59" s="66"/>
    </row>
    <row r="60" spans="2:11" ht="12.75" customHeight="1">
      <c r="B60" s="63"/>
      <c r="C60" s="59" t="s">
        <v>1970</v>
      </c>
      <c r="D60" s="57">
        <v>20</v>
      </c>
      <c r="E60" s="64">
        <f t="shared" si="1"/>
        <v>280</v>
      </c>
      <c r="F60" s="65" t="s">
        <v>688</v>
      </c>
      <c r="G60" s="63"/>
      <c r="H60" s="66"/>
      <c r="I60" s="66"/>
      <c r="J60" s="66"/>
      <c r="K60" s="66"/>
    </row>
    <row r="61" spans="2:11" ht="12.75" customHeight="1">
      <c r="B61" s="63"/>
      <c r="C61" s="59" t="s">
        <v>1970</v>
      </c>
      <c r="D61" s="57">
        <v>20</v>
      </c>
      <c r="E61" s="64">
        <f t="shared" si="1"/>
        <v>285</v>
      </c>
      <c r="F61" s="65" t="s">
        <v>689</v>
      </c>
      <c r="G61" s="63"/>
      <c r="H61" s="66"/>
      <c r="I61" s="66"/>
      <c r="J61" s="66"/>
      <c r="K61" s="66"/>
    </row>
    <row r="62" spans="2:11" ht="12.75" customHeight="1">
      <c r="B62" s="63"/>
      <c r="C62" s="59" t="s">
        <v>1970</v>
      </c>
      <c r="D62" s="57">
        <v>20</v>
      </c>
      <c r="E62" s="64">
        <f t="shared" si="1"/>
        <v>290</v>
      </c>
      <c r="F62" s="65" t="s">
        <v>690</v>
      </c>
      <c r="G62" s="63"/>
      <c r="H62" s="66"/>
      <c r="I62" s="66"/>
      <c r="J62" s="66"/>
      <c r="K62" s="66"/>
    </row>
    <row r="63" spans="2:11" ht="12.75" customHeight="1">
      <c r="B63" s="63"/>
      <c r="C63" s="59" t="s">
        <v>1970</v>
      </c>
      <c r="D63" s="57">
        <v>20</v>
      </c>
      <c r="E63" s="64">
        <f t="shared" si="1"/>
        <v>295</v>
      </c>
      <c r="F63" s="65" t="s">
        <v>691</v>
      </c>
      <c r="G63" s="63"/>
      <c r="H63" s="66"/>
      <c r="I63" s="66"/>
      <c r="J63" s="66"/>
      <c r="K63" s="66"/>
    </row>
    <row r="64" spans="2:11" ht="12.75" customHeight="1">
      <c r="B64" s="63"/>
      <c r="C64" s="59" t="s">
        <v>1970</v>
      </c>
      <c r="D64" s="57">
        <v>20</v>
      </c>
      <c r="E64" s="64">
        <f t="shared" si="1"/>
        <v>300</v>
      </c>
      <c r="F64" s="65" t="s">
        <v>692</v>
      </c>
      <c r="G64" s="63"/>
      <c r="H64" s="66"/>
      <c r="I64" s="66"/>
      <c r="J64" s="66"/>
      <c r="K64" s="66"/>
    </row>
    <row r="65" spans="2:11" ht="12.75" customHeight="1">
      <c r="B65" s="63"/>
      <c r="C65" s="59" t="s">
        <v>1970</v>
      </c>
      <c r="D65" s="57">
        <v>20</v>
      </c>
      <c r="E65" s="64">
        <f t="shared" si="1"/>
        <v>305</v>
      </c>
      <c r="F65" s="65" t="s">
        <v>693</v>
      </c>
      <c r="G65" s="63"/>
      <c r="H65" s="66"/>
      <c r="I65" s="66"/>
      <c r="J65" s="66"/>
      <c r="K65" s="66"/>
    </row>
    <row r="66" spans="2:11" ht="12.75" customHeight="1">
      <c r="B66" s="63"/>
      <c r="C66" s="59" t="s">
        <v>1970</v>
      </c>
      <c r="D66" s="57">
        <v>20</v>
      </c>
      <c r="E66" s="64">
        <f t="shared" si="1"/>
        <v>310</v>
      </c>
      <c r="F66" s="65" t="s">
        <v>11</v>
      </c>
      <c r="G66" s="63"/>
      <c r="H66" s="66"/>
      <c r="I66" s="66"/>
      <c r="J66" s="66"/>
      <c r="K66" s="66"/>
    </row>
    <row r="67" spans="2:11" ht="12.75" customHeight="1">
      <c r="B67" s="63"/>
      <c r="C67" s="59" t="s">
        <v>1970</v>
      </c>
      <c r="D67" s="57">
        <v>20</v>
      </c>
      <c r="E67" s="64">
        <f t="shared" si="1"/>
        <v>315</v>
      </c>
      <c r="F67" s="65" t="s">
        <v>12</v>
      </c>
      <c r="G67" s="63"/>
      <c r="H67" s="66"/>
      <c r="I67" s="66"/>
      <c r="J67" s="66"/>
      <c r="K67" s="66"/>
    </row>
    <row r="68" spans="2:11" ht="12.75" customHeight="1">
      <c r="B68" s="63"/>
      <c r="C68" s="59" t="s">
        <v>1970</v>
      </c>
      <c r="D68" s="57">
        <v>20</v>
      </c>
      <c r="E68" s="64">
        <f t="shared" si="1"/>
        <v>320</v>
      </c>
      <c r="F68" s="65" t="s">
        <v>13</v>
      </c>
      <c r="G68" s="63"/>
      <c r="H68" s="66"/>
      <c r="I68" s="66"/>
      <c r="J68" s="66"/>
      <c r="K68" s="66"/>
    </row>
    <row r="69" spans="2:11" ht="12.75" customHeight="1">
      <c r="B69" s="63"/>
      <c r="C69" s="59" t="s">
        <v>1970</v>
      </c>
      <c r="D69" s="57">
        <v>20</v>
      </c>
      <c r="E69" s="64">
        <f t="shared" si="1"/>
        <v>325</v>
      </c>
      <c r="F69" s="65" t="s">
        <v>14</v>
      </c>
      <c r="G69" s="63"/>
      <c r="H69" s="66"/>
      <c r="I69" s="66"/>
      <c r="J69" s="66"/>
      <c r="K69" s="66"/>
    </row>
    <row r="70" spans="2:11" ht="12.75" customHeight="1">
      <c r="B70" s="63"/>
      <c r="C70" s="59" t="s">
        <v>1970</v>
      </c>
      <c r="D70" s="57">
        <v>20</v>
      </c>
      <c r="E70" s="64">
        <f t="shared" si="1"/>
        <v>330</v>
      </c>
      <c r="F70" s="65" t="s">
        <v>1991</v>
      </c>
      <c r="G70" s="63"/>
      <c r="H70" s="66"/>
      <c r="I70" s="66"/>
      <c r="J70" s="66"/>
      <c r="K70" s="66"/>
    </row>
    <row r="71" spans="2:11" ht="12.75" customHeight="1">
      <c r="B71" s="63"/>
      <c r="C71" s="59" t="s">
        <v>1970</v>
      </c>
      <c r="D71" s="57">
        <v>20</v>
      </c>
      <c r="E71" s="64">
        <f t="shared" si="1"/>
        <v>335</v>
      </c>
      <c r="F71" s="65" t="s">
        <v>1992</v>
      </c>
      <c r="G71" s="63"/>
      <c r="H71" s="66"/>
      <c r="I71" s="66"/>
      <c r="J71" s="66"/>
      <c r="K71" s="66"/>
    </row>
    <row r="72" spans="2:11" ht="12.75" customHeight="1">
      <c r="B72" s="63"/>
      <c r="C72" s="59" t="s">
        <v>1970</v>
      </c>
      <c r="D72" s="57">
        <v>20</v>
      </c>
      <c r="E72" s="64">
        <f t="shared" si="1"/>
        <v>340</v>
      </c>
      <c r="F72" s="65" t="s">
        <v>1993</v>
      </c>
      <c r="G72" s="63"/>
      <c r="H72" s="66"/>
      <c r="I72" s="66"/>
      <c r="J72" s="66"/>
      <c r="K72" s="66"/>
    </row>
    <row r="73" spans="2:11" ht="12.75" customHeight="1">
      <c r="B73" s="63"/>
      <c r="C73" s="59" t="s">
        <v>1970</v>
      </c>
      <c r="D73" s="57">
        <v>20</v>
      </c>
      <c r="E73" s="64">
        <f t="shared" si="1"/>
        <v>345</v>
      </c>
      <c r="F73" s="65" t="s">
        <v>1994</v>
      </c>
      <c r="G73" s="63"/>
      <c r="H73" s="66"/>
      <c r="I73" s="66"/>
      <c r="J73" s="66"/>
      <c r="K73" s="66"/>
    </row>
    <row r="74" spans="2:11" ht="12.75" customHeight="1">
      <c r="B74" s="63"/>
      <c r="C74" s="59" t="s">
        <v>1970</v>
      </c>
      <c r="D74" s="57">
        <v>20</v>
      </c>
      <c r="E74" s="64">
        <f t="shared" si="1"/>
        <v>350</v>
      </c>
      <c r="F74" s="65" t="s">
        <v>1074</v>
      </c>
      <c r="G74" s="63"/>
      <c r="H74" s="66"/>
      <c r="I74" s="66"/>
      <c r="J74" s="66"/>
      <c r="K74" s="66"/>
    </row>
    <row r="75" spans="2:11" ht="12.75" customHeight="1">
      <c r="B75" s="63"/>
      <c r="C75" s="59" t="s">
        <v>1970</v>
      </c>
      <c r="D75" s="57">
        <v>20</v>
      </c>
      <c r="E75" s="64">
        <f t="shared" si="1"/>
        <v>355</v>
      </c>
      <c r="F75" s="65" t="s">
        <v>1226</v>
      </c>
      <c r="G75" s="63"/>
      <c r="H75" s="66"/>
      <c r="I75" s="66"/>
      <c r="J75" s="66"/>
      <c r="K75" s="66"/>
    </row>
    <row r="76" spans="2:11" ht="12.75" customHeight="1">
      <c r="B76" s="63"/>
      <c r="C76" s="59" t="s">
        <v>1970</v>
      </c>
      <c r="D76" s="57">
        <v>20</v>
      </c>
      <c r="E76" s="64">
        <f t="shared" si="1"/>
        <v>360</v>
      </c>
      <c r="F76" s="65" t="s">
        <v>1227</v>
      </c>
      <c r="G76" s="63"/>
      <c r="H76" s="66"/>
      <c r="I76" s="66"/>
      <c r="J76" s="66"/>
      <c r="K76" s="66"/>
    </row>
    <row r="77" spans="2:11" ht="12.75" customHeight="1">
      <c r="B77" s="63"/>
      <c r="C77" s="59" t="s">
        <v>1970</v>
      </c>
      <c r="D77" s="57">
        <v>20</v>
      </c>
      <c r="E77" s="64">
        <f t="shared" si="1"/>
        <v>365</v>
      </c>
      <c r="F77" s="65" t="s">
        <v>1228</v>
      </c>
      <c r="G77" s="63"/>
      <c r="H77" s="66"/>
      <c r="I77" s="66"/>
      <c r="J77" s="66"/>
      <c r="K77" s="66"/>
    </row>
    <row r="78" spans="2:11" ht="12.75" customHeight="1">
      <c r="B78" s="63"/>
      <c r="C78" s="59" t="s">
        <v>1970</v>
      </c>
      <c r="D78" s="57">
        <v>20</v>
      </c>
      <c r="E78" s="64">
        <f t="shared" si="1"/>
        <v>370</v>
      </c>
      <c r="F78" s="65" t="s">
        <v>1229</v>
      </c>
      <c r="G78" s="63"/>
      <c r="H78" s="66"/>
      <c r="I78" s="66"/>
      <c r="J78" s="66"/>
      <c r="K78" s="66"/>
    </row>
    <row r="79" spans="2:11" ht="12.75" customHeight="1">
      <c r="B79" s="63"/>
      <c r="C79" s="59" t="s">
        <v>1970</v>
      </c>
      <c r="D79" s="57">
        <v>20</v>
      </c>
      <c r="E79" s="64">
        <f t="shared" si="1"/>
        <v>375</v>
      </c>
      <c r="F79" s="65" t="s">
        <v>1230</v>
      </c>
      <c r="G79" s="63"/>
      <c r="H79" s="66"/>
      <c r="I79" s="66"/>
      <c r="J79" s="66"/>
      <c r="K79" s="66"/>
    </row>
    <row r="80" spans="2:11" ht="12.75" customHeight="1">
      <c r="B80" s="63"/>
      <c r="C80" s="59" t="s">
        <v>1970</v>
      </c>
      <c r="D80" s="57">
        <v>20</v>
      </c>
      <c r="E80" s="64">
        <f t="shared" si="1"/>
        <v>380</v>
      </c>
      <c r="F80" s="65" t="s">
        <v>1231</v>
      </c>
      <c r="G80" s="63"/>
      <c r="H80" s="66"/>
      <c r="I80" s="66"/>
      <c r="J80" s="66"/>
      <c r="K80" s="66"/>
    </row>
    <row r="81" spans="2:11" ht="12.75" customHeight="1">
      <c r="B81" s="63"/>
      <c r="C81" s="59" t="s">
        <v>1970</v>
      </c>
      <c r="D81" s="57">
        <v>20</v>
      </c>
      <c r="E81" s="64">
        <f t="shared" si="1"/>
        <v>385</v>
      </c>
      <c r="F81" s="65" t="s">
        <v>1232</v>
      </c>
      <c r="G81" s="63"/>
      <c r="H81" s="66"/>
      <c r="I81" s="66"/>
      <c r="J81" s="66"/>
      <c r="K81" s="66"/>
    </row>
    <row r="82" spans="2:11" ht="12.75" customHeight="1">
      <c r="B82" s="63"/>
      <c r="C82" s="59" t="s">
        <v>1970</v>
      </c>
      <c r="D82" s="57">
        <v>20</v>
      </c>
      <c r="E82" s="64">
        <f t="shared" si="1"/>
        <v>390</v>
      </c>
      <c r="F82" s="65" t="s">
        <v>1233</v>
      </c>
      <c r="G82" s="63"/>
      <c r="H82" s="66"/>
      <c r="I82" s="66"/>
      <c r="J82" s="66"/>
      <c r="K82" s="66"/>
    </row>
    <row r="83" spans="2:11" ht="12.75" customHeight="1">
      <c r="B83" s="63"/>
      <c r="C83" s="59" t="s">
        <v>1970</v>
      </c>
      <c r="D83" s="57">
        <v>20</v>
      </c>
      <c r="E83" s="64">
        <f t="shared" si="1"/>
        <v>395</v>
      </c>
      <c r="F83" s="65" t="s">
        <v>1234</v>
      </c>
      <c r="G83" s="63"/>
      <c r="H83" s="66"/>
      <c r="I83" s="66"/>
      <c r="J83" s="66"/>
      <c r="K83" s="66"/>
    </row>
    <row r="84" spans="2:11" ht="12.75" customHeight="1">
      <c r="B84" s="63"/>
      <c r="C84" s="59" t="s">
        <v>1970</v>
      </c>
      <c r="D84" s="57">
        <v>20</v>
      </c>
      <c r="E84" s="64">
        <f t="shared" si="1"/>
        <v>400</v>
      </c>
      <c r="F84" s="65" t="s">
        <v>1235</v>
      </c>
      <c r="G84" s="63"/>
      <c r="H84" s="66"/>
      <c r="I84" s="66"/>
      <c r="J84" s="66"/>
      <c r="K84" s="66"/>
    </row>
    <row r="85" spans="2:11" ht="12.75" customHeight="1">
      <c r="B85" s="63"/>
      <c r="C85" s="59" t="s">
        <v>1970</v>
      </c>
      <c r="D85" s="57">
        <v>20</v>
      </c>
      <c r="E85" s="64">
        <f t="shared" si="1"/>
        <v>405</v>
      </c>
      <c r="F85" s="65" t="s">
        <v>1236</v>
      </c>
      <c r="G85" s="63"/>
      <c r="H85" s="66"/>
      <c r="I85" s="66"/>
      <c r="J85" s="66"/>
      <c r="K85" s="66"/>
    </row>
    <row r="86" spans="2:11" ht="12.75" customHeight="1">
      <c r="B86" s="63"/>
      <c r="C86" s="59" t="s">
        <v>1970</v>
      </c>
      <c r="D86" s="57">
        <v>20</v>
      </c>
      <c r="E86" s="64">
        <f t="shared" si="1"/>
        <v>410</v>
      </c>
      <c r="F86" s="65" t="s">
        <v>1935</v>
      </c>
      <c r="G86" s="63"/>
      <c r="H86" s="66"/>
      <c r="I86" s="66"/>
      <c r="J86" s="66"/>
      <c r="K86" s="66"/>
    </row>
    <row r="87" spans="2:11" ht="12.75" customHeight="1">
      <c r="B87" s="63"/>
      <c r="C87" s="59" t="s">
        <v>1970</v>
      </c>
      <c r="D87" s="57">
        <v>20</v>
      </c>
      <c r="E87" s="64">
        <f t="shared" si="1"/>
        <v>415</v>
      </c>
      <c r="F87" s="65" t="s">
        <v>1936</v>
      </c>
      <c r="G87" s="63"/>
      <c r="H87" s="66"/>
      <c r="I87" s="66"/>
      <c r="J87" s="66"/>
      <c r="K87" s="66"/>
    </row>
    <row r="88" spans="2:11" ht="12.75" customHeight="1">
      <c r="B88" s="63"/>
      <c r="C88" s="59" t="s">
        <v>1970</v>
      </c>
      <c r="D88" s="57">
        <v>20</v>
      </c>
      <c r="E88" s="64">
        <f t="shared" si="1"/>
        <v>420</v>
      </c>
      <c r="F88" s="65" t="s">
        <v>1937</v>
      </c>
      <c r="G88" s="63"/>
      <c r="H88" s="66"/>
      <c r="I88" s="66"/>
      <c r="J88" s="66"/>
      <c r="K88" s="66"/>
    </row>
    <row r="89" spans="2:11" ht="12.75" customHeight="1">
      <c r="B89" s="63"/>
      <c r="C89" s="59" t="s">
        <v>1970</v>
      </c>
      <c r="D89" s="57">
        <v>20</v>
      </c>
      <c r="E89" s="64">
        <f t="shared" ref="E89:E98" si="2">E88+5</f>
        <v>425</v>
      </c>
      <c r="F89" s="65" t="s">
        <v>1938</v>
      </c>
      <c r="G89" s="63"/>
      <c r="H89" s="66"/>
      <c r="I89" s="66"/>
      <c r="J89" s="66"/>
      <c r="K89" s="66"/>
    </row>
    <row r="90" spans="2:11" ht="12.75" customHeight="1">
      <c r="B90" s="63"/>
      <c r="C90" s="59" t="s">
        <v>1970</v>
      </c>
      <c r="D90" s="57">
        <v>20</v>
      </c>
      <c r="E90" s="64">
        <f t="shared" si="2"/>
        <v>430</v>
      </c>
      <c r="F90" s="65" t="s">
        <v>1939</v>
      </c>
      <c r="G90" s="63"/>
      <c r="H90" s="66"/>
      <c r="I90" s="66"/>
      <c r="J90" s="66"/>
      <c r="K90" s="66"/>
    </row>
    <row r="91" spans="2:11" ht="12.75" customHeight="1">
      <c r="B91" s="63"/>
      <c r="C91" s="59" t="s">
        <v>1970</v>
      </c>
      <c r="D91" s="57">
        <v>20</v>
      </c>
      <c r="E91" s="64">
        <f t="shared" si="2"/>
        <v>435</v>
      </c>
      <c r="F91" s="65" t="s">
        <v>1940</v>
      </c>
      <c r="G91" s="63"/>
      <c r="H91" s="66"/>
      <c r="I91" s="66"/>
      <c r="J91" s="66"/>
      <c r="K91" s="66"/>
    </row>
    <row r="92" spans="2:11" ht="12.75" customHeight="1">
      <c r="B92" s="63"/>
      <c r="C92" s="59" t="s">
        <v>1970</v>
      </c>
      <c r="D92" s="57">
        <v>20</v>
      </c>
      <c r="E92" s="64">
        <f t="shared" si="2"/>
        <v>440</v>
      </c>
      <c r="F92" s="65" t="s">
        <v>1941</v>
      </c>
      <c r="G92" s="63"/>
      <c r="H92" s="66"/>
      <c r="I92" s="66"/>
      <c r="J92" s="66"/>
      <c r="K92" s="66"/>
    </row>
    <row r="93" spans="2:11" ht="12.75" customHeight="1">
      <c r="B93" s="63"/>
      <c r="C93" s="59" t="s">
        <v>1970</v>
      </c>
      <c r="D93" s="57">
        <v>20</v>
      </c>
      <c r="E93" s="64">
        <f t="shared" si="2"/>
        <v>445</v>
      </c>
      <c r="F93" s="65" t="s">
        <v>1942</v>
      </c>
      <c r="G93" s="63"/>
      <c r="H93" s="66"/>
      <c r="I93" s="66"/>
      <c r="J93" s="66"/>
      <c r="K93" s="66"/>
    </row>
    <row r="94" spans="2:11" ht="12.75" customHeight="1">
      <c r="B94" s="63"/>
      <c r="C94" s="59" t="s">
        <v>1970</v>
      </c>
      <c r="D94" s="57">
        <v>20</v>
      </c>
      <c r="E94" s="64">
        <f t="shared" si="2"/>
        <v>450</v>
      </c>
      <c r="F94" s="65" t="s">
        <v>1943</v>
      </c>
      <c r="G94" s="63"/>
      <c r="H94" s="66"/>
      <c r="I94" s="66"/>
      <c r="J94" s="66"/>
      <c r="K94" s="66"/>
    </row>
    <row r="95" spans="2:11" ht="12.75" customHeight="1">
      <c r="B95" s="63"/>
      <c r="C95" s="59" t="s">
        <v>1970</v>
      </c>
      <c r="D95" s="57">
        <v>20</v>
      </c>
      <c r="E95" s="64">
        <f t="shared" si="2"/>
        <v>455</v>
      </c>
      <c r="F95" s="65" t="s">
        <v>1944</v>
      </c>
      <c r="G95" s="63"/>
      <c r="H95" s="66"/>
      <c r="I95" s="66"/>
      <c r="J95" s="66"/>
      <c r="K95" s="66"/>
    </row>
    <row r="96" spans="2:11" ht="12.75" customHeight="1">
      <c r="B96" s="63"/>
      <c r="C96" s="59" t="s">
        <v>1970</v>
      </c>
      <c r="D96" s="57">
        <v>20</v>
      </c>
      <c r="E96" s="64">
        <f t="shared" si="2"/>
        <v>460</v>
      </c>
      <c r="F96" s="65" t="s">
        <v>1945</v>
      </c>
      <c r="G96" s="63"/>
      <c r="H96" s="66"/>
      <c r="I96" s="66"/>
      <c r="J96" s="66"/>
      <c r="K96" s="66"/>
    </row>
    <row r="97" spans="2:11" ht="12.75" customHeight="1">
      <c r="B97" s="63"/>
      <c r="C97" s="59" t="s">
        <v>1970</v>
      </c>
      <c r="D97" s="57">
        <v>20</v>
      </c>
      <c r="E97" s="64">
        <f t="shared" si="2"/>
        <v>465</v>
      </c>
      <c r="F97" s="65" t="s">
        <v>1946</v>
      </c>
      <c r="G97" s="63"/>
      <c r="H97" s="66"/>
      <c r="I97" s="66"/>
      <c r="J97" s="66"/>
      <c r="K97" s="66"/>
    </row>
    <row r="98" spans="2:11" ht="12.75" customHeight="1">
      <c r="B98" s="63"/>
      <c r="C98" s="59" t="s">
        <v>1970</v>
      </c>
      <c r="D98" s="57">
        <v>20</v>
      </c>
      <c r="E98" s="64">
        <f t="shared" si="2"/>
        <v>470</v>
      </c>
      <c r="F98" s="65" t="s">
        <v>2126</v>
      </c>
      <c r="G98" s="63"/>
      <c r="H98" s="66"/>
      <c r="I98" s="66"/>
      <c r="J98" s="66"/>
      <c r="K98" s="66"/>
    </row>
    <row r="99" spans="2:11" ht="12.75" customHeight="1">
      <c r="B99" s="63"/>
      <c r="C99" s="59"/>
      <c r="D99" s="57"/>
      <c r="E99" s="64"/>
      <c r="F99" s="65"/>
      <c r="G99" s="63"/>
      <c r="H99" s="66"/>
      <c r="I99" s="66"/>
      <c r="J99" s="66"/>
      <c r="K99" s="66"/>
    </row>
    <row r="100" spans="2:11" ht="12.75" customHeight="1">
      <c r="B100" s="57"/>
      <c r="C100" s="60" t="s">
        <v>1970</v>
      </c>
      <c r="D100" s="61">
        <v>30</v>
      </c>
      <c r="E100" s="3342" t="s">
        <v>466</v>
      </c>
      <c r="F100" s="3342"/>
      <c r="G100" s="56"/>
    </row>
    <row r="101" spans="2:11" ht="6" customHeight="1">
      <c r="B101" s="57"/>
      <c r="C101" s="59"/>
      <c r="D101" s="57"/>
      <c r="E101" s="56"/>
      <c r="F101" s="56"/>
      <c r="G101" s="56"/>
    </row>
    <row r="102" spans="2:11" ht="12.75" customHeight="1">
      <c r="B102" s="63"/>
      <c r="C102" s="59" t="s">
        <v>1970</v>
      </c>
      <c r="D102" s="57">
        <v>30</v>
      </c>
      <c r="E102" s="64">
        <v>100</v>
      </c>
      <c r="F102" s="65" t="s">
        <v>1184</v>
      </c>
      <c r="G102" s="63"/>
      <c r="H102" s="66"/>
      <c r="I102" s="66"/>
      <c r="J102" s="66"/>
      <c r="K102" s="66"/>
    </row>
    <row r="103" spans="2:11" ht="12.75" customHeight="1">
      <c r="B103" s="63"/>
      <c r="C103" s="59" t="s">
        <v>1970</v>
      </c>
      <c r="D103" s="57">
        <v>30</v>
      </c>
      <c r="E103" s="64">
        <f t="shared" ref="E103:E125" si="3">E102+10</f>
        <v>110</v>
      </c>
      <c r="F103" s="65" t="s">
        <v>1185</v>
      </c>
      <c r="G103" s="63"/>
      <c r="H103" s="66"/>
      <c r="I103" s="66"/>
      <c r="J103" s="66"/>
      <c r="K103" s="66"/>
    </row>
    <row r="104" spans="2:11" ht="12.75" customHeight="1">
      <c r="B104" s="63"/>
      <c r="C104" s="59" t="s">
        <v>1970</v>
      </c>
      <c r="D104" s="57">
        <v>30</v>
      </c>
      <c r="E104" s="64">
        <f t="shared" si="3"/>
        <v>120</v>
      </c>
      <c r="F104" s="65" t="s">
        <v>1186</v>
      </c>
      <c r="G104" s="63"/>
      <c r="H104" s="66"/>
      <c r="I104" s="66"/>
      <c r="J104" s="66"/>
      <c r="K104" s="66"/>
    </row>
    <row r="105" spans="2:11" ht="12.75" customHeight="1">
      <c r="B105" s="63"/>
      <c r="C105" s="59" t="s">
        <v>1970</v>
      </c>
      <c r="D105" s="57">
        <v>30</v>
      </c>
      <c r="E105" s="64">
        <f t="shared" si="3"/>
        <v>130</v>
      </c>
      <c r="F105" s="65" t="s">
        <v>1187</v>
      </c>
      <c r="G105" s="63"/>
      <c r="H105" s="66"/>
      <c r="I105" s="66"/>
      <c r="J105" s="66"/>
      <c r="K105" s="66"/>
    </row>
    <row r="106" spans="2:11" ht="12.75" customHeight="1">
      <c r="B106" s="63"/>
      <c r="C106" s="59" t="s">
        <v>1970</v>
      </c>
      <c r="D106" s="57">
        <v>30</v>
      </c>
      <c r="E106" s="64">
        <f t="shared" si="3"/>
        <v>140</v>
      </c>
      <c r="F106" s="65" t="s">
        <v>1188</v>
      </c>
      <c r="G106" s="63"/>
      <c r="H106" s="66"/>
      <c r="I106" s="66"/>
      <c r="J106" s="66"/>
      <c r="K106" s="66"/>
    </row>
    <row r="107" spans="2:11" ht="12.75" customHeight="1">
      <c r="B107" s="63"/>
      <c r="C107" s="59" t="s">
        <v>1970</v>
      </c>
      <c r="D107" s="57">
        <v>30</v>
      </c>
      <c r="E107" s="64">
        <f t="shared" si="3"/>
        <v>150</v>
      </c>
      <c r="F107" s="65" t="s">
        <v>1189</v>
      </c>
      <c r="G107" s="63"/>
      <c r="H107" s="66"/>
      <c r="I107" s="66"/>
      <c r="J107" s="66"/>
      <c r="K107" s="66"/>
    </row>
    <row r="108" spans="2:11" ht="12.75" customHeight="1">
      <c r="B108" s="63"/>
      <c r="C108" s="59" t="s">
        <v>1970</v>
      </c>
      <c r="D108" s="57">
        <v>30</v>
      </c>
      <c r="E108" s="64">
        <f t="shared" si="3"/>
        <v>160</v>
      </c>
      <c r="F108" s="65" t="s">
        <v>1190</v>
      </c>
      <c r="G108" s="63"/>
      <c r="H108" s="66"/>
      <c r="I108" s="66"/>
      <c r="J108" s="66"/>
      <c r="K108" s="66"/>
    </row>
    <row r="109" spans="2:11" ht="12.75" customHeight="1">
      <c r="B109" s="63"/>
      <c r="C109" s="59" t="s">
        <v>1970</v>
      </c>
      <c r="D109" s="57">
        <v>30</v>
      </c>
      <c r="E109" s="64">
        <f t="shared" si="3"/>
        <v>170</v>
      </c>
      <c r="F109" s="65" t="s">
        <v>1191</v>
      </c>
      <c r="G109" s="63"/>
      <c r="H109" s="66"/>
      <c r="I109" s="66"/>
      <c r="J109" s="66"/>
      <c r="K109" s="66"/>
    </row>
    <row r="110" spans="2:11" ht="12.75" customHeight="1">
      <c r="B110" s="63"/>
      <c r="C110" s="59" t="s">
        <v>1970</v>
      </c>
      <c r="D110" s="57">
        <v>30</v>
      </c>
      <c r="E110" s="64">
        <f t="shared" si="3"/>
        <v>180</v>
      </c>
      <c r="F110" s="65" t="s">
        <v>1192</v>
      </c>
      <c r="G110" s="63"/>
      <c r="H110" s="66"/>
      <c r="I110" s="66"/>
      <c r="J110" s="66"/>
      <c r="K110" s="66"/>
    </row>
    <row r="111" spans="2:11" ht="12.75" customHeight="1">
      <c r="B111" s="63"/>
      <c r="C111" s="59" t="s">
        <v>1970</v>
      </c>
      <c r="D111" s="57">
        <v>30</v>
      </c>
      <c r="E111" s="64">
        <f t="shared" si="3"/>
        <v>190</v>
      </c>
      <c r="F111" s="65" t="s">
        <v>1193</v>
      </c>
      <c r="G111" s="63"/>
      <c r="H111" s="66"/>
      <c r="I111" s="66"/>
      <c r="J111" s="66"/>
      <c r="K111" s="66"/>
    </row>
    <row r="112" spans="2:11" ht="12.75" customHeight="1">
      <c r="B112" s="63"/>
      <c r="C112" s="59" t="s">
        <v>1970</v>
      </c>
      <c r="D112" s="57">
        <v>30</v>
      </c>
      <c r="E112" s="64">
        <f t="shared" si="3"/>
        <v>200</v>
      </c>
      <c r="F112" s="65" t="s">
        <v>1194</v>
      </c>
      <c r="G112" s="63"/>
      <c r="H112" s="66"/>
      <c r="I112" s="66"/>
      <c r="J112" s="66"/>
      <c r="K112" s="66"/>
    </row>
    <row r="113" spans="2:11" ht="12.75" customHeight="1">
      <c r="B113" s="63"/>
      <c r="C113" s="59" t="s">
        <v>1970</v>
      </c>
      <c r="D113" s="57">
        <v>30</v>
      </c>
      <c r="E113" s="64">
        <f t="shared" si="3"/>
        <v>210</v>
      </c>
      <c r="F113" s="65" t="s">
        <v>1195</v>
      </c>
      <c r="G113" s="63"/>
      <c r="H113" s="66"/>
      <c r="I113" s="66"/>
      <c r="J113" s="66"/>
      <c r="K113" s="66"/>
    </row>
    <row r="114" spans="2:11" ht="12.75" customHeight="1">
      <c r="B114" s="63"/>
      <c r="C114" s="59" t="s">
        <v>1970</v>
      </c>
      <c r="D114" s="57">
        <v>30</v>
      </c>
      <c r="E114" s="64">
        <f t="shared" si="3"/>
        <v>220</v>
      </c>
      <c r="F114" s="65" t="s">
        <v>1932</v>
      </c>
      <c r="G114" s="63"/>
      <c r="H114" s="66"/>
      <c r="I114" s="66"/>
      <c r="J114" s="66"/>
      <c r="K114" s="66"/>
    </row>
    <row r="115" spans="2:11" ht="12.75" customHeight="1">
      <c r="B115" s="63"/>
      <c r="C115" s="59" t="s">
        <v>1970</v>
      </c>
      <c r="D115" s="57">
        <v>30</v>
      </c>
      <c r="E115" s="64">
        <f t="shared" si="3"/>
        <v>230</v>
      </c>
      <c r="F115" s="65" t="s">
        <v>1933</v>
      </c>
      <c r="G115" s="63"/>
      <c r="H115" s="66"/>
      <c r="I115" s="66"/>
      <c r="J115" s="66"/>
      <c r="K115" s="66"/>
    </row>
    <row r="116" spans="2:11" ht="12.75" customHeight="1">
      <c r="B116" s="63"/>
      <c r="C116" s="59" t="s">
        <v>1970</v>
      </c>
      <c r="D116" s="57">
        <v>30</v>
      </c>
      <c r="E116" s="64">
        <f t="shared" si="3"/>
        <v>240</v>
      </c>
      <c r="F116" s="65" t="s">
        <v>1934</v>
      </c>
      <c r="G116" s="63"/>
      <c r="H116" s="66"/>
      <c r="I116" s="66"/>
      <c r="J116" s="66"/>
      <c r="K116" s="66"/>
    </row>
    <row r="117" spans="2:11" ht="12.75" customHeight="1">
      <c r="B117" s="63"/>
      <c r="C117" s="59" t="s">
        <v>1970</v>
      </c>
      <c r="D117" s="57">
        <v>30</v>
      </c>
      <c r="E117" s="64">
        <f t="shared" si="3"/>
        <v>250</v>
      </c>
      <c r="F117" s="65" t="s">
        <v>1104</v>
      </c>
      <c r="G117" s="63"/>
      <c r="H117" s="66"/>
      <c r="I117" s="66"/>
      <c r="J117" s="66"/>
      <c r="K117" s="66"/>
    </row>
    <row r="118" spans="2:11" ht="12.75" customHeight="1">
      <c r="B118" s="63"/>
      <c r="C118" s="59" t="s">
        <v>1970</v>
      </c>
      <c r="D118" s="57">
        <v>30</v>
      </c>
      <c r="E118" s="64">
        <f t="shared" si="3"/>
        <v>260</v>
      </c>
      <c r="F118" s="65" t="s">
        <v>51</v>
      </c>
      <c r="G118" s="63"/>
      <c r="H118" s="66"/>
      <c r="I118" s="66"/>
      <c r="J118" s="66"/>
      <c r="K118" s="66"/>
    </row>
    <row r="119" spans="2:11" ht="12.75" customHeight="1">
      <c r="B119" s="63"/>
      <c r="C119" s="59" t="s">
        <v>1970</v>
      </c>
      <c r="D119" s="57">
        <v>30</v>
      </c>
      <c r="E119" s="64">
        <f t="shared" si="3"/>
        <v>270</v>
      </c>
      <c r="F119" s="65" t="s">
        <v>52</v>
      </c>
      <c r="G119" s="63"/>
      <c r="H119" s="66"/>
      <c r="I119" s="66"/>
      <c r="J119" s="66"/>
      <c r="K119" s="66"/>
    </row>
    <row r="120" spans="2:11" ht="12.75" customHeight="1">
      <c r="B120" s="63"/>
      <c r="C120" s="59" t="s">
        <v>1970</v>
      </c>
      <c r="D120" s="57">
        <v>30</v>
      </c>
      <c r="E120" s="64">
        <f t="shared" si="3"/>
        <v>280</v>
      </c>
      <c r="F120" s="65" t="s">
        <v>53</v>
      </c>
      <c r="G120" s="63"/>
      <c r="H120" s="66"/>
      <c r="I120" s="66"/>
      <c r="J120" s="66"/>
      <c r="K120" s="66"/>
    </row>
    <row r="121" spans="2:11" ht="12.75" customHeight="1">
      <c r="B121" s="63"/>
      <c r="C121" s="59" t="s">
        <v>1970</v>
      </c>
      <c r="D121" s="57">
        <v>30</v>
      </c>
      <c r="E121" s="64">
        <f t="shared" si="3"/>
        <v>290</v>
      </c>
      <c r="F121" s="65" t="s">
        <v>1463</v>
      </c>
      <c r="G121" s="63"/>
      <c r="H121" s="66"/>
      <c r="I121" s="66"/>
      <c r="J121" s="66"/>
      <c r="K121" s="66"/>
    </row>
    <row r="122" spans="2:11" ht="12.75" customHeight="1">
      <c r="B122" s="63"/>
      <c r="C122" s="59" t="s">
        <v>1970</v>
      </c>
      <c r="D122" s="57">
        <v>30</v>
      </c>
      <c r="E122" s="64">
        <f t="shared" si="3"/>
        <v>300</v>
      </c>
      <c r="F122" s="65" t="s">
        <v>1464</v>
      </c>
      <c r="G122" s="63"/>
      <c r="H122" s="66"/>
      <c r="I122" s="66"/>
      <c r="J122" s="66"/>
      <c r="K122" s="66"/>
    </row>
    <row r="123" spans="2:11" ht="12.75" customHeight="1">
      <c r="B123" s="63"/>
      <c r="C123" s="59" t="s">
        <v>1970</v>
      </c>
      <c r="D123" s="57">
        <v>30</v>
      </c>
      <c r="E123" s="64">
        <f t="shared" si="3"/>
        <v>310</v>
      </c>
      <c r="F123" s="65" t="s">
        <v>1465</v>
      </c>
      <c r="G123" s="63"/>
      <c r="H123" s="66"/>
      <c r="I123" s="66"/>
      <c r="J123" s="66"/>
      <c r="K123" s="66"/>
    </row>
    <row r="124" spans="2:11" ht="12.75" customHeight="1">
      <c r="B124" s="63"/>
      <c r="C124" s="59" t="s">
        <v>1970</v>
      </c>
      <c r="D124" s="57">
        <v>30</v>
      </c>
      <c r="E124" s="64">
        <f t="shared" si="3"/>
        <v>320</v>
      </c>
      <c r="F124" s="65" t="s">
        <v>1466</v>
      </c>
      <c r="G124" s="63"/>
      <c r="H124" s="66"/>
      <c r="I124" s="66"/>
      <c r="J124" s="66"/>
      <c r="K124" s="66"/>
    </row>
    <row r="125" spans="2:11" ht="12.75" customHeight="1">
      <c r="B125" s="63"/>
      <c r="C125" s="59" t="s">
        <v>1970</v>
      </c>
      <c r="D125" s="57">
        <v>30</v>
      </c>
      <c r="E125" s="64">
        <f t="shared" si="3"/>
        <v>330</v>
      </c>
      <c r="F125" s="65" t="s">
        <v>1467</v>
      </c>
      <c r="G125" s="63"/>
      <c r="H125" s="66"/>
      <c r="I125" s="66"/>
      <c r="J125" s="66"/>
      <c r="K125" s="66"/>
    </row>
    <row r="126" spans="2:11" ht="12.75" customHeight="1">
      <c r="B126" s="63"/>
      <c r="C126" s="59"/>
      <c r="D126" s="57"/>
      <c r="E126" s="64"/>
      <c r="F126" s="65"/>
      <c r="G126" s="63"/>
      <c r="H126" s="66"/>
      <c r="I126" s="66"/>
      <c r="J126" s="66"/>
      <c r="K126" s="66"/>
    </row>
    <row r="127" spans="2:11" ht="12.75" customHeight="1">
      <c r="B127" s="63"/>
      <c r="C127" s="68" t="s">
        <v>1970</v>
      </c>
      <c r="D127" s="69">
        <v>40</v>
      </c>
      <c r="E127" s="3342"/>
      <c r="F127" s="3342"/>
      <c r="G127" s="63"/>
      <c r="H127" s="66"/>
      <c r="I127" s="66"/>
      <c r="J127" s="66"/>
      <c r="K127" s="66"/>
    </row>
    <row r="128" spans="2:11" ht="6" customHeight="1">
      <c r="B128" s="63"/>
      <c r="C128" s="59"/>
      <c r="D128" s="57"/>
      <c r="E128" s="64"/>
      <c r="F128" s="65"/>
      <c r="G128" s="63"/>
      <c r="H128" s="66"/>
      <c r="I128" s="66"/>
      <c r="J128" s="66"/>
      <c r="K128" s="66"/>
    </row>
    <row r="129" spans="2:11" ht="12.75" customHeight="1">
      <c r="B129" s="63"/>
      <c r="C129" s="59"/>
      <c r="D129" s="57"/>
      <c r="E129" s="64"/>
      <c r="F129" s="65"/>
      <c r="G129" s="63"/>
      <c r="H129" s="66"/>
      <c r="I129" s="66"/>
      <c r="J129" s="66"/>
      <c r="K129" s="66"/>
    </row>
    <row r="130" spans="2:11" ht="12.75" customHeight="1">
      <c r="B130" s="63"/>
      <c r="C130" s="68" t="s">
        <v>1970</v>
      </c>
      <c r="D130" s="70">
        <v>50</v>
      </c>
      <c r="E130" s="3342"/>
      <c r="F130" s="3342"/>
      <c r="G130" s="63"/>
      <c r="H130" s="66"/>
      <c r="I130" s="66"/>
      <c r="J130" s="66"/>
      <c r="K130" s="66"/>
    </row>
    <row r="131" spans="2:11" ht="6" customHeight="1">
      <c r="B131" s="63"/>
      <c r="C131" s="59"/>
      <c r="D131" s="64"/>
      <c r="E131" s="64"/>
      <c r="F131" s="65"/>
      <c r="G131" s="63"/>
      <c r="H131" s="66"/>
      <c r="I131" s="66"/>
      <c r="J131" s="66"/>
      <c r="K131" s="66"/>
    </row>
    <row r="132" spans="2:11" ht="12.75" customHeight="1">
      <c r="B132" s="63"/>
      <c r="C132" s="59"/>
      <c r="D132" s="64"/>
      <c r="E132" s="64"/>
      <c r="F132" s="65"/>
      <c r="G132" s="63"/>
      <c r="H132" s="66"/>
      <c r="I132" s="66"/>
      <c r="J132" s="66"/>
      <c r="K132" s="66"/>
    </row>
    <row r="133" spans="2:11" ht="12.75" customHeight="1">
      <c r="B133" s="57"/>
      <c r="C133" s="60" t="s">
        <v>1970</v>
      </c>
      <c r="D133" s="61">
        <v>60</v>
      </c>
      <c r="E133" s="3342" t="s">
        <v>1468</v>
      </c>
      <c r="F133" s="3342"/>
      <c r="G133" s="56"/>
    </row>
    <row r="134" spans="2:11" ht="6" customHeight="1">
      <c r="B134" s="57"/>
      <c r="C134" s="59"/>
      <c r="D134" s="57"/>
      <c r="E134" s="56"/>
      <c r="F134" s="56"/>
      <c r="G134" s="56"/>
    </row>
    <row r="135" spans="2:11" ht="12.75" customHeight="1">
      <c r="B135" s="63"/>
      <c r="C135" s="59" t="s">
        <v>1970</v>
      </c>
      <c r="D135" s="57">
        <v>60</v>
      </c>
      <c r="E135" s="64">
        <v>100</v>
      </c>
      <c r="F135" s="65" t="s">
        <v>485</v>
      </c>
      <c r="G135" s="63"/>
      <c r="H135" s="66"/>
      <c r="I135" s="66"/>
      <c r="J135" s="66"/>
      <c r="K135" s="66"/>
    </row>
    <row r="136" spans="2:11" ht="12.75" customHeight="1">
      <c r="B136" s="63"/>
      <c r="C136" s="59" t="s">
        <v>1970</v>
      </c>
      <c r="D136" s="57">
        <v>60</v>
      </c>
      <c r="E136" s="64">
        <f>E135+10</f>
        <v>110</v>
      </c>
      <c r="F136" s="65" t="s">
        <v>381</v>
      </c>
      <c r="G136" s="63"/>
      <c r="H136" s="66"/>
      <c r="I136" s="66"/>
      <c r="J136" s="66"/>
      <c r="K136" s="66"/>
    </row>
    <row r="137" spans="2:11" ht="12.75" customHeight="1">
      <c r="B137" s="63"/>
      <c r="C137" s="59" t="s">
        <v>1970</v>
      </c>
      <c r="D137" s="57">
        <v>60</v>
      </c>
      <c r="E137" s="64">
        <f>E136+10</f>
        <v>120</v>
      </c>
      <c r="F137" s="65" t="s">
        <v>382</v>
      </c>
      <c r="G137" s="63"/>
      <c r="H137" s="66"/>
      <c r="I137" s="66"/>
      <c r="J137" s="66"/>
      <c r="K137" s="66"/>
    </row>
    <row r="138" spans="2:11" ht="12.75" customHeight="1">
      <c r="B138" s="63"/>
      <c r="C138" s="59" t="s">
        <v>1970</v>
      </c>
      <c r="D138" s="57">
        <v>60</v>
      </c>
      <c r="E138" s="64">
        <f>E137+10</f>
        <v>130</v>
      </c>
      <c r="F138" s="65" t="s">
        <v>2033</v>
      </c>
      <c r="G138" s="63"/>
      <c r="H138" s="66"/>
      <c r="I138" s="66"/>
      <c r="J138" s="66"/>
      <c r="K138" s="66"/>
    </row>
    <row r="139" spans="2:11" ht="12.75" customHeight="1">
      <c r="B139" s="63"/>
      <c r="C139" s="59" t="s">
        <v>1970</v>
      </c>
      <c r="D139" s="57">
        <v>60</v>
      </c>
      <c r="E139" s="64">
        <v>140</v>
      </c>
      <c r="F139" s="65" t="s">
        <v>2034</v>
      </c>
      <c r="G139" s="63"/>
      <c r="H139" s="66"/>
      <c r="I139" s="66"/>
      <c r="J139" s="66"/>
      <c r="K139" s="66"/>
    </row>
    <row r="140" spans="2:11" ht="12.75" customHeight="1">
      <c r="B140" s="63"/>
      <c r="C140" s="59"/>
      <c r="D140" s="63"/>
      <c r="E140" s="64"/>
      <c r="F140" s="65"/>
      <c r="G140" s="63"/>
      <c r="H140" s="66"/>
      <c r="I140" s="66"/>
      <c r="J140" s="66"/>
      <c r="K140" s="66"/>
    </row>
    <row r="141" spans="2:11" ht="12.75" customHeight="1">
      <c r="B141" s="57"/>
      <c r="C141" s="60" t="s">
        <v>1970</v>
      </c>
      <c r="D141" s="61">
        <v>70</v>
      </c>
      <c r="E141" s="3342" t="s">
        <v>2035</v>
      </c>
      <c r="F141" s="3342"/>
      <c r="G141" s="56"/>
    </row>
    <row r="142" spans="2:11" ht="6" customHeight="1">
      <c r="B142" s="57"/>
      <c r="C142" s="59"/>
      <c r="D142" s="57"/>
      <c r="E142" s="56"/>
      <c r="F142" s="56"/>
      <c r="G142" s="56"/>
    </row>
    <row r="143" spans="2:11" ht="12.75" customHeight="1">
      <c r="B143" s="63"/>
      <c r="C143" s="59" t="s">
        <v>1970</v>
      </c>
      <c r="D143" s="57">
        <v>70</v>
      </c>
      <c r="E143" s="64">
        <v>100</v>
      </c>
      <c r="F143" s="65" t="s">
        <v>2036</v>
      </c>
      <c r="G143" s="63"/>
      <c r="H143" s="66"/>
      <c r="I143" s="66"/>
      <c r="J143" s="66"/>
      <c r="K143" s="66"/>
    </row>
    <row r="144" spans="2:11" ht="12.75" customHeight="1">
      <c r="B144" s="63"/>
      <c r="C144" s="59" t="s">
        <v>1970</v>
      </c>
      <c r="D144" s="57">
        <v>70</v>
      </c>
      <c r="E144" s="64">
        <v>200</v>
      </c>
      <c r="F144" s="65" t="s">
        <v>2037</v>
      </c>
      <c r="G144" s="63"/>
      <c r="H144" s="66"/>
      <c r="I144" s="66"/>
      <c r="J144" s="66"/>
      <c r="K144" s="66"/>
    </row>
    <row r="145" spans="2:11" ht="12.75" customHeight="1">
      <c r="B145" s="63"/>
      <c r="C145" s="59" t="s">
        <v>1970</v>
      </c>
      <c r="D145" s="57">
        <v>70</v>
      </c>
      <c r="E145" s="64">
        <v>300</v>
      </c>
      <c r="F145" s="65" t="s">
        <v>2038</v>
      </c>
      <c r="G145" s="63"/>
      <c r="H145" s="66"/>
      <c r="I145" s="66"/>
      <c r="J145" s="66"/>
      <c r="K145" s="66"/>
    </row>
    <row r="146" spans="2:11" ht="12.75" customHeight="1">
      <c r="B146" s="63"/>
      <c r="C146" s="59" t="s">
        <v>1970</v>
      </c>
      <c r="D146" s="57">
        <v>70</v>
      </c>
      <c r="E146" s="64">
        <f>E53+5</f>
        <v>250</v>
      </c>
      <c r="F146" s="65" t="s">
        <v>2039</v>
      </c>
      <c r="G146" s="63"/>
      <c r="H146" s="66"/>
      <c r="I146" s="66"/>
      <c r="J146" s="66"/>
      <c r="K146" s="66"/>
    </row>
    <row r="147" spans="2:11" ht="12.75" customHeight="1">
      <c r="B147" s="63"/>
      <c r="C147" s="59"/>
      <c r="D147" s="57"/>
      <c r="E147" s="64"/>
      <c r="F147" s="65"/>
      <c r="G147" s="63"/>
      <c r="H147" s="66"/>
      <c r="I147" s="66"/>
      <c r="J147" s="66"/>
      <c r="K147" s="66"/>
    </row>
    <row r="148" spans="2:11" ht="12.75" customHeight="1">
      <c r="B148" s="57"/>
      <c r="C148" s="60" t="s">
        <v>1970</v>
      </c>
      <c r="D148" s="61">
        <v>80</v>
      </c>
      <c r="E148" s="3342" t="s">
        <v>2040</v>
      </c>
      <c r="F148" s="3342"/>
      <c r="G148" s="56"/>
    </row>
    <row r="149" spans="2:11" ht="6" customHeight="1">
      <c r="B149" s="57"/>
      <c r="C149" s="59"/>
      <c r="D149" s="57"/>
      <c r="E149" s="56"/>
      <c r="F149" s="56"/>
      <c r="G149" s="56"/>
    </row>
    <row r="150" spans="2:11" ht="12.75" customHeight="1">
      <c r="B150" s="57"/>
      <c r="C150" s="59" t="s">
        <v>1970</v>
      </c>
      <c r="D150" s="57">
        <v>80</v>
      </c>
      <c r="E150" s="57">
        <v>100</v>
      </c>
      <c r="F150" s="71" t="s">
        <v>2041</v>
      </c>
      <c r="G150" s="56"/>
    </row>
    <row r="151" spans="2:11" ht="12.75" customHeight="1">
      <c r="B151" s="57"/>
      <c r="C151" s="59" t="s">
        <v>1970</v>
      </c>
      <c r="D151" s="57">
        <v>80</v>
      </c>
      <c r="E151" s="57">
        <v>200</v>
      </c>
      <c r="F151" s="56"/>
      <c r="G151" s="56"/>
    </row>
    <row r="152" spans="2:11" ht="12.75" customHeight="1">
      <c r="B152" s="57"/>
      <c r="C152" s="59" t="s">
        <v>1970</v>
      </c>
      <c r="D152" s="57">
        <v>80</v>
      </c>
      <c r="E152" s="57">
        <v>300</v>
      </c>
      <c r="F152" s="56"/>
      <c r="G152" s="56"/>
    </row>
    <row r="153" spans="2:11" ht="12.75" customHeight="1">
      <c r="B153" s="57"/>
      <c r="C153" s="59" t="s">
        <v>1970</v>
      </c>
      <c r="D153" s="57">
        <v>80</v>
      </c>
      <c r="E153" s="57">
        <v>400</v>
      </c>
      <c r="F153" s="56"/>
      <c r="G153" s="56"/>
    </row>
    <row r="154" spans="2:11" ht="12.75" customHeight="1">
      <c r="B154" s="57"/>
      <c r="C154" s="59"/>
      <c r="D154" s="57"/>
      <c r="E154" s="57"/>
      <c r="F154" s="56"/>
      <c r="G154" s="56"/>
    </row>
    <row r="155" spans="2:11" s="74" customFormat="1" ht="15.6">
      <c r="B155" s="72"/>
      <c r="C155" s="73" t="s">
        <v>2042</v>
      </c>
      <c r="D155" s="3353" t="s">
        <v>2043</v>
      </c>
      <c r="E155" s="3354"/>
      <c r="F155" s="3354"/>
      <c r="G155" s="72"/>
      <c r="H155" s="72"/>
      <c r="I155" s="72"/>
      <c r="J155" s="72"/>
      <c r="K155" s="72"/>
    </row>
    <row r="156" spans="2:11" ht="6" customHeight="1">
      <c r="B156" s="63"/>
      <c r="C156" s="75"/>
      <c r="D156" s="63"/>
      <c r="E156" s="56"/>
      <c r="F156" s="63"/>
      <c r="G156" s="63"/>
      <c r="H156" s="66"/>
      <c r="I156" s="66"/>
      <c r="J156" s="66"/>
      <c r="K156" s="66"/>
    </row>
    <row r="157" spans="2:11" ht="12.75" customHeight="1">
      <c r="B157" s="63"/>
      <c r="C157" s="76" t="s">
        <v>2042</v>
      </c>
      <c r="D157" s="70">
        <v>10</v>
      </c>
      <c r="E157" s="3342" t="s">
        <v>1515</v>
      </c>
      <c r="F157" s="3342"/>
      <c r="G157" s="63"/>
      <c r="H157" s="66"/>
      <c r="I157" s="66"/>
      <c r="J157" s="66"/>
      <c r="K157" s="66"/>
    </row>
    <row r="158" spans="2:11" ht="6" customHeight="1">
      <c r="B158" s="63"/>
      <c r="C158" s="76"/>
      <c r="D158" s="70"/>
      <c r="E158" s="62"/>
      <c r="F158" s="62"/>
      <c r="G158" s="63"/>
      <c r="H158" s="66"/>
      <c r="I158" s="66"/>
      <c r="J158" s="66"/>
      <c r="K158" s="66"/>
    </row>
    <row r="159" spans="2:11" ht="12.75" customHeight="1">
      <c r="B159" s="63"/>
      <c r="C159" s="75" t="s">
        <v>2042</v>
      </c>
      <c r="D159" s="64">
        <v>10</v>
      </c>
      <c r="E159" s="77">
        <v>100</v>
      </c>
      <c r="F159" s="78" t="s">
        <v>1462</v>
      </c>
      <c r="G159" s="78"/>
      <c r="H159" s="66"/>
      <c r="I159" s="66"/>
      <c r="J159" s="66"/>
      <c r="K159" s="66"/>
    </row>
    <row r="160" spans="2:11" ht="12.75" customHeight="1">
      <c r="B160" s="63"/>
      <c r="C160" s="75"/>
      <c r="D160" s="64"/>
      <c r="E160" s="77"/>
      <c r="F160" s="78"/>
      <c r="G160" s="78"/>
      <c r="H160" s="66"/>
      <c r="I160" s="66"/>
      <c r="J160" s="66"/>
      <c r="K160" s="66"/>
    </row>
    <row r="161" spans="2:11" ht="12.75" customHeight="1">
      <c r="B161" s="63"/>
      <c r="C161" s="76" t="s">
        <v>2042</v>
      </c>
      <c r="D161" s="70">
        <v>20</v>
      </c>
      <c r="E161" s="3342" t="s">
        <v>1065</v>
      </c>
      <c r="F161" s="3342"/>
      <c r="G161" s="63"/>
      <c r="H161" s="66"/>
      <c r="I161" s="66"/>
      <c r="J161" s="66"/>
      <c r="K161" s="66"/>
    </row>
    <row r="162" spans="2:11" ht="6" customHeight="1">
      <c r="B162" s="63"/>
      <c r="C162" s="75"/>
      <c r="D162" s="64"/>
      <c r="E162" s="78"/>
      <c r="F162" s="78"/>
      <c r="G162" s="63"/>
      <c r="H162" s="66"/>
      <c r="I162" s="66"/>
      <c r="J162" s="66"/>
      <c r="K162" s="66"/>
    </row>
    <row r="163" spans="2:11" ht="12.75" customHeight="1">
      <c r="B163" s="63"/>
      <c r="C163" s="75" t="s">
        <v>2042</v>
      </c>
      <c r="D163" s="64">
        <f>+D161</f>
        <v>20</v>
      </c>
      <c r="E163" s="77">
        <v>100</v>
      </c>
      <c r="F163" s="78" t="s">
        <v>1065</v>
      </c>
      <c r="G163" s="78"/>
      <c r="H163" s="66"/>
      <c r="I163" s="66"/>
      <c r="J163" s="66"/>
      <c r="K163" s="66"/>
    </row>
    <row r="164" spans="2:11" ht="12.75" customHeight="1">
      <c r="B164" s="63"/>
      <c r="C164" s="75"/>
      <c r="D164" s="64"/>
      <c r="E164" s="77"/>
      <c r="F164" s="78"/>
      <c r="G164" s="78"/>
      <c r="H164" s="66"/>
      <c r="I164" s="66"/>
      <c r="J164" s="66"/>
      <c r="K164" s="66"/>
    </row>
    <row r="165" spans="2:11" ht="15.6">
      <c r="B165" s="63"/>
      <c r="C165" s="79" t="s">
        <v>1066</v>
      </c>
      <c r="D165" s="3344" t="s">
        <v>1067</v>
      </c>
      <c r="E165" s="3346"/>
      <c r="F165" s="3346"/>
      <c r="G165" s="63"/>
      <c r="H165" s="66"/>
      <c r="I165" s="66"/>
      <c r="J165" s="66"/>
      <c r="K165" s="66"/>
    </row>
    <row r="166" spans="2:11" ht="6" customHeight="1">
      <c r="B166" s="63"/>
      <c r="C166" s="75"/>
      <c r="D166" s="80"/>
      <c r="E166" s="56"/>
      <c r="F166" s="63"/>
      <c r="G166" s="63"/>
      <c r="H166" s="66"/>
      <c r="I166" s="66"/>
      <c r="J166" s="66"/>
      <c r="K166" s="66"/>
    </row>
    <row r="167" spans="2:11" ht="12.75" customHeight="1">
      <c r="B167" s="63"/>
      <c r="C167" s="76" t="s">
        <v>1066</v>
      </c>
      <c r="D167" s="70">
        <v>10</v>
      </c>
      <c r="E167" s="3342" t="s">
        <v>1873</v>
      </c>
      <c r="F167" s="3342"/>
      <c r="G167" s="63"/>
      <c r="H167" s="66"/>
      <c r="I167" s="66"/>
      <c r="J167" s="66"/>
      <c r="K167" s="66"/>
    </row>
    <row r="168" spans="2:11" ht="6" customHeight="1">
      <c r="B168" s="63"/>
      <c r="C168" s="76"/>
      <c r="D168" s="70"/>
      <c r="E168" s="62"/>
      <c r="F168" s="62"/>
      <c r="G168" s="63"/>
      <c r="H168" s="66"/>
      <c r="I168" s="66"/>
      <c r="J168" s="66"/>
      <c r="K168" s="66"/>
    </row>
    <row r="169" spans="2:11" ht="12.75" customHeight="1">
      <c r="B169" s="63"/>
      <c r="C169" s="75" t="s">
        <v>1066</v>
      </c>
      <c r="D169" s="64">
        <v>10</v>
      </c>
      <c r="E169" s="77">
        <v>100</v>
      </c>
      <c r="F169" s="78" t="s">
        <v>1873</v>
      </c>
      <c r="G169" s="78"/>
      <c r="H169" s="66"/>
      <c r="I169" s="66"/>
      <c r="J169" s="66"/>
      <c r="K169" s="66"/>
    </row>
    <row r="170" spans="2:11" ht="12.75" customHeight="1">
      <c r="B170" s="63"/>
      <c r="C170" s="75"/>
      <c r="D170" s="64"/>
      <c r="E170" s="77"/>
      <c r="F170" s="78"/>
      <c r="G170" s="78"/>
      <c r="H170" s="66"/>
      <c r="I170" s="66"/>
      <c r="J170" s="66"/>
      <c r="K170" s="66"/>
    </row>
    <row r="171" spans="2:11" ht="13.5" customHeight="1">
      <c r="B171" s="63"/>
      <c r="C171" s="76" t="s">
        <v>1066</v>
      </c>
      <c r="D171" s="70">
        <f>D167+10</f>
        <v>20</v>
      </c>
      <c r="E171" s="3342" t="s">
        <v>1874</v>
      </c>
      <c r="F171" s="3342"/>
      <c r="G171" s="63"/>
      <c r="H171" s="66"/>
      <c r="I171" s="66"/>
      <c r="J171" s="66"/>
      <c r="K171" s="66"/>
    </row>
    <row r="172" spans="2:11" ht="6" customHeight="1">
      <c r="B172" s="63"/>
      <c r="C172" s="75"/>
      <c r="D172" s="64"/>
      <c r="E172" s="78"/>
      <c r="F172" s="78"/>
      <c r="G172" s="63"/>
      <c r="H172" s="66"/>
      <c r="I172" s="66"/>
      <c r="J172" s="66"/>
      <c r="K172" s="66"/>
    </row>
    <row r="173" spans="2:11" ht="12.75" customHeight="1">
      <c r="B173" s="63"/>
      <c r="C173" s="75" t="s">
        <v>1066</v>
      </c>
      <c r="D173" s="64">
        <v>20</v>
      </c>
      <c r="E173" s="77">
        <v>100</v>
      </c>
      <c r="F173" s="78" t="s">
        <v>1874</v>
      </c>
      <c r="G173" s="78"/>
      <c r="H173" s="66"/>
      <c r="I173" s="66"/>
      <c r="J173" s="66"/>
      <c r="K173" s="66"/>
    </row>
    <row r="174" spans="2:11" ht="12.75" customHeight="1">
      <c r="B174" s="63"/>
      <c r="C174" s="75" t="s">
        <v>1066</v>
      </c>
      <c r="D174" s="64">
        <v>20</v>
      </c>
      <c r="E174" s="64">
        <v>200</v>
      </c>
      <c r="F174" s="65" t="s">
        <v>1875</v>
      </c>
      <c r="G174" s="63"/>
      <c r="H174" s="66"/>
      <c r="I174" s="66"/>
      <c r="J174" s="66"/>
      <c r="K174" s="66"/>
    </row>
    <row r="175" spans="2:11" ht="12.75" customHeight="1">
      <c r="B175" s="63"/>
      <c r="C175" s="75" t="s">
        <v>1066</v>
      </c>
      <c r="D175" s="64">
        <v>20</v>
      </c>
      <c r="E175" s="64">
        <f>E174+5</f>
        <v>205</v>
      </c>
      <c r="F175" s="65" t="s">
        <v>1876</v>
      </c>
      <c r="G175" s="63"/>
      <c r="H175" s="66"/>
      <c r="I175" s="66"/>
      <c r="J175" s="66"/>
      <c r="K175" s="66"/>
    </row>
    <row r="176" spans="2:11" ht="12.75" customHeight="1">
      <c r="B176" s="63"/>
      <c r="C176" s="75" t="s">
        <v>1066</v>
      </c>
      <c r="D176" s="64">
        <v>20</v>
      </c>
      <c r="E176" s="64">
        <f>E175+5</f>
        <v>210</v>
      </c>
      <c r="F176" s="65" t="s">
        <v>1877</v>
      </c>
      <c r="G176" s="63"/>
      <c r="H176" s="66"/>
      <c r="I176" s="66"/>
      <c r="J176" s="66"/>
      <c r="K176" s="66"/>
    </row>
    <row r="177" spans="2:11" ht="12.75" customHeight="1">
      <c r="B177" s="63"/>
      <c r="C177" s="75"/>
      <c r="D177" s="64"/>
      <c r="E177" s="64"/>
      <c r="F177" s="65"/>
      <c r="G177" s="63"/>
      <c r="H177" s="66"/>
      <c r="I177" s="66"/>
      <c r="J177" s="66"/>
      <c r="K177" s="66"/>
    </row>
    <row r="178" spans="2:11" ht="12.75" customHeight="1">
      <c r="B178" s="63"/>
      <c r="C178" s="76" t="s">
        <v>1066</v>
      </c>
      <c r="D178" s="70">
        <f>D171+10</f>
        <v>30</v>
      </c>
      <c r="E178" s="3342" t="s">
        <v>1878</v>
      </c>
      <c r="F178" s="3342"/>
      <c r="G178" s="63"/>
      <c r="H178" s="66"/>
      <c r="I178" s="66"/>
      <c r="J178" s="66"/>
      <c r="K178" s="66"/>
    </row>
    <row r="179" spans="2:11" ht="6" customHeight="1">
      <c r="B179" s="63"/>
      <c r="C179" s="75"/>
      <c r="D179" s="64"/>
      <c r="E179" s="65"/>
      <c r="F179" s="56"/>
      <c r="G179" s="63"/>
      <c r="H179" s="66"/>
      <c r="I179" s="66"/>
      <c r="J179" s="66"/>
      <c r="K179" s="66"/>
    </row>
    <row r="180" spans="2:11" ht="12.75" customHeight="1">
      <c r="B180" s="63"/>
      <c r="C180" s="75" t="s">
        <v>1066</v>
      </c>
      <c r="D180" s="64">
        <v>30</v>
      </c>
      <c r="E180" s="77">
        <v>100</v>
      </c>
      <c r="F180" s="65" t="s">
        <v>1878</v>
      </c>
      <c r="G180" s="63"/>
      <c r="H180" s="66"/>
      <c r="I180" s="66"/>
      <c r="J180" s="66"/>
      <c r="K180" s="66"/>
    </row>
    <row r="181" spans="2:11" ht="12.75" customHeight="1">
      <c r="B181" s="63"/>
      <c r="C181" s="75"/>
      <c r="D181" s="64"/>
      <c r="E181" s="77"/>
      <c r="F181" s="65"/>
      <c r="G181" s="63"/>
      <c r="H181" s="66"/>
      <c r="I181" s="66"/>
      <c r="J181" s="66"/>
      <c r="K181" s="66"/>
    </row>
    <row r="182" spans="2:11" ht="12.75" customHeight="1">
      <c r="B182" s="63"/>
      <c r="C182" s="76" t="s">
        <v>1066</v>
      </c>
      <c r="D182" s="70">
        <f>D178+10</f>
        <v>40</v>
      </c>
      <c r="E182" s="3342" t="s">
        <v>1879</v>
      </c>
      <c r="F182" s="3342"/>
      <c r="G182" s="63"/>
      <c r="H182" s="66"/>
      <c r="I182" s="66"/>
      <c r="J182" s="66"/>
      <c r="K182" s="66"/>
    </row>
    <row r="183" spans="2:11" ht="6" customHeight="1">
      <c r="B183" s="63"/>
      <c r="C183" s="75"/>
      <c r="D183" s="64"/>
      <c r="E183" s="65"/>
      <c r="F183" s="56"/>
      <c r="G183" s="63"/>
      <c r="H183" s="66"/>
      <c r="I183" s="66"/>
      <c r="J183" s="66"/>
      <c r="K183" s="66"/>
    </row>
    <row r="184" spans="2:11" ht="12.75" customHeight="1">
      <c r="B184" s="63"/>
      <c r="C184" s="75" t="s">
        <v>1066</v>
      </c>
      <c r="D184" s="64">
        <v>40</v>
      </c>
      <c r="E184" s="77">
        <v>100</v>
      </c>
      <c r="F184" s="65" t="s">
        <v>1879</v>
      </c>
      <c r="G184" s="63"/>
      <c r="H184" s="66"/>
      <c r="I184" s="66"/>
      <c r="J184" s="66"/>
      <c r="K184" s="66"/>
    </row>
    <row r="185" spans="2:11" ht="12.75" customHeight="1">
      <c r="B185" s="63"/>
      <c r="C185" s="75"/>
      <c r="D185" s="64"/>
      <c r="E185" s="77"/>
      <c r="F185" s="65"/>
      <c r="G185" s="63"/>
      <c r="H185" s="66"/>
      <c r="I185" s="66"/>
      <c r="J185" s="66"/>
      <c r="K185" s="66"/>
    </row>
    <row r="186" spans="2:11" ht="12.75" customHeight="1">
      <c r="B186" s="63"/>
      <c r="C186" s="76" t="s">
        <v>1066</v>
      </c>
      <c r="D186" s="70">
        <f>D182+10</f>
        <v>50</v>
      </c>
      <c r="E186" s="3342" t="s">
        <v>1058</v>
      </c>
      <c r="F186" s="3342"/>
      <c r="G186" s="63"/>
      <c r="H186" s="66"/>
      <c r="I186" s="66"/>
      <c r="J186" s="66"/>
      <c r="K186" s="66"/>
    </row>
    <row r="187" spans="2:11" ht="6" customHeight="1">
      <c r="B187" s="63"/>
      <c r="C187" s="75"/>
      <c r="D187" s="64"/>
      <c r="E187" s="78"/>
      <c r="F187" s="78"/>
      <c r="G187" s="63"/>
      <c r="H187" s="66"/>
      <c r="I187" s="66"/>
      <c r="J187" s="66"/>
      <c r="K187" s="66"/>
    </row>
    <row r="188" spans="2:11" ht="12.75" customHeight="1">
      <c r="B188" s="63"/>
      <c r="C188" s="75" t="s">
        <v>1066</v>
      </c>
      <c r="D188" s="64">
        <v>50</v>
      </c>
      <c r="E188" s="77">
        <v>100</v>
      </c>
      <c r="F188" s="78" t="s">
        <v>1880</v>
      </c>
      <c r="G188" s="78"/>
      <c r="H188" s="66"/>
      <c r="I188" s="66"/>
      <c r="J188" s="66"/>
      <c r="K188" s="66"/>
    </row>
    <row r="189" spans="2:11" ht="12.75" customHeight="1">
      <c r="B189" s="63"/>
      <c r="C189" s="75"/>
      <c r="D189" s="64"/>
      <c r="E189" s="77"/>
      <c r="F189" s="78"/>
      <c r="G189" s="78"/>
      <c r="H189" s="66"/>
      <c r="I189" s="66"/>
      <c r="J189" s="66"/>
      <c r="K189" s="66"/>
    </row>
    <row r="190" spans="2:11" ht="12.75" customHeight="1">
      <c r="B190" s="63"/>
      <c r="C190" s="76" t="s">
        <v>1066</v>
      </c>
      <c r="D190" s="70">
        <f>D186+10</f>
        <v>60</v>
      </c>
      <c r="E190" s="3342" t="s">
        <v>988</v>
      </c>
      <c r="F190" s="3342"/>
      <c r="G190" s="63"/>
      <c r="H190" s="66"/>
      <c r="I190" s="66"/>
      <c r="J190" s="66"/>
      <c r="K190" s="66"/>
    </row>
    <row r="191" spans="2:11" ht="6" customHeight="1">
      <c r="B191" s="63"/>
      <c r="C191" s="75"/>
      <c r="D191" s="64"/>
      <c r="E191" s="78"/>
      <c r="F191" s="78"/>
      <c r="G191" s="63"/>
      <c r="H191" s="66"/>
      <c r="I191" s="66"/>
      <c r="J191" s="66"/>
      <c r="K191" s="66"/>
    </row>
    <row r="192" spans="2:11" ht="12.75" customHeight="1">
      <c r="B192" s="63"/>
      <c r="C192" s="75" t="s">
        <v>1066</v>
      </c>
      <c r="D192" s="64">
        <v>60</v>
      </c>
      <c r="E192" s="77">
        <v>100</v>
      </c>
      <c r="F192" s="78" t="s">
        <v>988</v>
      </c>
      <c r="G192" s="78"/>
      <c r="H192" s="66"/>
      <c r="I192" s="66"/>
      <c r="J192" s="66"/>
      <c r="K192" s="66"/>
    </row>
    <row r="193" spans="2:11" ht="12.75" customHeight="1">
      <c r="B193" s="63"/>
      <c r="C193" s="75"/>
      <c r="D193" s="64"/>
      <c r="E193" s="77"/>
      <c r="F193" s="78"/>
      <c r="G193" s="78"/>
      <c r="H193" s="66"/>
      <c r="I193" s="66"/>
      <c r="J193" s="66"/>
      <c r="K193" s="66"/>
    </row>
    <row r="194" spans="2:11" ht="12.75" customHeight="1">
      <c r="B194" s="63"/>
      <c r="C194" s="76" t="s">
        <v>1066</v>
      </c>
      <c r="D194" s="70">
        <f>D190+10</f>
        <v>70</v>
      </c>
      <c r="E194" s="3343" t="s">
        <v>1881</v>
      </c>
      <c r="F194" s="3343"/>
      <c r="G194" s="63"/>
      <c r="H194" s="66"/>
      <c r="I194" s="66"/>
      <c r="J194" s="66"/>
      <c r="K194" s="66"/>
    </row>
    <row r="195" spans="2:11" ht="6" customHeight="1">
      <c r="B195" s="63"/>
      <c r="C195" s="75"/>
      <c r="D195" s="64"/>
      <c r="E195" s="78"/>
      <c r="F195" s="78"/>
      <c r="G195" s="63"/>
      <c r="H195" s="66"/>
      <c r="I195" s="66"/>
      <c r="J195" s="66"/>
      <c r="K195" s="66"/>
    </row>
    <row r="196" spans="2:11" ht="12.75" customHeight="1">
      <c r="B196" s="63"/>
      <c r="C196" s="75" t="s">
        <v>1066</v>
      </c>
      <c r="D196" s="64">
        <v>70</v>
      </c>
      <c r="E196" s="77">
        <v>100</v>
      </c>
      <c r="F196" s="78" t="s">
        <v>1881</v>
      </c>
      <c r="G196" s="78"/>
      <c r="H196" s="66"/>
      <c r="I196" s="66"/>
      <c r="J196" s="66"/>
      <c r="K196" s="66"/>
    </row>
    <row r="197" spans="2:11" ht="12.75" customHeight="1">
      <c r="B197" s="63"/>
      <c r="C197" s="75"/>
      <c r="D197" s="64"/>
      <c r="E197" s="77"/>
      <c r="F197" s="78"/>
      <c r="G197" s="78"/>
      <c r="H197" s="66"/>
      <c r="I197" s="66"/>
      <c r="J197" s="66"/>
      <c r="K197" s="66"/>
    </row>
    <row r="198" spans="2:11" ht="15.6">
      <c r="B198" s="63"/>
      <c r="C198" s="79" t="s">
        <v>784</v>
      </c>
      <c r="D198" s="3344" t="s">
        <v>785</v>
      </c>
      <c r="E198" s="3345"/>
      <c r="F198" s="3345"/>
      <c r="G198" s="63"/>
      <c r="H198" s="66"/>
      <c r="I198" s="66"/>
      <c r="J198" s="66"/>
      <c r="K198" s="66"/>
    </row>
    <row r="199" spans="2:11" ht="6" customHeight="1">
      <c r="B199" s="63"/>
      <c r="C199" s="75"/>
      <c r="D199" s="80"/>
      <c r="E199" s="56"/>
      <c r="F199" s="65"/>
      <c r="G199" s="63"/>
      <c r="H199" s="66"/>
      <c r="I199" s="66"/>
      <c r="J199" s="66"/>
      <c r="K199" s="66"/>
    </row>
    <row r="200" spans="2:11" ht="12.75" customHeight="1">
      <c r="B200" s="63"/>
      <c r="C200" s="76" t="s">
        <v>784</v>
      </c>
      <c r="D200" s="70">
        <v>10</v>
      </c>
      <c r="E200" s="3343" t="s">
        <v>786</v>
      </c>
      <c r="F200" s="3343"/>
      <c r="G200" s="63"/>
      <c r="H200" s="66"/>
      <c r="I200" s="66"/>
      <c r="J200" s="66"/>
      <c r="K200" s="66"/>
    </row>
    <row r="201" spans="2:11" ht="6" customHeight="1">
      <c r="B201" s="63"/>
      <c r="C201" s="75"/>
      <c r="D201" s="64"/>
      <c r="E201" s="78"/>
      <c r="F201" s="78"/>
      <c r="G201" s="63"/>
      <c r="H201" s="66"/>
      <c r="I201" s="66"/>
      <c r="J201" s="66"/>
      <c r="K201" s="66"/>
    </row>
    <row r="202" spans="2:11" ht="12.75" customHeight="1">
      <c r="B202" s="63"/>
      <c r="C202" s="75" t="s">
        <v>784</v>
      </c>
      <c r="D202" s="64">
        <v>10</v>
      </c>
      <c r="E202" s="57">
        <v>100</v>
      </c>
      <c r="F202" s="65" t="s">
        <v>787</v>
      </c>
      <c r="G202" s="63"/>
      <c r="H202" s="66"/>
      <c r="I202" s="66"/>
      <c r="J202" s="66"/>
      <c r="K202" s="66"/>
    </row>
    <row r="203" spans="2:11" ht="12.75" customHeight="1">
      <c r="B203" s="63"/>
      <c r="C203" s="75" t="s">
        <v>784</v>
      </c>
      <c r="D203" s="64">
        <v>10</v>
      </c>
      <c r="E203" s="57">
        <v>200</v>
      </c>
      <c r="F203" s="65" t="s">
        <v>788</v>
      </c>
      <c r="G203" s="63"/>
      <c r="H203" s="66"/>
      <c r="I203" s="66"/>
      <c r="J203" s="66"/>
      <c r="K203" s="66"/>
    </row>
    <row r="204" spans="2:11" ht="12.75" customHeight="1">
      <c r="B204" s="63"/>
      <c r="C204" s="75" t="s">
        <v>784</v>
      </c>
      <c r="D204" s="64">
        <v>10</v>
      </c>
      <c r="E204" s="57">
        <v>300</v>
      </c>
      <c r="F204" s="65" t="s">
        <v>2068</v>
      </c>
      <c r="G204" s="63"/>
      <c r="H204" s="66"/>
      <c r="I204" s="66"/>
      <c r="J204" s="66"/>
      <c r="K204" s="66"/>
    </row>
    <row r="205" spans="2:11" ht="12.75" customHeight="1">
      <c r="B205" s="63"/>
      <c r="C205" s="75" t="s">
        <v>784</v>
      </c>
      <c r="D205" s="64">
        <v>10</v>
      </c>
      <c r="E205" s="57">
        <v>400</v>
      </c>
      <c r="F205" s="65" t="s">
        <v>789</v>
      </c>
      <c r="G205" s="63"/>
      <c r="H205" s="66"/>
      <c r="I205" s="66"/>
      <c r="J205" s="66"/>
      <c r="K205" s="66"/>
    </row>
    <row r="206" spans="2:11" ht="12.75" customHeight="1">
      <c r="B206" s="63"/>
      <c r="C206" s="75" t="s">
        <v>784</v>
      </c>
      <c r="D206" s="64">
        <v>10</v>
      </c>
      <c r="E206" s="57">
        <v>500</v>
      </c>
      <c r="F206" s="65" t="s">
        <v>790</v>
      </c>
      <c r="G206" s="63"/>
      <c r="H206" s="66"/>
      <c r="I206" s="66"/>
      <c r="J206" s="66"/>
      <c r="K206" s="66"/>
    </row>
    <row r="207" spans="2:11" ht="12.75" customHeight="1">
      <c r="B207" s="63"/>
      <c r="C207" s="75"/>
      <c r="D207" s="64"/>
      <c r="E207" s="57"/>
      <c r="F207" s="65"/>
      <c r="G207" s="63"/>
      <c r="H207" s="66"/>
      <c r="I207" s="66"/>
      <c r="J207" s="66"/>
      <c r="K207" s="66"/>
    </row>
    <row r="208" spans="2:11" ht="12.75" customHeight="1">
      <c r="B208" s="63"/>
      <c r="C208" s="76" t="s">
        <v>784</v>
      </c>
      <c r="D208" s="70">
        <v>20</v>
      </c>
      <c r="E208" s="3343" t="s">
        <v>791</v>
      </c>
      <c r="F208" s="3343"/>
      <c r="G208" s="63"/>
      <c r="H208" s="66"/>
      <c r="I208" s="66"/>
      <c r="J208" s="66"/>
      <c r="K208" s="66"/>
    </row>
    <row r="209" spans="2:11" ht="6" customHeight="1">
      <c r="B209" s="63"/>
      <c r="C209" s="75"/>
      <c r="D209" s="64"/>
      <c r="E209" s="78"/>
      <c r="F209" s="78"/>
      <c r="G209" s="63"/>
      <c r="H209" s="66"/>
      <c r="I209" s="66"/>
      <c r="J209" s="66"/>
      <c r="K209" s="66"/>
    </row>
    <row r="210" spans="2:11" ht="12.75" customHeight="1">
      <c r="B210" s="63"/>
      <c r="C210" s="75" t="s">
        <v>784</v>
      </c>
      <c r="D210" s="64">
        <v>20</v>
      </c>
      <c r="E210" s="57">
        <v>100</v>
      </c>
      <c r="F210" s="65" t="s">
        <v>792</v>
      </c>
      <c r="G210" s="63"/>
      <c r="H210" s="66"/>
      <c r="I210" s="66"/>
      <c r="J210" s="66"/>
      <c r="K210" s="66"/>
    </row>
    <row r="211" spans="2:11" ht="12.75" customHeight="1">
      <c r="B211" s="63"/>
      <c r="C211" s="75"/>
      <c r="D211" s="64"/>
      <c r="E211" s="57"/>
      <c r="F211" s="65"/>
      <c r="G211" s="63"/>
      <c r="H211" s="66"/>
      <c r="I211" s="66"/>
      <c r="J211" s="66"/>
      <c r="K211" s="66"/>
    </row>
    <row r="212" spans="2:11" ht="12.75" customHeight="1">
      <c r="B212" s="63"/>
      <c r="C212" s="76" t="s">
        <v>784</v>
      </c>
      <c r="D212" s="70">
        <v>30</v>
      </c>
      <c r="E212" s="3343" t="s">
        <v>793</v>
      </c>
      <c r="F212" s="3343"/>
      <c r="G212" s="63"/>
      <c r="H212" s="66"/>
      <c r="I212" s="66"/>
      <c r="J212" s="66"/>
      <c r="K212" s="66"/>
    </row>
    <row r="213" spans="2:11" ht="6" customHeight="1">
      <c r="B213" s="63"/>
      <c r="C213" s="75"/>
      <c r="D213" s="64"/>
      <c r="E213" s="78"/>
      <c r="F213" s="78"/>
      <c r="G213" s="63"/>
      <c r="H213" s="66"/>
      <c r="I213" s="66"/>
      <c r="J213" s="66"/>
      <c r="K213" s="66"/>
    </row>
    <row r="214" spans="2:11" ht="12.75" customHeight="1">
      <c r="B214" s="63"/>
      <c r="C214" s="75" t="s">
        <v>784</v>
      </c>
      <c r="D214" s="64">
        <v>30</v>
      </c>
      <c r="E214" s="77">
        <v>100</v>
      </c>
      <c r="F214" s="78" t="s">
        <v>793</v>
      </c>
      <c r="G214" s="78"/>
      <c r="H214" s="66"/>
      <c r="I214" s="66"/>
      <c r="J214" s="66"/>
      <c r="K214" s="66"/>
    </row>
    <row r="215" spans="2:11" ht="12.75" customHeight="1">
      <c r="B215" s="63"/>
      <c r="C215" s="75"/>
      <c r="D215" s="64"/>
      <c r="E215" s="77"/>
      <c r="F215" s="78"/>
      <c r="G215" s="78"/>
      <c r="H215" s="66"/>
      <c r="I215" s="66"/>
      <c r="J215" s="66"/>
      <c r="K215" s="66"/>
    </row>
    <row r="216" spans="2:11" ht="12.75" customHeight="1">
      <c r="B216" s="63"/>
      <c r="C216" s="76" t="s">
        <v>784</v>
      </c>
      <c r="D216" s="70">
        <f>D212+10</f>
        <v>40</v>
      </c>
      <c r="E216" s="3343" t="s">
        <v>794</v>
      </c>
      <c r="F216" s="3350"/>
      <c r="G216" s="63"/>
      <c r="H216" s="66"/>
      <c r="I216" s="66"/>
      <c r="J216" s="66"/>
      <c r="K216" s="66"/>
    </row>
    <row r="217" spans="2:11" ht="6" customHeight="1">
      <c r="B217" s="63"/>
      <c r="C217" s="75"/>
      <c r="D217" s="64"/>
      <c r="E217" s="78"/>
      <c r="F217" s="56"/>
      <c r="G217" s="63"/>
      <c r="H217" s="66"/>
      <c r="I217" s="66"/>
      <c r="J217" s="66"/>
      <c r="K217" s="66"/>
    </row>
    <row r="218" spans="2:11" ht="12.75" customHeight="1">
      <c r="B218" s="63"/>
      <c r="C218" s="75" t="s">
        <v>784</v>
      </c>
      <c r="D218" s="64">
        <v>40</v>
      </c>
      <c r="E218" s="57">
        <v>100</v>
      </c>
      <c r="F218" s="65" t="s">
        <v>2132</v>
      </c>
      <c r="G218" s="63"/>
      <c r="H218" s="66"/>
      <c r="I218" s="66"/>
      <c r="J218" s="66"/>
      <c r="K218" s="66"/>
    </row>
    <row r="219" spans="2:11" ht="12.75" customHeight="1">
      <c r="B219" s="63"/>
      <c r="C219" s="75" t="s">
        <v>784</v>
      </c>
      <c r="D219" s="64">
        <v>40</v>
      </c>
      <c r="E219" s="57">
        <v>150</v>
      </c>
      <c r="F219" s="65" t="s">
        <v>2133</v>
      </c>
      <c r="G219" s="63"/>
      <c r="H219" s="66"/>
      <c r="I219" s="66"/>
      <c r="J219" s="66"/>
      <c r="K219" s="66"/>
    </row>
    <row r="220" spans="2:11" ht="12.75" customHeight="1">
      <c r="B220" s="63"/>
      <c r="C220" s="75" t="s">
        <v>784</v>
      </c>
      <c r="D220" s="64">
        <v>40</v>
      </c>
      <c r="E220" s="57">
        <v>200</v>
      </c>
      <c r="F220" s="65" t="s">
        <v>2131</v>
      </c>
      <c r="G220" s="63"/>
      <c r="H220" s="66"/>
      <c r="I220" s="66"/>
      <c r="J220" s="66"/>
      <c r="K220" s="66"/>
    </row>
    <row r="221" spans="2:11" ht="12.75" customHeight="1">
      <c r="B221" s="63"/>
      <c r="C221" s="75" t="s">
        <v>784</v>
      </c>
      <c r="D221" s="64">
        <v>40</v>
      </c>
      <c r="E221" s="57">
        <v>300</v>
      </c>
      <c r="F221" s="65" t="s">
        <v>795</v>
      </c>
      <c r="G221" s="63"/>
      <c r="H221" s="66"/>
      <c r="I221" s="66"/>
      <c r="J221" s="66"/>
      <c r="K221" s="66"/>
    </row>
    <row r="222" spans="2:11" ht="12.75" customHeight="1">
      <c r="B222" s="63"/>
      <c r="C222" s="75"/>
      <c r="D222" s="64"/>
      <c r="E222" s="57"/>
      <c r="F222" s="65"/>
      <c r="G222" s="63"/>
      <c r="H222" s="66"/>
      <c r="I222" s="66"/>
      <c r="J222" s="66"/>
      <c r="K222" s="66"/>
    </row>
    <row r="223" spans="2:11" ht="15.6">
      <c r="B223" s="63"/>
      <c r="C223" s="79" t="s">
        <v>796</v>
      </c>
      <c r="D223" s="3351" t="s">
        <v>797</v>
      </c>
      <c r="E223" s="3345"/>
      <c r="F223" s="3345"/>
      <c r="G223" s="63"/>
      <c r="H223" s="66"/>
      <c r="I223" s="66"/>
      <c r="J223" s="66"/>
      <c r="K223" s="66"/>
    </row>
    <row r="224" spans="2:11" ht="6" customHeight="1">
      <c r="B224" s="63"/>
      <c r="C224" s="75"/>
      <c r="D224" s="63"/>
      <c r="E224" s="56"/>
      <c r="F224" s="63"/>
      <c r="G224" s="63"/>
      <c r="H224" s="66"/>
      <c r="I224" s="66"/>
      <c r="J224" s="66"/>
      <c r="K224" s="66"/>
    </row>
    <row r="225" spans="2:11" ht="12.75" customHeight="1">
      <c r="B225" s="63"/>
      <c r="C225" s="76" t="s">
        <v>796</v>
      </c>
      <c r="D225" s="70">
        <v>10</v>
      </c>
      <c r="E225" s="3343" t="s">
        <v>1673</v>
      </c>
      <c r="F225" s="3350"/>
      <c r="G225" s="63"/>
      <c r="H225" s="66"/>
      <c r="I225" s="66"/>
      <c r="J225" s="66"/>
      <c r="K225" s="66"/>
    </row>
    <row r="226" spans="2:11" ht="12.75" customHeight="1">
      <c r="B226" s="63"/>
      <c r="C226" s="75" t="s">
        <v>796</v>
      </c>
      <c r="D226" s="64">
        <v>10</v>
      </c>
      <c r="E226" s="77">
        <v>100</v>
      </c>
      <c r="F226" s="56" t="s">
        <v>1673</v>
      </c>
      <c r="G226" s="63"/>
      <c r="H226" s="66"/>
      <c r="I226" s="66"/>
      <c r="J226" s="66"/>
      <c r="K226" s="66"/>
    </row>
    <row r="227" spans="2:11" ht="12.75" customHeight="1">
      <c r="B227" s="63"/>
      <c r="C227" s="75"/>
      <c r="D227" s="64"/>
      <c r="E227" s="77"/>
      <c r="F227" s="56"/>
      <c r="G227" s="63"/>
      <c r="H227" s="66"/>
      <c r="I227" s="66"/>
      <c r="J227" s="66"/>
      <c r="K227" s="66"/>
    </row>
    <row r="228" spans="2:11" ht="15.6">
      <c r="B228" s="63"/>
      <c r="C228" s="79" t="s">
        <v>798</v>
      </c>
      <c r="D228" s="3344" t="s">
        <v>799</v>
      </c>
      <c r="E228" s="3345"/>
      <c r="F228" s="3345"/>
      <c r="G228" s="63"/>
      <c r="H228" s="66"/>
      <c r="I228" s="66"/>
      <c r="J228" s="66"/>
      <c r="K228" s="66"/>
    </row>
    <row r="229" spans="2:11" ht="6" customHeight="1">
      <c r="B229" s="63"/>
      <c r="C229" s="75"/>
      <c r="D229" s="80"/>
      <c r="E229" s="64"/>
      <c r="F229" s="65"/>
      <c r="G229" s="63"/>
      <c r="H229" s="66"/>
      <c r="I229" s="66"/>
      <c r="J229" s="66"/>
      <c r="K229" s="66"/>
    </row>
    <row r="230" spans="2:11" ht="12.75" customHeight="1">
      <c r="B230" s="63"/>
      <c r="C230" s="81" t="s">
        <v>798</v>
      </c>
      <c r="D230" s="82">
        <v>10</v>
      </c>
      <c r="E230" s="3352" t="s">
        <v>77</v>
      </c>
      <c r="F230" s="3342"/>
      <c r="G230" s="63"/>
      <c r="H230" s="66"/>
      <c r="I230" s="66"/>
      <c r="J230" s="66"/>
      <c r="K230" s="66"/>
    </row>
    <row r="231" spans="2:11" ht="6" customHeight="1">
      <c r="B231" s="63"/>
      <c r="C231" s="75"/>
      <c r="D231" s="64"/>
      <c r="E231" s="80"/>
      <c r="F231" s="65"/>
      <c r="G231" s="63"/>
      <c r="H231" s="66"/>
      <c r="I231" s="66"/>
      <c r="J231" s="66"/>
      <c r="K231" s="66"/>
    </row>
    <row r="232" spans="2:11" ht="12.75" customHeight="1">
      <c r="B232" s="63"/>
      <c r="C232" s="75" t="s">
        <v>798</v>
      </c>
      <c r="D232" s="64">
        <v>10</v>
      </c>
      <c r="E232" s="64">
        <v>100</v>
      </c>
      <c r="F232" s="83" t="s">
        <v>78</v>
      </c>
      <c r="G232" s="63"/>
      <c r="H232" s="66"/>
      <c r="I232" s="66"/>
      <c r="J232" s="66"/>
      <c r="K232" s="66"/>
    </row>
    <row r="233" spans="2:11" ht="12.75" customHeight="1">
      <c r="B233" s="63"/>
      <c r="C233" s="75" t="s">
        <v>798</v>
      </c>
      <c r="D233" s="64">
        <v>10</v>
      </c>
      <c r="E233" s="64">
        <f t="shared" ref="E233:E241" si="4">E232+10</f>
        <v>110</v>
      </c>
      <c r="F233" s="83" t="s">
        <v>79</v>
      </c>
      <c r="G233" s="63"/>
      <c r="H233" s="66"/>
      <c r="I233" s="66"/>
      <c r="J233" s="66"/>
      <c r="K233" s="66"/>
    </row>
    <row r="234" spans="2:11" ht="12.75" customHeight="1">
      <c r="B234" s="63"/>
      <c r="C234" s="75" t="s">
        <v>798</v>
      </c>
      <c r="D234" s="64">
        <v>10</v>
      </c>
      <c r="E234" s="64">
        <f t="shared" si="4"/>
        <v>120</v>
      </c>
      <c r="F234" s="83" t="s">
        <v>80</v>
      </c>
      <c r="G234" s="63"/>
      <c r="H234" s="66"/>
      <c r="I234" s="66"/>
      <c r="J234" s="66"/>
      <c r="K234" s="66"/>
    </row>
    <row r="235" spans="2:11" ht="12.75" customHeight="1">
      <c r="B235" s="63"/>
      <c r="C235" s="75" t="s">
        <v>798</v>
      </c>
      <c r="D235" s="64">
        <v>10</v>
      </c>
      <c r="E235" s="64">
        <f t="shared" si="4"/>
        <v>130</v>
      </c>
      <c r="F235" s="83" t="s">
        <v>81</v>
      </c>
      <c r="G235" s="63"/>
      <c r="H235" s="66"/>
      <c r="I235" s="66"/>
      <c r="J235" s="66"/>
      <c r="K235" s="66"/>
    </row>
    <row r="236" spans="2:11" ht="12.75" customHeight="1">
      <c r="B236" s="63"/>
      <c r="C236" s="75" t="s">
        <v>798</v>
      </c>
      <c r="D236" s="64">
        <v>10</v>
      </c>
      <c r="E236" s="64">
        <f t="shared" si="4"/>
        <v>140</v>
      </c>
      <c r="F236" s="83" t="s">
        <v>82</v>
      </c>
      <c r="G236" s="63"/>
      <c r="H236" s="66"/>
      <c r="I236" s="66"/>
      <c r="J236" s="66"/>
      <c r="K236" s="66"/>
    </row>
    <row r="237" spans="2:11" ht="12.75" customHeight="1">
      <c r="B237" s="63"/>
      <c r="C237" s="75" t="s">
        <v>798</v>
      </c>
      <c r="D237" s="64">
        <v>10</v>
      </c>
      <c r="E237" s="64">
        <f t="shared" si="4"/>
        <v>150</v>
      </c>
      <c r="F237" s="83" t="s">
        <v>1027</v>
      </c>
      <c r="G237" s="63"/>
      <c r="H237" s="66"/>
      <c r="I237" s="66"/>
      <c r="J237" s="66"/>
      <c r="K237" s="66"/>
    </row>
    <row r="238" spans="2:11" ht="12.75" customHeight="1">
      <c r="B238" s="63"/>
      <c r="C238" s="75" t="s">
        <v>798</v>
      </c>
      <c r="D238" s="64">
        <v>10</v>
      </c>
      <c r="E238" s="64">
        <f t="shared" si="4"/>
        <v>160</v>
      </c>
      <c r="F238" s="83" t="s">
        <v>1028</v>
      </c>
      <c r="G238" s="63"/>
      <c r="H238" s="66"/>
      <c r="I238" s="66"/>
      <c r="J238" s="66"/>
      <c r="K238" s="66"/>
    </row>
    <row r="239" spans="2:11" ht="12.75" customHeight="1">
      <c r="B239" s="63"/>
      <c r="C239" s="75" t="s">
        <v>798</v>
      </c>
      <c r="D239" s="64">
        <v>10</v>
      </c>
      <c r="E239" s="64">
        <f t="shared" si="4"/>
        <v>170</v>
      </c>
      <c r="F239" s="83" t="s">
        <v>1029</v>
      </c>
      <c r="G239" s="63"/>
      <c r="H239" s="66"/>
      <c r="I239" s="66"/>
      <c r="J239" s="66"/>
      <c r="K239" s="66"/>
    </row>
    <row r="240" spans="2:11" ht="12.75" customHeight="1">
      <c r="B240" s="63"/>
      <c r="C240" s="75" t="s">
        <v>798</v>
      </c>
      <c r="D240" s="64">
        <v>10</v>
      </c>
      <c r="E240" s="64">
        <f t="shared" si="4"/>
        <v>180</v>
      </c>
      <c r="F240" s="83" t="s">
        <v>1030</v>
      </c>
      <c r="G240" s="63"/>
      <c r="H240" s="66"/>
      <c r="I240" s="66"/>
      <c r="J240" s="66"/>
      <c r="K240" s="66"/>
    </row>
    <row r="241" spans="2:11" ht="12.75" customHeight="1">
      <c r="B241" s="63"/>
      <c r="C241" s="75" t="s">
        <v>798</v>
      </c>
      <c r="D241" s="64">
        <v>10</v>
      </c>
      <c r="E241" s="64">
        <f t="shared" si="4"/>
        <v>190</v>
      </c>
      <c r="F241" s="65" t="s">
        <v>1031</v>
      </c>
      <c r="G241" s="63"/>
      <c r="H241" s="66"/>
      <c r="I241" s="66"/>
      <c r="J241" s="66"/>
      <c r="K241" s="66"/>
    </row>
    <row r="242" spans="2:11" ht="12.75" customHeight="1">
      <c r="B242" s="63"/>
      <c r="C242" s="75" t="s">
        <v>798</v>
      </c>
      <c r="D242" s="64">
        <v>10</v>
      </c>
      <c r="E242" s="64">
        <v>200</v>
      </c>
      <c r="F242" s="65" t="s">
        <v>1032</v>
      </c>
      <c r="G242" s="63"/>
      <c r="H242" s="66"/>
      <c r="I242" s="66"/>
      <c r="J242" s="66"/>
      <c r="K242" s="66"/>
    </row>
    <row r="243" spans="2:11" ht="12.75" customHeight="1">
      <c r="B243" s="63"/>
      <c r="C243" s="75"/>
      <c r="D243" s="64"/>
      <c r="E243" s="64"/>
      <c r="F243" s="65"/>
      <c r="G243" s="63"/>
      <c r="H243" s="66"/>
      <c r="I243" s="66"/>
      <c r="J243" s="66"/>
      <c r="K243" s="66"/>
    </row>
    <row r="244" spans="2:11" ht="15.6">
      <c r="B244" s="63"/>
      <c r="C244" s="79" t="s">
        <v>1033</v>
      </c>
      <c r="D244" s="3351" t="s">
        <v>1034</v>
      </c>
      <c r="E244" s="3345"/>
      <c r="F244" s="3345"/>
      <c r="G244" s="63"/>
      <c r="H244" s="66"/>
      <c r="I244" s="66"/>
      <c r="J244" s="66"/>
      <c r="K244" s="66"/>
    </row>
    <row r="245" spans="2:11" ht="6" customHeight="1">
      <c r="B245" s="63"/>
      <c r="C245" s="75"/>
      <c r="D245" s="63"/>
      <c r="E245" s="56"/>
      <c r="F245" s="63"/>
      <c r="G245" s="63"/>
      <c r="H245" s="66"/>
      <c r="I245" s="66"/>
      <c r="J245" s="66"/>
      <c r="K245" s="66"/>
    </row>
    <row r="246" spans="2:11" ht="12.75" customHeight="1">
      <c r="B246" s="63"/>
      <c r="C246" s="81" t="s">
        <v>1033</v>
      </c>
      <c r="D246" s="82">
        <v>10</v>
      </c>
      <c r="E246" s="3349" t="s">
        <v>646</v>
      </c>
      <c r="F246" s="3342"/>
      <c r="G246" s="84"/>
      <c r="H246" s="85"/>
      <c r="I246" s="66"/>
      <c r="J246" s="66"/>
      <c r="K246" s="66"/>
    </row>
    <row r="247" spans="2:11" ht="6" customHeight="1">
      <c r="B247" s="63"/>
      <c r="C247" s="75"/>
      <c r="D247" s="64"/>
      <c r="E247" s="63"/>
      <c r="F247" s="56"/>
      <c r="G247" s="84"/>
      <c r="H247" s="85"/>
      <c r="I247" s="66"/>
      <c r="J247" s="66"/>
      <c r="K247" s="66"/>
    </row>
    <row r="248" spans="2:11" ht="12.75" customHeight="1">
      <c r="B248" s="63"/>
      <c r="C248" s="75" t="s">
        <v>1033</v>
      </c>
      <c r="D248" s="64">
        <v>10</v>
      </c>
      <c r="E248" s="57">
        <v>100</v>
      </c>
      <c r="F248" s="84" t="s">
        <v>1671</v>
      </c>
      <c r="G248" s="84"/>
      <c r="H248" s="85"/>
      <c r="I248" s="66"/>
      <c r="J248" s="66"/>
      <c r="K248" s="66"/>
    </row>
    <row r="249" spans="2:11" ht="12.75" customHeight="1">
      <c r="B249" s="63"/>
      <c r="C249" s="75" t="s">
        <v>1033</v>
      </c>
      <c r="D249" s="64">
        <v>10</v>
      </c>
      <c r="E249" s="57">
        <f t="shared" ref="E249:E258" si="5">E248+50</f>
        <v>150</v>
      </c>
      <c r="F249" s="84" t="s">
        <v>1568</v>
      </c>
      <c r="G249" s="84"/>
      <c r="H249" s="85"/>
      <c r="I249" s="66"/>
      <c r="J249" s="66"/>
      <c r="K249" s="66"/>
    </row>
    <row r="250" spans="2:11" ht="12.75" customHeight="1">
      <c r="B250" s="63"/>
      <c r="C250" s="75" t="s">
        <v>1033</v>
      </c>
      <c r="D250" s="64">
        <v>10</v>
      </c>
      <c r="E250" s="57">
        <f t="shared" si="5"/>
        <v>200</v>
      </c>
      <c r="F250" s="84" t="s">
        <v>647</v>
      </c>
      <c r="G250" s="84"/>
      <c r="H250" s="85"/>
      <c r="I250" s="66"/>
      <c r="J250" s="66"/>
      <c r="K250" s="66"/>
    </row>
    <row r="251" spans="2:11" ht="12.75" customHeight="1">
      <c r="B251" s="63"/>
      <c r="C251" s="75" t="s">
        <v>1033</v>
      </c>
      <c r="D251" s="64">
        <v>10</v>
      </c>
      <c r="E251" s="57">
        <f t="shared" si="5"/>
        <v>250</v>
      </c>
      <c r="F251" s="84" t="s">
        <v>648</v>
      </c>
      <c r="G251" s="84"/>
      <c r="H251" s="85"/>
      <c r="I251" s="66"/>
      <c r="J251" s="66"/>
      <c r="K251" s="66"/>
    </row>
    <row r="252" spans="2:11" ht="12.75" customHeight="1">
      <c r="B252" s="63"/>
      <c r="C252" s="75" t="s">
        <v>1033</v>
      </c>
      <c r="D252" s="64">
        <v>10</v>
      </c>
      <c r="E252" s="57">
        <f t="shared" si="5"/>
        <v>300</v>
      </c>
      <c r="F252" s="84" t="s">
        <v>1529</v>
      </c>
      <c r="G252" s="84"/>
      <c r="H252" s="85"/>
      <c r="I252" s="66"/>
      <c r="J252" s="66"/>
      <c r="K252" s="66"/>
    </row>
    <row r="253" spans="2:11" ht="12.75" customHeight="1">
      <c r="B253" s="63"/>
      <c r="C253" s="75" t="s">
        <v>1033</v>
      </c>
      <c r="D253" s="64">
        <v>10</v>
      </c>
      <c r="E253" s="57">
        <f t="shared" si="5"/>
        <v>350</v>
      </c>
      <c r="F253" s="84" t="s">
        <v>1530</v>
      </c>
      <c r="G253" s="84"/>
      <c r="H253" s="85"/>
      <c r="I253" s="66"/>
      <c r="J253" s="66"/>
      <c r="K253" s="66"/>
    </row>
    <row r="254" spans="2:11" ht="12.75" customHeight="1">
      <c r="B254" s="63"/>
      <c r="C254" s="75" t="s">
        <v>1033</v>
      </c>
      <c r="D254" s="64">
        <v>10</v>
      </c>
      <c r="E254" s="57">
        <f t="shared" si="5"/>
        <v>400</v>
      </c>
      <c r="F254" s="84" t="s">
        <v>1531</v>
      </c>
      <c r="G254" s="86"/>
      <c r="H254" s="87"/>
      <c r="I254" s="66"/>
      <c r="J254" s="66"/>
      <c r="K254" s="66"/>
    </row>
    <row r="255" spans="2:11" ht="12.75" customHeight="1">
      <c r="B255" s="63"/>
      <c r="C255" s="75" t="s">
        <v>1033</v>
      </c>
      <c r="D255" s="64">
        <v>10</v>
      </c>
      <c r="E255" s="57">
        <f t="shared" si="5"/>
        <v>450</v>
      </c>
      <c r="F255" s="86" t="s">
        <v>276</v>
      </c>
      <c r="G255" s="86"/>
      <c r="H255" s="87"/>
      <c r="I255" s="66"/>
      <c r="J255" s="66"/>
      <c r="K255" s="66"/>
    </row>
    <row r="256" spans="2:11" ht="12.75" customHeight="1">
      <c r="B256" s="63"/>
      <c r="C256" s="75" t="s">
        <v>1033</v>
      </c>
      <c r="D256" s="64">
        <v>10</v>
      </c>
      <c r="E256" s="57">
        <f t="shared" si="5"/>
        <v>500</v>
      </c>
      <c r="F256" s="86" t="s">
        <v>277</v>
      </c>
      <c r="G256" s="88"/>
      <c r="I256" s="66"/>
      <c r="J256" s="66"/>
      <c r="K256" s="66"/>
    </row>
    <row r="257" spans="2:11" ht="12.75" customHeight="1">
      <c r="B257" s="63"/>
      <c r="C257" s="75" t="s">
        <v>1033</v>
      </c>
      <c r="D257" s="64">
        <v>10</v>
      </c>
      <c r="E257" s="57">
        <f t="shared" si="5"/>
        <v>550</v>
      </c>
      <c r="F257" s="88" t="s">
        <v>1532</v>
      </c>
      <c r="G257" s="88"/>
      <c r="I257" s="66"/>
      <c r="J257" s="66"/>
      <c r="K257" s="66"/>
    </row>
    <row r="258" spans="2:11" ht="12.75" customHeight="1">
      <c r="B258" s="63"/>
      <c r="C258" s="75" t="s">
        <v>1033</v>
      </c>
      <c r="D258" s="64">
        <v>10</v>
      </c>
      <c r="E258" s="57">
        <f t="shared" si="5"/>
        <v>600</v>
      </c>
      <c r="F258" s="88" t="s">
        <v>1533</v>
      </c>
      <c r="G258" s="63"/>
      <c r="H258" s="66"/>
      <c r="I258" s="66"/>
      <c r="J258" s="66"/>
      <c r="K258" s="66"/>
    </row>
    <row r="259" spans="2:11" ht="12.75" customHeight="1">
      <c r="B259" s="63"/>
      <c r="C259" s="75"/>
      <c r="D259" s="64"/>
      <c r="E259" s="57"/>
      <c r="F259" s="88"/>
      <c r="G259" s="63"/>
      <c r="H259" s="66"/>
      <c r="I259" s="66"/>
      <c r="J259" s="66"/>
      <c r="K259" s="66"/>
    </row>
    <row r="260" spans="2:11" ht="15.6">
      <c r="B260" s="56"/>
      <c r="C260" s="89" t="s">
        <v>1534</v>
      </c>
      <c r="D260" s="3345" t="s">
        <v>1535</v>
      </c>
      <c r="E260" s="3345"/>
      <c r="F260" s="3345"/>
      <c r="G260" s="56"/>
    </row>
    <row r="261" spans="2:11" ht="6" customHeight="1">
      <c r="B261" s="56"/>
      <c r="C261" s="90"/>
      <c r="D261" s="56"/>
      <c r="E261" s="56"/>
      <c r="F261" s="56"/>
      <c r="G261" s="56"/>
    </row>
    <row r="262" spans="2:11" ht="12.75" customHeight="1">
      <c r="B262" s="63"/>
      <c r="C262" s="91" t="s">
        <v>1534</v>
      </c>
      <c r="D262" s="82">
        <v>10</v>
      </c>
      <c r="E262" s="3349" t="s">
        <v>1536</v>
      </c>
      <c r="F262" s="3349"/>
      <c r="G262" s="63"/>
      <c r="H262" s="66"/>
      <c r="I262" s="66"/>
      <c r="J262" s="66"/>
      <c r="K262" s="66"/>
    </row>
    <row r="263" spans="2:11" ht="6" customHeight="1">
      <c r="B263" s="63"/>
      <c r="C263" s="90"/>
      <c r="D263" s="64"/>
      <c r="E263" s="63"/>
      <c r="F263" s="63"/>
      <c r="G263" s="63"/>
      <c r="H263" s="66"/>
      <c r="I263" s="66"/>
      <c r="J263" s="66"/>
      <c r="K263" s="66"/>
    </row>
    <row r="264" spans="2:11" ht="12.75" customHeight="1">
      <c r="B264" s="63"/>
      <c r="C264" s="90" t="s">
        <v>1534</v>
      </c>
      <c r="D264" s="64">
        <v>10</v>
      </c>
      <c r="E264" s="64">
        <v>100</v>
      </c>
      <c r="F264" s="63" t="s">
        <v>1078</v>
      </c>
      <c r="G264" s="63"/>
      <c r="H264" s="66"/>
      <c r="I264" s="66"/>
      <c r="J264" s="66"/>
      <c r="K264" s="66"/>
    </row>
    <row r="265" spans="2:11" ht="12.75" customHeight="1">
      <c r="B265" s="63"/>
      <c r="C265" s="90" t="s">
        <v>1534</v>
      </c>
      <c r="D265" s="64">
        <v>10</v>
      </c>
      <c r="E265" s="64">
        <v>200</v>
      </c>
      <c r="F265" s="63" t="s">
        <v>1079</v>
      </c>
      <c r="G265" s="63"/>
      <c r="H265" s="66"/>
      <c r="I265" s="66"/>
      <c r="J265" s="66"/>
      <c r="K265" s="66"/>
    </row>
    <row r="266" spans="2:11" ht="12.75" customHeight="1">
      <c r="B266" s="63"/>
      <c r="C266" s="90" t="s">
        <v>1534</v>
      </c>
      <c r="D266" s="64">
        <v>10</v>
      </c>
      <c r="E266" s="64">
        <v>300</v>
      </c>
      <c r="F266" s="63" t="s">
        <v>912</v>
      </c>
      <c r="G266" s="63"/>
      <c r="H266" s="66"/>
      <c r="I266" s="66"/>
      <c r="J266" s="66"/>
      <c r="K266" s="66"/>
    </row>
    <row r="267" spans="2:11" ht="12.75" customHeight="1">
      <c r="B267" s="63"/>
      <c r="C267" s="90" t="s">
        <v>1534</v>
      </c>
      <c r="D267" s="64">
        <v>10</v>
      </c>
      <c r="E267" s="64">
        <v>400</v>
      </c>
      <c r="F267" s="63" t="s">
        <v>913</v>
      </c>
      <c r="G267" s="63"/>
      <c r="H267" s="66"/>
      <c r="I267" s="66"/>
      <c r="J267" s="66"/>
      <c r="K267" s="66"/>
    </row>
    <row r="268" spans="2:11" ht="12.75" customHeight="1">
      <c r="B268" s="63"/>
      <c r="C268" s="90" t="s">
        <v>1534</v>
      </c>
      <c r="D268" s="64">
        <v>10</v>
      </c>
      <c r="E268" s="64">
        <v>500</v>
      </c>
      <c r="F268" s="63" t="s">
        <v>89</v>
      </c>
      <c r="G268" s="63"/>
      <c r="H268" s="66"/>
      <c r="I268" s="66"/>
      <c r="J268" s="66"/>
      <c r="K268" s="66"/>
    </row>
    <row r="269" spans="2:11" ht="12.75" customHeight="1">
      <c r="B269" s="63"/>
      <c r="C269" s="90" t="s">
        <v>1534</v>
      </c>
      <c r="D269" s="64">
        <v>10</v>
      </c>
      <c r="E269" s="64">
        <v>600</v>
      </c>
      <c r="F269" s="63" t="s">
        <v>914</v>
      </c>
      <c r="G269" s="63"/>
      <c r="H269" s="66"/>
      <c r="I269" s="66"/>
      <c r="J269" s="66"/>
      <c r="K269" s="66"/>
    </row>
    <row r="270" spans="2:11" ht="12.75" customHeight="1">
      <c r="B270" s="63"/>
      <c r="C270" s="90" t="s">
        <v>1534</v>
      </c>
      <c r="D270" s="64">
        <v>10</v>
      </c>
      <c r="E270" s="64">
        <v>700</v>
      </c>
      <c r="F270" s="63" t="s">
        <v>915</v>
      </c>
      <c r="G270" s="63"/>
      <c r="H270" s="66"/>
      <c r="I270" s="66"/>
      <c r="J270" s="66"/>
      <c r="K270" s="66"/>
    </row>
    <row r="271" spans="2:11" ht="12.75" customHeight="1">
      <c r="B271" s="63"/>
      <c r="C271" s="90"/>
      <c r="D271" s="64"/>
      <c r="E271" s="64"/>
      <c r="F271" s="63"/>
      <c r="G271" s="63"/>
      <c r="H271" s="66"/>
      <c r="I271" s="66"/>
      <c r="J271" s="66"/>
      <c r="K271" s="66"/>
    </row>
    <row r="272" spans="2:11" ht="12.75" customHeight="1">
      <c r="B272" s="63"/>
      <c r="C272" s="91" t="s">
        <v>1534</v>
      </c>
      <c r="D272" s="82">
        <f>D246+10</f>
        <v>20</v>
      </c>
      <c r="E272" s="3349" t="s">
        <v>1122</v>
      </c>
      <c r="F272" s="3349"/>
      <c r="G272" s="63"/>
      <c r="H272" s="66"/>
      <c r="I272" s="66"/>
      <c r="J272" s="66"/>
      <c r="K272" s="66"/>
    </row>
    <row r="273" spans="2:11" ht="6" customHeight="1">
      <c r="B273" s="63"/>
      <c r="C273" s="90"/>
      <c r="D273" s="64"/>
      <c r="E273" s="63"/>
      <c r="F273" s="63"/>
      <c r="G273" s="63"/>
      <c r="H273" s="66"/>
      <c r="I273" s="66"/>
      <c r="J273" s="66"/>
      <c r="K273" s="66"/>
    </row>
    <row r="274" spans="2:11" ht="12.75" customHeight="1">
      <c r="B274" s="63"/>
      <c r="C274" s="90" t="s">
        <v>1534</v>
      </c>
      <c r="D274" s="64">
        <v>20</v>
      </c>
      <c r="E274" s="92">
        <v>100</v>
      </c>
      <c r="F274" s="83" t="s">
        <v>916</v>
      </c>
      <c r="G274" s="63"/>
      <c r="H274" s="66"/>
      <c r="I274" s="66"/>
      <c r="J274" s="66"/>
      <c r="K274" s="66"/>
    </row>
    <row r="275" spans="2:11" ht="12.75" customHeight="1">
      <c r="B275" s="63"/>
      <c r="C275" s="90" t="s">
        <v>1534</v>
      </c>
      <c r="D275" s="64">
        <v>20</v>
      </c>
      <c r="E275" s="92">
        <f t="shared" ref="E275:E306" si="6">E274+5</f>
        <v>105</v>
      </c>
      <c r="F275" s="83" t="s">
        <v>917</v>
      </c>
      <c r="G275" s="63"/>
      <c r="H275" s="66"/>
      <c r="I275" s="66"/>
      <c r="J275" s="66"/>
      <c r="K275" s="66"/>
    </row>
    <row r="276" spans="2:11" ht="12.75" customHeight="1">
      <c r="B276" s="63"/>
      <c r="C276" s="90" t="s">
        <v>1534</v>
      </c>
      <c r="D276" s="64">
        <v>20</v>
      </c>
      <c r="E276" s="92">
        <f t="shared" si="6"/>
        <v>110</v>
      </c>
      <c r="F276" s="83" t="s">
        <v>918</v>
      </c>
      <c r="G276" s="63"/>
      <c r="H276" s="66"/>
      <c r="I276" s="66"/>
      <c r="J276" s="66"/>
      <c r="K276" s="66"/>
    </row>
    <row r="277" spans="2:11" ht="12.75" customHeight="1">
      <c r="B277" s="63"/>
      <c r="C277" s="90" t="s">
        <v>1534</v>
      </c>
      <c r="D277" s="64">
        <v>20</v>
      </c>
      <c r="E277" s="92">
        <f t="shared" si="6"/>
        <v>115</v>
      </c>
      <c r="F277" s="83" t="s">
        <v>919</v>
      </c>
      <c r="G277" s="63"/>
      <c r="H277" s="66"/>
      <c r="I277" s="66"/>
      <c r="J277" s="66"/>
      <c r="K277" s="66"/>
    </row>
    <row r="278" spans="2:11" ht="12.75" customHeight="1">
      <c r="B278" s="63"/>
      <c r="C278" s="90" t="s">
        <v>1534</v>
      </c>
      <c r="D278" s="64">
        <v>20</v>
      </c>
      <c r="E278" s="92">
        <f t="shared" si="6"/>
        <v>120</v>
      </c>
      <c r="F278" s="83" t="s">
        <v>920</v>
      </c>
      <c r="G278" s="63"/>
      <c r="H278" s="66"/>
      <c r="I278" s="66"/>
      <c r="J278" s="66"/>
      <c r="K278" s="66"/>
    </row>
    <row r="279" spans="2:11" ht="12.75" customHeight="1">
      <c r="B279" s="63"/>
      <c r="C279" s="90" t="s">
        <v>1534</v>
      </c>
      <c r="D279" s="64">
        <v>20</v>
      </c>
      <c r="E279" s="92">
        <f t="shared" si="6"/>
        <v>125</v>
      </c>
      <c r="F279" s="83" t="s">
        <v>921</v>
      </c>
      <c r="G279" s="63"/>
      <c r="H279" s="66"/>
      <c r="I279" s="66"/>
      <c r="J279" s="66"/>
      <c r="K279" s="66"/>
    </row>
    <row r="280" spans="2:11" ht="12.75" customHeight="1">
      <c r="B280" s="63"/>
      <c r="C280" s="90" t="s">
        <v>1534</v>
      </c>
      <c r="D280" s="64">
        <v>20</v>
      </c>
      <c r="E280" s="92">
        <f t="shared" si="6"/>
        <v>130</v>
      </c>
      <c r="F280" s="83" t="s">
        <v>1432</v>
      </c>
      <c r="G280" s="63"/>
      <c r="H280" s="66"/>
      <c r="I280" s="66"/>
      <c r="J280" s="66"/>
      <c r="K280" s="66"/>
    </row>
    <row r="281" spans="2:11" ht="12.75" customHeight="1">
      <c r="B281" s="63"/>
      <c r="C281" s="90" t="s">
        <v>1534</v>
      </c>
      <c r="D281" s="64">
        <v>20</v>
      </c>
      <c r="E281" s="92">
        <f t="shared" si="6"/>
        <v>135</v>
      </c>
      <c r="F281" s="83" t="s">
        <v>1433</v>
      </c>
      <c r="G281" s="63"/>
      <c r="H281" s="66"/>
      <c r="I281" s="66"/>
      <c r="J281" s="66"/>
      <c r="K281" s="66"/>
    </row>
    <row r="282" spans="2:11" ht="12.75" customHeight="1">
      <c r="B282" s="63"/>
      <c r="C282" s="90" t="s">
        <v>1534</v>
      </c>
      <c r="D282" s="64">
        <v>20</v>
      </c>
      <c r="E282" s="92">
        <f t="shared" si="6"/>
        <v>140</v>
      </c>
      <c r="F282" s="83" t="s">
        <v>1434</v>
      </c>
      <c r="G282" s="63"/>
      <c r="H282" s="66"/>
      <c r="I282" s="66"/>
      <c r="J282" s="66"/>
      <c r="K282" s="66"/>
    </row>
    <row r="283" spans="2:11" ht="12.75" customHeight="1">
      <c r="B283" s="63"/>
      <c r="C283" s="90" t="s">
        <v>1534</v>
      </c>
      <c r="D283" s="64">
        <v>20</v>
      </c>
      <c r="E283" s="92">
        <f t="shared" si="6"/>
        <v>145</v>
      </c>
      <c r="F283" s="83" t="s">
        <v>1435</v>
      </c>
      <c r="G283" s="63"/>
      <c r="H283" s="66"/>
      <c r="I283" s="66"/>
      <c r="J283" s="66"/>
      <c r="K283" s="66"/>
    </row>
    <row r="284" spans="2:11" ht="12.75" customHeight="1">
      <c r="B284" s="63"/>
      <c r="C284" s="90" t="s">
        <v>1534</v>
      </c>
      <c r="D284" s="64">
        <v>20</v>
      </c>
      <c r="E284" s="92">
        <f t="shared" si="6"/>
        <v>150</v>
      </c>
      <c r="F284" s="83" t="s">
        <v>1436</v>
      </c>
      <c r="G284" s="63"/>
      <c r="H284" s="66"/>
      <c r="I284" s="66"/>
      <c r="J284" s="66"/>
      <c r="K284" s="66"/>
    </row>
    <row r="285" spans="2:11" ht="12.75" customHeight="1">
      <c r="B285" s="63"/>
      <c r="C285" s="90" t="s">
        <v>1534</v>
      </c>
      <c r="D285" s="64">
        <v>20</v>
      </c>
      <c r="E285" s="92">
        <f t="shared" si="6"/>
        <v>155</v>
      </c>
      <c r="F285" s="83" t="s">
        <v>1437</v>
      </c>
      <c r="G285" s="63"/>
      <c r="H285" s="66"/>
      <c r="I285" s="66"/>
      <c r="J285" s="66"/>
      <c r="K285" s="66"/>
    </row>
    <row r="286" spans="2:11" ht="12.75" customHeight="1">
      <c r="B286" s="63"/>
      <c r="C286" s="90" t="s">
        <v>1534</v>
      </c>
      <c r="D286" s="64">
        <v>20</v>
      </c>
      <c r="E286" s="92">
        <f t="shared" si="6"/>
        <v>160</v>
      </c>
      <c r="F286" s="83" t="s">
        <v>1438</v>
      </c>
      <c r="G286" s="63"/>
      <c r="H286" s="66"/>
      <c r="I286" s="66"/>
      <c r="J286" s="66"/>
      <c r="K286" s="66"/>
    </row>
    <row r="287" spans="2:11" ht="12.75" customHeight="1">
      <c r="B287" s="63"/>
      <c r="C287" s="90" t="s">
        <v>1534</v>
      </c>
      <c r="D287" s="64">
        <v>20</v>
      </c>
      <c r="E287" s="92">
        <f t="shared" si="6"/>
        <v>165</v>
      </c>
      <c r="F287" s="83" t="s">
        <v>889</v>
      </c>
      <c r="G287" s="63"/>
      <c r="H287" s="66"/>
      <c r="I287" s="66"/>
      <c r="J287" s="66"/>
      <c r="K287" s="66"/>
    </row>
    <row r="288" spans="2:11" ht="12.75" customHeight="1">
      <c r="B288" s="63"/>
      <c r="C288" s="90" t="s">
        <v>1534</v>
      </c>
      <c r="D288" s="64">
        <v>20</v>
      </c>
      <c r="E288" s="92">
        <f t="shared" si="6"/>
        <v>170</v>
      </c>
      <c r="F288" s="83" t="s">
        <v>1665</v>
      </c>
      <c r="G288" s="63"/>
      <c r="H288" s="66"/>
      <c r="I288" s="66"/>
      <c r="J288" s="66"/>
      <c r="K288" s="66"/>
    </row>
    <row r="289" spans="2:11" ht="12.75" customHeight="1">
      <c r="B289" s="63"/>
      <c r="C289" s="90" t="s">
        <v>1534</v>
      </c>
      <c r="D289" s="64">
        <v>20</v>
      </c>
      <c r="E289" s="92">
        <f t="shared" si="6"/>
        <v>175</v>
      </c>
      <c r="F289" s="83" t="s">
        <v>1666</v>
      </c>
      <c r="G289" s="63"/>
      <c r="H289" s="66"/>
      <c r="I289" s="66"/>
      <c r="J289" s="66"/>
      <c r="K289" s="66"/>
    </row>
    <row r="290" spans="2:11" ht="12.75" customHeight="1">
      <c r="B290" s="63"/>
      <c r="C290" s="90" t="s">
        <v>1534</v>
      </c>
      <c r="D290" s="64">
        <v>20</v>
      </c>
      <c r="E290" s="92">
        <f t="shared" si="6"/>
        <v>180</v>
      </c>
      <c r="F290" s="83" t="s">
        <v>1667</v>
      </c>
      <c r="G290" s="63"/>
      <c r="H290" s="66"/>
      <c r="I290" s="66"/>
      <c r="J290" s="66"/>
      <c r="K290" s="66"/>
    </row>
    <row r="291" spans="2:11" ht="12.75" customHeight="1">
      <c r="B291" s="63"/>
      <c r="C291" s="90" t="s">
        <v>1534</v>
      </c>
      <c r="D291" s="64">
        <v>20</v>
      </c>
      <c r="E291" s="92">
        <f t="shared" si="6"/>
        <v>185</v>
      </c>
      <c r="F291" s="83" t="s">
        <v>1668</v>
      </c>
      <c r="G291" s="63"/>
      <c r="H291" s="66"/>
      <c r="I291" s="66"/>
      <c r="J291" s="66"/>
      <c r="K291" s="66"/>
    </row>
    <row r="292" spans="2:11" ht="12.75" customHeight="1">
      <c r="B292" s="63"/>
      <c r="C292" s="90" t="s">
        <v>1534</v>
      </c>
      <c r="D292" s="64">
        <v>20</v>
      </c>
      <c r="E292" s="92">
        <f t="shared" si="6"/>
        <v>190</v>
      </c>
      <c r="F292" s="83" t="s">
        <v>1669</v>
      </c>
      <c r="G292" s="63"/>
      <c r="H292" s="66"/>
      <c r="I292" s="66"/>
      <c r="J292" s="66"/>
      <c r="K292" s="66"/>
    </row>
    <row r="293" spans="2:11" ht="12.75" customHeight="1">
      <c r="B293" s="63"/>
      <c r="C293" s="90" t="s">
        <v>1534</v>
      </c>
      <c r="D293" s="64">
        <v>20</v>
      </c>
      <c r="E293" s="92">
        <f t="shared" si="6"/>
        <v>195</v>
      </c>
      <c r="F293" s="83" t="s">
        <v>1670</v>
      </c>
      <c r="G293" s="63"/>
      <c r="H293" s="66"/>
      <c r="I293" s="66"/>
      <c r="J293" s="66"/>
      <c r="K293" s="66"/>
    </row>
    <row r="294" spans="2:11" ht="12.75" customHeight="1">
      <c r="B294" s="63"/>
      <c r="C294" s="90" t="s">
        <v>1534</v>
      </c>
      <c r="D294" s="64">
        <v>20</v>
      </c>
      <c r="E294" s="92">
        <f t="shared" si="6"/>
        <v>200</v>
      </c>
      <c r="F294" s="83" t="s">
        <v>823</v>
      </c>
      <c r="G294" s="63"/>
      <c r="H294" s="66"/>
      <c r="I294" s="66"/>
      <c r="J294" s="66"/>
      <c r="K294" s="66"/>
    </row>
    <row r="295" spans="2:11" ht="12.75" customHeight="1">
      <c r="B295" s="63"/>
      <c r="C295" s="90" t="s">
        <v>1534</v>
      </c>
      <c r="D295" s="64">
        <v>20</v>
      </c>
      <c r="E295" s="92">
        <f t="shared" si="6"/>
        <v>205</v>
      </c>
      <c r="F295" s="83" t="s">
        <v>824</v>
      </c>
      <c r="G295" s="63"/>
      <c r="H295" s="66"/>
      <c r="I295" s="66"/>
      <c r="J295" s="66"/>
      <c r="K295" s="66"/>
    </row>
    <row r="296" spans="2:11" ht="12.75" customHeight="1">
      <c r="B296" s="63"/>
      <c r="C296" s="90" t="s">
        <v>1534</v>
      </c>
      <c r="D296" s="64">
        <v>20</v>
      </c>
      <c r="E296" s="92">
        <f t="shared" si="6"/>
        <v>210</v>
      </c>
      <c r="F296" s="83" t="s">
        <v>528</v>
      </c>
      <c r="G296" s="63"/>
      <c r="H296" s="66"/>
      <c r="I296" s="66"/>
      <c r="J296" s="66"/>
      <c r="K296" s="66"/>
    </row>
    <row r="297" spans="2:11" ht="12.75" customHeight="1">
      <c r="B297" s="63"/>
      <c r="C297" s="90" t="s">
        <v>1534</v>
      </c>
      <c r="D297" s="64">
        <v>20</v>
      </c>
      <c r="E297" s="92">
        <f t="shared" si="6"/>
        <v>215</v>
      </c>
      <c r="F297" s="83" t="s">
        <v>529</v>
      </c>
      <c r="G297" s="63"/>
      <c r="H297" s="66"/>
      <c r="I297" s="66"/>
      <c r="J297" s="66"/>
      <c r="K297" s="66"/>
    </row>
    <row r="298" spans="2:11" ht="12.75" customHeight="1">
      <c r="B298" s="63"/>
      <c r="C298" s="90" t="s">
        <v>1534</v>
      </c>
      <c r="D298" s="64">
        <v>20</v>
      </c>
      <c r="E298" s="92">
        <f t="shared" si="6"/>
        <v>220</v>
      </c>
      <c r="F298" s="83" t="s">
        <v>2093</v>
      </c>
      <c r="G298" s="63"/>
      <c r="H298" s="66"/>
      <c r="I298" s="66"/>
      <c r="J298" s="66"/>
      <c r="K298" s="66"/>
    </row>
    <row r="299" spans="2:11" ht="12.75" customHeight="1">
      <c r="B299" s="63"/>
      <c r="C299" s="90" t="s">
        <v>1534</v>
      </c>
      <c r="D299" s="64">
        <v>20</v>
      </c>
      <c r="E299" s="92">
        <f t="shared" si="6"/>
        <v>225</v>
      </c>
      <c r="F299" s="83" t="s">
        <v>2094</v>
      </c>
      <c r="G299" s="63"/>
      <c r="H299" s="66"/>
      <c r="I299" s="66"/>
      <c r="J299" s="66"/>
      <c r="K299" s="66"/>
    </row>
    <row r="300" spans="2:11" ht="12.75" customHeight="1">
      <c r="B300" s="63"/>
      <c r="C300" s="90" t="s">
        <v>1534</v>
      </c>
      <c r="D300" s="64">
        <v>20</v>
      </c>
      <c r="E300" s="92">
        <f t="shared" si="6"/>
        <v>230</v>
      </c>
      <c r="F300" s="83" t="s">
        <v>2095</v>
      </c>
      <c r="G300" s="63"/>
      <c r="H300" s="66"/>
      <c r="I300" s="66"/>
      <c r="J300" s="66"/>
      <c r="K300" s="66"/>
    </row>
    <row r="301" spans="2:11" ht="12.75" customHeight="1">
      <c r="B301" s="63"/>
      <c r="C301" s="90" t="s">
        <v>1534</v>
      </c>
      <c r="D301" s="64">
        <v>20</v>
      </c>
      <c r="E301" s="92">
        <f t="shared" si="6"/>
        <v>235</v>
      </c>
      <c r="F301" s="83" t="s">
        <v>490</v>
      </c>
      <c r="G301" s="63"/>
      <c r="H301" s="66"/>
      <c r="I301" s="66"/>
      <c r="J301" s="66"/>
      <c r="K301" s="66"/>
    </row>
    <row r="302" spans="2:11" ht="12.75" customHeight="1">
      <c r="B302" s="63"/>
      <c r="C302" s="90" t="s">
        <v>1534</v>
      </c>
      <c r="D302" s="64">
        <v>20</v>
      </c>
      <c r="E302" s="92">
        <f t="shared" si="6"/>
        <v>240</v>
      </c>
      <c r="F302" s="83" t="s">
        <v>491</v>
      </c>
      <c r="G302" s="63"/>
      <c r="H302" s="66"/>
      <c r="I302" s="66"/>
      <c r="J302" s="66"/>
      <c r="K302" s="66"/>
    </row>
    <row r="303" spans="2:11" ht="12.75" customHeight="1">
      <c r="B303" s="63"/>
      <c r="C303" s="90" t="s">
        <v>1534</v>
      </c>
      <c r="D303" s="64">
        <v>20</v>
      </c>
      <c r="E303" s="92">
        <f t="shared" si="6"/>
        <v>245</v>
      </c>
      <c r="F303" s="83" t="s">
        <v>492</v>
      </c>
      <c r="G303" s="63"/>
      <c r="H303" s="66"/>
      <c r="I303" s="66"/>
      <c r="J303" s="66"/>
      <c r="K303" s="66"/>
    </row>
    <row r="304" spans="2:11" ht="12.75" customHeight="1">
      <c r="B304" s="63"/>
      <c r="C304" s="90" t="s">
        <v>1534</v>
      </c>
      <c r="D304" s="64">
        <v>20</v>
      </c>
      <c r="E304" s="92">
        <f t="shared" si="6"/>
        <v>250</v>
      </c>
      <c r="F304" s="83" t="s">
        <v>493</v>
      </c>
      <c r="G304" s="63"/>
      <c r="H304" s="66"/>
      <c r="I304" s="66"/>
      <c r="J304" s="66"/>
      <c r="K304" s="66"/>
    </row>
    <row r="305" spans="2:11" ht="12.75" customHeight="1">
      <c r="B305" s="63"/>
      <c r="C305" s="90" t="s">
        <v>1534</v>
      </c>
      <c r="D305" s="64">
        <v>20</v>
      </c>
      <c r="E305" s="92">
        <f t="shared" si="6"/>
        <v>255</v>
      </c>
      <c r="F305" s="83" t="s">
        <v>494</v>
      </c>
      <c r="G305" s="63"/>
      <c r="H305" s="66"/>
      <c r="I305" s="66"/>
      <c r="J305" s="66"/>
      <c r="K305" s="66"/>
    </row>
    <row r="306" spans="2:11" ht="12.75" customHeight="1">
      <c r="B306" s="63"/>
      <c r="C306" s="90" t="s">
        <v>1534</v>
      </c>
      <c r="D306" s="64">
        <v>20</v>
      </c>
      <c r="E306" s="92">
        <f t="shared" si="6"/>
        <v>260</v>
      </c>
      <c r="F306" s="83" t="s">
        <v>495</v>
      </c>
      <c r="G306" s="63"/>
      <c r="H306" s="66"/>
      <c r="I306" s="66"/>
      <c r="J306" s="66"/>
      <c r="K306" s="66"/>
    </row>
    <row r="307" spans="2:11" ht="12.75" customHeight="1">
      <c r="B307" s="63"/>
      <c r="C307" s="90" t="s">
        <v>1534</v>
      </c>
      <c r="D307" s="64">
        <v>20</v>
      </c>
      <c r="E307" s="92">
        <f t="shared" ref="E307:E324" si="7">E306+5</f>
        <v>265</v>
      </c>
      <c r="F307" s="83" t="s">
        <v>922</v>
      </c>
      <c r="G307" s="63"/>
      <c r="H307" s="66"/>
      <c r="I307" s="66"/>
      <c r="J307" s="66"/>
      <c r="K307" s="66"/>
    </row>
    <row r="308" spans="2:11" ht="12.75" customHeight="1">
      <c r="B308" s="63"/>
      <c r="C308" s="90" t="s">
        <v>1534</v>
      </c>
      <c r="D308" s="64">
        <v>20</v>
      </c>
      <c r="E308" s="92">
        <f t="shared" si="7"/>
        <v>270</v>
      </c>
      <c r="F308" s="83" t="s">
        <v>821</v>
      </c>
      <c r="G308" s="63"/>
      <c r="H308" s="66"/>
      <c r="I308" s="66"/>
      <c r="J308" s="66"/>
      <c r="K308" s="66"/>
    </row>
    <row r="309" spans="2:11" ht="12.75" customHeight="1">
      <c r="B309" s="63"/>
      <c r="C309" s="90" t="s">
        <v>1534</v>
      </c>
      <c r="D309" s="64">
        <v>20</v>
      </c>
      <c r="E309" s="92">
        <f t="shared" si="7"/>
        <v>275</v>
      </c>
      <c r="F309" s="83" t="s">
        <v>822</v>
      </c>
      <c r="G309" s="63"/>
      <c r="H309" s="66"/>
      <c r="I309" s="66"/>
      <c r="J309" s="66"/>
      <c r="K309" s="66"/>
    </row>
    <row r="310" spans="2:11" ht="12.75" customHeight="1">
      <c r="B310" s="63"/>
      <c r="C310" s="90" t="s">
        <v>1534</v>
      </c>
      <c r="D310" s="64">
        <v>20</v>
      </c>
      <c r="E310" s="92">
        <f t="shared" si="7"/>
        <v>280</v>
      </c>
      <c r="F310" s="83" t="s">
        <v>1708</v>
      </c>
      <c r="G310" s="63"/>
      <c r="H310" s="66"/>
      <c r="I310" s="66"/>
      <c r="J310" s="66"/>
      <c r="K310" s="66"/>
    </row>
    <row r="311" spans="2:11" ht="12.75" customHeight="1">
      <c r="B311" s="63"/>
      <c r="C311" s="90" t="s">
        <v>1534</v>
      </c>
      <c r="D311" s="64">
        <v>20</v>
      </c>
      <c r="E311" s="92">
        <f t="shared" si="7"/>
        <v>285</v>
      </c>
      <c r="F311" s="83" t="s">
        <v>1709</v>
      </c>
      <c r="G311" s="63"/>
      <c r="H311" s="66"/>
      <c r="I311" s="66"/>
      <c r="J311" s="66"/>
      <c r="K311" s="66"/>
    </row>
    <row r="312" spans="2:11" ht="12.75" customHeight="1">
      <c r="B312" s="63"/>
      <c r="C312" s="90" t="s">
        <v>1534</v>
      </c>
      <c r="D312" s="64">
        <v>20</v>
      </c>
      <c r="E312" s="92">
        <f t="shared" si="7"/>
        <v>290</v>
      </c>
      <c r="F312" s="83" t="s">
        <v>1710</v>
      </c>
      <c r="G312" s="63"/>
      <c r="H312" s="66"/>
      <c r="I312" s="66"/>
      <c r="J312" s="66"/>
      <c r="K312" s="66"/>
    </row>
    <row r="313" spans="2:11" ht="12.75" customHeight="1">
      <c r="B313" s="63"/>
      <c r="C313" s="90" t="s">
        <v>1534</v>
      </c>
      <c r="D313" s="64">
        <v>20</v>
      </c>
      <c r="E313" s="92">
        <f t="shared" si="7"/>
        <v>295</v>
      </c>
      <c r="F313" s="83" t="s">
        <v>931</v>
      </c>
      <c r="G313" s="63"/>
      <c r="H313" s="66"/>
      <c r="I313" s="66"/>
      <c r="J313" s="66"/>
      <c r="K313" s="66"/>
    </row>
    <row r="314" spans="2:11" ht="12.75" customHeight="1">
      <c r="B314" s="63"/>
      <c r="C314" s="90" t="s">
        <v>1534</v>
      </c>
      <c r="D314" s="64">
        <v>20</v>
      </c>
      <c r="E314" s="92">
        <f t="shared" si="7"/>
        <v>300</v>
      </c>
      <c r="F314" s="83" t="s">
        <v>932</v>
      </c>
      <c r="G314" s="63"/>
      <c r="H314" s="66"/>
      <c r="I314" s="66"/>
      <c r="J314" s="66"/>
      <c r="K314" s="66"/>
    </row>
    <row r="315" spans="2:11" ht="12.75" customHeight="1">
      <c r="B315" s="63"/>
      <c r="C315" s="90" t="s">
        <v>1534</v>
      </c>
      <c r="D315" s="64">
        <v>20</v>
      </c>
      <c r="E315" s="92">
        <f t="shared" si="7"/>
        <v>305</v>
      </c>
      <c r="F315" s="83" t="s">
        <v>933</v>
      </c>
      <c r="G315" s="63"/>
      <c r="H315" s="66"/>
      <c r="I315" s="66"/>
      <c r="J315" s="66"/>
      <c r="K315" s="66"/>
    </row>
    <row r="316" spans="2:11" ht="12.75" customHeight="1">
      <c r="B316" s="63"/>
      <c r="C316" s="90" t="s">
        <v>1534</v>
      </c>
      <c r="D316" s="64">
        <v>20</v>
      </c>
      <c r="E316" s="92">
        <f t="shared" si="7"/>
        <v>310</v>
      </c>
      <c r="F316" s="83" t="s">
        <v>934</v>
      </c>
      <c r="G316" s="63"/>
      <c r="H316" s="66"/>
      <c r="I316" s="66"/>
      <c r="J316" s="66"/>
      <c r="K316" s="66"/>
    </row>
    <row r="317" spans="2:11">
      <c r="B317" s="63"/>
      <c r="C317" s="90" t="s">
        <v>1534</v>
      </c>
      <c r="D317" s="64">
        <v>20</v>
      </c>
      <c r="E317" s="92">
        <f t="shared" si="7"/>
        <v>315</v>
      </c>
      <c r="F317" s="83" t="s">
        <v>935</v>
      </c>
      <c r="G317" s="63"/>
      <c r="H317" s="66"/>
      <c r="I317" s="66"/>
      <c r="J317" s="66"/>
      <c r="K317" s="66"/>
    </row>
    <row r="318" spans="2:11">
      <c r="B318" s="63"/>
      <c r="C318" s="90" t="s">
        <v>1534</v>
      </c>
      <c r="D318" s="64">
        <v>20</v>
      </c>
      <c r="E318" s="92">
        <f t="shared" si="7"/>
        <v>320</v>
      </c>
      <c r="F318" s="83" t="s">
        <v>936</v>
      </c>
      <c r="G318" s="63"/>
      <c r="H318" s="66"/>
      <c r="I318" s="66"/>
      <c r="J318" s="66"/>
      <c r="K318" s="66"/>
    </row>
    <row r="319" spans="2:11">
      <c r="B319" s="63"/>
      <c r="C319" s="90" t="s">
        <v>1534</v>
      </c>
      <c r="D319" s="64">
        <v>20</v>
      </c>
      <c r="E319" s="92">
        <f t="shared" si="7"/>
        <v>325</v>
      </c>
      <c r="F319" s="83" t="s">
        <v>576</v>
      </c>
      <c r="G319" s="63"/>
      <c r="H319" s="66"/>
      <c r="I319" s="66"/>
      <c r="J319" s="66"/>
      <c r="K319" s="66"/>
    </row>
    <row r="320" spans="2:11">
      <c r="B320" s="63"/>
      <c r="C320" s="90" t="s">
        <v>1534</v>
      </c>
      <c r="D320" s="64">
        <v>20</v>
      </c>
      <c r="E320" s="92">
        <f t="shared" si="7"/>
        <v>330</v>
      </c>
      <c r="F320" s="83" t="s">
        <v>1163</v>
      </c>
      <c r="G320" s="63"/>
      <c r="H320" s="66"/>
      <c r="I320" s="66"/>
      <c r="J320" s="66"/>
      <c r="K320" s="66"/>
    </row>
    <row r="321" spans="2:11">
      <c r="B321" s="63"/>
      <c r="C321" s="90" t="s">
        <v>1534</v>
      </c>
      <c r="D321" s="64">
        <v>20</v>
      </c>
      <c r="E321" s="92">
        <f t="shared" si="7"/>
        <v>335</v>
      </c>
      <c r="F321" s="83" t="s">
        <v>1624</v>
      </c>
      <c r="G321" s="63"/>
      <c r="H321" s="66"/>
      <c r="I321" s="66"/>
      <c r="J321" s="66"/>
      <c r="K321" s="66"/>
    </row>
    <row r="322" spans="2:11">
      <c r="B322" s="63"/>
      <c r="C322" s="90" t="s">
        <v>1534</v>
      </c>
      <c r="D322" s="64">
        <v>20</v>
      </c>
      <c r="E322" s="92">
        <f t="shared" si="7"/>
        <v>340</v>
      </c>
      <c r="F322" s="83" t="s">
        <v>1151</v>
      </c>
      <c r="G322" s="63"/>
      <c r="H322" s="66"/>
      <c r="I322" s="66"/>
      <c r="J322" s="66"/>
      <c r="K322" s="66"/>
    </row>
    <row r="323" spans="2:11">
      <c r="B323" s="63"/>
      <c r="C323" s="90" t="s">
        <v>1534</v>
      </c>
      <c r="D323" s="64">
        <v>20</v>
      </c>
      <c r="E323" s="92">
        <f t="shared" si="7"/>
        <v>345</v>
      </c>
      <c r="F323" s="83" t="s">
        <v>1152</v>
      </c>
      <c r="G323" s="63"/>
      <c r="H323" s="66"/>
      <c r="I323" s="66"/>
      <c r="J323" s="66"/>
      <c r="K323" s="66"/>
    </row>
    <row r="324" spans="2:11">
      <c r="B324" s="63"/>
      <c r="C324" s="90" t="s">
        <v>1534</v>
      </c>
      <c r="D324" s="64">
        <v>20</v>
      </c>
      <c r="E324" s="92">
        <f t="shared" si="7"/>
        <v>350</v>
      </c>
      <c r="F324" s="83" t="s">
        <v>1153</v>
      </c>
      <c r="G324" s="63"/>
      <c r="H324" s="66"/>
      <c r="I324" s="66"/>
      <c r="J324" s="66"/>
      <c r="K324" s="66"/>
    </row>
    <row r="325" spans="2:11">
      <c r="B325" s="63"/>
      <c r="C325" s="90"/>
      <c r="D325" s="64"/>
      <c r="E325" s="92"/>
      <c r="F325" s="83"/>
      <c r="G325" s="63"/>
      <c r="H325" s="66"/>
      <c r="I325" s="66"/>
      <c r="J325" s="66"/>
      <c r="K325" s="66"/>
    </row>
    <row r="326" spans="2:11">
      <c r="B326" s="63"/>
      <c r="C326" s="91" t="s">
        <v>1534</v>
      </c>
      <c r="D326" s="82">
        <v>30</v>
      </c>
      <c r="E326" s="3349" t="s">
        <v>1154</v>
      </c>
      <c r="F326" s="3349"/>
      <c r="G326" s="63"/>
      <c r="H326" s="66"/>
      <c r="I326" s="66"/>
      <c r="J326" s="66"/>
      <c r="K326" s="66"/>
    </row>
    <row r="327" spans="2:11" ht="6" customHeight="1">
      <c r="B327" s="63"/>
      <c r="C327" s="90"/>
      <c r="D327" s="64"/>
      <c r="E327" s="63"/>
      <c r="F327" s="63"/>
      <c r="G327" s="63"/>
      <c r="H327" s="66"/>
      <c r="I327" s="66"/>
      <c r="J327" s="66"/>
      <c r="K327" s="66"/>
    </row>
    <row r="328" spans="2:11">
      <c r="B328" s="63"/>
      <c r="C328" s="90" t="s">
        <v>1534</v>
      </c>
      <c r="D328" s="64">
        <v>30</v>
      </c>
      <c r="E328" s="64">
        <v>100</v>
      </c>
      <c r="F328" s="83" t="s">
        <v>1253</v>
      </c>
      <c r="G328" s="63"/>
      <c r="H328" s="66"/>
      <c r="I328" s="66"/>
      <c r="J328" s="66"/>
      <c r="K328" s="66"/>
    </row>
    <row r="329" spans="2:11">
      <c r="B329" s="63"/>
      <c r="C329" s="90" t="s">
        <v>1534</v>
      </c>
      <c r="D329" s="64">
        <v>30</v>
      </c>
      <c r="E329" s="64">
        <f t="shared" ref="E329:E343" si="8">E328+10</f>
        <v>110</v>
      </c>
      <c r="F329" s="83" t="s">
        <v>1158</v>
      </c>
      <c r="G329" s="63"/>
      <c r="H329" s="66"/>
      <c r="I329" s="66"/>
      <c r="J329" s="66"/>
      <c r="K329" s="66"/>
    </row>
    <row r="330" spans="2:11">
      <c r="B330" s="63"/>
      <c r="C330" s="90" t="s">
        <v>1534</v>
      </c>
      <c r="D330" s="64">
        <v>30</v>
      </c>
      <c r="E330" s="64">
        <f t="shared" si="8"/>
        <v>120</v>
      </c>
      <c r="F330" s="83" t="s">
        <v>581</v>
      </c>
      <c r="G330" s="63"/>
      <c r="H330" s="66"/>
      <c r="I330" s="66"/>
      <c r="J330" s="66"/>
      <c r="K330" s="66"/>
    </row>
    <row r="331" spans="2:11">
      <c r="B331" s="63"/>
      <c r="C331" s="90" t="s">
        <v>1534</v>
      </c>
      <c r="D331" s="64">
        <v>30</v>
      </c>
      <c r="E331" s="64">
        <f t="shared" si="8"/>
        <v>130</v>
      </c>
      <c r="F331" s="83" t="s">
        <v>1758</v>
      </c>
      <c r="G331" s="63"/>
      <c r="H331" s="66"/>
      <c r="I331" s="66"/>
      <c r="J331" s="66"/>
      <c r="K331" s="66"/>
    </row>
    <row r="332" spans="2:11">
      <c r="B332" s="63"/>
      <c r="C332" s="90" t="s">
        <v>1534</v>
      </c>
      <c r="D332" s="64">
        <v>30</v>
      </c>
      <c r="E332" s="64">
        <f t="shared" si="8"/>
        <v>140</v>
      </c>
      <c r="F332" s="83" t="s">
        <v>1159</v>
      </c>
      <c r="G332" s="63"/>
      <c r="H332" s="66"/>
      <c r="I332" s="66"/>
      <c r="J332" s="66"/>
      <c r="K332" s="66"/>
    </row>
    <row r="333" spans="2:11">
      <c r="B333" s="63"/>
      <c r="C333" s="90" t="s">
        <v>1534</v>
      </c>
      <c r="D333" s="64">
        <v>30</v>
      </c>
      <c r="E333" s="64">
        <f t="shared" si="8"/>
        <v>150</v>
      </c>
      <c r="F333" s="83" t="s">
        <v>1469</v>
      </c>
      <c r="G333" s="63"/>
      <c r="H333" s="66"/>
      <c r="I333" s="66"/>
      <c r="J333" s="66"/>
      <c r="K333" s="66"/>
    </row>
    <row r="334" spans="2:11">
      <c r="B334" s="63"/>
      <c r="C334" s="90" t="s">
        <v>1534</v>
      </c>
      <c r="D334" s="64">
        <v>30</v>
      </c>
      <c r="E334" s="64">
        <f t="shared" si="8"/>
        <v>160</v>
      </c>
      <c r="F334" s="83" t="s">
        <v>581</v>
      </c>
      <c r="G334" s="63"/>
      <c r="H334" s="66"/>
      <c r="I334" s="66"/>
      <c r="J334" s="66"/>
      <c r="K334" s="66"/>
    </row>
    <row r="335" spans="2:11">
      <c r="B335" s="63"/>
      <c r="C335" s="90" t="s">
        <v>1534</v>
      </c>
      <c r="D335" s="64">
        <v>30</v>
      </c>
      <c r="E335" s="64">
        <f t="shared" si="8"/>
        <v>170</v>
      </c>
      <c r="F335" s="83" t="s">
        <v>1704</v>
      </c>
      <c r="G335" s="63"/>
      <c r="H335" s="66"/>
      <c r="I335" s="66"/>
      <c r="J335" s="66"/>
      <c r="K335" s="66"/>
    </row>
    <row r="336" spans="2:11">
      <c r="B336" s="63"/>
      <c r="C336" s="90" t="s">
        <v>1534</v>
      </c>
      <c r="D336" s="64">
        <v>30</v>
      </c>
      <c r="E336" s="64">
        <f t="shared" si="8"/>
        <v>180</v>
      </c>
      <c r="F336" s="83" t="s">
        <v>1635</v>
      </c>
      <c r="G336" s="63"/>
      <c r="H336" s="66"/>
      <c r="I336" s="66"/>
      <c r="J336" s="66"/>
      <c r="K336" s="66"/>
    </row>
    <row r="337" spans="2:11">
      <c r="B337" s="63"/>
      <c r="C337" s="90" t="s">
        <v>1534</v>
      </c>
      <c r="D337" s="64">
        <v>30</v>
      </c>
      <c r="E337" s="64">
        <f t="shared" si="8"/>
        <v>190</v>
      </c>
      <c r="F337" s="83" t="s">
        <v>313</v>
      </c>
      <c r="G337" s="63"/>
      <c r="H337" s="66"/>
      <c r="I337" s="66"/>
      <c r="J337" s="66"/>
      <c r="K337" s="66"/>
    </row>
    <row r="338" spans="2:11">
      <c r="B338" s="63"/>
      <c r="C338" s="90" t="s">
        <v>1534</v>
      </c>
      <c r="D338" s="64">
        <v>30</v>
      </c>
      <c r="E338" s="64">
        <f t="shared" si="8"/>
        <v>200</v>
      </c>
      <c r="F338" s="83" t="s">
        <v>1729</v>
      </c>
      <c r="G338" s="63"/>
      <c r="H338" s="66"/>
      <c r="I338" s="66"/>
      <c r="J338" s="66"/>
      <c r="K338" s="66"/>
    </row>
    <row r="339" spans="2:11">
      <c r="B339" s="63"/>
      <c r="C339" s="90" t="s">
        <v>1534</v>
      </c>
      <c r="D339" s="64">
        <v>30</v>
      </c>
      <c r="E339" s="64">
        <f t="shared" si="8"/>
        <v>210</v>
      </c>
      <c r="F339" s="83" t="s">
        <v>1722</v>
      </c>
      <c r="G339" s="63"/>
      <c r="H339" s="66"/>
      <c r="I339" s="66"/>
      <c r="J339" s="66"/>
      <c r="K339" s="66"/>
    </row>
    <row r="340" spans="2:11">
      <c r="B340" s="63"/>
      <c r="C340" s="90" t="s">
        <v>1534</v>
      </c>
      <c r="D340" s="64">
        <v>30</v>
      </c>
      <c r="E340" s="64">
        <f t="shared" si="8"/>
        <v>220</v>
      </c>
      <c r="F340" s="83" t="s">
        <v>1730</v>
      </c>
      <c r="G340" s="63"/>
      <c r="H340" s="66"/>
      <c r="I340" s="66"/>
      <c r="J340" s="66"/>
      <c r="K340" s="66"/>
    </row>
    <row r="341" spans="2:11">
      <c r="B341" s="63"/>
      <c r="C341" s="90" t="s">
        <v>1534</v>
      </c>
      <c r="D341" s="64">
        <v>30</v>
      </c>
      <c r="E341" s="64">
        <f t="shared" si="8"/>
        <v>230</v>
      </c>
      <c r="F341" s="83" t="s">
        <v>2104</v>
      </c>
      <c r="G341" s="63"/>
      <c r="H341" s="66"/>
      <c r="I341" s="66"/>
      <c r="J341" s="66"/>
      <c r="K341" s="66"/>
    </row>
    <row r="342" spans="2:11">
      <c r="B342" s="63"/>
      <c r="C342" s="90" t="s">
        <v>1534</v>
      </c>
      <c r="D342" s="64">
        <v>30</v>
      </c>
      <c r="E342" s="64">
        <f t="shared" si="8"/>
        <v>240</v>
      </c>
      <c r="F342" s="83" t="s">
        <v>2105</v>
      </c>
      <c r="G342" s="63"/>
      <c r="H342" s="66"/>
      <c r="I342" s="66"/>
      <c r="J342" s="66"/>
      <c r="K342" s="66"/>
    </row>
    <row r="343" spans="2:11">
      <c r="B343" s="63"/>
      <c r="C343" s="90" t="s">
        <v>1534</v>
      </c>
      <c r="D343" s="64">
        <v>30</v>
      </c>
      <c r="E343" s="64">
        <f t="shared" si="8"/>
        <v>250</v>
      </c>
      <c r="F343" s="83" t="s">
        <v>2106</v>
      </c>
      <c r="G343" s="63"/>
      <c r="H343" s="66"/>
      <c r="I343" s="66"/>
      <c r="J343" s="66"/>
      <c r="K343" s="66"/>
    </row>
    <row r="344" spans="2:11">
      <c r="B344" s="63"/>
      <c r="C344" s="90"/>
      <c r="D344" s="64"/>
      <c r="E344" s="64"/>
      <c r="F344" s="83"/>
      <c r="G344" s="63"/>
      <c r="H344" s="66"/>
      <c r="I344" s="66"/>
      <c r="J344" s="66"/>
      <c r="K344" s="66"/>
    </row>
    <row r="345" spans="2:11">
      <c r="B345" s="63"/>
      <c r="C345" s="91" t="s">
        <v>1534</v>
      </c>
      <c r="D345" s="82">
        <v>40</v>
      </c>
      <c r="E345" s="3349" t="s">
        <v>2107</v>
      </c>
      <c r="F345" s="3349"/>
      <c r="G345" s="63"/>
      <c r="H345" s="66"/>
      <c r="I345" s="66"/>
      <c r="J345" s="66"/>
      <c r="K345" s="66"/>
    </row>
    <row r="346" spans="2:11" ht="6" customHeight="1">
      <c r="B346" s="63"/>
      <c r="C346" s="90"/>
      <c r="D346" s="64"/>
      <c r="E346" s="63"/>
      <c r="F346" s="63"/>
      <c r="G346" s="63"/>
      <c r="H346" s="66"/>
      <c r="I346" s="66"/>
      <c r="J346" s="66"/>
      <c r="K346" s="66"/>
    </row>
    <row r="347" spans="2:11">
      <c r="B347" s="63"/>
      <c r="C347" s="90" t="s">
        <v>1534</v>
      </c>
      <c r="D347" s="64">
        <v>40</v>
      </c>
      <c r="E347" s="64">
        <v>100</v>
      </c>
      <c r="F347" s="63" t="s">
        <v>2108</v>
      </c>
      <c r="G347" s="63"/>
      <c r="H347" s="66"/>
      <c r="I347" s="66"/>
      <c r="J347" s="66"/>
      <c r="K347" s="66"/>
    </row>
    <row r="348" spans="2:11">
      <c r="B348" s="63"/>
      <c r="C348" s="90" t="s">
        <v>1534</v>
      </c>
      <c r="D348" s="64">
        <v>40</v>
      </c>
      <c r="E348" s="64">
        <v>200</v>
      </c>
      <c r="F348" s="63" t="s">
        <v>2109</v>
      </c>
      <c r="G348" s="63"/>
      <c r="H348" s="66"/>
      <c r="I348" s="66"/>
      <c r="J348" s="66"/>
      <c r="K348" s="66"/>
    </row>
    <row r="349" spans="2:11">
      <c r="B349" s="63"/>
      <c r="C349" s="90"/>
      <c r="D349" s="64"/>
      <c r="E349" s="64"/>
      <c r="F349" s="63"/>
      <c r="G349" s="63"/>
      <c r="H349" s="66"/>
      <c r="I349" s="66"/>
      <c r="J349" s="66"/>
      <c r="K349" s="66"/>
    </row>
    <row r="350" spans="2:11">
      <c r="B350" s="63"/>
      <c r="C350" s="91" t="s">
        <v>1534</v>
      </c>
      <c r="D350" s="82">
        <v>50</v>
      </c>
      <c r="E350" s="3349" t="s">
        <v>2110</v>
      </c>
      <c r="F350" s="3349"/>
      <c r="G350" s="63"/>
      <c r="H350" s="66"/>
      <c r="I350" s="66"/>
      <c r="J350" s="66"/>
      <c r="K350" s="66"/>
    </row>
    <row r="351" spans="2:11" ht="6" customHeight="1">
      <c r="B351" s="63"/>
      <c r="C351" s="90"/>
      <c r="D351" s="64"/>
      <c r="E351" s="63"/>
      <c r="F351" s="63"/>
      <c r="G351" s="63"/>
      <c r="H351" s="66"/>
      <c r="I351" s="66"/>
      <c r="J351" s="66"/>
      <c r="K351" s="66"/>
    </row>
    <row r="352" spans="2:11">
      <c r="B352" s="63"/>
      <c r="C352" s="90" t="s">
        <v>1534</v>
      </c>
      <c r="D352" s="64">
        <v>50</v>
      </c>
      <c r="E352" s="64">
        <v>100</v>
      </c>
      <c r="F352" s="83" t="s">
        <v>1634</v>
      </c>
      <c r="G352" s="63"/>
      <c r="H352" s="66"/>
      <c r="I352" s="66"/>
      <c r="J352" s="66"/>
      <c r="K352" s="66"/>
    </row>
    <row r="353" spans="2:11">
      <c r="B353" s="63"/>
      <c r="C353" s="90" t="s">
        <v>1534</v>
      </c>
      <c r="D353" s="64">
        <v>50</v>
      </c>
      <c r="E353" s="64">
        <f t="shared" ref="E353:E384" si="9">E352+5</f>
        <v>105</v>
      </c>
      <c r="F353" s="83" t="s">
        <v>800</v>
      </c>
      <c r="G353" s="63"/>
      <c r="H353" s="66"/>
      <c r="I353" s="66"/>
      <c r="J353" s="66"/>
      <c r="K353" s="66"/>
    </row>
    <row r="354" spans="2:11">
      <c r="B354" s="63"/>
      <c r="C354" s="90" t="s">
        <v>1534</v>
      </c>
      <c r="D354" s="64">
        <v>50</v>
      </c>
      <c r="E354" s="64">
        <f t="shared" si="9"/>
        <v>110</v>
      </c>
      <c r="F354" s="83" t="s">
        <v>801</v>
      </c>
      <c r="G354" s="63"/>
      <c r="H354" s="66"/>
      <c r="I354" s="66"/>
      <c r="J354" s="66"/>
      <c r="K354" s="66"/>
    </row>
    <row r="355" spans="2:11">
      <c r="B355" s="63"/>
      <c r="C355" s="90" t="s">
        <v>1534</v>
      </c>
      <c r="D355" s="64">
        <v>50</v>
      </c>
      <c r="E355" s="64">
        <f t="shared" si="9"/>
        <v>115</v>
      </c>
      <c r="F355" s="88" t="s">
        <v>802</v>
      </c>
      <c r="G355" s="63"/>
      <c r="H355" s="66"/>
      <c r="I355" s="66"/>
      <c r="J355" s="66"/>
      <c r="K355" s="66"/>
    </row>
    <row r="356" spans="2:11">
      <c r="B356" s="63"/>
      <c r="C356" s="90" t="s">
        <v>1534</v>
      </c>
      <c r="D356" s="64">
        <v>50</v>
      </c>
      <c r="E356" s="64">
        <f t="shared" si="9"/>
        <v>120</v>
      </c>
      <c r="F356" s="88" t="s">
        <v>803</v>
      </c>
      <c r="G356" s="63"/>
      <c r="H356" s="66"/>
      <c r="I356" s="66"/>
      <c r="J356" s="66"/>
      <c r="K356" s="66"/>
    </row>
    <row r="357" spans="2:11">
      <c r="B357" s="63"/>
      <c r="C357" s="90" t="s">
        <v>1534</v>
      </c>
      <c r="D357" s="64">
        <v>50</v>
      </c>
      <c r="E357" s="64">
        <f t="shared" si="9"/>
        <v>125</v>
      </c>
      <c r="F357" s="88" t="s">
        <v>804</v>
      </c>
      <c r="G357" s="63"/>
      <c r="H357" s="66"/>
      <c r="I357" s="66"/>
      <c r="J357" s="66"/>
      <c r="K357" s="66"/>
    </row>
    <row r="358" spans="2:11">
      <c r="B358" s="63"/>
      <c r="C358" s="90" t="s">
        <v>1534</v>
      </c>
      <c r="D358" s="64">
        <v>50</v>
      </c>
      <c r="E358" s="64">
        <f t="shared" si="9"/>
        <v>130</v>
      </c>
      <c r="F358" s="88" t="s">
        <v>756</v>
      </c>
      <c r="G358" s="63"/>
      <c r="H358" s="66"/>
      <c r="I358" s="66"/>
      <c r="J358" s="66"/>
      <c r="K358" s="66"/>
    </row>
    <row r="359" spans="2:11">
      <c r="B359" s="63"/>
      <c r="C359" s="90" t="s">
        <v>1534</v>
      </c>
      <c r="D359" s="64">
        <v>50</v>
      </c>
      <c r="E359" s="64">
        <f t="shared" si="9"/>
        <v>135</v>
      </c>
      <c r="F359" s="83" t="s">
        <v>653</v>
      </c>
      <c r="G359" s="63"/>
      <c r="H359" s="66"/>
      <c r="I359" s="66"/>
      <c r="J359" s="66"/>
      <c r="K359" s="66"/>
    </row>
    <row r="360" spans="2:11">
      <c r="B360" s="63"/>
      <c r="C360" s="90" t="s">
        <v>1534</v>
      </c>
      <c r="D360" s="64">
        <v>50</v>
      </c>
      <c r="E360" s="64">
        <f t="shared" si="9"/>
        <v>140</v>
      </c>
      <c r="F360" s="83" t="s">
        <v>654</v>
      </c>
      <c r="G360" s="63"/>
      <c r="H360" s="66"/>
      <c r="I360" s="66"/>
      <c r="J360" s="66"/>
      <c r="K360" s="66"/>
    </row>
    <row r="361" spans="2:11">
      <c r="B361" s="63"/>
      <c r="C361" s="90" t="s">
        <v>1534</v>
      </c>
      <c r="D361" s="64">
        <v>50</v>
      </c>
      <c r="E361" s="64">
        <f t="shared" si="9"/>
        <v>145</v>
      </c>
      <c r="F361" s="83" t="s">
        <v>655</v>
      </c>
      <c r="G361" s="63"/>
      <c r="H361" s="66"/>
      <c r="I361" s="66"/>
      <c r="J361" s="66"/>
      <c r="K361" s="66"/>
    </row>
    <row r="362" spans="2:11">
      <c r="B362" s="63"/>
      <c r="C362" s="90" t="s">
        <v>1534</v>
      </c>
      <c r="D362" s="64">
        <v>50</v>
      </c>
      <c r="E362" s="64">
        <f t="shared" si="9"/>
        <v>150</v>
      </c>
      <c r="F362" s="83" t="s">
        <v>1077</v>
      </c>
      <c r="G362" s="63"/>
      <c r="H362" s="66"/>
      <c r="I362" s="66"/>
      <c r="J362" s="66"/>
      <c r="K362" s="66"/>
    </row>
    <row r="363" spans="2:11">
      <c r="B363" s="63"/>
      <c r="C363" s="90" t="s">
        <v>1534</v>
      </c>
      <c r="D363" s="64">
        <v>50</v>
      </c>
      <c r="E363" s="64">
        <f t="shared" si="9"/>
        <v>155</v>
      </c>
      <c r="F363" s="83" t="s">
        <v>1471</v>
      </c>
      <c r="G363" s="63"/>
      <c r="H363" s="66"/>
      <c r="I363" s="66"/>
      <c r="J363" s="66"/>
      <c r="K363" s="66"/>
    </row>
    <row r="364" spans="2:11">
      <c r="B364" s="63"/>
      <c r="C364" s="90" t="s">
        <v>1534</v>
      </c>
      <c r="D364" s="64">
        <v>50</v>
      </c>
      <c r="E364" s="64">
        <f t="shared" si="9"/>
        <v>160</v>
      </c>
      <c r="F364" s="83" t="s">
        <v>1473</v>
      </c>
      <c r="G364" s="63"/>
      <c r="H364" s="66"/>
      <c r="I364" s="66"/>
      <c r="J364" s="66"/>
      <c r="K364" s="66"/>
    </row>
    <row r="365" spans="2:11">
      <c r="B365" s="63"/>
      <c r="C365" s="90" t="s">
        <v>1534</v>
      </c>
      <c r="D365" s="64">
        <v>50</v>
      </c>
      <c r="E365" s="64">
        <f t="shared" si="9"/>
        <v>165</v>
      </c>
      <c r="F365" s="88" t="s">
        <v>1564</v>
      </c>
      <c r="G365" s="63"/>
      <c r="H365" s="66"/>
      <c r="I365" s="66"/>
      <c r="J365" s="66"/>
      <c r="K365" s="66"/>
    </row>
    <row r="366" spans="2:11">
      <c r="B366" s="63"/>
      <c r="C366" s="90" t="s">
        <v>1534</v>
      </c>
      <c r="D366" s="64">
        <v>50</v>
      </c>
      <c r="E366" s="64">
        <f t="shared" si="9"/>
        <v>170</v>
      </c>
      <c r="F366" s="88" t="s">
        <v>1565</v>
      </c>
      <c r="G366" s="63"/>
      <c r="H366" s="66"/>
      <c r="I366" s="66"/>
      <c r="J366" s="66"/>
      <c r="K366" s="66"/>
    </row>
    <row r="367" spans="2:11">
      <c r="B367" s="63"/>
      <c r="C367" s="90" t="s">
        <v>1534</v>
      </c>
      <c r="D367" s="64">
        <v>50</v>
      </c>
      <c r="E367" s="64">
        <f t="shared" si="9"/>
        <v>175</v>
      </c>
      <c r="F367" s="88" t="s">
        <v>656</v>
      </c>
      <c r="G367" s="63"/>
      <c r="H367" s="66"/>
      <c r="I367" s="66"/>
      <c r="J367" s="66"/>
      <c r="K367" s="66"/>
    </row>
    <row r="368" spans="2:11">
      <c r="B368" s="63"/>
      <c r="C368" s="90" t="s">
        <v>1534</v>
      </c>
      <c r="D368" s="64">
        <v>50</v>
      </c>
      <c r="E368" s="64">
        <f t="shared" si="9"/>
        <v>180</v>
      </c>
      <c r="F368" s="88" t="s">
        <v>1252</v>
      </c>
      <c r="G368" s="63"/>
      <c r="H368" s="66"/>
      <c r="I368" s="66"/>
      <c r="J368" s="66"/>
      <c r="K368" s="66"/>
    </row>
    <row r="369" spans="2:11">
      <c r="B369" s="63"/>
      <c r="C369" s="90" t="s">
        <v>1534</v>
      </c>
      <c r="D369" s="64">
        <v>50</v>
      </c>
      <c r="E369" s="64">
        <f t="shared" si="9"/>
        <v>185</v>
      </c>
      <c r="F369" s="88" t="s">
        <v>1563</v>
      </c>
      <c r="G369" s="63"/>
      <c r="H369" s="66"/>
      <c r="I369" s="66"/>
      <c r="J369" s="66"/>
      <c r="K369" s="66"/>
    </row>
    <row r="370" spans="2:11">
      <c r="B370" s="63"/>
      <c r="C370" s="90" t="s">
        <v>1534</v>
      </c>
      <c r="D370" s="64">
        <v>50</v>
      </c>
      <c r="E370" s="64">
        <f t="shared" si="9"/>
        <v>190</v>
      </c>
      <c r="F370" s="88" t="s">
        <v>1622</v>
      </c>
      <c r="G370" s="63"/>
      <c r="H370" s="66"/>
      <c r="I370" s="66"/>
      <c r="J370" s="66"/>
      <c r="K370" s="66"/>
    </row>
    <row r="371" spans="2:11">
      <c r="B371" s="63"/>
      <c r="C371" s="90" t="s">
        <v>1534</v>
      </c>
      <c r="D371" s="64">
        <v>50</v>
      </c>
      <c r="E371" s="64">
        <f t="shared" si="9"/>
        <v>195</v>
      </c>
      <c r="F371" s="88" t="s">
        <v>1621</v>
      </c>
      <c r="G371" s="63"/>
      <c r="H371" s="66"/>
      <c r="I371" s="66"/>
      <c r="J371" s="66"/>
      <c r="K371" s="66"/>
    </row>
    <row r="372" spans="2:11">
      <c r="B372" s="63"/>
      <c r="C372" s="90" t="s">
        <v>1534</v>
      </c>
      <c r="D372" s="64">
        <v>50</v>
      </c>
      <c r="E372" s="64">
        <f t="shared" si="9"/>
        <v>200</v>
      </c>
      <c r="F372" s="88" t="s">
        <v>1721</v>
      </c>
      <c r="G372" s="63"/>
      <c r="H372" s="66"/>
      <c r="I372" s="66"/>
      <c r="J372" s="66"/>
      <c r="K372" s="66"/>
    </row>
    <row r="373" spans="2:11">
      <c r="B373" s="63"/>
      <c r="C373" s="90" t="s">
        <v>1534</v>
      </c>
      <c r="D373" s="64">
        <v>50</v>
      </c>
      <c r="E373" s="64">
        <f t="shared" si="9"/>
        <v>205</v>
      </c>
      <c r="F373" s="88" t="s">
        <v>1809</v>
      </c>
      <c r="G373" s="63"/>
      <c r="H373" s="66"/>
      <c r="I373" s="66"/>
      <c r="J373" s="66"/>
      <c r="K373" s="66"/>
    </row>
    <row r="374" spans="2:11">
      <c r="B374" s="63"/>
      <c r="C374" s="90" t="s">
        <v>1534</v>
      </c>
      <c r="D374" s="64">
        <v>50</v>
      </c>
      <c r="E374" s="64">
        <f t="shared" si="9"/>
        <v>210</v>
      </c>
      <c r="F374" s="88" t="s">
        <v>1810</v>
      </c>
      <c r="G374" s="63"/>
      <c r="H374" s="66"/>
      <c r="I374" s="66"/>
      <c r="J374" s="66"/>
      <c r="K374" s="66"/>
    </row>
    <row r="375" spans="2:11">
      <c r="B375" s="63"/>
      <c r="C375" s="90" t="s">
        <v>1534</v>
      </c>
      <c r="D375" s="64">
        <v>50</v>
      </c>
      <c r="E375" s="64">
        <f t="shared" si="9"/>
        <v>215</v>
      </c>
      <c r="F375" s="88" t="s">
        <v>1633</v>
      </c>
      <c r="G375" s="63"/>
      <c r="H375" s="66"/>
      <c r="I375" s="66"/>
      <c r="J375" s="66"/>
      <c r="K375" s="66"/>
    </row>
    <row r="376" spans="2:11">
      <c r="B376" s="63"/>
      <c r="C376" s="90" t="s">
        <v>1534</v>
      </c>
      <c r="D376" s="64">
        <v>50</v>
      </c>
      <c r="E376" s="64">
        <f t="shared" si="9"/>
        <v>220</v>
      </c>
      <c r="F376" s="88" t="s">
        <v>1056</v>
      </c>
      <c r="G376" s="63"/>
      <c r="H376" s="66"/>
      <c r="I376" s="66"/>
      <c r="J376" s="66"/>
      <c r="K376" s="66"/>
    </row>
    <row r="377" spans="2:11">
      <c r="B377" s="63"/>
      <c r="C377" s="90" t="s">
        <v>1534</v>
      </c>
      <c r="D377" s="64">
        <v>50</v>
      </c>
      <c r="E377" s="64">
        <f t="shared" si="9"/>
        <v>225</v>
      </c>
      <c r="F377" s="88" t="s">
        <v>651</v>
      </c>
      <c r="G377" s="63"/>
      <c r="H377" s="66"/>
      <c r="I377" s="66"/>
      <c r="J377" s="66"/>
      <c r="K377" s="66"/>
    </row>
    <row r="378" spans="2:11">
      <c r="B378" s="63"/>
      <c r="C378" s="90" t="s">
        <v>1534</v>
      </c>
      <c r="D378" s="64">
        <v>50</v>
      </c>
      <c r="E378" s="64">
        <f t="shared" si="9"/>
        <v>230</v>
      </c>
      <c r="F378" s="88" t="s">
        <v>1251</v>
      </c>
      <c r="G378" s="63"/>
      <c r="H378" s="66"/>
      <c r="I378" s="66"/>
      <c r="J378" s="66"/>
      <c r="K378" s="66"/>
    </row>
    <row r="379" spans="2:11">
      <c r="B379" s="63"/>
      <c r="C379" s="90" t="s">
        <v>1534</v>
      </c>
      <c r="D379" s="64">
        <v>50</v>
      </c>
      <c r="E379" s="64">
        <f t="shared" si="9"/>
        <v>235</v>
      </c>
      <c r="F379" s="83" t="s">
        <v>1475</v>
      </c>
      <c r="G379" s="63"/>
      <c r="H379" s="66"/>
      <c r="I379" s="66"/>
      <c r="J379" s="66"/>
      <c r="K379" s="66"/>
    </row>
    <row r="380" spans="2:11">
      <c r="B380" s="63"/>
      <c r="C380" s="90" t="s">
        <v>1534</v>
      </c>
      <c r="D380" s="64">
        <v>50</v>
      </c>
      <c r="E380" s="64">
        <f t="shared" si="9"/>
        <v>240</v>
      </c>
      <c r="F380" s="83" t="s">
        <v>1472</v>
      </c>
      <c r="G380" s="63"/>
      <c r="H380" s="66"/>
      <c r="I380" s="66"/>
      <c r="J380" s="66"/>
      <c r="K380" s="66"/>
    </row>
    <row r="381" spans="2:11">
      <c r="B381" s="63"/>
      <c r="C381" s="90" t="s">
        <v>1534</v>
      </c>
      <c r="D381" s="64">
        <v>50</v>
      </c>
      <c r="E381" s="64">
        <f t="shared" si="9"/>
        <v>245</v>
      </c>
      <c r="F381" s="83" t="s">
        <v>652</v>
      </c>
      <c r="G381" s="63"/>
      <c r="H381" s="66"/>
      <c r="I381" s="66"/>
      <c r="J381" s="66"/>
      <c r="K381" s="66"/>
    </row>
    <row r="382" spans="2:11">
      <c r="B382" s="63"/>
      <c r="C382" s="90" t="s">
        <v>1534</v>
      </c>
      <c r="D382" s="64">
        <v>50</v>
      </c>
      <c r="E382" s="64">
        <f t="shared" si="9"/>
        <v>250</v>
      </c>
      <c r="F382" s="83" t="s">
        <v>1474</v>
      </c>
      <c r="G382" s="63"/>
      <c r="H382" s="66"/>
      <c r="I382" s="66"/>
      <c r="J382" s="66"/>
      <c r="K382" s="66"/>
    </row>
    <row r="383" spans="2:11">
      <c r="B383" s="63"/>
      <c r="C383" s="90" t="s">
        <v>1534</v>
      </c>
      <c r="D383" s="64">
        <v>50</v>
      </c>
      <c r="E383" s="64">
        <f t="shared" si="9"/>
        <v>255</v>
      </c>
      <c r="F383" s="83" t="s">
        <v>1526</v>
      </c>
      <c r="G383" s="63"/>
      <c r="H383" s="66"/>
      <c r="I383" s="66"/>
      <c r="J383" s="66"/>
      <c r="K383" s="66"/>
    </row>
    <row r="384" spans="2:11">
      <c r="B384" s="63"/>
      <c r="C384" s="90" t="s">
        <v>1534</v>
      </c>
      <c r="D384" s="64">
        <v>50</v>
      </c>
      <c r="E384" s="64">
        <f t="shared" si="9"/>
        <v>260</v>
      </c>
      <c r="F384" s="88" t="s">
        <v>1492</v>
      </c>
      <c r="G384" s="63"/>
      <c r="H384" s="66"/>
      <c r="I384" s="66"/>
      <c r="J384" s="66"/>
      <c r="K384" s="66"/>
    </row>
    <row r="385" spans="2:11">
      <c r="B385" s="63"/>
      <c r="C385" s="90" t="s">
        <v>1534</v>
      </c>
      <c r="D385" s="64">
        <v>50</v>
      </c>
      <c r="E385" s="64">
        <f t="shared" ref="E385:E416" si="10">E384+5</f>
        <v>265</v>
      </c>
      <c r="F385" s="83" t="s">
        <v>1527</v>
      </c>
      <c r="G385" s="63"/>
      <c r="H385" s="66"/>
      <c r="I385" s="66"/>
      <c r="J385" s="66"/>
      <c r="K385" s="66"/>
    </row>
    <row r="386" spans="2:11">
      <c r="B386" s="63"/>
      <c r="C386" s="90" t="s">
        <v>1534</v>
      </c>
      <c r="D386" s="64">
        <v>50</v>
      </c>
      <c r="E386" s="64">
        <f t="shared" si="10"/>
        <v>270</v>
      </c>
      <c r="F386" s="83" t="s">
        <v>1528</v>
      </c>
      <c r="G386" s="63"/>
      <c r="H386" s="66"/>
      <c r="I386" s="66"/>
      <c r="J386" s="66"/>
      <c r="K386" s="66"/>
    </row>
    <row r="387" spans="2:11">
      <c r="B387" s="63"/>
      <c r="C387" s="90" t="s">
        <v>1534</v>
      </c>
      <c r="D387" s="64">
        <v>50</v>
      </c>
      <c r="E387" s="64">
        <f t="shared" si="10"/>
        <v>275</v>
      </c>
      <c r="F387" s="83" t="s">
        <v>1249</v>
      </c>
      <c r="G387" s="63"/>
      <c r="H387" s="66"/>
      <c r="I387" s="66"/>
      <c r="J387" s="66"/>
      <c r="K387" s="66"/>
    </row>
    <row r="388" spans="2:11">
      <c r="B388" s="63"/>
      <c r="C388" s="90" t="s">
        <v>1534</v>
      </c>
      <c r="D388" s="64">
        <v>50</v>
      </c>
      <c r="E388" s="64">
        <f t="shared" si="10"/>
        <v>280</v>
      </c>
      <c r="F388" s="83" t="s">
        <v>1250</v>
      </c>
      <c r="G388" s="63"/>
      <c r="H388" s="66"/>
      <c r="I388" s="66"/>
      <c r="J388" s="66"/>
      <c r="K388" s="66"/>
    </row>
    <row r="389" spans="2:11">
      <c r="B389" s="63"/>
      <c r="C389" s="90" t="s">
        <v>1534</v>
      </c>
      <c r="D389" s="64">
        <v>50</v>
      </c>
      <c r="E389" s="64">
        <f t="shared" si="10"/>
        <v>285</v>
      </c>
      <c r="F389" s="83" t="s">
        <v>1851</v>
      </c>
      <c r="G389" s="63"/>
      <c r="H389" s="66"/>
      <c r="I389" s="66"/>
      <c r="J389" s="66"/>
      <c r="K389" s="66"/>
    </row>
    <row r="390" spans="2:11">
      <c r="B390" s="63"/>
      <c r="C390" s="90" t="s">
        <v>1534</v>
      </c>
      <c r="D390" s="64">
        <v>50</v>
      </c>
      <c r="E390" s="64">
        <f t="shared" si="10"/>
        <v>290</v>
      </c>
      <c r="F390" s="83" t="s">
        <v>1852</v>
      </c>
      <c r="G390" s="63"/>
      <c r="H390" s="66"/>
      <c r="I390" s="66"/>
      <c r="J390" s="66"/>
      <c r="K390" s="66"/>
    </row>
    <row r="391" spans="2:11">
      <c r="B391" s="63"/>
      <c r="C391" s="90" t="s">
        <v>1534</v>
      </c>
      <c r="D391" s="64">
        <v>50</v>
      </c>
      <c r="E391" s="64">
        <f t="shared" si="10"/>
        <v>295</v>
      </c>
      <c r="F391" s="83" t="s">
        <v>1853</v>
      </c>
      <c r="G391" s="63"/>
      <c r="H391" s="66"/>
      <c r="I391" s="66"/>
      <c r="J391" s="66"/>
      <c r="K391" s="66"/>
    </row>
    <row r="392" spans="2:11">
      <c r="B392" s="63"/>
      <c r="C392" s="90" t="s">
        <v>1534</v>
      </c>
      <c r="D392" s="64">
        <v>50</v>
      </c>
      <c r="E392" s="64">
        <f t="shared" si="10"/>
        <v>300</v>
      </c>
      <c r="F392" s="83" t="s">
        <v>1854</v>
      </c>
      <c r="G392" s="63"/>
      <c r="H392" s="66"/>
      <c r="I392" s="66"/>
      <c r="J392" s="66"/>
      <c r="K392" s="66"/>
    </row>
    <row r="393" spans="2:11">
      <c r="B393" s="63"/>
      <c r="C393" s="90" t="s">
        <v>1534</v>
      </c>
      <c r="D393" s="64">
        <v>50</v>
      </c>
      <c r="E393" s="64">
        <f t="shared" si="10"/>
        <v>305</v>
      </c>
      <c r="F393" s="83" t="s">
        <v>1855</v>
      </c>
      <c r="G393" s="63"/>
      <c r="H393" s="66"/>
      <c r="I393" s="66"/>
      <c r="J393" s="66"/>
      <c r="K393" s="66"/>
    </row>
    <row r="394" spans="2:11">
      <c r="B394" s="63"/>
      <c r="C394" s="90" t="s">
        <v>1534</v>
      </c>
      <c r="D394" s="64">
        <v>50</v>
      </c>
      <c r="E394" s="64">
        <f t="shared" si="10"/>
        <v>310</v>
      </c>
      <c r="F394" s="83" t="s">
        <v>1856</v>
      </c>
      <c r="G394" s="63"/>
      <c r="H394" s="66"/>
      <c r="I394" s="66"/>
      <c r="J394" s="66"/>
      <c r="K394" s="66"/>
    </row>
    <row r="395" spans="2:11">
      <c r="B395" s="63"/>
      <c r="C395" s="90" t="s">
        <v>1534</v>
      </c>
      <c r="D395" s="64">
        <v>50</v>
      </c>
      <c r="E395" s="64">
        <f t="shared" si="10"/>
        <v>315</v>
      </c>
      <c r="F395" s="83" t="s">
        <v>1145</v>
      </c>
      <c r="G395" s="63"/>
      <c r="H395" s="66"/>
      <c r="I395" s="66"/>
      <c r="J395" s="66"/>
      <c r="K395" s="66"/>
    </row>
    <row r="396" spans="2:11">
      <c r="B396" s="63"/>
      <c r="C396" s="90" t="s">
        <v>1534</v>
      </c>
      <c r="D396" s="64">
        <v>50</v>
      </c>
      <c r="E396" s="64">
        <f t="shared" si="10"/>
        <v>320</v>
      </c>
      <c r="F396" s="83" t="s">
        <v>1707</v>
      </c>
      <c r="G396" s="63"/>
      <c r="H396" s="66"/>
      <c r="I396" s="66"/>
      <c r="J396" s="66"/>
      <c r="K396" s="66"/>
    </row>
    <row r="397" spans="2:11">
      <c r="B397" s="63"/>
      <c r="C397" s="90" t="s">
        <v>1534</v>
      </c>
      <c r="D397" s="64">
        <v>50</v>
      </c>
      <c r="E397" s="64">
        <f t="shared" si="10"/>
        <v>325</v>
      </c>
      <c r="F397" s="88" t="s">
        <v>1146</v>
      </c>
      <c r="G397" s="63"/>
      <c r="H397" s="66"/>
      <c r="I397" s="66"/>
      <c r="J397" s="66"/>
      <c r="K397" s="66"/>
    </row>
    <row r="398" spans="2:11">
      <c r="B398" s="63"/>
      <c r="C398" s="90" t="s">
        <v>1534</v>
      </c>
      <c r="D398" s="64">
        <v>50</v>
      </c>
      <c r="E398" s="64">
        <f t="shared" si="10"/>
        <v>330</v>
      </c>
      <c r="F398" s="88" t="s">
        <v>1147</v>
      </c>
      <c r="G398" s="63"/>
      <c r="H398" s="66"/>
      <c r="I398" s="66"/>
      <c r="J398" s="66"/>
      <c r="K398" s="66"/>
    </row>
    <row r="399" spans="2:11">
      <c r="B399" s="63"/>
      <c r="C399" s="90" t="s">
        <v>1534</v>
      </c>
      <c r="D399" s="64">
        <v>50</v>
      </c>
      <c r="E399" s="64">
        <f t="shared" si="10"/>
        <v>335</v>
      </c>
      <c r="F399" s="83" t="s">
        <v>1148</v>
      </c>
      <c r="G399" s="63"/>
      <c r="H399" s="66"/>
      <c r="I399" s="66"/>
      <c r="J399" s="66"/>
      <c r="K399" s="66"/>
    </row>
    <row r="400" spans="2:11">
      <c r="B400" s="63"/>
      <c r="C400" s="90" t="s">
        <v>1534</v>
      </c>
      <c r="D400" s="64">
        <v>50</v>
      </c>
      <c r="E400" s="64">
        <f t="shared" si="10"/>
        <v>340</v>
      </c>
      <c r="F400" s="88" t="s">
        <v>1149</v>
      </c>
      <c r="G400" s="63"/>
      <c r="H400" s="66"/>
      <c r="I400" s="66"/>
      <c r="J400" s="66"/>
      <c r="K400" s="66"/>
    </row>
    <row r="401" spans="2:11">
      <c r="B401" s="63"/>
      <c r="C401" s="90" t="s">
        <v>1534</v>
      </c>
      <c r="D401" s="64">
        <v>50</v>
      </c>
      <c r="E401" s="64">
        <f t="shared" si="10"/>
        <v>345</v>
      </c>
      <c r="F401" s="88" t="s">
        <v>1150</v>
      </c>
      <c r="G401" s="63"/>
      <c r="H401" s="66"/>
      <c r="I401" s="66"/>
      <c r="J401" s="66"/>
      <c r="K401" s="66"/>
    </row>
    <row r="402" spans="2:11">
      <c r="B402" s="63"/>
      <c r="C402" s="90" t="s">
        <v>1534</v>
      </c>
      <c r="D402" s="64">
        <v>50</v>
      </c>
      <c r="E402" s="64">
        <f t="shared" si="10"/>
        <v>350</v>
      </c>
      <c r="F402" s="88" t="s">
        <v>105</v>
      </c>
      <c r="G402" s="63"/>
      <c r="H402" s="66"/>
      <c r="I402" s="66"/>
      <c r="J402" s="66"/>
      <c r="K402" s="66"/>
    </row>
    <row r="403" spans="2:11">
      <c r="B403" s="63"/>
      <c r="C403" s="90" t="s">
        <v>1534</v>
      </c>
      <c r="D403" s="64">
        <v>50</v>
      </c>
      <c r="E403" s="64">
        <f t="shared" si="10"/>
        <v>355</v>
      </c>
      <c r="F403" s="83" t="s">
        <v>106</v>
      </c>
      <c r="G403" s="63"/>
      <c r="H403" s="66"/>
      <c r="I403" s="66"/>
      <c r="J403" s="66"/>
      <c r="K403" s="66"/>
    </row>
    <row r="404" spans="2:11">
      <c r="B404" s="63"/>
      <c r="C404" s="90" t="s">
        <v>1534</v>
      </c>
      <c r="D404" s="64">
        <v>50</v>
      </c>
      <c r="E404" s="64">
        <f t="shared" si="10"/>
        <v>360</v>
      </c>
      <c r="F404" s="88" t="s">
        <v>1041</v>
      </c>
      <c r="G404" s="63"/>
      <c r="H404" s="66"/>
      <c r="I404" s="66"/>
      <c r="J404" s="66"/>
      <c r="K404" s="66"/>
    </row>
    <row r="405" spans="2:11">
      <c r="B405" s="63"/>
      <c r="C405" s="90" t="s">
        <v>1534</v>
      </c>
      <c r="D405" s="64">
        <v>50</v>
      </c>
      <c r="E405" s="64">
        <f t="shared" si="10"/>
        <v>365</v>
      </c>
      <c r="F405" s="88" t="s">
        <v>1039</v>
      </c>
      <c r="G405" s="63"/>
      <c r="H405" s="66"/>
      <c r="I405" s="66"/>
      <c r="J405" s="66"/>
      <c r="K405" s="66"/>
    </row>
    <row r="406" spans="2:11">
      <c r="B406" s="63"/>
      <c r="C406" s="90" t="s">
        <v>1534</v>
      </c>
      <c r="D406" s="64">
        <v>50</v>
      </c>
      <c r="E406" s="64">
        <f t="shared" si="10"/>
        <v>370</v>
      </c>
      <c r="F406" s="88" t="s">
        <v>639</v>
      </c>
      <c r="G406" s="63"/>
      <c r="H406" s="66"/>
      <c r="I406" s="66"/>
      <c r="J406" s="66"/>
      <c r="K406" s="66"/>
    </row>
    <row r="407" spans="2:11">
      <c r="B407" s="63"/>
      <c r="C407" s="90" t="s">
        <v>1534</v>
      </c>
      <c r="D407" s="64">
        <v>50</v>
      </c>
      <c r="E407" s="64">
        <f t="shared" si="10"/>
        <v>375</v>
      </c>
      <c r="F407" s="88" t="s">
        <v>640</v>
      </c>
      <c r="G407" s="63"/>
      <c r="H407" s="66"/>
      <c r="I407" s="66"/>
      <c r="J407" s="66"/>
      <c r="K407" s="66"/>
    </row>
    <row r="408" spans="2:11">
      <c r="B408" s="63"/>
      <c r="C408" s="90" t="s">
        <v>1534</v>
      </c>
      <c r="D408" s="64">
        <v>50</v>
      </c>
      <c r="E408" s="64">
        <f t="shared" si="10"/>
        <v>380</v>
      </c>
      <c r="F408" s="88" t="s">
        <v>2046</v>
      </c>
      <c r="G408" s="63"/>
      <c r="H408" s="66"/>
      <c r="I408" s="66"/>
      <c r="J408" s="66"/>
      <c r="K408" s="66"/>
    </row>
    <row r="409" spans="2:11">
      <c r="B409" s="63"/>
      <c r="C409" s="90" t="s">
        <v>1534</v>
      </c>
      <c r="D409" s="64">
        <v>50</v>
      </c>
      <c r="E409" s="64">
        <f t="shared" si="10"/>
        <v>385</v>
      </c>
      <c r="F409" s="88" t="s">
        <v>1040</v>
      </c>
      <c r="G409" s="63"/>
      <c r="H409" s="66"/>
      <c r="I409" s="66"/>
      <c r="J409" s="66"/>
      <c r="K409" s="66"/>
    </row>
    <row r="410" spans="2:11">
      <c r="B410" s="63"/>
      <c r="C410" s="90" t="s">
        <v>1534</v>
      </c>
      <c r="D410" s="64">
        <v>50</v>
      </c>
      <c r="E410" s="64">
        <f t="shared" si="10"/>
        <v>390</v>
      </c>
      <c r="F410" s="88" t="s">
        <v>1038</v>
      </c>
      <c r="G410" s="63"/>
      <c r="H410" s="66"/>
      <c r="I410" s="66"/>
      <c r="J410" s="66"/>
      <c r="K410" s="66"/>
    </row>
    <row r="411" spans="2:11">
      <c r="B411" s="63"/>
      <c r="C411" s="90" t="s">
        <v>1534</v>
      </c>
      <c r="D411" s="64">
        <v>50</v>
      </c>
      <c r="E411" s="64">
        <f t="shared" si="10"/>
        <v>395</v>
      </c>
      <c r="F411" s="88" t="s">
        <v>1059</v>
      </c>
      <c r="G411" s="63"/>
      <c r="H411" s="66"/>
      <c r="I411" s="66"/>
      <c r="J411" s="66"/>
      <c r="K411" s="66"/>
    </row>
    <row r="412" spans="2:11">
      <c r="B412" s="63"/>
      <c r="C412" s="90" t="s">
        <v>1534</v>
      </c>
      <c r="D412" s="64">
        <v>50</v>
      </c>
      <c r="E412" s="64">
        <f t="shared" si="10"/>
        <v>400</v>
      </c>
      <c r="F412" s="88" t="s">
        <v>2019</v>
      </c>
      <c r="G412" s="63"/>
      <c r="H412" s="66"/>
      <c r="I412" s="66"/>
      <c r="J412" s="66"/>
      <c r="K412" s="66"/>
    </row>
    <row r="413" spans="2:11">
      <c r="B413" s="63"/>
      <c r="C413" s="90" t="s">
        <v>1534</v>
      </c>
      <c r="D413" s="64">
        <v>50</v>
      </c>
      <c r="E413" s="64">
        <f t="shared" si="10"/>
        <v>405</v>
      </c>
      <c r="F413" s="88" t="s">
        <v>1504</v>
      </c>
      <c r="G413" s="63"/>
      <c r="H413" s="66"/>
      <c r="I413" s="66"/>
      <c r="J413" s="66"/>
      <c r="K413" s="66"/>
    </row>
    <row r="414" spans="2:11">
      <c r="B414" s="63"/>
      <c r="C414" s="90" t="s">
        <v>1534</v>
      </c>
      <c r="D414" s="64">
        <v>50</v>
      </c>
      <c r="E414" s="64">
        <f t="shared" si="10"/>
        <v>410</v>
      </c>
      <c r="F414" s="88" t="s">
        <v>843</v>
      </c>
      <c r="G414" s="63"/>
      <c r="H414" s="66"/>
      <c r="I414" s="66"/>
      <c r="J414" s="66"/>
      <c r="K414" s="66"/>
    </row>
    <row r="415" spans="2:11">
      <c r="B415" s="63"/>
      <c r="C415" s="90" t="s">
        <v>1534</v>
      </c>
      <c r="D415" s="64">
        <v>50</v>
      </c>
      <c r="E415" s="64">
        <f t="shared" si="10"/>
        <v>415</v>
      </c>
      <c r="F415" s="83" t="s">
        <v>641</v>
      </c>
      <c r="G415" s="63"/>
      <c r="H415" s="66"/>
      <c r="I415" s="66"/>
      <c r="J415" s="66"/>
      <c r="K415" s="66"/>
    </row>
    <row r="416" spans="2:11">
      <c r="B416" s="63"/>
      <c r="C416" s="90" t="s">
        <v>1534</v>
      </c>
      <c r="D416" s="64">
        <v>50</v>
      </c>
      <c r="E416" s="64">
        <f t="shared" si="10"/>
        <v>420</v>
      </c>
      <c r="F416" s="83" t="s">
        <v>642</v>
      </c>
      <c r="G416" s="63"/>
      <c r="H416" s="66"/>
      <c r="I416" s="66"/>
      <c r="J416" s="66"/>
      <c r="K416" s="66"/>
    </row>
    <row r="417" spans="2:11">
      <c r="B417" s="63"/>
      <c r="C417" s="90" t="s">
        <v>1534</v>
      </c>
      <c r="D417" s="64">
        <v>50</v>
      </c>
      <c r="E417" s="64">
        <f t="shared" ref="E417:E450" si="11">E416+5</f>
        <v>425</v>
      </c>
      <c r="F417" s="83" t="s">
        <v>643</v>
      </c>
      <c r="G417" s="63"/>
      <c r="H417" s="66"/>
      <c r="I417" s="66"/>
      <c r="J417" s="66"/>
      <c r="K417" s="66"/>
    </row>
    <row r="418" spans="2:11">
      <c r="B418" s="63"/>
      <c r="C418" s="90" t="s">
        <v>1534</v>
      </c>
      <c r="D418" s="64">
        <v>50</v>
      </c>
      <c r="E418" s="64">
        <f t="shared" si="11"/>
        <v>430</v>
      </c>
      <c r="F418" s="83" t="s">
        <v>1357</v>
      </c>
      <c r="G418" s="63"/>
      <c r="H418" s="66"/>
      <c r="I418" s="66"/>
      <c r="J418" s="66"/>
      <c r="K418" s="66"/>
    </row>
    <row r="419" spans="2:11">
      <c r="B419" s="63"/>
      <c r="C419" s="90" t="s">
        <v>1534</v>
      </c>
      <c r="D419" s="64">
        <v>50</v>
      </c>
      <c r="E419" s="64">
        <f t="shared" si="11"/>
        <v>435</v>
      </c>
      <c r="F419" s="88" t="s">
        <v>644</v>
      </c>
      <c r="G419" s="63"/>
      <c r="H419" s="66"/>
      <c r="I419" s="66"/>
      <c r="J419" s="66"/>
      <c r="K419" s="66"/>
    </row>
    <row r="420" spans="2:11">
      <c r="B420" s="63"/>
      <c r="C420" s="90" t="s">
        <v>1534</v>
      </c>
      <c r="D420" s="64">
        <v>50</v>
      </c>
      <c r="E420" s="64">
        <f t="shared" si="11"/>
        <v>440</v>
      </c>
      <c r="F420" s="63" t="s">
        <v>1719</v>
      </c>
      <c r="G420" s="63"/>
      <c r="H420" s="66"/>
      <c r="I420" s="66"/>
      <c r="J420" s="66"/>
      <c r="K420" s="66"/>
    </row>
    <row r="421" spans="2:11">
      <c r="B421" s="63"/>
      <c r="C421" s="90" t="s">
        <v>1534</v>
      </c>
      <c r="D421" s="64">
        <v>50</v>
      </c>
      <c r="E421" s="64">
        <f t="shared" si="11"/>
        <v>445</v>
      </c>
      <c r="F421" s="83" t="s">
        <v>1201</v>
      </c>
      <c r="G421" s="63"/>
      <c r="H421" s="66"/>
      <c r="I421" s="66"/>
      <c r="J421" s="66"/>
      <c r="K421" s="66"/>
    </row>
    <row r="422" spans="2:11">
      <c r="B422" s="63"/>
      <c r="C422" s="90" t="s">
        <v>1534</v>
      </c>
      <c r="D422" s="64">
        <v>50</v>
      </c>
      <c r="E422" s="64">
        <f t="shared" si="11"/>
        <v>450</v>
      </c>
      <c r="F422" s="88" t="s">
        <v>1493</v>
      </c>
      <c r="G422" s="63"/>
      <c r="H422" s="66"/>
      <c r="I422" s="66"/>
      <c r="J422" s="66"/>
      <c r="K422" s="66"/>
    </row>
    <row r="423" spans="2:11">
      <c r="B423" s="63"/>
      <c r="C423" s="90" t="s">
        <v>1534</v>
      </c>
      <c r="D423" s="64">
        <v>50</v>
      </c>
      <c r="E423" s="64">
        <f t="shared" si="11"/>
        <v>455</v>
      </c>
      <c r="F423" s="83" t="s">
        <v>1202</v>
      </c>
      <c r="G423" s="63"/>
      <c r="H423" s="66"/>
      <c r="I423" s="66"/>
      <c r="J423" s="66"/>
      <c r="K423" s="66"/>
    </row>
    <row r="424" spans="2:11">
      <c r="B424" s="63"/>
      <c r="C424" s="90" t="s">
        <v>1534</v>
      </c>
      <c r="D424" s="64">
        <v>50</v>
      </c>
      <c r="E424" s="64">
        <f t="shared" si="11"/>
        <v>460</v>
      </c>
      <c r="F424" s="88" t="s">
        <v>1203</v>
      </c>
      <c r="G424" s="63"/>
      <c r="H424" s="66"/>
      <c r="I424" s="66"/>
      <c r="J424" s="66"/>
      <c r="K424" s="66"/>
    </row>
    <row r="425" spans="2:11">
      <c r="B425" s="63"/>
      <c r="C425" s="90" t="s">
        <v>1534</v>
      </c>
      <c r="D425" s="64">
        <v>50</v>
      </c>
      <c r="E425" s="64">
        <f t="shared" si="11"/>
        <v>465</v>
      </c>
      <c r="F425" s="88" t="s">
        <v>1483</v>
      </c>
      <c r="G425" s="63"/>
      <c r="H425" s="66"/>
      <c r="I425" s="66"/>
      <c r="J425" s="66"/>
      <c r="K425" s="66"/>
    </row>
    <row r="426" spans="2:11">
      <c r="B426" s="63"/>
      <c r="C426" s="90" t="s">
        <v>1534</v>
      </c>
      <c r="D426" s="64">
        <v>50</v>
      </c>
      <c r="E426" s="64">
        <f t="shared" si="11"/>
        <v>470</v>
      </c>
      <c r="F426" s="88" t="s">
        <v>341</v>
      </c>
      <c r="G426" s="63"/>
      <c r="H426" s="66"/>
      <c r="I426" s="66"/>
      <c r="J426" s="66"/>
      <c r="K426" s="66"/>
    </row>
    <row r="427" spans="2:11">
      <c r="B427" s="63"/>
      <c r="C427" s="90" t="s">
        <v>1534</v>
      </c>
      <c r="D427" s="64">
        <v>50</v>
      </c>
      <c r="E427" s="64">
        <f t="shared" si="11"/>
        <v>475</v>
      </c>
      <c r="F427" s="88" t="s">
        <v>342</v>
      </c>
      <c r="G427" s="63"/>
      <c r="H427" s="66"/>
      <c r="I427" s="66"/>
      <c r="J427" s="66"/>
      <c r="K427" s="66"/>
    </row>
    <row r="428" spans="2:11">
      <c r="B428" s="63"/>
      <c r="C428" s="90" t="s">
        <v>1534</v>
      </c>
      <c r="D428" s="64">
        <v>50</v>
      </c>
      <c r="E428" s="64">
        <f t="shared" si="11"/>
        <v>480</v>
      </c>
      <c r="F428" s="88" t="s">
        <v>321</v>
      </c>
      <c r="G428" s="63"/>
      <c r="H428" s="66"/>
      <c r="I428" s="66"/>
      <c r="J428" s="66"/>
      <c r="K428" s="66"/>
    </row>
    <row r="429" spans="2:11">
      <c r="B429" s="63"/>
      <c r="C429" s="90" t="s">
        <v>1534</v>
      </c>
      <c r="D429" s="64">
        <v>50</v>
      </c>
      <c r="E429" s="64">
        <f t="shared" si="11"/>
        <v>485</v>
      </c>
      <c r="F429" s="88" t="s">
        <v>322</v>
      </c>
      <c r="G429" s="63"/>
      <c r="H429" s="66"/>
      <c r="I429" s="66"/>
      <c r="J429" s="66"/>
      <c r="K429" s="66"/>
    </row>
    <row r="430" spans="2:11">
      <c r="B430" s="63"/>
      <c r="C430" s="90" t="s">
        <v>1534</v>
      </c>
      <c r="D430" s="64">
        <v>50</v>
      </c>
      <c r="E430" s="64">
        <f t="shared" si="11"/>
        <v>490</v>
      </c>
      <c r="F430" s="88" t="s">
        <v>323</v>
      </c>
      <c r="G430" s="63"/>
      <c r="H430" s="66"/>
      <c r="I430" s="66"/>
      <c r="J430" s="66"/>
      <c r="K430" s="66"/>
    </row>
    <row r="431" spans="2:11">
      <c r="B431" s="63"/>
      <c r="C431" s="90" t="s">
        <v>1534</v>
      </c>
      <c r="D431" s="64">
        <v>50</v>
      </c>
      <c r="E431" s="64">
        <f t="shared" si="11"/>
        <v>495</v>
      </c>
      <c r="F431" s="83" t="s">
        <v>324</v>
      </c>
      <c r="G431" s="63"/>
      <c r="H431" s="66"/>
      <c r="I431" s="66"/>
      <c r="J431" s="66"/>
      <c r="K431" s="66"/>
    </row>
    <row r="432" spans="2:11">
      <c r="B432" s="63"/>
      <c r="C432" s="90" t="s">
        <v>1534</v>
      </c>
      <c r="D432" s="64">
        <v>50</v>
      </c>
      <c r="E432" s="64">
        <f t="shared" si="11"/>
        <v>500</v>
      </c>
      <c r="F432" s="88" t="s">
        <v>1491</v>
      </c>
      <c r="G432" s="63"/>
      <c r="H432" s="66"/>
      <c r="I432" s="66"/>
      <c r="J432" s="66"/>
      <c r="K432" s="66"/>
    </row>
    <row r="433" spans="2:11">
      <c r="B433" s="63"/>
      <c r="C433" s="90" t="s">
        <v>1534</v>
      </c>
      <c r="D433" s="64">
        <v>50</v>
      </c>
      <c r="E433" s="64">
        <f t="shared" si="11"/>
        <v>505</v>
      </c>
      <c r="F433" s="88" t="s">
        <v>1490</v>
      </c>
      <c r="G433" s="63"/>
      <c r="H433" s="66"/>
      <c r="I433" s="66"/>
      <c r="J433" s="66"/>
      <c r="K433" s="66"/>
    </row>
    <row r="434" spans="2:11">
      <c r="B434" s="63"/>
      <c r="C434" s="90" t="s">
        <v>1534</v>
      </c>
      <c r="D434" s="64">
        <v>50</v>
      </c>
      <c r="E434" s="64">
        <f t="shared" si="11"/>
        <v>510</v>
      </c>
      <c r="F434" s="88" t="s">
        <v>325</v>
      </c>
      <c r="G434" s="63"/>
      <c r="H434" s="66"/>
      <c r="I434" s="66"/>
      <c r="J434" s="66"/>
      <c r="K434" s="66"/>
    </row>
    <row r="435" spans="2:11">
      <c r="B435" s="63"/>
      <c r="C435" s="90" t="s">
        <v>1534</v>
      </c>
      <c r="D435" s="64">
        <v>50</v>
      </c>
      <c r="E435" s="64">
        <f t="shared" si="11"/>
        <v>515</v>
      </c>
      <c r="F435" s="83" t="s">
        <v>1723</v>
      </c>
      <c r="G435" s="63"/>
      <c r="H435" s="66"/>
      <c r="I435" s="66"/>
      <c r="J435" s="66"/>
      <c r="K435" s="66"/>
    </row>
    <row r="436" spans="2:11">
      <c r="B436" s="63"/>
      <c r="C436" s="90" t="s">
        <v>1534</v>
      </c>
      <c r="D436" s="64">
        <v>50</v>
      </c>
      <c r="E436" s="64">
        <f t="shared" si="11"/>
        <v>520</v>
      </c>
      <c r="F436" s="88" t="s">
        <v>326</v>
      </c>
      <c r="G436" s="63"/>
      <c r="H436" s="66"/>
      <c r="I436" s="66"/>
      <c r="J436" s="66"/>
      <c r="K436" s="66"/>
    </row>
    <row r="437" spans="2:11">
      <c r="B437" s="63"/>
      <c r="C437" s="90" t="s">
        <v>1534</v>
      </c>
      <c r="D437" s="64">
        <v>50</v>
      </c>
      <c r="E437" s="64">
        <f t="shared" si="11"/>
        <v>525</v>
      </c>
      <c r="F437" s="88" t="s">
        <v>844</v>
      </c>
      <c r="G437" s="63"/>
      <c r="H437" s="66"/>
      <c r="I437" s="66"/>
      <c r="J437" s="66"/>
      <c r="K437" s="66"/>
    </row>
    <row r="438" spans="2:11">
      <c r="B438" s="63"/>
      <c r="C438" s="90" t="s">
        <v>1534</v>
      </c>
      <c r="D438" s="64">
        <v>50</v>
      </c>
      <c r="E438" s="64">
        <f t="shared" si="11"/>
        <v>530</v>
      </c>
      <c r="F438" s="83" t="s">
        <v>1545</v>
      </c>
      <c r="G438" s="63"/>
      <c r="H438" s="66"/>
      <c r="I438" s="66"/>
      <c r="J438" s="66"/>
      <c r="K438" s="66"/>
    </row>
    <row r="439" spans="2:11">
      <c r="B439" s="63"/>
      <c r="C439" s="90" t="s">
        <v>1534</v>
      </c>
      <c r="D439" s="64">
        <v>50</v>
      </c>
      <c r="E439" s="64">
        <f t="shared" si="11"/>
        <v>535</v>
      </c>
      <c r="F439" s="83" t="s">
        <v>1546</v>
      </c>
      <c r="G439" s="63"/>
      <c r="H439" s="66"/>
      <c r="I439" s="66"/>
      <c r="J439" s="66"/>
      <c r="K439" s="66"/>
    </row>
    <row r="440" spans="2:11">
      <c r="B440" s="63"/>
      <c r="C440" s="90" t="s">
        <v>1534</v>
      </c>
      <c r="D440" s="64">
        <v>50</v>
      </c>
      <c r="E440" s="64">
        <f t="shared" si="11"/>
        <v>540</v>
      </c>
      <c r="F440" s="88" t="s">
        <v>1254</v>
      </c>
      <c r="G440" s="63"/>
      <c r="H440" s="66"/>
      <c r="I440" s="66"/>
      <c r="J440" s="66"/>
      <c r="K440" s="66"/>
    </row>
    <row r="441" spans="2:11">
      <c r="B441" s="63"/>
      <c r="C441" s="90" t="s">
        <v>1534</v>
      </c>
      <c r="D441" s="64">
        <v>50</v>
      </c>
      <c r="E441" s="64">
        <f t="shared" si="11"/>
        <v>545</v>
      </c>
      <c r="F441" s="83" t="s">
        <v>1255</v>
      </c>
      <c r="G441" s="63"/>
      <c r="H441" s="66"/>
      <c r="I441" s="66"/>
      <c r="J441" s="66"/>
      <c r="K441" s="66"/>
    </row>
    <row r="442" spans="2:11">
      <c r="B442" s="63"/>
      <c r="C442" s="90" t="s">
        <v>1534</v>
      </c>
      <c r="D442" s="64">
        <v>50</v>
      </c>
      <c r="E442" s="64">
        <f t="shared" si="11"/>
        <v>550</v>
      </c>
      <c r="F442" s="83" t="s">
        <v>1256</v>
      </c>
      <c r="G442" s="63"/>
      <c r="H442" s="66"/>
      <c r="I442" s="66"/>
      <c r="J442" s="66"/>
      <c r="K442" s="66"/>
    </row>
    <row r="443" spans="2:11">
      <c r="B443" s="63"/>
      <c r="C443" s="90" t="s">
        <v>1534</v>
      </c>
      <c r="D443" s="64">
        <v>50</v>
      </c>
      <c r="E443" s="64">
        <f t="shared" si="11"/>
        <v>555</v>
      </c>
      <c r="F443" s="83" t="s">
        <v>878</v>
      </c>
      <c r="G443" s="63"/>
      <c r="H443" s="66"/>
      <c r="I443" s="66"/>
      <c r="J443" s="66"/>
      <c r="K443" s="66"/>
    </row>
    <row r="444" spans="2:11">
      <c r="B444" s="63"/>
      <c r="C444" s="90" t="s">
        <v>1534</v>
      </c>
      <c r="D444" s="64">
        <v>50</v>
      </c>
      <c r="E444" s="64">
        <f t="shared" si="11"/>
        <v>560</v>
      </c>
      <c r="F444" s="63" t="s">
        <v>496</v>
      </c>
      <c r="G444" s="63"/>
      <c r="H444" s="66"/>
      <c r="I444" s="66"/>
      <c r="J444" s="66"/>
      <c r="K444" s="66"/>
    </row>
    <row r="445" spans="2:11">
      <c r="B445" s="63"/>
      <c r="C445" s="90" t="s">
        <v>1534</v>
      </c>
      <c r="D445" s="64">
        <v>50</v>
      </c>
      <c r="E445" s="64">
        <f t="shared" si="11"/>
        <v>565</v>
      </c>
      <c r="F445" s="88" t="s">
        <v>497</v>
      </c>
      <c r="G445" s="63"/>
      <c r="H445" s="66"/>
      <c r="I445" s="66"/>
      <c r="J445" s="66"/>
      <c r="K445" s="66"/>
    </row>
    <row r="446" spans="2:11">
      <c r="B446" s="63"/>
      <c r="C446" s="90" t="s">
        <v>1534</v>
      </c>
      <c r="D446" s="64">
        <v>50</v>
      </c>
      <c r="E446" s="64">
        <f t="shared" si="11"/>
        <v>570</v>
      </c>
      <c r="F446" s="88" t="s">
        <v>498</v>
      </c>
      <c r="G446" s="63"/>
      <c r="H446" s="66"/>
      <c r="I446" s="66"/>
      <c r="J446" s="66"/>
      <c r="K446" s="66"/>
    </row>
    <row r="447" spans="2:11">
      <c r="B447" s="63"/>
      <c r="C447" s="90" t="s">
        <v>1534</v>
      </c>
      <c r="D447" s="64">
        <v>50</v>
      </c>
      <c r="E447" s="64">
        <f t="shared" si="11"/>
        <v>575</v>
      </c>
      <c r="F447" s="83" t="s">
        <v>499</v>
      </c>
      <c r="G447" s="63"/>
      <c r="H447" s="66"/>
      <c r="I447" s="66"/>
      <c r="J447" s="66"/>
      <c r="K447" s="66"/>
    </row>
    <row r="448" spans="2:11">
      <c r="B448" s="63"/>
      <c r="C448" s="90" t="s">
        <v>1534</v>
      </c>
      <c r="D448" s="64">
        <v>50</v>
      </c>
      <c r="E448" s="64">
        <f t="shared" si="11"/>
        <v>580</v>
      </c>
      <c r="F448" s="83" t="s">
        <v>500</v>
      </c>
      <c r="G448" s="63"/>
      <c r="H448" s="66"/>
      <c r="I448" s="66"/>
      <c r="J448" s="66"/>
      <c r="K448" s="66"/>
    </row>
    <row r="449" spans="2:11">
      <c r="B449" s="63"/>
      <c r="C449" s="90" t="s">
        <v>1534</v>
      </c>
      <c r="D449" s="64">
        <v>50</v>
      </c>
      <c r="E449" s="64">
        <f t="shared" si="11"/>
        <v>585</v>
      </c>
      <c r="F449" s="63" t="s">
        <v>869</v>
      </c>
      <c r="G449" s="63"/>
      <c r="H449" s="66"/>
      <c r="I449" s="66"/>
      <c r="J449" s="66"/>
      <c r="K449" s="66"/>
    </row>
    <row r="450" spans="2:11">
      <c r="B450" s="63"/>
      <c r="C450" s="90" t="s">
        <v>1534</v>
      </c>
      <c r="D450" s="64">
        <v>50</v>
      </c>
      <c r="E450" s="64">
        <f t="shared" si="11"/>
        <v>590</v>
      </c>
      <c r="F450" s="83" t="s">
        <v>1296</v>
      </c>
      <c r="G450" s="63"/>
      <c r="H450" s="66"/>
      <c r="I450" s="66"/>
      <c r="J450" s="66"/>
      <c r="K450" s="66"/>
    </row>
    <row r="451" spans="2:11">
      <c r="B451" s="63"/>
      <c r="C451" s="90"/>
      <c r="D451" s="64"/>
      <c r="E451" s="64"/>
      <c r="F451" s="83"/>
      <c r="G451" s="63"/>
      <c r="H451" s="66"/>
      <c r="I451" s="66"/>
      <c r="J451" s="66"/>
      <c r="K451" s="66"/>
    </row>
    <row r="452" spans="2:11">
      <c r="B452" s="63"/>
      <c r="C452" s="91" t="s">
        <v>1534</v>
      </c>
      <c r="D452" s="82">
        <v>60</v>
      </c>
      <c r="E452" s="3349" t="s">
        <v>870</v>
      </c>
      <c r="F452" s="3349"/>
      <c r="G452" s="63"/>
      <c r="H452" s="66"/>
      <c r="I452" s="66"/>
      <c r="J452" s="66"/>
      <c r="K452" s="66"/>
    </row>
    <row r="453" spans="2:11" ht="6" customHeight="1">
      <c r="B453" s="63"/>
      <c r="C453" s="90"/>
      <c r="D453" s="64"/>
      <c r="E453" s="63"/>
      <c r="F453" s="63"/>
      <c r="G453" s="63"/>
      <c r="H453" s="66"/>
      <c r="I453" s="66"/>
      <c r="J453" s="66"/>
      <c r="K453" s="66"/>
    </row>
    <row r="454" spans="2:11">
      <c r="B454" s="63"/>
      <c r="C454" s="90" t="s">
        <v>1534</v>
      </c>
      <c r="D454" s="64">
        <v>60</v>
      </c>
      <c r="E454" s="64">
        <v>100</v>
      </c>
      <c r="F454" s="93" t="s">
        <v>871</v>
      </c>
      <c r="G454" s="63"/>
      <c r="H454" s="66"/>
      <c r="I454" s="66"/>
      <c r="J454" s="66"/>
      <c r="K454" s="66"/>
    </row>
    <row r="455" spans="2:11">
      <c r="B455" s="63"/>
      <c r="C455" s="90" t="s">
        <v>1534</v>
      </c>
      <c r="D455" s="64">
        <v>60</v>
      </c>
      <c r="E455" s="64">
        <f t="shared" ref="E455:E486" si="12">E454+5</f>
        <v>105</v>
      </c>
      <c r="F455" s="93" t="s">
        <v>872</v>
      </c>
      <c r="G455" s="63"/>
      <c r="H455" s="66"/>
      <c r="I455" s="66"/>
      <c r="J455" s="66"/>
      <c r="K455" s="66"/>
    </row>
    <row r="456" spans="2:11">
      <c r="B456" s="63"/>
      <c r="C456" s="90" t="s">
        <v>1534</v>
      </c>
      <c r="D456" s="64">
        <v>60</v>
      </c>
      <c r="E456" s="64">
        <f t="shared" si="12"/>
        <v>110</v>
      </c>
      <c r="F456" s="93" t="s">
        <v>873</v>
      </c>
      <c r="G456" s="63"/>
      <c r="H456" s="66"/>
      <c r="I456" s="66"/>
      <c r="J456" s="66"/>
      <c r="K456" s="66"/>
    </row>
    <row r="457" spans="2:11">
      <c r="B457" s="63"/>
      <c r="C457" s="90" t="s">
        <v>1534</v>
      </c>
      <c r="D457" s="64">
        <v>60</v>
      </c>
      <c r="E457" s="64">
        <f t="shared" si="12"/>
        <v>115</v>
      </c>
      <c r="F457" s="93" t="s">
        <v>874</v>
      </c>
      <c r="G457" s="63"/>
      <c r="H457" s="66"/>
      <c r="I457" s="66"/>
      <c r="J457" s="66"/>
      <c r="K457" s="66"/>
    </row>
    <row r="458" spans="2:11">
      <c r="B458" s="63"/>
      <c r="C458" s="90" t="s">
        <v>1534</v>
      </c>
      <c r="D458" s="64">
        <v>60</v>
      </c>
      <c r="E458" s="64">
        <f t="shared" si="12"/>
        <v>120</v>
      </c>
      <c r="F458" s="63" t="s">
        <v>1564</v>
      </c>
      <c r="G458" s="63"/>
      <c r="H458" s="66"/>
      <c r="I458" s="66"/>
      <c r="J458" s="66"/>
      <c r="K458" s="66"/>
    </row>
    <row r="459" spans="2:11">
      <c r="B459" s="63"/>
      <c r="C459" s="90" t="s">
        <v>1534</v>
      </c>
      <c r="D459" s="64">
        <v>60</v>
      </c>
      <c r="E459" s="64">
        <f t="shared" si="12"/>
        <v>125</v>
      </c>
      <c r="F459" s="94" t="s">
        <v>1720</v>
      </c>
      <c r="G459" s="63"/>
      <c r="H459" s="66"/>
      <c r="I459" s="66"/>
      <c r="J459" s="66"/>
      <c r="K459" s="66"/>
    </row>
    <row r="460" spans="2:11">
      <c r="B460" s="63"/>
      <c r="C460" s="90" t="s">
        <v>1534</v>
      </c>
      <c r="D460" s="64">
        <v>60</v>
      </c>
      <c r="E460" s="64">
        <f t="shared" si="12"/>
        <v>130</v>
      </c>
      <c r="F460" s="63" t="s">
        <v>1252</v>
      </c>
      <c r="G460" s="63"/>
      <c r="H460" s="66"/>
      <c r="I460" s="66"/>
      <c r="J460" s="66"/>
      <c r="K460" s="66"/>
    </row>
    <row r="461" spans="2:11">
      <c r="B461" s="63"/>
      <c r="C461" s="90" t="s">
        <v>1534</v>
      </c>
      <c r="D461" s="64">
        <v>60</v>
      </c>
      <c r="E461" s="64">
        <f t="shared" si="12"/>
        <v>135</v>
      </c>
      <c r="F461" s="63" t="s">
        <v>1563</v>
      </c>
      <c r="G461" s="63"/>
      <c r="H461" s="66"/>
      <c r="I461" s="66"/>
      <c r="J461" s="66"/>
      <c r="K461" s="66"/>
    </row>
    <row r="462" spans="2:11">
      <c r="B462" s="63"/>
      <c r="C462" s="90" t="s">
        <v>1534</v>
      </c>
      <c r="D462" s="64">
        <v>60</v>
      </c>
      <c r="E462" s="64">
        <f t="shared" si="12"/>
        <v>140</v>
      </c>
      <c r="F462" s="63" t="s">
        <v>196</v>
      </c>
      <c r="G462" s="63"/>
      <c r="H462" s="66"/>
      <c r="I462" s="66"/>
      <c r="J462" s="66"/>
      <c r="K462" s="66"/>
    </row>
    <row r="463" spans="2:11">
      <c r="B463" s="63"/>
      <c r="C463" s="90" t="s">
        <v>1534</v>
      </c>
      <c r="D463" s="64">
        <v>60</v>
      </c>
      <c r="E463" s="64">
        <f t="shared" si="12"/>
        <v>145</v>
      </c>
      <c r="F463" s="94" t="s">
        <v>360</v>
      </c>
      <c r="G463" s="63"/>
      <c r="H463" s="66"/>
      <c r="I463" s="66"/>
      <c r="J463" s="66"/>
      <c r="K463" s="66"/>
    </row>
    <row r="464" spans="2:11">
      <c r="B464" s="63"/>
      <c r="C464" s="90" t="s">
        <v>1534</v>
      </c>
      <c r="D464" s="64">
        <v>60</v>
      </c>
      <c r="E464" s="64">
        <f t="shared" si="12"/>
        <v>150</v>
      </c>
      <c r="F464" s="94" t="s">
        <v>1756</v>
      </c>
      <c r="G464" s="63"/>
      <c r="H464" s="66"/>
      <c r="I464" s="66"/>
      <c r="J464" s="66"/>
      <c r="K464" s="66"/>
    </row>
    <row r="465" spans="2:11">
      <c r="B465" s="63"/>
      <c r="C465" s="90" t="s">
        <v>1534</v>
      </c>
      <c r="D465" s="64">
        <v>60</v>
      </c>
      <c r="E465" s="64">
        <f t="shared" si="12"/>
        <v>155</v>
      </c>
      <c r="F465" s="94" t="s">
        <v>361</v>
      </c>
      <c r="G465" s="63"/>
      <c r="H465" s="66"/>
      <c r="I465" s="66"/>
      <c r="J465" s="66"/>
      <c r="K465" s="66"/>
    </row>
    <row r="466" spans="2:11">
      <c r="B466" s="63"/>
      <c r="C466" s="90" t="s">
        <v>1534</v>
      </c>
      <c r="D466" s="64">
        <v>60</v>
      </c>
      <c r="E466" s="64">
        <f t="shared" si="12"/>
        <v>160</v>
      </c>
      <c r="F466" s="63" t="s">
        <v>1810</v>
      </c>
      <c r="G466" s="63"/>
      <c r="H466" s="66"/>
      <c r="I466" s="66"/>
      <c r="J466" s="66"/>
      <c r="K466" s="66"/>
    </row>
    <row r="467" spans="2:11">
      <c r="B467" s="63"/>
      <c r="C467" s="90" t="s">
        <v>1534</v>
      </c>
      <c r="D467" s="64">
        <v>60</v>
      </c>
      <c r="E467" s="64">
        <f t="shared" si="12"/>
        <v>165</v>
      </c>
      <c r="F467" s="94" t="s">
        <v>1810</v>
      </c>
      <c r="G467" s="63"/>
      <c r="H467" s="66"/>
      <c r="I467" s="66"/>
      <c r="J467" s="66"/>
      <c r="K467" s="66"/>
    </row>
    <row r="468" spans="2:11">
      <c r="B468" s="63"/>
      <c r="C468" s="90" t="s">
        <v>1534</v>
      </c>
      <c r="D468" s="64">
        <v>60</v>
      </c>
      <c r="E468" s="64">
        <f t="shared" si="12"/>
        <v>170</v>
      </c>
      <c r="F468" s="94" t="s">
        <v>362</v>
      </c>
      <c r="G468" s="63"/>
      <c r="H468" s="66"/>
      <c r="I468" s="66"/>
      <c r="J468" s="66"/>
      <c r="K468" s="66"/>
    </row>
    <row r="469" spans="2:11">
      <c r="B469" s="63"/>
      <c r="C469" s="90" t="s">
        <v>1534</v>
      </c>
      <c r="D469" s="64">
        <v>60</v>
      </c>
      <c r="E469" s="64">
        <f t="shared" si="12"/>
        <v>175</v>
      </c>
      <c r="F469" s="94" t="s">
        <v>1251</v>
      </c>
      <c r="G469" s="63"/>
      <c r="H469" s="66"/>
      <c r="I469" s="66"/>
      <c r="J469" s="66"/>
      <c r="K469" s="66"/>
    </row>
    <row r="470" spans="2:11">
      <c r="B470" s="63"/>
      <c r="C470" s="90" t="s">
        <v>1534</v>
      </c>
      <c r="D470" s="64">
        <v>60</v>
      </c>
      <c r="E470" s="64">
        <f t="shared" si="12"/>
        <v>180</v>
      </c>
      <c r="F470" s="93" t="s">
        <v>363</v>
      </c>
      <c r="G470" s="63"/>
      <c r="H470" s="66"/>
      <c r="I470" s="66"/>
      <c r="J470" s="66"/>
      <c r="K470" s="66"/>
    </row>
    <row r="471" spans="2:11">
      <c r="B471" s="63"/>
      <c r="C471" s="90" t="s">
        <v>1534</v>
      </c>
      <c r="D471" s="64">
        <v>60</v>
      </c>
      <c r="E471" s="64">
        <f t="shared" si="12"/>
        <v>185</v>
      </c>
      <c r="F471" s="93" t="s">
        <v>364</v>
      </c>
      <c r="G471" s="63"/>
      <c r="H471" s="66"/>
      <c r="I471" s="66"/>
      <c r="J471" s="66"/>
      <c r="K471" s="66"/>
    </row>
    <row r="472" spans="2:11">
      <c r="B472" s="63"/>
      <c r="C472" s="90" t="s">
        <v>1534</v>
      </c>
      <c r="D472" s="64">
        <v>60</v>
      </c>
      <c r="E472" s="64">
        <f t="shared" si="12"/>
        <v>190</v>
      </c>
      <c r="F472" s="93" t="s">
        <v>365</v>
      </c>
      <c r="G472" s="63"/>
      <c r="H472" s="66"/>
      <c r="I472" s="66"/>
      <c r="J472" s="66"/>
      <c r="K472" s="66"/>
    </row>
    <row r="473" spans="2:11">
      <c r="B473" s="63"/>
      <c r="C473" s="90" t="s">
        <v>1534</v>
      </c>
      <c r="D473" s="64">
        <v>60</v>
      </c>
      <c r="E473" s="64">
        <f t="shared" si="12"/>
        <v>195</v>
      </c>
      <c r="F473" s="95" t="s">
        <v>1057</v>
      </c>
      <c r="G473" s="63"/>
      <c r="H473" s="66"/>
      <c r="I473" s="66"/>
      <c r="J473" s="66"/>
      <c r="K473" s="66"/>
    </row>
    <row r="474" spans="2:11">
      <c r="B474" s="63"/>
      <c r="C474" s="90" t="s">
        <v>1534</v>
      </c>
      <c r="D474" s="64">
        <v>60</v>
      </c>
      <c r="E474" s="64">
        <f t="shared" si="12"/>
        <v>200</v>
      </c>
      <c r="F474" s="93" t="s">
        <v>366</v>
      </c>
      <c r="G474" s="63"/>
      <c r="H474" s="66"/>
      <c r="I474" s="66"/>
      <c r="J474" s="66"/>
      <c r="K474" s="66"/>
    </row>
    <row r="475" spans="2:11">
      <c r="B475" s="63"/>
      <c r="C475" s="90" t="s">
        <v>1534</v>
      </c>
      <c r="D475" s="64">
        <v>60</v>
      </c>
      <c r="E475" s="64">
        <f t="shared" si="12"/>
        <v>205</v>
      </c>
      <c r="F475" s="83" t="s">
        <v>367</v>
      </c>
      <c r="G475" s="63"/>
      <c r="H475" s="66"/>
      <c r="I475" s="66"/>
      <c r="J475" s="66"/>
      <c r="K475" s="66"/>
    </row>
    <row r="476" spans="2:11">
      <c r="B476" s="63"/>
      <c r="C476" s="90" t="s">
        <v>1534</v>
      </c>
      <c r="D476" s="64">
        <v>60</v>
      </c>
      <c r="E476" s="64">
        <f t="shared" si="12"/>
        <v>210</v>
      </c>
      <c r="F476" s="93" t="s">
        <v>2054</v>
      </c>
      <c r="G476" s="63"/>
      <c r="H476" s="66"/>
      <c r="I476" s="66"/>
      <c r="J476" s="66"/>
      <c r="K476" s="66"/>
    </row>
    <row r="477" spans="2:11">
      <c r="B477" s="63"/>
      <c r="C477" s="90" t="s">
        <v>1534</v>
      </c>
      <c r="D477" s="64">
        <v>60</v>
      </c>
      <c r="E477" s="64">
        <f t="shared" si="12"/>
        <v>215</v>
      </c>
      <c r="F477" s="63" t="s">
        <v>368</v>
      </c>
      <c r="G477" s="63"/>
      <c r="H477" s="66"/>
      <c r="I477" s="66"/>
      <c r="J477" s="66"/>
      <c r="K477" s="66"/>
    </row>
    <row r="478" spans="2:11">
      <c r="B478" s="63"/>
      <c r="C478" s="90" t="s">
        <v>1534</v>
      </c>
      <c r="D478" s="64">
        <v>60</v>
      </c>
      <c r="E478" s="64">
        <f t="shared" si="12"/>
        <v>220</v>
      </c>
      <c r="F478" s="63" t="s">
        <v>369</v>
      </c>
      <c r="G478" s="63"/>
      <c r="H478" s="66"/>
      <c r="I478" s="66"/>
      <c r="J478" s="66"/>
      <c r="K478" s="66"/>
    </row>
    <row r="479" spans="2:11">
      <c r="B479" s="63"/>
      <c r="C479" s="90" t="s">
        <v>1534</v>
      </c>
      <c r="D479" s="64">
        <v>60</v>
      </c>
      <c r="E479" s="64">
        <f t="shared" si="12"/>
        <v>225</v>
      </c>
      <c r="F479" s="93" t="s">
        <v>370</v>
      </c>
      <c r="G479" s="63"/>
      <c r="H479" s="66"/>
      <c r="I479" s="66"/>
      <c r="J479" s="66"/>
      <c r="K479" s="66"/>
    </row>
    <row r="480" spans="2:11">
      <c r="B480" s="63"/>
      <c r="C480" s="90" t="s">
        <v>1534</v>
      </c>
      <c r="D480" s="64">
        <v>60</v>
      </c>
      <c r="E480" s="64">
        <f t="shared" si="12"/>
        <v>230</v>
      </c>
      <c r="F480" s="93" t="s">
        <v>371</v>
      </c>
      <c r="G480" s="63"/>
      <c r="H480" s="66"/>
      <c r="I480" s="66"/>
      <c r="J480" s="66"/>
      <c r="K480" s="66"/>
    </row>
    <row r="481" spans="2:11">
      <c r="B481" s="63"/>
      <c r="C481" s="90" t="s">
        <v>1534</v>
      </c>
      <c r="D481" s="64">
        <v>60</v>
      </c>
      <c r="E481" s="64">
        <f t="shared" si="12"/>
        <v>235</v>
      </c>
      <c r="F481" s="63" t="s">
        <v>2046</v>
      </c>
      <c r="G481" s="63"/>
      <c r="H481" s="66"/>
      <c r="I481" s="66"/>
      <c r="J481" s="66"/>
      <c r="K481" s="66"/>
    </row>
    <row r="482" spans="2:11">
      <c r="B482" s="63"/>
      <c r="C482" s="90" t="s">
        <v>1534</v>
      </c>
      <c r="D482" s="64">
        <v>60</v>
      </c>
      <c r="E482" s="64">
        <f t="shared" si="12"/>
        <v>240</v>
      </c>
      <c r="F482" s="63" t="s">
        <v>1504</v>
      </c>
      <c r="G482" s="63"/>
      <c r="H482" s="66"/>
      <c r="I482" s="66"/>
      <c r="J482" s="66"/>
      <c r="K482" s="66"/>
    </row>
    <row r="483" spans="2:11">
      <c r="B483" s="63"/>
      <c r="C483" s="90" t="s">
        <v>1534</v>
      </c>
      <c r="D483" s="64">
        <v>60</v>
      </c>
      <c r="E483" s="64">
        <f t="shared" si="12"/>
        <v>245</v>
      </c>
      <c r="F483" s="63" t="s">
        <v>197</v>
      </c>
      <c r="G483" s="63"/>
      <c r="H483" s="66"/>
      <c r="I483" s="66"/>
      <c r="J483" s="66"/>
      <c r="K483" s="66"/>
    </row>
    <row r="484" spans="2:11">
      <c r="B484" s="63"/>
      <c r="C484" s="90" t="s">
        <v>1534</v>
      </c>
      <c r="D484" s="64">
        <v>60</v>
      </c>
      <c r="E484" s="64">
        <f t="shared" si="12"/>
        <v>250</v>
      </c>
      <c r="F484" s="88" t="s">
        <v>843</v>
      </c>
      <c r="G484" s="63"/>
      <c r="H484" s="66"/>
      <c r="I484" s="66"/>
      <c r="J484" s="66"/>
      <c r="K484" s="66"/>
    </row>
    <row r="485" spans="2:11">
      <c r="B485" s="63"/>
      <c r="C485" s="90" t="s">
        <v>1534</v>
      </c>
      <c r="D485" s="64">
        <v>60</v>
      </c>
      <c r="E485" s="64">
        <f t="shared" si="12"/>
        <v>255</v>
      </c>
      <c r="F485" s="93" t="s">
        <v>393</v>
      </c>
      <c r="G485" s="63"/>
      <c r="H485" s="66"/>
      <c r="I485" s="66"/>
      <c r="J485" s="66"/>
      <c r="K485" s="66"/>
    </row>
    <row r="486" spans="2:11">
      <c r="B486" s="63"/>
      <c r="C486" s="90" t="s">
        <v>1534</v>
      </c>
      <c r="D486" s="64">
        <v>60</v>
      </c>
      <c r="E486" s="64">
        <f t="shared" si="12"/>
        <v>260</v>
      </c>
      <c r="F486" s="93" t="s">
        <v>394</v>
      </c>
      <c r="G486" s="63"/>
      <c r="H486" s="66"/>
      <c r="I486" s="66"/>
      <c r="J486" s="66"/>
      <c r="K486" s="66"/>
    </row>
    <row r="487" spans="2:11">
      <c r="B487" s="63"/>
      <c r="C487" s="90" t="s">
        <v>1534</v>
      </c>
      <c r="D487" s="64">
        <v>60</v>
      </c>
      <c r="E487" s="64">
        <f t="shared" ref="E487:E519" si="13">E486+5</f>
        <v>265</v>
      </c>
      <c r="F487" s="83" t="s">
        <v>224</v>
      </c>
      <c r="G487" s="63"/>
      <c r="H487" s="66"/>
      <c r="I487" s="66"/>
      <c r="J487" s="66"/>
      <c r="K487" s="66"/>
    </row>
    <row r="488" spans="2:11">
      <c r="B488" s="63"/>
      <c r="C488" s="90" t="s">
        <v>1534</v>
      </c>
      <c r="D488" s="64">
        <v>60</v>
      </c>
      <c r="E488" s="64">
        <f t="shared" si="13"/>
        <v>270</v>
      </c>
      <c r="F488" s="83" t="s">
        <v>225</v>
      </c>
      <c r="G488" s="63"/>
      <c r="H488" s="66"/>
      <c r="I488" s="66"/>
      <c r="J488" s="66"/>
      <c r="K488" s="66"/>
    </row>
    <row r="489" spans="2:11">
      <c r="B489" s="63"/>
      <c r="C489" s="90" t="s">
        <v>1534</v>
      </c>
      <c r="D489" s="64">
        <v>60</v>
      </c>
      <c r="E489" s="64">
        <f t="shared" si="13"/>
        <v>275</v>
      </c>
      <c r="F489" s="83" t="s">
        <v>113</v>
      </c>
      <c r="G489" s="63"/>
      <c r="H489" s="66"/>
      <c r="I489" s="66"/>
      <c r="J489" s="66"/>
      <c r="K489" s="66"/>
    </row>
    <row r="490" spans="2:11">
      <c r="B490" s="63"/>
      <c r="C490" s="90" t="s">
        <v>1534</v>
      </c>
      <c r="D490" s="64">
        <v>60</v>
      </c>
      <c r="E490" s="64">
        <f t="shared" si="13"/>
        <v>280</v>
      </c>
      <c r="F490" s="83" t="s">
        <v>1901</v>
      </c>
      <c r="G490" s="63"/>
      <c r="H490" s="66"/>
      <c r="I490" s="66"/>
      <c r="J490" s="66"/>
      <c r="K490" s="66"/>
    </row>
    <row r="491" spans="2:11">
      <c r="B491" s="63"/>
      <c r="C491" s="90" t="s">
        <v>1534</v>
      </c>
      <c r="D491" s="64">
        <v>60</v>
      </c>
      <c r="E491" s="64">
        <f t="shared" si="13"/>
        <v>285</v>
      </c>
      <c r="F491" s="83" t="s">
        <v>1160</v>
      </c>
      <c r="G491" s="63"/>
      <c r="H491" s="66"/>
      <c r="I491" s="66"/>
      <c r="J491" s="66"/>
      <c r="K491" s="66"/>
    </row>
    <row r="492" spans="2:11">
      <c r="B492" s="63"/>
      <c r="C492" s="90" t="s">
        <v>1534</v>
      </c>
      <c r="D492" s="64">
        <v>60</v>
      </c>
      <c r="E492" s="64">
        <f t="shared" si="13"/>
        <v>290</v>
      </c>
      <c r="F492" s="83" t="s">
        <v>1161</v>
      </c>
      <c r="G492" s="63"/>
      <c r="H492" s="66"/>
      <c r="I492" s="66"/>
      <c r="J492" s="66"/>
      <c r="K492" s="66"/>
    </row>
    <row r="493" spans="2:11">
      <c r="B493" s="63"/>
      <c r="C493" s="90" t="s">
        <v>1534</v>
      </c>
      <c r="D493" s="64">
        <v>60</v>
      </c>
      <c r="E493" s="64">
        <f t="shared" si="13"/>
        <v>295</v>
      </c>
      <c r="F493" s="83" t="s">
        <v>1162</v>
      </c>
      <c r="G493" s="63"/>
      <c r="H493" s="66"/>
      <c r="I493" s="66"/>
      <c r="J493" s="66"/>
      <c r="K493" s="66"/>
    </row>
    <row r="494" spans="2:11">
      <c r="B494" s="63"/>
      <c r="C494" s="90" t="s">
        <v>1534</v>
      </c>
      <c r="D494" s="64">
        <v>60</v>
      </c>
      <c r="E494" s="64">
        <f t="shared" si="13"/>
        <v>300</v>
      </c>
      <c r="F494" s="95" t="s">
        <v>1202</v>
      </c>
      <c r="G494" s="63"/>
      <c r="H494" s="66"/>
      <c r="I494" s="66"/>
      <c r="J494" s="66"/>
      <c r="K494" s="66"/>
    </row>
    <row r="495" spans="2:11">
      <c r="B495" s="63"/>
      <c r="C495" s="90" t="s">
        <v>1534</v>
      </c>
      <c r="D495" s="64">
        <v>60</v>
      </c>
      <c r="E495" s="64">
        <f t="shared" si="13"/>
        <v>305</v>
      </c>
      <c r="F495" s="93" t="s">
        <v>1636</v>
      </c>
      <c r="G495" s="63"/>
      <c r="H495" s="66"/>
      <c r="I495" s="66"/>
      <c r="J495" s="66"/>
      <c r="K495" s="66"/>
    </row>
    <row r="496" spans="2:11">
      <c r="B496" s="63"/>
      <c r="C496" s="90" t="s">
        <v>1534</v>
      </c>
      <c r="D496" s="64">
        <v>60</v>
      </c>
      <c r="E496" s="64">
        <f t="shared" si="13"/>
        <v>310</v>
      </c>
      <c r="F496" s="93" t="s">
        <v>1902</v>
      </c>
      <c r="G496" s="63"/>
      <c r="H496" s="66"/>
      <c r="I496" s="66"/>
      <c r="J496" s="66"/>
      <c r="K496" s="66"/>
    </row>
    <row r="497" spans="2:11">
      <c r="B497" s="63"/>
      <c r="C497" s="90" t="s">
        <v>1534</v>
      </c>
      <c r="D497" s="64">
        <v>60</v>
      </c>
      <c r="E497" s="64">
        <f t="shared" si="13"/>
        <v>315</v>
      </c>
      <c r="F497" s="93" t="s">
        <v>1637</v>
      </c>
      <c r="G497" s="63"/>
      <c r="H497" s="66"/>
      <c r="I497" s="66"/>
      <c r="J497" s="66"/>
      <c r="K497" s="66"/>
    </row>
    <row r="498" spans="2:11">
      <c r="B498" s="63"/>
      <c r="C498" s="90" t="s">
        <v>1534</v>
      </c>
      <c r="D498" s="64">
        <v>60</v>
      </c>
      <c r="E498" s="64">
        <f t="shared" si="13"/>
        <v>320</v>
      </c>
      <c r="F498" s="88" t="s">
        <v>1638</v>
      </c>
      <c r="G498" s="63"/>
      <c r="H498" s="66"/>
      <c r="I498" s="66"/>
      <c r="J498" s="66"/>
      <c r="K498" s="66"/>
    </row>
    <row r="499" spans="2:11">
      <c r="B499" s="63"/>
      <c r="C499" s="90" t="s">
        <v>1534</v>
      </c>
      <c r="D499" s="64">
        <v>60</v>
      </c>
      <c r="E499" s="64">
        <f t="shared" si="13"/>
        <v>325</v>
      </c>
      <c r="F499" s="93" t="s">
        <v>1639</v>
      </c>
      <c r="G499" s="63"/>
      <c r="H499" s="66"/>
      <c r="I499" s="66"/>
      <c r="J499" s="66"/>
      <c r="K499" s="66"/>
    </row>
    <row r="500" spans="2:11">
      <c r="B500" s="63"/>
      <c r="C500" s="90" t="s">
        <v>1534</v>
      </c>
      <c r="D500" s="64">
        <v>60</v>
      </c>
      <c r="E500" s="64">
        <f t="shared" si="13"/>
        <v>330</v>
      </c>
      <c r="F500" s="93" t="s">
        <v>1640</v>
      </c>
      <c r="G500" s="63"/>
      <c r="H500" s="66"/>
      <c r="I500" s="66"/>
      <c r="J500" s="66"/>
      <c r="K500" s="66"/>
    </row>
    <row r="501" spans="2:11">
      <c r="B501" s="63"/>
      <c r="C501" s="90" t="s">
        <v>1534</v>
      </c>
      <c r="D501" s="64">
        <v>60</v>
      </c>
      <c r="E501" s="64">
        <f t="shared" si="13"/>
        <v>335</v>
      </c>
      <c r="F501" s="93" t="s">
        <v>1641</v>
      </c>
      <c r="G501" s="63"/>
      <c r="H501" s="66"/>
      <c r="I501" s="66"/>
      <c r="J501" s="66"/>
      <c r="K501" s="66"/>
    </row>
    <row r="502" spans="2:11">
      <c r="B502" s="63"/>
      <c r="C502" s="90" t="s">
        <v>1534</v>
      </c>
      <c r="D502" s="64">
        <v>60</v>
      </c>
      <c r="E502" s="64">
        <f t="shared" si="13"/>
        <v>340</v>
      </c>
      <c r="F502" s="93" t="s">
        <v>1642</v>
      </c>
      <c r="G502" s="63"/>
      <c r="H502" s="66"/>
      <c r="I502" s="66"/>
      <c r="J502" s="66"/>
      <c r="K502" s="66"/>
    </row>
    <row r="503" spans="2:11">
      <c r="B503" s="63"/>
      <c r="C503" s="90" t="s">
        <v>1534</v>
      </c>
      <c r="D503" s="64">
        <v>60</v>
      </c>
      <c r="E503" s="64">
        <f t="shared" si="13"/>
        <v>345</v>
      </c>
      <c r="F503" s="93" t="s">
        <v>1643</v>
      </c>
      <c r="G503" s="63"/>
      <c r="H503" s="66"/>
      <c r="I503" s="66"/>
      <c r="J503" s="66"/>
      <c r="K503" s="66"/>
    </row>
    <row r="504" spans="2:11">
      <c r="B504" s="63"/>
      <c r="C504" s="90" t="s">
        <v>1534</v>
      </c>
      <c r="D504" s="64">
        <v>60</v>
      </c>
      <c r="E504" s="64">
        <f t="shared" si="13"/>
        <v>350</v>
      </c>
      <c r="F504" s="93" t="s">
        <v>1644</v>
      </c>
      <c r="G504" s="63"/>
      <c r="H504" s="66"/>
      <c r="I504" s="66"/>
      <c r="J504" s="66"/>
      <c r="K504" s="66"/>
    </row>
    <row r="505" spans="2:11">
      <c r="B505" s="63"/>
      <c r="C505" s="90" t="s">
        <v>1534</v>
      </c>
      <c r="D505" s="64">
        <v>60</v>
      </c>
      <c r="E505" s="64">
        <f t="shared" si="13"/>
        <v>355</v>
      </c>
      <c r="F505" s="93" t="s">
        <v>1645</v>
      </c>
      <c r="G505" s="63"/>
      <c r="H505" s="66"/>
      <c r="I505" s="66"/>
      <c r="J505" s="66"/>
      <c r="K505" s="66"/>
    </row>
    <row r="506" spans="2:11">
      <c r="B506" s="63"/>
      <c r="C506" s="90" t="s">
        <v>1534</v>
      </c>
      <c r="D506" s="64">
        <v>60</v>
      </c>
      <c r="E506" s="64">
        <f t="shared" si="13"/>
        <v>360</v>
      </c>
      <c r="F506" s="93" t="s">
        <v>1214</v>
      </c>
      <c r="G506" s="63"/>
      <c r="H506" s="66"/>
      <c r="I506" s="66"/>
      <c r="J506" s="66"/>
      <c r="K506" s="66"/>
    </row>
    <row r="507" spans="2:11">
      <c r="B507" s="63"/>
      <c r="C507" s="90" t="s">
        <v>1534</v>
      </c>
      <c r="D507" s="64">
        <v>60</v>
      </c>
      <c r="E507" s="64">
        <f t="shared" si="13"/>
        <v>365</v>
      </c>
      <c r="F507" s="93" t="s">
        <v>1215</v>
      </c>
      <c r="G507" s="63"/>
      <c r="H507" s="66"/>
      <c r="I507" s="66"/>
      <c r="J507" s="66"/>
      <c r="K507" s="66"/>
    </row>
    <row r="508" spans="2:11">
      <c r="B508" s="63"/>
      <c r="C508" s="90" t="s">
        <v>1534</v>
      </c>
      <c r="D508" s="64">
        <v>60</v>
      </c>
      <c r="E508" s="64">
        <f t="shared" si="13"/>
        <v>370</v>
      </c>
      <c r="F508" s="93" t="s">
        <v>1216</v>
      </c>
      <c r="G508" s="63"/>
      <c r="H508" s="66"/>
      <c r="I508" s="66"/>
      <c r="J508" s="66"/>
      <c r="K508" s="66"/>
    </row>
    <row r="509" spans="2:11">
      <c r="B509" s="63"/>
      <c r="C509" s="90" t="s">
        <v>1534</v>
      </c>
      <c r="D509" s="64">
        <v>60</v>
      </c>
      <c r="E509" s="64">
        <f t="shared" si="13"/>
        <v>375</v>
      </c>
      <c r="F509" s="93" t="s">
        <v>1217</v>
      </c>
      <c r="G509" s="63"/>
      <c r="H509" s="66"/>
      <c r="I509" s="66"/>
      <c r="J509" s="66"/>
      <c r="K509" s="66"/>
    </row>
    <row r="510" spans="2:11">
      <c r="B510" s="63"/>
      <c r="C510" s="90" t="s">
        <v>1534</v>
      </c>
      <c r="D510" s="64">
        <v>60</v>
      </c>
      <c r="E510" s="64">
        <f t="shared" si="13"/>
        <v>380</v>
      </c>
      <c r="F510" s="93" t="s">
        <v>1218</v>
      </c>
      <c r="G510" s="63"/>
      <c r="H510" s="66"/>
      <c r="I510" s="66"/>
      <c r="J510" s="66"/>
      <c r="K510" s="66"/>
    </row>
    <row r="511" spans="2:11">
      <c r="B511" s="63"/>
      <c r="C511" s="90" t="s">
        <v>1534</v>
      </c>
      <c r="D511" s="64">
        <v>60</v>
      </c>
      <c r="E511" s="64">
        <f t="shared" si="13"/>
        <v>385</v>
      </c>
      <c r="F511" s="93" t="s">
        <v>1219</v>
      </c>
      <c r="G511" s="63"/>
      <c r="H511" s="66"/>
      <c r="I511" s="66"/>
      <c r="J511" s="66"/>
      <c r="K511" s="66"/>
    </row>
    <row r="512" spans="2:11">
      <c r="B512" s="63"/>
      <c r="C512" s="90" t="s">
        <v>1534</v>
      </c>
      <c r="D512" s="64">
        <v>60</v>
      </c>
      <c r="E512" s="64">
        <f t="shared" si="13"/>
        <v>390</v>
      </c>
      <c r="F512" s="88" t="s">
        <v>1220</v>
      </c>
      <c r="G512" s="63"/>
      <c r="H512" s="66"/>
      <c r="I512" s="66"/>
      <c r="J512" s="66"/>
      <c r="K512" s="66"/>
    </row>
    <row r="513" spans="2:11">
      <c r="B513" s="63"/>
      <c r="C513" s="90" t="s">
        <v>1534</v>
      </c>
      <c r="D513" s="64">
        <v>60</v>
      </c>
      <c r="E513" s="64">
        <f t="shared" si="13"/>
        <v>395</v>
      </c>
      <c r="F513" s="93" t="s">
        <v>1470</v>
      </c>
      <c r="G513" s="63"/>
      <c r="H513" s="66"/>
      <c r="I513" s="66"/>
      <c r="J513" s="66"/>
      <c r="K513" s="66"/>
    </row>
    <row r="514" spans="2:11">
      <c r="B514" s="63"/>
      <c r="C514" s="90" t="s">
        <v>1534</v>
      </c>
      <c r="D514" s="64">
        <v>60</v>
      </c>
      <c r="E514" s="64">
        <f t="shared" si="13"/>
        <v>400</v>
      </c>
      <c r="F514" s="93" t="s">
        <v>1652</v>
      </c>
      <c r="G514" s="63"/>
      <c r="H514" s="66"/>
      <c r="I514" s="66"/>
      <c r="J514" s="66"/>
      <c r="K514" s="66"/>
    </row>
    <row r="515" spans="2:11">
      <c r="B515" s="63"/>
      <c r="C515" s="90" t="s">
        <v>1534</v>
      </c>
      <c r="D515" s="64">
        <v>60</v>
      </c>
      <c r="E515" s="64">
        <f t="shared" si="13"/>
        <v>405</v>
      </c>
      <c r="F515" s="63" t="s">
        <v>1653</v>
      </c>
      <c r="G515" s="63"/>
      <c r="H515" s="66"/>
      <c r="I515" s="66"/>
      <c r="J515" s="66"/>
      <c r="K515" s="66"/>
    </row>
    <row r="516" spans="2:11">
      <c r="B516" s="63"/>
      <c r="C516" s="90" t="s">
        <v>1534</v>
      </c>
      <c r="D516" s="64">
        <v>60</v>
      </c>
      <c r="E516" s="64">
        <f t="shared" si="13"/>
        <v>410</v>
      </c>
      <c r="F516" s="95" t="s">
        <v>1610</v>
      </c>
      <c r="G516" s="63"/>
      <c r="H516" s="66"/>
      <c r="I516" s="66"/>
      <c r="J516" s="66"/>
      <c r="K516" s="66"/>
    </row>
    <row r="517" spans="2:11">
      <c r="B517" s="63"/>
      <c r="C517" s="90" t="s">
        <v>1534</v>
      </c>
      <c r="D517" s="64">
        <v>60</v>
      </c>
      <c r="E517" s="64">
        <f t="shared" si="13"/>
        <v>415</v>
      </c>
      <c r="F517" s="63" t="s">
        <v>498</v>
      </c>
      <c r="G517" s="63"/>
      <c r="H517" s="66"/>
      <c r="I517" s="66"/>
      <c r="J517" s="66"/>
      <c r="K517" s="66"/>
    </row>
    <row r="518" spans="2:11">
      <c r="B518" s="63"/>
      <c r="C518" s="90" t="s">
        <v>1534</v>
      </c>
      <c r="D518" s="64">
        <v>60</v>
      </c>
      <c r="E518" s="64">
        <f t="shared" si="13"/>
        <v>420</v>
      </c>
      <c r="F518" s="95" t="s">
        <v>1204</v>
      </c>
      <c r="G518" s="63"/>
      <c r="H518" s="66"/>
      <c r="I518" s="66"/>
      <c r="J518" s="66"/>
      <c r="K518" s="66"/>
    </row>
    <row r="519" spans="2:11">
      <c r="B519" s="63"/>
      <c r="C519" s="90" t="s">
        <v>1534</v>
      </c>
      <c r="D519" s="64">
        <v>60</v>
      </c>
      <c r="E519" s="64">
        <f t="shared" si="13"/>
        <v>425</v>
      </c>
      <c r="F519" s="95" t="s">
        <v>1205</v>
      </c>
      <c r="G519" s="63"/>
      <c r="H519" s="66"/>
      <c r="I519" s="66"/>
      <c r="J519" s="66"/>
      <c r="K519" s="66"/>
    </row>
    <row r="520" spans="2:11">
      <c r="B520" s="63"/>
      <c r="C520" s="90"/>
      <c r="D520" s="64"/>
      <c r="E520" s="64"/>
      <c r="F520" s="95"/>
      <c r="G520" s="63"/>
      <c r="H520" s="66"/>
      <c r="I520" s="66"/>
      <c r="J520" s="66"/>
      <c r="K520" s="66"/>
    </row>
    <row r="521" spans="2:11">
      <c r="B521" s="63"/>
      <c r="C521" s="91" t="s">
        <v>1534</v>
      </c>
      <c r="D521" s="82">
        <v>70</v>
      </c>
      <c r="E521" s="3349" t="s">
        <v>1206</v>
      </c>
      <c r="F521" s="3349"/>
      <c r="G521" s="63"/>
      <c r="H521" s="66"/>
      <c r="I521" s="66"/>
      <c r="J521" s="66"/>
      <c r="K521" s="66"/>
    </row>
    <row r="522" spans="2:11" ht="6" customHeight="1">
      <c r="B522" s="63"/>
      <c r="C522" s="90"/>
      <c r="D522" s="64"/>
      <c r="E522" s="63"/>
      <c r="F522" s="63"/>
      <c r="G522" s="63"/>
      <c r="H522" s="66"/>
      <c r="I522" s="66"/>
      <c r="J522" s="66"/>
      <c r="K522" s="66"/>
    </row>
    <row r="523" spans="2:11">
      <c r="B523" s="63"/>
      <c r="C523" s="90" t="s">
        <v>1534</v>
      </c>
      <c r="D523" s="64">
        <v>70</v>
      </c>
      <c r="E523" s="92">
        <v>100</v>
      </c>
      <c r="F523" s="83" t="s">
        <v>299</v>
      </c>
      <c r="G523" s="63"/>
      <c r="H523" s="66"/>
      <c r="I523" s="66"/>
      <c r="J523" s="66"/>
      <c r="K523" s="66"/>
    </row>
    <row r="524" spans="2:11">
      <c r="B524" s="63"/>
      <c r="C524" s="90" t="s">
        <v>1534</v>
      </c>
      <c r="D524" s="64">
        <v>70</v>
      </c>
      <c r="E524" s="92">
        <v>105</v>
      </c>
      <c r="F524" s="83" t="s">
        <v>300</v>
      </c>
      <c r="G524" s="63"/>
      <c r="H524" s="66"/>
      <c r="I524" s="66"/>
      <c r="J524" s="66"/>
      <c r="K524" s="66"/>
    </row>
    <row r="525" spans="2:11">
      <c r="B525" s="63"/>
      <c r="C525" s="90" t="s">
        <v>1534</v>
      </c>
      <c r="D525" s="64">
        <v>70</v>
      </c>
      <c r="E525" s="92">
        <f t="shared" ref="E525:E535" si="14">E524+5</f>
        <v>110</v>
      </c>
      <c r="F525" s="83" t="s">
        <v>301</v>
      </c>
      <c r="G525" s="63"/>
      <c r="H525" s="66"/>
      <c r="I525" s="66"/>
      <c r="J525" s="66"/>
      <c r="K525" s="66"/>
    </row>
    <row r="526" spans="2:11">
      <c r="B526" s="63"/>
      <c r="C526" s="90" t="s">
        <v>1534</v>
      </c>
      <c r="D526" s="64">
        <v>70</v>
      </c>
      <c r="E526" s="92">
        <f t="shared" si="14"/>
        <v>115</v>
      </c>
      <c r="F526" s="83" t="s">
        <v>302</v>
      </c>
      <c r="G526" s="63"/>
      <c r="H526" s="66"/>
      <c r="I526" s="66"/>
      <c r="J526" s="66"/>
      <c r="K526" s="66"/>
    </row>
    <row r="527" spans="2:11">
      <c r="B527" s="63"/>
      <c r="C527" s="90" t="s">
        <v>1534</v>
      </c>
      <c r="D527" s="64">
        <v>70</v>
      </c>
      <c r="E527" s="92">
        <f t="shared" si="14"/>
        <v>120</v>
      </c>
      <c r="F527" s="83" t="s">
        <v>303</v>
      </c>
      <c r="G527" s="63"/>
      <c r="H527" s="66"/>
      <c r="I527" s="66"/>
      <c r="J527" s="66"/>
      <c r="K527" s="66"/>
    </row>
    <row r="528" spans="2:11">
      <c r="B528" s="63"/>
      <c r="C528" s="90" t="s">
        <v>1534</v>
      </c>
      <c r="D528" s="64">
        <v>70</v>
      </c>
      <c r="E528" s="92">
        <f t="shared" si="14"/>
        <v>125</v>
      </c>
      <c r="F528" s="83" t="s">
        <v>304</v>
      </c>
      <c r="G528" s="63"/>
      <c r="H528" s="66"/>
      <c r="I528" s="66"/>
      <c r="J528" s="66"/>
      <c r="K528" s="66"/>
    </row>
    <row r="529" spans="2:11">
      <c r="B529" s="63"/>
      <c r="C529" s="90" t="s">
        <v>1534</v>
      </c>
      <c r="D529" s="64">
        <v>70</v>
      </c>
      <c r="E529" s="92">
        <f t="shared" si="14"/>
        <v>130</v>
      </c>
      <c r="F529" s="83" t="s">
        <v>1689</v>
      </c>
      <c r="G529" s="63"/>
      <c r="H529" s="66"/>
      <c r="I529" s="66"/>
      <c r="J529" s="66"/>
      <c r="K529" s="66"/>
    </row>
    <row r="530" spans="2:11">
      <c r="B530" s="63"/>
      <c r="C530" s="90" t="s">
        <v>1534</v>
      </c>
      <c r="D530" s="64">
        <v>70</v>
      </c>
      <c r="E530" s="92">
        <f t="shared" si="14"/>
        <v>135</v>
      </c>
      <c r="F530" s="83" t="s">
        <v>1690</v>
      </c>
      <c r="G530" s="63"/>
      <c r="H530" s="66"/>
      <c r="I530" s="66"/>
      <c r="J530" s="66"/>
      <c r="K530" s="66"/>
    </row>
    <row r="531" spans="2:11">
      <c r="B531" s="63"/>
      <c r="C531" s="90" t="s">
        <v>1534</v>
      </c>
      <c r="D531" s="64">
        <v>70</v>
      </c>
      <c r="E531" s="92">
        <f t="shared" si="14"/>
        <v>140</v>
      </c>
      <c r="F531" s="83" t="s">
        <v>1691</v>
      </c>
      <c r="G531" s="63"/>
      <c r="H531" s="66"/>
      <c r="I531" s="66"/>
      <c r="J531" s="66"/>
      <c r="K531" s="66"/>
    </row>
    <row r="532" spans="2:11">
      <c r="B532" s="63"/>
      <c r="C532" s="90" t="s">
        <v>1534</v>
      </c>
      <c r="D532" s="64">
        <v>70</v>
      </c>
      <c r="E532" s="92">
        <f t="shared" si="14"/>
        <v>145</v>
      </c>
      <c r="F532" s="83" t="s">
        <v>1687</v>
      </c>
      <c r="G532" s="63"/>
      <c r="H532" s="66"/>
      <c r="I532" s="66"/>
      <c r="J532" s="66"/>
      <c r="K532" s="66"/>
    </row>
    <row r="533" spans="2:11">
      <c r="B533" s="63"/>
      <c r="C533" s="90" t="s">
        <v>1534</v>
      </c>
      <c r="D533" s="64">
        <v>70</v>
      </c>
      <c r="E533" s="92">
        <f t="shared" si="14"/>
        <v>150</v>
      </c>
      <c r="F533" s="83" t="s">
        <v>1173</v>
      </c>
      <c r="G533" s="63"/>
      <c r="H533" s="66"/>
      <c r="I533" s="66"/>
      <c r="J533" s="66"/>
      <c r="K533" s="66"/>
    </row>
    <row r="534" spans="2:11">
      <c r="B534" s="63"/>
      <c r="C534" s="90" t="s">
        <v>1534</v>
      </c>
      <c r="D534" s="64">
        <v>70</v>
      </c>
      <c r="E534" s="92">
        <f t="shared" si="14"/>
        <v>155</v>
      </c>
      <c r="F534" s="83" t="s">
        <v>2086</v>
      </c>
      <c r="G534" s="63"/>
      <c r="H534" s="66"/>
      <c r="I534" s="66"/>
      <c r="J534" s="66"/>
      <c r="K534" s="66"/>
    </row>
    <row r="535" spans="2:11">
      <c r="B535" s="63"/>
      <c r="C535" s="90" t="s">
        <v>1534</v>
      </c>
      <c r="D535" s="64">
        <v>70</v>
      </c>
      <c r="E535" s="92">
        <f t="shared" si="14"/>
        <v>160</v>
      </c>
      <c r="F535" s="83" t="s">
        <v>1688</v>
      </c>
      <c r="G535" s="63"/>
      <c r="H535" s="66"/>
      <c r="I535" s="66"/>
      <c r="J535" s="66"/>
      <c r="K535" s="66"/>
    </row>
    <row r="536" spans="2:11">
      <c r="B536" s="63"/>
      <c r="C536" s="90"/>
      <c r="D536" s="64"/>
      <c r="E536" s="92"/>
      <c r="F536" s="83"/>
      <c r="G536" s="63"/>
      <c r="H536" s="66"/>
      <c r="I536" s="66"/>
      <c r="J536" s="66"/>
      <c r="K536" s="66"/>
    </row>
    <row r="537" spans="2:11" ht="15.6">
      <c r="B537" s="63"/>
      <c r="C537" s="79" t="s">
        <v>1174</v>
      </c>
      <c r="D537" s="3344" t="s">
        <v>1175</v>
      </c>
      <c r="E537" s="3346"/>
      <c r="F537" s="3346"/>
      <c r="G537" s="63"/>
      <c r="H537" s="66"/>
      <c r="I537" s="66"/>
      <c r="J537" s="66"/>
      <c r="K537" s="66"/>
    </row>
    <row r="538" spans="2:11" ht="6" customHeight="1">
      <c r="B538" s="63"/>
      <c r="C538" s="75"/>
      <c r="D538" s="80"/>
      <c r="E538" s="63"/>
      <c r="F538" s="63"/>
      <c r="G538" s="63"/>
      <c r="H538" s="66"/>
      <c r="I538" s="66"/>
      <c r="J538" s="66"/>
      <c r="K538" s="66"/>
    </row>
    <row r="539" spans="2:11">
      <c r="B539" s="63"/>
      <c r="C539" s="81" t="s">
        <v>1174</v>
      </c>
      <c r="D539" s="82">
        <v>10</v>
      </c>
      <c r="E539" s="3349" t="s">
        <v>1176</v>
      </c>
      <c r="F539" s="3349"/>
      <c r="G539" s="63"/>
      <c r="H539" s="66"/>
      <c r="I539" s="66"/>
      <c r="J539" s="66"/>
      <c r="K539" s="66"/>
    </row>
    <row r="540" spans="2:11">
      <c r="B540" s="63"/>
      <c r="C540" s="75" t="s">
        <v>1174</v>
      </c>
      <c r="D540" s="64">
        <v>10</v>
      </c>
      <c r="E540" s="64">
        <v>100</v>
      </c>
      <c r="F540" s="63" t="s">
        <v>1177</v>
      </c>
      <c r="G540" s="63"/>
      <c r="H540" s="66"/>
      <c r="I540" s="66"/>
      <c r="J540" s="66"/>
      <c r="K540" s="66"/>
    </row>
    <row r="541" spans="2:11">
      <c r="B541" s="63"/>
      <c r="C541" s="75" t="s">
        <v>1174</v>
      </c>
      <c r="D541" s="64">
        <v>10</v>
      </c>
      <c r="E541" s="64">
        <v>200</v>
      </c>
      <c r="F541" s="63" t="s">
        <v>1178</v>
      </c>
      <c r="G541" s="63"/>
      <c r="H541" s="66"/>
      <c r="I541" s="66"/>
      <c r="J541" s="66"/>
      <c r="K541" s="66"/>
    </row>
    <row r="542" spans="2:11">
      <c r="B542" s="63"/>
      <c r="C542" s="75" t="s">
        <v>1174</v>
      </c>
      <c r="D542" s="64">
        <v>10</v>
      </c>
      <c r="E542" s="64">
        <v>300</v>
      </c>
      <c r="F542" s="63" t="s">
        <v>1179</v>
      </c>
      <c r="G542" s="63"/>
      <c r="H542" s="66"/>
      <c r="I542" s="66"/>
      <c r="J542" s="66"/>
      <c r="K542" s="66"/>
    </row>
    <row r="543" spans="2:11">
      <c r="B543" s="63"/>
      <c r="C543" s="75" t="s">
        <v>1174</v>
      </c>
      <c r="D543" s="64">
        <v>10</v>
      </c>
      <c r="E543" s="64">
        <v>400</v>
      </c>
      <c r="F543" s="63" t="s">
        <v>1180</v>
      </c>
      <c r="G543" s="63"/>
      <c r="H543" s="66"/>
      <c r="I543" s="66"/>
      <c r="J543" s="66"/>
      <c r="K543" s="66"/>
    </row>
    <row r="544" spans="2:11">
      <c r="B544" s="63"/>
      <c r="C544" s="75" t="s">
        <v>1174</v>
      </c>
      <c r="D544" s="64">
        <v>10</v>
      </c>
      <c r="E544" s="64">
        <v>500</v>
      </c>
      <c r="F544" s="63" t="s">
        <v>1181</v>
      </c>
      <c r="G544" s="63"/>
      <c r="H544" s="66"/>
      <c r="I544" s="66"/>
      <c r="J544" s="66"/>
      <c r="K544" s="66"/>
    </row>
    <row r="545" spans="2:11">
      <c r="B545" s="63"/>
      <c r="C545" s="75"/>
      <c r="D545" s="64"/>
      <c r="E545" s="64"/>
      <c r="F545" s="63"/>
      <c r="G545" s="63"/>
      <c r="H545" s="66"/>
      <c r="I545" s="66"/>
      <c r="J545" s="66"/>
      <c r="K545" s="66"/>
    </row>
    <row r="546" spans="2:11">
      <c r="B546" s="63"/>
      <c r="C546" s="81" t="s">
        <v>1174</v>
      </c>
      <c r="D546" s="82">
        <v>20</v>
      </c>
      <c r="E546" s="3349" t="s">
        <v>1182</v>
      </c>
      <c r="F546" s="3349"/>
      <c r="G546" s="63"/>
      <c r="H546" s="66"/>
      <c r="I546" s="66"/>
      <c r="J546" s="66"/>
      <c r="K546" s="66"/>
    </row>
    <row r="547" spans="2:11" ht="6" customHeight="1">
      <c r="B547" s="63"/>
      <c r="C547" s="75"/>
      <c r="D547" s="64"/>
      <c r="E547" s="63"/>
      <c r="F547" s="63"/>
      <c r="G547" s="63"/>
      <c r="H547" s="66"/>
      <c r="I547" s="66"/>
      <c r="J547" s="66"/>
      <c r="K547" s="66"/>
    </row>
    <row r="548" spans="2:11">
      <c r="B548" s="63"/>
      <c r="C548" s="75" t="s">
        <v>1174</v>
      </c>
      <c r="D548" s="64">
        <v>20</v>
      </c>
      <c r="E548" s="64">
        <v>100</v>
      </c>
      <c r="F548" s="67" t="s">
        <v>1183</v>
      </c>
      <c r="G548" s="63"/>
      <c r="H548" s="66"/>
      <c r="I548" s="66"/>
      <c r="J548" s="66"/>
      <c r="K548" s="66"/>
    </row>
    <row r="549" spans="2:11">
      <c r="B549" s="63"/>
      <c r="C549" s="75" t="s">
        <v>1174</v>
      </c>
      <c r="D549" s="64">
        <v>20</v>
      </c>
      <c r="E549" s="92">
        <f t="shared" ref="E549:E580" si="15">E548+5</f>
        <v>105</v>
      </c>
      <c r="F549" s="67" t="s">
        <v>372</v>
      </c>
      <c r="G549" s="63"/>
      <c r="H549" s="66"/>
      <c r="I549" s="66"/>
      <c r="J549" s="66"/>
      <c r="K549" s="66"/>
    </row>
    <row r="550" spans="2:11">
      <c r="B550" s="63"/>
      <c r="C550" s="75" t="s">
        <v>1174</v>
      </c>
      <c r="D550" s="64">
        <v>20</v>
      </c>
      <c r="E550" s="92">
        <f t="shared" si="15"/>
        <v>110</v>
      </c>
      <c r="F550" s="67" t="s">
        <v>373</v>
      </c>
      <c r="G550" s="63"/>
      <c r="H550" s="66"/>
      <c r="I550" s="66"/>
      <c r="J550" s="66"/>
      <c r="K550" s="66"/>
    </row>
    <row r="551" spans="2:11">
      <c r="B551" s="63"/>
      <c r="C551" s="75" t="s">
        <v>1174</v>
      </c>
      <c r="D551" s="64">
        <v>20</v>
      </c>
      <c r="E551" s="92">
        <f t="shared" si="15"/>
        <v>115</v>
      </c>
      <c r="F551" s="67" t="s">
        <v>374</v>
      </c>
      <c r="G551" s="63"/>
      <c r="H551" s="66"/>
      <c r="I551" s="66"/>
      <c r="J551" s="66"/>
      <c r="K551" s="66"/>
    </row>
    <row r="552" spans="2:11">
      <c r="B552" s="63"/>
      <c r="C552" s="75" t="s">
        <v>1174</v>
      </c>
      <c r="D552" s="64">
        <v>20</v>
      </c>
      <c r="E552" s="92">
        <f t="shared" si="15"/>
        <v>120</v>
      </c>
      <c r="F552" s="67" t="s">
        <v>375</v>
      </c>
      <c r="G552" s="63"/>
      <c r="H552" s="66"/>
      <c r="I552" s="66"/>
      <c r="J552" s="66"/>
      <c r="K552" s="66"/>
    </row>
    <row r="553" spans="2:11">
      <c r="B553" s="63"/>
      <c r="C553" s="75" t="s">
        <v>1174</v>
      </c>
      <c r="D553" s="64">
        <v>20</v>
      </c>
      <c r="E553" s="92">
        <f t="shared" si="15"/>
        <v>125</v>
      </c>
      <c r="F553" s="67" t="s">
        <v>376</v>
      </c>
      <c r="G553" s="63"/>
      <c r="H553" s="66"/>
      <c r="I553" s="66"/>
      <c r="J553" s="66"/>
      <c r="K553" s="66"/>
    </row>
    <row r="554" spans="2:11">
      <c r="B554" s="63"/>
      <c r="C554" s="75" t="s">
        <v>1174</v>
      </c>
      <c r="D554" s="64">
        <v>20</v>
      </c>
      <c r="E554" s="92">
        <f t="shared" si="15"/>
        <v>130</v>
      </c>
      <c r="F554" s="67" t="s">
        <v>377</v>
      </c>
      <c r="G554" s="63"/>
      <c r="H554" s="66"/>
      <c r="I554" s="66"/>
      <c r="J554" s="66"/>
      <c r="K554" s="66"/>
    </row>
    <row r="555" spans="2:11">
      <c r="B555" s="63"/>
      <c r="C555" s="75" t="s">
        <v>1174</v>
      </c>
      <c r="D555" s="64">
        <v>20</v>
      </c>
      <c r="E555" s="92">
        <f t="shared" si="15"/>
        <v>135</v>
      </c>
      <c r="F555" s="67" t="s">
        <v>378</v>
      </c>
      <c r="G555" s="63"/>
      <c r="H555" s="66"/>
      <c r="I555" s="66"/>
      <c r="J555" s="66"/>
      <c r="K555" s="66"/>
    </row>
    <row r="556" spans="2:11">
      <c r="B556" s="63"/>
      <c r="C556" s="75" t="s">
        <v>1174</v>
      </c>
      <c r="D556" s="64">
        <v>20</v>
      </c>
      <c r="E556" s="92">
        <f t="shared" si="15"/>
        <v>140</v>
      </c>
      <c r="F556" s="67" t="s">
        <v>379</v>
      </c>
      <c r="G556" s="63"/>
      <c r="H556" s="66"/>
      <c r="I556" s="66"/>
      <c r="J556" s="66"/>
      <c r="K556" s="66"/>
    </row>
    <row r="557" spans="2:11">
      <c r="B557" s="63"/>
      <c r="C557" s="75" t="s">
        <v>1174</v>
      </c>
      <c r="D557" s="64">
        <v>20</v>
      </c>
      <c r="E557" s="92">
        <f t="shared" si="15"/>
        <v>145</v>
      </c>
      <c r="F557" s="67" t="s">
        <v>380</v>
      </c>
      <c r="G557" s="63"/>
      <c r="H557" s="66"/>
      <c r="I557" s="66"/>
      <c r="J557" s="66"/>
      <c r="K557" s="66"/>
    </row>
    <row r="558" spans="2:11">
      <c r="B558" s="63"/>
      <c r="C558" s="75" t="s">
        <v>1174</v>
      </c>
      <c r="D558" s="64">
        <v>20</v>
      </c>
      <c r="E558" s="92">
        <f t="shared" si="15"/>
        <v>150</v>
      </c>
      <c r="F558" s="67" t="s">
        <v>1811</v>
      </c>
      <c r="G558" s="63"/>
      <c r="H558" s="66"/>
      <c r="I558" s="66"/>
      <c r="J558" s="66"/>
      <c r="K558" s="66"/>
    </row>
    <row r="559" spans="2:11">
      <c r="B559" s="63"/>
      <c r="C559" s="75" t="s">
        <v>1174</v>
      </c>
      <c r="D559" s="64">
        <v>20</v>
      </c>
      <c r="E559" s="92">
        <f t="shared" si="15"/>
        <v>155</v>
      </c>
      <c r="F559" s="67" t="s">
        <v>1812</v>
      </c>
      <c r="G559" s="63"/>
      <c r="H559" s="66"/>
      <c r="I559" s="66"/>
      <c r="J559" s="66"/>
      <c r="K559" s="66"/>
    </row>
    <row r="560" spans="2:11">
      <c r="B560" s="63"/>
      <c r="C560" s="75" t="s">
        <v>1174</v>
      </c>
      <c r="D560" s="64">
        <v>20</v>
      </c>
      <c r="E560" s="92">
        <f t="shared" si="15"/>
        <v>160</v>
      </c>
      <c r="F560" s="67" t="s">
        <v>1813</v>
      </c>
      <c r="G560" s="63"/>
      <c r="H560" s="66"/>
      <c r="I560" s="66"/>
      <c r="J560" s="66"/>
      <c r="K560" s="66"/>
    </row>
    <row r="561" spans="2:11">
      <c r="B561" s="63"/>
      <c r="C561" s="75" t="s">
        <v>1174</v>
      </c>
      <c r="D561" s="64">
        <v>20</v>
      </c>
      <c r="E561" s="92">
        <f t="shared" si="15"/>
        <v>165</v>
      </c>
      <c r="F561" s="67" t="s">
        <v>1814</v>
      </c>
      <c r="G561" s="63"/>
      <c r="H561" s="66"/>
      <c r="I561" s="66"/>
      <c r="J561" s="66"/>
      <c r="K561" s="66"/>
    </row>
    <row r="562" spans="2:11">
      <c r="B562" s="63"/>
      <c r="C562" s="75" t="s">
        <v>1174</v>
      </c>
      <c r="D562" s="64">
        <v>20</v>
      </c>
      <c r="E562" s="92">
        <f t="shared" si="15"/>
        <v>170</v>
      </c>
      <c r="F562" s="67" t="s">
        <v>1815</v>
      </c>
      <c r="G562" s="63"/>
      <c r="H562" s="66"/>
      <c r="I562" s="66"/>
      <c r="J562" s="66"/>
      <c r="K562" s="66"/>
    </row>
    <row r="563" spans="2:11">
      <c r="B563" s="63"/>
      <c r="C563" s="75" t="s">
        <v>1174</v>
      </c>
      <c r="D563" s="64">
        <v>20</v>
      </c>
      <c r="E563" s="92">
        <f t="shared" si="15"/>
        <v>175</v>
      </c>
      <c r="F563" s="67" t="s">
        <v>1816</v>
      </c>
      <c r="G563" s="63"/>
      <c r="H563" s="66"/>
      <c r="I563" s="66"/>
      <c r="J563" s="66"/>
      <c r="K563" s="66"/>
    </row>
    <row r="564" spans="2:11">
      <c r="B564" s="63"/>
      <c r="C564" s="75" t="s">
        <v>1174</v>
      </c>
      <c r="D564" s="64">
        <v>20</v>
      </c>
      <c r="E564" s="92">
        <f t="shared" si="15"/>
        <v>180</v>
      </c>
      <c r="F564" s="67" t="s">
        <v>1817</v>
      </c>
      <c r="G564" s="63"/>
      <c r="H564" s="66"/>
      <c r="I564" s="66"/>
      <c r="J564" s="66"/>
      <c r="K564" s="66"/>
    </row>
    <row r="565" spans="2:11">
      <c r="B565" s="63"/>
      <c r="C565" s="75" t="s">
        <v>1174</v>
      </c>
      <c r="D565" s="64">
        <v>20</v>
      </c>
      <c r="E565" s="92">
        <f t="shared" si="15"/>
        <v>185</v>
      </c>
      <c r="F565" s="96" t="s">
        <v>1818</v>
      </c>
      <c r="G565" s="63"/>
      <c r="H565" s="66"/>
      <c r="I565" s="66"/>
      <c r="J565" s="66"/>
      <c r="K565" s="66"/>
    </row>
    <row r="566" spans="2:11">
      <c r="B566" s="63"/>
      <c r="C566" s="75" t="s">
        <v>1174</v>
      </c>
      <c r="D566" s="64">
        <v>20</v>
      </c>
      <c r="E566" s="92">
        <f t="shared" si="15"/>
        <v>190</v>
      </c>
      <c r="F566" s="67" t="s">
        <v>1819</v>
      </c>
      <c r="G566" s="63"/>
      <c r="H566" s="66"/>
      <c r="I566" s="66"/>
      <c r="J566" s="66"/>
      <c r="K566" s="66"/>
    </row>
    <row r="567" spans="2:11">
      <c r="B567" s="63"/>
      <c r="C567" s="75" t="s">
        <v>1174</v>
      </c>
      <c r="D567" s="64">
        <v>20</v>
      </c>
      <c r="E567" s="92">
        <f t="shared" si="15"/>
        <v>195</v>
      </c>
      <c r="F567" s="67" t="s">
        <v>1820</v>
      </c>
      <c r="G567" s="63"/>
      <c r="H567" s="66"/>
      <c r="I567" s="66"/>
      <c r="J567" s="66"/>
      <c r="K567" s="66"/>
    </row>
    <row r="568" spans="2:11">
      <c r="B568" s="63"/>
      <c r="C568" s="75" t="s">
        <v>1174</v>
      </c>
      <c r="D568" s="64">
        <v>20</v>
      </c>
      <c r="E568" s="92">
        <f t="shared" si="15"/>
        <v>200</v>
      </c>
      <c r="F568" s="67" t="s">
        <v>1821</v>
      </c>
      <c r="G568" s="63"/>
      <c r="H568" s="66"/>
      <c r="I568" s="66"/>
      <c r="J568" s="66"/>
      <c r="K568" s="66"/>
    </row>
    <row r="569" spans="2:11">
      <c r="B569" s="63"/>
      <c r="C569" s="75" t="s">
        <v>1174</v>
      </c>
      <c r="D569" s="64">
        <v>20</v>
      </c>
      <c r="E569" s="92">
        <f t="shared" si="15"/>
        <v>205</v>
      </c>
      <c r="F569" s="67" t="s">
        <v>1822</v>
      </c>
      <c r="G569" s="63"/>
      <c r="H569" s="66"/>
      <c r="I569" s="66"/>
      <c r="J569" s="66"/>
      <c r="K569" s="66"/>
    </row>
    <row r="570" spans="2:11">
      <c r="B570" s="63"/>
      <c r="C570" s="75" t="s">
        <v>1174</v>
      </c>
      <c r="D570" s="64">
        <v>20</v>
      </c>
      <c r="E570" s="92">
        <f t="shared" si="15"/>
        <v>210</v>
      </c>
      <c r="F570" s="67" t="s">
        <v>1823</v>
      </c>
      <c r="G570" s="63"/>
      <c r="H570" s="66"/>
      <c r="I570" s="66"/>
      <c r="J570" s="66"/>
      <c r="K570" s="66"/>
    </row>
    <row r="571" spans="2:11">
      <c r="B571" s="63"/>
      <c r="C571" s="75" t="s">
        <v>1174</v>
      </c>
      <c r="D571" s="64">
        <v>20</v>
      </c>
      <c r="E571" s="92">
        <f t="shared" si="15"/>
        <v>215</v>
      </c>
      <c r="F571" s="67" t="s">
        <v>1824</v>
      </c>
      <c r="G571" s="63"/>
      <c r="H571" s="66"/>
      <c r="I571" s="66"/>
      <c r="J571" s="66"/>
      <c r="K571" s="66"/>
    </row>
    <row r="572" spans="2:11">
      <c r="B572" s="63"/>
      <c r="C572" s="75" t="s">
        <v>1174</v>
      </c>
      <c r="D572" s="64">
        <v>20</v>
      </c>
      <c r="E572" s="92">
        <f t="shared" si="15"/>
        <v>220</v>
      </c>
      <c r="F572" s="97" t="s">
        <v>1825</v>
      </c>
      <c r="G572" s="63"/>
      <c r="H572" s="66"/>
      <c r="I572" s="66"/>
      <c r="J572" s="66"/>
      <c r="K572" s="66"/>
    </row>
    <row r="573" spans="2:11">
      <c r="B573" s="63"/>
      <c r="C573" s="75" t="s">
        <v>1174</v>
      </c>
      <c r="D573" s="64">
        <v>20</v>
      </c>
      <c r="E573" s="92">
        <f t="shared" si="15"/>
        <v>225</v>
      </c>
      <c r="F573" s="67" t="s">
        <v>1826</v>
      </c>
      <c r="G573" s="63"/>
      <c r="H573" s="66"/>
      <c r="I573" s="66"/>
      <c r="J573" s="66"/>
      <c r="K573" s="66"/>
    </row>
    <row r="574" spans="2:11">
      <c r="B574" s="63"/>
      <c r="C574" s="75" t="s">
        <v>1174</v>
      </c>
      <c r="D574" s="64">
        <v>20</v>
      </c>
      <c r="E574" s="92">
        <f t="shared" si="15"/>
        <v>230</v>
      </c>
      <c r="F574" s="67" t="s">
        <v>1827</v>
      </c>
      <c r="G574" s="63"/>
      <c r="H574" s="66"/>
      <c r="I574" s="66"/>
      <c r="J574" s="66"/>
      <c r="K574" s="66"/>
    </row>
    <row r="575" spans="2:11">
      <c r="B575" s="63"/>
      <c r="C575" s="75" t="s">
        <v>1174</v>
      </c>
      <c r="D575" s="64">
        <v>20</v>
      </c>
      <c r="E575" s="92">
        <f t="shared" si="15"/>
        <v>235</v>
      </c>
      <c r="F575" s="67" t="s">
        <v>1828</v>
      </c>
      <c r="G575" s="63"/>
      <c r="H575" s="66"/>
      <c r="I575" s="66"/>
      <c r="J575" s="66"/>
      <c r="K575" s="66"/>
    </row>
    <row r="576" spans="2:11">
      <c r="B576" s="63"/>
      <c r="C576" s="75" t="s">
        <v>1174</v>
      </c>
      <c r="D576" s="64">
        <v>20</v>
      </c>
      <c r="E576" s="92">
        <f t="shared" si="15"/>
        <v>240</v>
      </c>
      <c r="F576" s="67" t="s">
        <v>1829</v>
      </c>
      <c r="G576" s="63"/>
      <c r="H576" s="66"/>
      <c r="I576" s="66"/>
      <c r="J576" s="66"/>
      <c r="K576" s="66"/>
    </row>
    <row r="577" spans="2:11">
      <c r="B577" s="63"/>
      <c r="C577" s="75" t="s">
        <v>1174</v>
      </c>
      <c r="D577" s="64">
        <v>20</v>
      </c>
      <c r="E577" s="92">
        <f t="shared" si="15"/>
        <v>245</v>
      </c>
      <c r="F577" s="67" t="s">
        <v>1830</v>
      </c>
      <c r="G577" s="63"/>
      <c r="H577" s="66"/>
      <c r="I577" s="66"/>
      <c r="J577" s="66"/>
      <c r="K577" s="66"/>
    </row>
    <row r="578" spans="2:11">
      <c r="B578" s="63"/>
      <c r="C578" s="75" t="s">
        <v>1174</v>
      </c>
      <c r="D578" s="64">
        <v>20</v>
      </c>
      <c r="E578" s="92">
        <f t="shared" si="15"/>
        <v>250</v>
      </c>
      <c r="F578" s="67" t="s">
        <v>1831</v>
      </c>
      <c r="G578" s="63"/>
      <c r="H578" s="66"/>
      <c r="I578" s="66"/>
      <c r="J578" s="66"/>
      <c r="K578" s="66"/>
    </row>
    <row r="579" spans="2:11">
      <c r="B579" s="63"/>
      <c r="C579" s="75" t="s">
        <v>1174</v>
      </c>
      <c r="D579" s="64">
        <v>20</v>
      </c>
      <c r="E579" s="92">
        <f t="shared" si="15"/>
        <v>255</v>
      </c>
      <c r="F579" s="67" t="s">
        <v>1832</v>
      </c>
      <c r="G579" s="63"/>
      <c r="H579" s="66"/>
      <c r="I579" s="66"/>
      <c r="J579" s="66"/>
      <c r="K579" s="66"/>
    </row>
    <row r="580" spans="2:11">
      <c r="B580" s="63"/>
      <c r="C580" s="75" t="s">
        <v>1174</v>
      </c>
      <c r="D580" s="64">
        <v>20</v>
      </c>
      <c r="E580" s="92">
        <f t="shared" si="15"/>
        <v>260</v>
      </c>
      <c r="F580" s="67" t="s">
        <v>1893</v>
      </c>
      <c r="G580" s="63"/>
      <c r="H580" s="66"/>
      <c r="I580" s="66"/>
      <c r="J580" s="66"/>
      <c r="K580" s="66"/>
    </row>
    <row r="581" spans="2:11">
      <c r="B581" s="63"/>
      <c r="C581" s="75" t="s">
        <v>1174</v>
      </c>
      <c r="D581" s="64">
        <v>20</v>
      </c>
      <c r="E581" s="92">
        <f t="shared" ref="E581:E602" si="16">E580+5</f>
        <v>265</v>
      </c>
      <c r="F581" s="67" t="s">
        <v>1894</v>
      </c>
      <c r="G581" s="63"/>
      <c r="H581" s="66"/>
      <c r="I581" s="66"/>
      <c r="J581" s="66"/>
      <c r="K581" s="66"/>
    </row>
    <row r="582" spans="2:11">
      <c r="B582" s="63"/>
      <c r="C582" s="75" t="s">
        <v>1174</v>
      </c>
      <c r="D582" s="64">
        <v>20</v>
      </c>
      <c r="E582" s="92">
        <f t="shared" si="16"/>
        <v>270</v>
      </c>
      <c r="F582" s="67" t="s">
        <v>1895</v>
      </c>
      <c r="G582" s="63"/>
      <c r="H582" s="66"/>
      <c r="I582" s="66"/>
      <c r="J582" s="66"/>
      <c r="K582" s="66"/>
    </row>
    <row r="583" spans="2:11">
      <c r="B583" s="63"/>
      <c r="C583" s="75" t="s">
        <v>1174</v>
      </c>
      <c r="D583" s="64">
        <v>20</v>
      </c>
      <c r="E583" s="92">
        <f t="shared" si="16"/>
        <v>275</v>
      </c>
      <c r="F583" s="67" t="s">
        <v>1896</v>
      </c>
      <c r="G583" s="63"/>
      <c r="H583" s="66"/>
      <c r="I583" s="66"/>
      <c r="J583" s="66"/>
      <c r="K583" s="66"/>
    </row>
    <row r="584" spans="2:11">
      <c r="B584" s="63"/>
      <c r="C584" s="75" t="s">
        <v>1174</v>
      </c>
      <c r="D584" s="64">
        <v>20</v>
      </c>
      <c r="E584" s="92">
        <f t="shared" si="16"/>
        <v>280</v>
      </c>
      <c r="F584" s="67" t="s">
        <v>1897</v>
      </c>
      <c r="G584" s="63"/>
      <c r="H584" s="66"/>
      <c r="I584" s="66"/>
      <c r="J584" s="66"/>
      <c r="K584" s="66"/>
    </row>
    <row r="585" spans="2:11">
      <c r="B585" s="63"/>
      <c r="C585" s="75" t="s">
        <v>1174</v>
      </c>
      <c r="D585" s="64">
        <v>20</v>
      </c>
      <c r="E585" s="92">
        <f t="shared" si="16"/>
        <v>285</v>
      </c>
      <c r="F585" s="67" t="s">
        <v>1846</v>
      </c>
      <c r="G585" s="63"/>
      <c r="H585" s="66"/>
      <c r="I585" s="66"/>
      <c r="J585" s="66"/>
      <c r="K585" s="66"/>
    </row>
    <row r="586" spans="2:11">
      <c r="B586" s="63"/>
      <c r="C586" s="75" t="s">
        <v>1174</v>
      </c>
      <c r="D586" s="64">
        <v>20</v>
      </c>
      <c r="E586" s="92">
        <f t="shared" si="16"/>
        <v>290</v>
      </c>
      <c r="F586" s="67" t="s">
        <v>1847</v>
      </c>
      <c r="G586" s="63"/>
      <c r="H586" s="66"/>
      <c r="I586" s="66"/>
      <c r="J586" s="66"/>
      <c r="K586" s="66"/>
    </row>
    <row r="587" spans="2:11">
      <c r="B587" s="63"/>
      <c r="C587" s="75" t="s">
        <v>1174</v>
      </c>
      <c r="D587" s="64">
        <v>20</v>
      </c>
      <c r="E587" s="92">
        <f t="shared" si="16"/>
        <v>295</v>
      </c>
      <c r="F587" s="67" t="s">
        <v>1848</v>
      </c>
      <c r="G587" s="63"/>
      <c r="H587" s="66"/>
      <c r="I587" s="66"/>
      <c r="J587" s="66"/>
      <c r="K587" s="66"/>
    </row>
    <row r="588" spans="2:11">
      <c r="B588" s="63"/>
      <c r="C588" s="75" t="s">
        <v>1174</v>
      </c>
      <c r="D588" s="64">
        <v>20</v>
      </c>
      <c r="E588" s="92">
        <f t="shared" si="16"/>
        <v>300</v>
      </c>
      <c r="F588" s="67" t="s">
        <v>107</v>
      </c>
      <c r="G588" s="63"/>
      <c r="H588" s="66"/>
      <c r="I588" s="66"/>
      <c r="J588" s="66"/>
      <c r="K588" s="66"/>
    </row>
    <row r="589" spans="2:11">
      <c r="B589" s="63"/>
      <c r="C589" s="75" t="s">
        <v>1174</v>
      </c>
      <c r="D589" s="64">
        <v>20</v>
      </c>
      <c r="E589" s="92">
        <f t="shared" si="16"/>
        <v>305</v>
      </c>
      <c r="F589" s="67" t="s">
        <v>108</v>
      </c>
      <c r="G589" s="63"/>
      <c r="H589" s="66"/>
      <c r="I589" s="66"/>
      <c r="J589" s="66"/>
      <c r="K589" s="66"/>
    </row>
    <row r="590" spans="2:11">
      <c r="B590" s="63"/>
      <c r="C590" s="75" t="s">
        <v>1174</v>
      </c>
      <c r="D590" s="64">
        <v>20</v>
      </c>
      <c r="E590" s="92">
        <f t="shared" si="16"/>
        <v>310</v>
      </c>
      <c r="F590" s="67" t="s">
        <v>109</v>
      </c>
      <c r="G590" s="63"/>
      <c r="H590" s="66"/>
      <c r="I590" s="66"/>
      <c r="J590" s="66"/>
      <c r="K590" s="66"/>
    </row>
    <row r="591" spans="2:11">
      <c r="B591" s="63"/>
      <c r="C591" s="75" t="s">
        <v>1174</v>
      </c>
      <c r="D591" s="64">
        <v>20</v>
      </c>
      <c r="E591" s="92">
        <f t="shared" si="16"/>
        <v>315</v>
      </c>
      <c r="F591" s="67" t="s">
        <v>110</v>
      </c>
      <c r="G591" s="63"/>
      <c r="H591" s="66"/>
      <c r="I591" s="66"/>
      <c r="J591" s="66"/>
      <c r="K591" s="66"/>
    </row>
    <row r="592" spans="2:11">
      <c r="B592" s="63"/>
      <c r="C592" s="75" t="s">
        <v>1174</v>
      </c>
      <c r="D592" s="64">
        <v>20</v>
      </c>
      <c r="E592" s="92">
        <f t="shared" si="16"/>
        <v>320</v>
      </c>
      <c r="F592" s="67" t="s">
        <v>111</v>
      </c>
      <c r="G592" s="63"/>
      <c r="H592" s="66"/>
      <c r="I592" s="66"/>
      <c r="J592" s="66"/>
      <c r="K592" s="66"/>
    </row>
    <row r="593" spans="2:11">
      <c r="B593" s="63"/>
      <c r="C593" s="75" t="s">
        <v>1174</v>
      </c>
      <c r="D593" s="64">
        <v>20</v>
      </c>
      <c r="E593" s="92">
        <f t="shared" si="16"/>
        <v>325</v>
      </c>
      <c r="F593" s="67" t="s">
        <v>112</v>
      </c>
      <c r="G593" s="63"/>
      <c r="H593" s="66"/>
      <c r="I593" s="66"/>
      <c r="J593" s="66"/>
      <c r="K593" s="66"/>
    </row>
    <row r="594" spans="2:11">
      <c r="B594" s="63"/>
      <c r="C594" s="75" t="s">
        <v>1174</v>
      </c>
      <c r="D594" s="64">
        <v>20</v>
      </c>
      <c r="E594" s="92">
        <f t="shared" si="16"/>
        <v>330</v>
      </c>
      <c r="F594" s="67" t="s">
        <v>1791</v>
      </c>
      <c r="G594" s="63"/>
      <c r="H594" s="66"/>
      <c r="I594" s="66"/>
      <c r="J594" s="66"/>
      <c r="K594" s="66"/>
    </row>
    <row r="595" spans="2:11">
      <c r="B595" s="63"/>
      <c r="C595" s="75" t="s">
        <v>1174</v>
      </c>
      <c r="D595" s="64">
        <v>20</v>
      </c>
      <c r="E595" s="92">
        <f t="shared" si="16"/>
        <v>335</v>
      </c>
      <c r="F595" s="67" t="s">
        <v>609</v>
      </c>
      <c r="G595" s="63"/>
      <c r="H595" s="66"/>
      <c r="I595" s="66"/>
      <c r="J595" s="66"/>
      <c r="K595" s="66"/>
    </row>
    <row r="596" spans="2:11">
      <c r="B596" s="63"/>
      <c r="C596" s="75" t="s">
        <v>1174</v>
      </c>
      <c r="D596" s="64">
        <v>20</v>
      </c>
      <c r="E596" s="92">
        <f t="shared" si="16"/>
        <v>340</v>
      </c>
      <c r="F596" s="67" t="s">
        <v>610</v>
      </c>
      <c r="G596" s="63"/>
      <c r="H596" s="66"/>
      <c r="I596" s="66"/>
      <c r="J596" s="66"/>
      <c r="K596" s="66"/>
    </row>
    <row r="597" spans="2:11">
      <c r="B597" s="63"/>
      <c r="C597" s="75" t="s">
        <v>1174</v>
      </c>
      <c r="D597" s="64">
        <v>20</v>
      </c>
      <c r="E597" s="92">
        <f t="shared" si="16"/>
        <v>345</v>
      </c>
      <c r="F597" s="67" t="s">
        <v>611</v>
      </c>
      <c r="G597" s="63"/>
      <c r="H597" s="66"/>
      <c r="I597" s="66"/>
      <c r="J597" s="66"/>
      <c r="K597" s="66"/>
    </row>
    <row r="598" spans="2:11">
      <c r="B598" s="63"/>
      <c r="C598" s="75" t="s">
        <v>1174</v>
      </c>
      <c r="D598" s="64">
        <v>20</v>
      </c>
      <c r="E598" s="92">
        <f t="shared" si="16"/>
        <v>350</v>
      </c>
      <c r="F598" s="67" t="s">
        <v>612</v>
      </c>
      <c r="G598" s="63"/>
      <c r="H598" s="66"/>
      <c r="I598" s="66"/>
      <c r="J598" s="66"/>
      <c r="K598" s="66"/>
    </row>
    <row r="599" spans="2:11">
      <c r="B599" s="63"/>
      <c r="C599" s="75" t="s">
        <v>1174</v>
      </c>
      <c r="D599" s="64">
        <v>20</v>
      </c>
      <c r="E599" s="92">
        <f t="shared" si="16"/>
        <v>355</v>
      </c>
      <c r="F599" s="67" t="s">
        <v>613</v>
      </c>
      <c r="G599" s="63"/>
      <c r="H599" s="66"/>
      <c r="I599" s="66"/>
      <c r="J599" s="66"/>
      <c r="K599" s="66"/>
    </row>
    <row r="600" spans="2:11">
      <c r="B600" s="63"/>
      <c r="C600" s="75" t="s">
        <v>1174</v>
      </c>
      <c r="D600" s="64">
        <v>20</v>
      </c>
      <c r="E600" s="92">
        <f t="shared" si="16"/>
        <v>360</v>
      </c>
      <c r="F600" s="67" t="s">
        <v>1480</v>
      </c>
      <c r="G600" s="63"/>
      <c r="H600" s="66"/>
      <c r="I600" s="66"/>
      <c r="J600" s="66"/>
      <c r="K600" s="66"/>
    </row>
    <row r="601" spans="2:11">
      <c r="B601" s="63"/>
      <c r="C601" s="75" t="s">
        <v>1174</v>
      </c>
      <c r="D601" s="64">
        <v>20</v>
      </c>
      <c r="E601" s="92">
        <f t="shared" si="16"/>
        <v>365</v>
      </c>
      <c r="F601" s="67" t="s">
        <v>1481</v>
      </c>
      <c r="G601" s="63"/>
      <c r="H601" s="66"/>
      <c r="I601" s="66"/>
      <c r="J601" s="66"/>
      <c r="K601" s="66"/>
    </row>
    <row r="602" spans="2:11">
      <c r="B602" s="63"/>
      <c r="C602" s="75" t="s">
        <v>1174</v>
      </c>
      <c r="D602" s="64">
        <v>20</v>
      </c>
      <c r="E602" s="92">
        <f t="shared" si="16"/>
        <v>370</v>
      </c>
      <c r="F602" s="67" t="s">
        <v>1482</v>
      </c>
      <c r="G602" s="63"/>
      <c r="H602" s="66"/>
      <c r="I602" s="66"/>
      <c r="J602" s="66"/>
      <c r="K602" s="66"/>
    </row>
    <row r="603" spans="2:11">
      <c r="B603" s="63"/>
      <c r="C603" s="75"/>
      <c r="D603" s="64"/>
      <c r="E603" s="92"/>
      <c r="F603" s="67"/>
      <c r="G603" s="63"/>
      <c r="H603" s="66"/>
      <c r="I603" s="66"/>
      <c r="J603" s="66"/>
      <c r="K603" s="66"/>
    </row>
    <row r="604" spans="2:11">
      <c r="B604" s="63"/>
      <c r="C604" s="81" t="s">
        <v>1174</v>
      </c>
      <c r="D604" s="82">
        <v>30</v>
      </c>
      <c r="E604" s="3349" t="s">
        <v>284</v>
      </c>
      <c r="F604" s="3349"/>
      <c r="G604" s="63"/>
      <c r="H604" s="66"/>
      <c r="I604" s="66"/>
      <c r="J604" s="66"/>
      <c r="K604" s="66"/>
    </row>
    <row r="605" spans="2:11" ht="6" customHeight="1">
      <c r="B605" s="63"/>
      <c r="C605" s="75"/>
      <c r="D605" s="64"/>
      <c r="E605" s="63"/>
      <c r="F605" s="63"/>
      <c r="G605" s="63"/>
      <c r="H605" s="66"/>
      <c r="I605" s="66"/>
      <c r="J605" s="66"/>
      <c r="K605" s="66"/>
    </row>
    <row r="606" spans="2:11">
      <c r="B606" s="63"/>
      <c r="C606" s="75" t="s">
        <v>1174</v>
      </c>
      <c r="D606" s="64">
        <v>30</v>
      </c>
      <c r="E606" s="64">
        <v>100</v>
      </c>
      <c r="F606" s="67" t="s">
        <v>285</v>
      </c>
      <c r="G606" s="63"/>
      <c r="H606" s="66"/>
      <c r="I606" s="66"/>
      <c r="J606" s="66"/>
      <c r="K606" s="66"/>
    </row>
    <row r="607" spans="2:11">
      <c r="B607" s="63"/>
      <c r="C607" s="75" t="s">
        <v>1174</v>
      </c>
      <c r="D607" s="64">
        <v>30</v>
      </c>
      <c r="E607" s="64">
        <f t="shared" ref="E607:E613" si="17">E606+10</f>
        <v>110</v>
      </c>
      <c r="F607" s="67" t="s">
        <v>286</v>
      </c>
      <c r="G607" s="63"/>
      <c r="H607" s="66"/>
      <c r="I607" s="66"/>
      <c r="J607" s="66"/>
      <c r="K607" s="66"/>
    </row>
    <row r="608" spans="2:11">
      <c r="B608" s="63"/>
      <c r="C608" s="75" t="s">
        <v>1174</v>
      </c>
      <c r="D608" s="64">
        <v>30</v>
      </c>
      <c r="E608" s="64">
        <f t="shared" si="17"/>
        <v>120</v>
      </c>
      <c r="F608" s="67" t="s">
        <v>287</v>
      </c>
      <c r="G608" s="63"/>
      <c r="H608" s="66"/>
      <c r="I608" s="66"/>
      <c r="J608" s="66"/>
      <c r="K608" s="66"/>
    </row>
    <row r="609" spans="2:11">
      <c r="B609" s="63"/>
      <c r="C609" s="75" t="s">
        <v>1174</v>
      </c>
      <c r="D609" s="64">
        <v>30</v>
      </c>
      <c r="E609" s="64">
        <f t="shared" si="17"/>
        <v>130</v>
      </c>
      <c r="F609" s="67" t="s">
        <v>288</v>
      </c>
      <c r="G609" s="63"/>
      <c r="H609" s="66"/>
      <c r="I609" s="66"/>
      <c r="J609" s="66"/>
      <c r="K609" s="66"/>
    </row>
    <row r="610" spans="2:11">
      <c r="B610" s="63"/>
      <c r="C610" s="75" t="s">
        <v>1174</v>
      </c>
      <c r="D610" s="64">
        <v>30</v>
      </c>
      <c r="E610" s="64">
        <f t="shared" si="17"/>
        <v>140</v>
      </c>
      <c r="F610" s="67" t="s">
        <v>289</v>
      </c>
      <c r="G610" s="63"/>
      <c r="H610" s="66"/>
      <c r="I610" s="66"/>
      <c r="J610" s="66"/>
      <c r="K610" s="66"/>
    </row>
    <row r="611" spans="2:11">
      <c r="B611" s="63"/>
      <c r="C611" s="75" t="s">
        <v>1174</v>
      </c>
      <c r="D611" s="64">
        <v>30</v>
      </c>
      <c r="E611" s="64">
        <f t="shared" si="17"/>
        <v>150</v>
      </c>
      <c r="F611" s="67" t="s">
        <v>290</v>
      </c>
      <c r="G611" s="63"/>
      <c r="H611" s="66"/>
      <c r="I611" s="66"/>
      <c r="J611" s="66"/>
      <c r="K611" s="66"/>
    </row>
    <row r="612" spans="2:11">
      <c r="B612" s="63"/>
      <c r="C612" s="75" t="s">
        <v>1174</v>
      </c>
      <c r="D612" s="64">
        <v>30</v>
      </c>
      <c r="E612" s="64">
        <f t="shared" si="17"/>
        <v>160</v>
      </c>
      <c r="F612" s="67" t="s">
        <v>291</v>
      </c>
      <c r="G612" s="63"/>
      <c r="H612" s="66"/>
      <c r="I612" s="66"/>
      <c r="J612" s="66"/>
      <c r="K612" s="66"/>
    </row>
    <row r="613" spans="2:11">
      <c r="B613" s="63"/>
      <c r="C613" s="75" t="s">
        <v>1174</v>
      </c>
      <c r="D613" s="64">
        <v>30</v>
      </c>
      <c r="E613" s="64">
        <f t="shared" si="17"/>
        <v>170</v>
      </c>
      <c r="F613" s="67" t="s">
        <v>292</v>
      </c>
      <c r="G613" s="63"/>
      <c r="H613" s="66"/>
      <c r="I613" s="66"/>
      <c r="J613" s="66"/>
      <c r="K613" s="66"/>
    </row>
    <row r="614" spans="2:11">
      <c r="B614" s="63"/>
      <c r="C614" s="75"/>
      <c r="D614" s="64"/>
      <c r="E614" s="64"/>
      <c r="F614" s="67"/>
      <c r="G614" s="63"/>
      <c r="H614" s="66"/>
      <c r="I614" s="66"/>
      <c r="J614" s="66"/>
      <c r="K614" s="66"/>
    </row>
    <row r="615" spans="2:11">
      <c r="B615" s="63"/>
      <c r="C615" s="81" t="s">
        <v>1174</v>
      </c>
      <c r="D615" s="82">
        <v>40</v>
      </c>
      <c r="E615" s="3349" t="s">
        <v>293</v>
      </c>
      <c r="F615" s="3349"/>
      <c r="G615" s="63"/>
      <c r="H615" s="66"/>
      <c r="I615" s="66"/>
      <c r="J615" s="66"/>
      <c r="K615" s="66"/>
    </row>
    <row r="616" spans="2:11" ht="6" customHeight="1">
      <c r="B616" s="63"/>
      <c r="C616" s="75"/>
      <c r="D616" s="64"/>
      <c r="E616" s="63"/>
      <c r="F616" s="63"/>
      <c r="G616" s="63"/>
      <c r="H616" s="66"/>
      <c r="I616" s="66"/>
      <c r="J616" s="66"/>
      <c r="K616" s="66"/>
    </row>
    <row r="617" spans="2:11">
      <c r="B617" s="63"/>
      <c r="C617" s="75" t="s">
        <v>1174</v>
      </c>
      <c r="D617" s="64">
        <v>40</v>
      </c>
      <c r="E617" s="64">
        <v>100</v>
      </c>
      <c r="F617" s="67" t="s">
        <v>294</v>
      </c>
      <c r="G617" s="63"/>
      <c r="H617" s="66"/>
      <c r="I617" s="66"/>
      <c r="J617" s="66"/>
      <c r="K617" s="66"/>
    </row>
    <row r="618" spans="2:11">
      <c r="B618" s="63"/>
      <c r="C618" s="75" t="s">
        <v>1174</v>
      </c>
      <c r="D618" s="64">
        <v>40</v>
      </c>
      <c r="E618" s="64">
        <f>E617+10</f>
        <v>110</v>
      </c>
      <c r="F618" s="67" t="s">
        <v>295</v>
      </c>
      <c r="G618" s="63"/>
      <c r="H618" s="66"/>
      <c r="I618" s="66"/>
      <c r="J618" s="66"/>
      <c r="K618" s="66"/>
    </row>
    <row r="619" spans="2:11">
      <c r="B619" s="63"/>
      <c r="C619" s="75" t="s">
        <v>1174</v>
      </c>
      <c r="D619" s="64">
        <v>40</v>
      </c>
      <c r="E619" s="64">
        <f>E618+10</f>
        <v>120</v>
      </c>
      <c r="F619" s="96" t="s">
        <v>296</v>
      </c>
      <c r="G619" s="63"/>
      <c r="H619" s="66"/>
      <c r="I619" s="66"/>
      <c r="J619" s="66"/>
      <c r="K619" s="66"/>
    </row>
    <row r="620" spans="2:11">
      <c r="B620" s="63"/>
      <c r="C620" s="75" t="s">
        <v>1174</v>
      </c>
      <c r="D620" s="64">
        <v>40</v>
      </c>
      <c r="E620" s="64">
        <f>E619+10</f>
        <v>130</v>
      </c>
      <c r="F620" s="96" t="s">
        <v>297</v>
      </c>
      <c r="G620" s="63"/>
      <c r="H620" s="66"/>
      <c r="I620" s="66"/>
      <c r="J620" s="66"/>
      <c r="K620" s="66"/>
    </row>
    <row r="621" spans="2:11">
      <c r="B621" s="63"/>
      <c r="C621" s="75"/>
      <c r="D621" s="64"/>
      <c r="E621" s="64"/>
      <c r="F621" s="96"/>
      <c r="G621" s="63"/>
      <c r="H621" s="66"/>
      <c r="I621" s="66"/>
      <c r="J621" s="66"/>
      <c r="K621" s="66"/>
    </row>
    <row r="622" spans="2:11">
      <c r="B622" s="63"/>
      <c r="C622" s="81" t="s">
        <v>1174</v>
      </c>
      <c r="D622" s="82">
        <v>50</v>
      </c>
      <c r="E622" s="3349" t="s">
        <v>298</v>
      </c>
      <c r="F622" s="3349"/>
      <c r="G622" s="63"/>
      <c r="H622" s="66"/>
      <c r="I622" s="66"/>
      <c r="J622" s="66"/>
      <c r="K622" s="66"/>
    </row>
    <row r="623" spans="2:11" ht="6" customHeight="1">
      <c r="B623" s="63"/>
      <c r="C623" s="75"/>
      <c r="D623" s="64"/>
      <c r="E623" s="63"/>
      <c r="F623" s="63"/>
      <c r="G623" s="63"/>
      <c r="H623" s="66"/>
      <c r="I623" s="66"/>
      <c r="J623" s="66"/>
      <c r="K623" s="66"/>
    </row>
    <row r="624" spans="2:11">
      <c r="B624" s="63"/>
      <c r="C624" s="75" t="s">
        <v>1174</v>
      </c>
      <c r="D624" s="64">
        <v>50</v>
      </c>
      <c r="E624" s="64">
        <v>100</v>
      </c>
      <c r="F624" s="67" t="s">
        <v>1711</v>
      </c>
      <c r="G624" s="63"/>
      <c r="H624" s="66"/>
      <c r="I624" s="66"/>
      <c r="J624" s="66"/>
      <c r="K624" s="66"/>
    </row>
    <row r="625" spans="2:11">
      <c r="B625" s="63"/>
      <c r="C625" s="75" t="s">
        <v>1174</v>
      </c>
      <c r="D625" s="64">
        <v>50</v>
      </c>
      <c r="E625" s="64">
        <f t="shared" ref="E625:E633" si="18">E624+10</f>
        <v>110</v>
      </c>
      <c r="F625" s="67" t="s">
        <v>1712</v>
      </c>
      <c r="G625" s="63"/>
      <c r="H625" s="66"/>
      <c r="I625" s="66"/>
      <c r="J625" s="66"/>
      <c r="K625" s="66"/>
    </row>
    <row r="626" spans="2:11">
      <c r="B626" s="63"/>
      <c r="C626" s="75" t="s">
        <v>1174</v>
      </c>
      <c r="D626" s="64">
        <v>50</v>
      </c>
      <c r="E626" s="64">
        <f t="shared" si="18"/>
        <v>120</v>
      </c>
      <c r="F626" s="67" t="s">
        <v>2135</v>
      </c>
      <c r="G626" s="63"/>
      <c r="H626" s="66"/>
      <c r="I626" s="66"/>
      <c r="J626" s="66"/>
      <c r="K626" s="66"/>
    </row>
    <row r="627" spans="2:11">
      <c r="B627" s="63"/>
      <c r="C627" s="75" t="s">
        <v>1174</v>
      </c>
      <c r="D627" s="64">
        <v>50</v>
      </c>
      <c r="E627" s="64">
        <f t="shared" si="18"/>
        <v>130</v>
      </c>
      <c r="F627" s="67" t="s">
        <v>2136</v>
      </c>
      <c r="G627" s="63"/>
      <c r="H627" s="66"/>
      <c r="I627" s="66"/>
      <c r="J627" s="66"/>
      <c r="K627" s="66"/>
    </row>
    <row r="628" spans="2:11">
      <c r="B628" s="63"/>
      <c r="C628" s="75" t="s">
        <v>1174</v>
      </c>
      <c r="D628" s="64">
        <v>50</v>
      </c>
      <c r="E628" s="64">
        <f t="shared" si="18"/>
        <v>140</v>
      </c>
      <c r="F628" s="67" t="s">
        <v>2137</v>
      </c>
      <c r="G628" s="63"/>
      <c r="H628" s="66"/>
      <c r="I628" s="66"/>
      <c r="J628" s="66"/>
      <c r="K628" s="66"/>
    </row>
    <row r="629" spans="2:11">
      <c r="B629" s="63"/>
      <c r="C629" s="75" t="s">
        <v>1174</v>
      </c>
      <c r="D629" s="64">
        <v>50</v>
      </c>
      <c r="E629" s="64">
        <f t="shared" si="18"/>
        <v>150</v>
      </c>
      <c r="F629" s="67" t="s">
        <v>2138</v>
      </c>
      <c r="G629" s="63"/>
      <c r="H629" s="66"/>
      <c r="I629" s="66"/>
      <c r="J629" s="66"/>
      <c r="K629" s="66"/>
    </row>
    <row r="630" spans="2:11">
      <c r="B630" s="63"/>
      <c r="C630" s="75" t="s">
        <v>1174</v>
      </c>
      <c r="D630" s="64">
        <v>50</v>
      </c>
      <c r="E630" s="64">
        <f t="shared" si="18"/>
        <v>160</v>
      </c>
      <c r="F630" s="67" t="s">
        <v>2139</v>
      </c>
      <c r="G630" s="63"/>
      <c r="H630" s="66"/>
      <c r="I630" s="66"/>
      <c r="J630" s="66"/>
      <c r="K630" s="66"/>
    </row>
    <row r="631" spans="2:11">
      <c r="B631" s="63"/>
      <c r="C631" s="75" t="s">
        <v>1174</v>
      </c>
      <c r="D631" s="64">
        <v>50</v>
      </c>
      <c r="E631" s="64">
        <f t="shared" si="18"/>
        <v>170</v>
      </c>
      <c r="F631" s="67" t="s">
        <v>2140</v>
      </c>
      <c r="G631" s="63"/>
      <c r="H631" s="66"/>
      <c r="I631" s="66"/>
      <c r="J631" s="66"/>
      <c r="K631" s="66"/>
    </row>
    <row r="632" spans="2:11">
      <c r="B632" s="63"/>
      <c r="C632" s="75" t="s">
        <v>1174</v>
      </c>
      <c r="D632" s="64">
        <v>50</v>
      </c>
      <c r="E632" s="64">
        <f t="shared" si="18"/>
        <v>180</v>
      </c>
      <c r="F632" s="67" t="s">
        <v>2141</v>
      </c>
      <c r="G632" s="63"/>
      <c r="H632" s="66"/>
      <c r="I632" s="66"/>
      <c r="J632" s="66"/>
      <c r="K632" s="66"/>
    </row>
    <row r="633" spans="2:11">
      <c r="B633" s="63"/>
      <c r="C633" s="75" t="s">
        <v>1174</v>
      </c>
      <c r="D633" s="64">
        <v>50</v>
      </c>
      <c r="E633" s="64">
        <f t="shared" si="18"/>
        <v>190</v>
      </c>
      <c r="F633" s="67" t="s">
        <v>2142</v>
      </c>
      <c r="G633" s="63"/>
      <c r="H633" s="66"/>
      <c r="I633" s="66"/>
      <c r="J633" s="66"/>
      <c r="K633" s="66"/>
    </row>
    <row r="634" spans="2:11">
      <c r="B634" s="63"/>
      <c r="C634" s="75"/>
      <c r="D634" s="64"/>
      <c r="E634" s="64"/>
      <c r="F634" s="67"/>
      <c r="G634" s="63"/>
      <c r="H634" s="66"/>
      <c r="I634" s="66"/>
      <c r="J634" s="66"/>
      <c r="K634" s="66"/>
    </row>
    <row r="635" spans="2:11">
      <c r="B635" s="63"/>
      <c r="C635" s="81" t="s">
        <v>1174</v>
      </c>
      <c r="D635" s="82">
        <v>60</v>
      </c>
      <c r="E635" s="3349" t="s">
        <v>2143</v>
      </c>
      <c r="F635" s="3349"/>
      <c r="G635" s="63"/>
      <c r="H635" s="66"/>
      <c r="I635" s="66"/>
      <c r="J635" s="66"/>
      <c r="K635" s="66"/>
    </row>
    <row r="636" spans="2:11" ht="6" customHeight="1">
      <c r="B636" s="63"/>
      <c r="C636" s="75"/>
      <c r="D636" s="64"/>
      <c r="E636" s="63"/>
      <c r="F636" s="63"/>
      <c r="G636" s="63"/>
      <c r="H636" s="66"/>
      <c r="I636" s="66"/>
      <c r="J636" s="66"/>
      <c r="K636" s="66"/>
    </row>
    <row r="637" spans="2:11">
      <c r="B637" s="63"/>
      <c r="C637" s="75" t="s">
        <v>1174</v>
      </c>
      <c r="D637" s="64">
        <v>60</v>
      </c>
      <c r="E637" s="64">
        <v>100</v>
      </c>
      <c r="F637" s="67" t="s">
        <v>2144</v>
      </c>
      <c r="G637" s="63"/>
      <c r="H637" s="66"/>
      <c r="I637" s="66"/>
      <c r="J637" s="66"/>
      <c r="K637" s="66"/>
    </row>
    <row r="638" spans="2:11">
      <c r="B638" s="63"/>
      <c r="C638" s="75" t="s">
        <v>1174</v>
      </c>
      <c r="D638" s="64">
        <v>60</v>
      </c>
      <c r="E638" s="64">
        <f>E637+10</f>
        <v>110</v>
      </c>
      <c r="F638" s="67" t="s">
        <v>2145</v>
      </c>
      <c r="G638" s="63"/>
      <c r="H638" s="66"/>
      <c r="I638" s="66"/>
      <c r="J638" s="66"/>
      <c r="K638" s="66"/>
    </row>
    <row r="639" spans="2:11">
      <c r="B639" s="63"/>
      <c r="C639" s="75" t="s">
        <v>1174</v>
      </c>
      <c r="D639" s="64">
        <v>60</v>
      </c>
      <c r="E639" s="64">
        <f>E638+10</f>
        <v>120</v>
      </c>
      <c r="F639" s="67" t="s">
        <v>2146</v>
      </c>
      <c r="G639" s="63"/>
      <c r="H639" s="66"/>
      <c r="I639" s="66"/>
      <c r="J639" s="66"/>
      <c r="K639" s="66"/>
    </row>
    <row r="640" spans="2:11">
      <c r="B640" s="63"/>
      <c r="C640" s="75" t="s">
        <v>1174</v>
      </c>
      <c r="D640" s="64">
        <v>60</v>
      </c>
      <c r="E640" s="64">
        <f>E639+10</f>
        <v>130</v>
      </c>
      <c r="F640" s="67" t="s">
        <v>2147</v>
      </c>
      <c r="G640" s="63"/>
      <c r="H640" s="66"/>
      <c r="I640" s="66"/>
      <c r="J640" s="66"/>
      <c r="K640" s="66"/>
    </row>
    <row r="641" spans="2:11">
      <c r="B641" s="63"/>
      <c r="C641" s="75" t="s">
        <v>1174</v>
      </c>
      <c r="D641" s="64">
        <v>60</v>
      </c>
      <c r="E641" s="64">
        <f>E640+10</f>
        <v>140</v>
      </c>
      <c r="F641" s="65" t="s">
        <v>2148</v>
      </c>
      <c r="G641" s="63"/>
      <c r="H641" s="66"/>
      <c r="I641" s="66"/>
      <c r="J641" s="66"/>
      <c r="K641" s="66"/>
    </row>
    <row r="642" spans="2:11">
      <c r="B642" s="63"/>
      <c r="C642" s="75"/>
      <c r="D642" s="64"/>
      <c r="E642" s="64"/>
      <c r="F642" s="65"/>
      <c r="G642" s="63"/>
      <c r="H642" s="66"/>
      <c r="I642" s="66"/>
      <c r="J642" s="66"/>
      <c r="K642" s="66"/>
    </row>
    <row r="643" spans="2:11">
      <c r="B643" s="63"/>
      <c r="C643" s="81" t="s">
        <v>1174</v>
      </c>
      <c r="D643" s="82">
        <v>70</v>
      </c>
      <c r="E643" s="3349" t="s">
        <v>2149</v>
      </c>
      <c r="F643" s="3349"/>
      <c r="G643" s="63"/>
      <c r="H643" s="66"/>
      <c r="I643" s="66"/>
      <c r="J643" s="66"/>
      <c r="K643" s="66"/>
    </row>
    <row r="644" spans="2:11" ht="6" customHeight="1">
      <c r="B644" s="63"/>
      <c r="C644" s="75"/>
      <c r="D644" s="64"/>
      <c r="E644" s="63"/>
      <c r="F644" s="63"/>
      <c r="G644" s="63"/>
      <c r="H644" s="66"/>
      <c r="I644" s="66"/>
      <c r="J644" s="66"/>
      <c r="K644" s="66"/>
    </row>
    <row r="645" spans="2:11">
      <c r="B645" s="63"/>
      <c r="C645" s="75" t="s">
        <v>1174</v>
      </c>
      <c r="D645" s="64">
        <v>70</v>
      </c>
      <c r="E645" s="64">
        <v>100</v>
      </c>
      <c r="F645" s="65" t="s">
        <v>1679</v>
      </c>
      <c r="G645" s="63"/>
      <c r="H645" s="66"/>
      <c r="I645" s="66"/>
      <c r="J645" s="66"/>
      <c r="K645" s="66"/>
    </row>
    <row r="646" spans="2:11">
      <c r="B646" s="63"/>
      <c r="C646" s="75" t="s">
        <v>1174</v>
      </c>
      <c r="D646" s="64">
        <v>70</v>
      </c>
      <c r="E646" s="64">
        <f>E645+10</f>
        <v>110</v>
      </c>
      <c r="F646" s="65" t="s">
        <v>507</v>
      </c>
      <c r="G646" s="63"/>
      <c r="H646" s="66"/>
      <c r="I646" s="66"/>
      <c r="J646" s="66"/>
      <c r="K646" s="66"/>
    </row>
    <row r="647" spans="2:11">
      <c r="B647" s="63"/>
      <c r="C647" s="75" t="s">
        <v>1174</v>
      </c>
      <c r="D647" s="64">
        <v>70</v>
      </c>
      <c r="E647" s="64">
        <f>E646+10</f>
        <v>120</v>
      </c>
      <c r="F647" s="65" t="s">
        <v>54</v>
      </c>
      <c r="G647" s="63"/>
      <c r="H647" s="66"/>
      <c r="I647" s="66"/>
      <c r="J647" s="66"/>
      <c r="K647" s="66"/>
    </row>
    <row r="648" spans="2:11">
      <c r="B648" s="63"/>
      <c r="C648" s="75" t="s">
        <v>1174</v>
      </c>
      <c r="D648" s="64">
        <v>70</v>
      </c>
      <c r="E648" s="64">
        <f>E647+10</f>
        <v>130</v>
      </c>
      <c r="F648" s="65" t="s">
        <v>55</v>
      </c>
      <c r="G648" s="63"/>
      <c r="H648" s="66"/>
      <c r="I648" s="66"/>
      <c r="J648" s="66"/>
      <c r="K648" s="66"/>
    </row>
    <row r="649" spans="2:11">
      <c r="B649" s="63"/>
      <c r="C649" s="75"/>
      <c r="D649" s="64"/>
      <c r="E649" s="64"/>
      <c r="F649" s="65"/>
      <c r="G649" s="63"/>
      <c r="H649" s="66"/>
      <c r="I649" s="66"/>
      <c r="J649" s="66"/>
      <c r="K649" s="66"/>
    </row>
    <row r="650" spans="2:11">
      <c r="B650" s="63"/>
      <c r="C650" s="81" t="s">
        <v>1174</v>
      </c>
      <c r="D650" s="82">
        <v>80</v>
      </c>
      <c r="E650" s="3349" t="s">
        <v>56</v>
      </c>
      <c r="F650" s="3349"/>
      <c r="G650" s="63"/>
      <c r="H650" s="66"/>
      <c r="I650" s="66"/>
      <c r="J650" s="66"/>
      <c r="K650" s="66"/>
    </row>
    <row r="651" spans="2:11" ht="6" customHeight="1">
      <c r="B651" s="63"/>
      <c r="C651" s="75"/>
      <c r="D651" s="64"/>
      <c r="E651" s="63"/>
      <c r="F651" s="63"/>
      <c r="G651" s="63"/>
      <c r="H651" s="66"/>
      <c r="I651" s="66"/>
      <c r="J651" s="66"/>
      <c r="K651" s="66"/>
    </row>
    <row r="652" spans="2:11">
      <c r="B652" s="63"/>
      <c r="C652" s="75" t="s">
        <v>1174</v>
      </c>
      <c r="D652" s="64">
        <v>80</v>
      </c>
      <c r="E652" s="64">
        <v>100</v>
      </c>
      <c r="F652" s="65" t="s">
        <v>57</v>
      </c>
      <c r="G652" s="63"/>
      <c r="H652" s="66"/>
      <c r="I652" s="66"/>
      <c r="J652" s="66"/>
      <c r="K652" s="66"/>
    </row>
    <row r="653" spans="2:11">
      <c r="B653" s="63"/>
      <c r="C653" s="75" t="s">
        <v>1174</v>
      </c>
      <c r="D653" s="64">
        <v>80</v>
      </c>
      <c r="E653" s="64">
        <f t="shared" ref="E653:E662" si="19">E652+10</f>
        <v>110</v>
      </c>
      <c r="F653" s="65" t="s">
        <v>58</v>
      </c>
      <c r="G653" s="63"/>
      <c r="H653" s="66"/>
      <c r="I653" s="66"/>
      <c r="J653" s="66"/>
      <c r="K653" s="66"/>
    </row>
    <row r="654" spans="2:11">
      <c r="B654" s="63"/>
      <c r="C654" s="75" t="s">
        <v>1174</v>
      </c>
      <c r="D654" s="64">
        <v>80</v>
      </c>
      <c r="E654" s="64">
        <f t="shared" si="19"/>
        <v>120</v>
      </c>
      <c r="F654" s="65" t="s">
        <v>59</v>
      </c>
      <c r="G654" s="63"/>
      <c r="H654" s="66"/>
      <c r="I654" s="66"/>
      <c r="J654" s="66"/>
      <c r="K654" s="66"/>
    </row>
    <row r="655" spans="2:11">
      <c r="B655" s="63"/>
      <c r="C655" s="75" t="s">
        <v>1174</v>
      </c>
      <c r="D655" s="64">
        <v>80</v>
      </c>
      <c r="E655" s="64">
        <f t="shared" si="19"/>
        <v>130</v>
      </c>
      <c r="F655" s="67" t="s">
        <v>60</v>
      </c>
      <c r="G655" s="63"/>
      <c r="H655" s="66"/>
      <c r="I655" s="66"/>
      <c r="J655" s="66"/>
      <c r="K655" s="66"/>
    </row>
    <row r="656" spans="2:11">
      <c r="B656" s="63"/>
      <c r="C656" s="75" t="s">
        <v>1174</v>
      </c>
      <c r="D656" s="64">
        <v>80</v>
      </c>
      <c r="E656" s="64">
        <f t="shared" si="19"/>
        <v>140</v>
      </c>
      <c r="F656" s="65" t="s">
        <v>1977</v>
      </c>
      <c r="G656" s="63"/>
      <c r="H656" s="66"/>
      <c r="I656" s="66"/>
      <c r="J656" s="66"/>
      <c r="K656" s="66"/>
    </row>
    <row r="657" spans="2:11">
      <c r="B657" s="63"/>
      <c r="C657" s="75" t="s">
        <v>1174</v>
      </c>
      <c r="D657" s="64">
        <v>80</v>
      </c>
      <c r="E657" s="64">
        <f t="shared" si="19"/>
        <v>150</v>
      </c>
      <c r="F657" s="65" t="s">
        <v>88</v>
      </c>
      <c r="G657" s="63"/>
      <c r="H657" s="66"/>
      <c r="I657" s="66"/>
      <c r="J657" s="66"/>
      <c r="K657" s="66"/>
    </row>
    <row r="658" spans="2:11">
      <c r="B658" s="63"/>
      <c r="C658" s="75" t="s">
        <v>1174</v>
      </c>
      <c r="D658" s="64">
        <v>80</v>
      </c>
      <c r="E658" s="64">
        <f t="shared" si="19"/>
        <v>160</v>
      </c>
      <c r="F658" s="67" t="s">
        <v>1630</v>
      </c>
      <c r="G658" s="63"/>
      <c r="H658" s="66"/>
      <c r="I658" s="66"/>
      <c r="J658" s="66"/>
      <c r="K658" s="66"/>
    </row>
    <row r="659" spans="2:11">
      <c r="B659" s="63"/>
      <c r="C659" s="75" t="s">
        <v>1174</v>
      </c>
      <c r="D659" s="64">
        <v>80</v>
      </c>
      <c r="E659" s="64">
        <f t="shared" si="19"/>
        <v>170</v>
      </c>
      <c r="F659" s="67" t="s">
        <v>1036</v>
      </c>
      <c r="G659" s="63"/>
      <c r="H659" s="66"/>
      <c r="I659" s="66"/>
      <c r="J659" s="66"/>
      <c r="K659" s="66"/>
    </row>
    <row r="660" spans="2:11">
      <c r="B660" s="63"/>
      <c r="C660" s="75" t="s">
        <v>1174</v>
      </c>
      <c r="D660" s="64">
        <v>80</v>
      </c>
      <c r="E660" s="64">
        <f t="shared" si="19"/>
        <v>180</v>
      </c>
      <c r="F660" s="67" t="s">
        <v>1631</v>
      </c>
      <c r="G660" s="63"/>
      <c r="H660" s="66"/>
      <c r="I660" s="66"/>
      <c r="J660" s="66"/>
      <c r="K660" s="66"/>
    </row>
    <row r="661" spans="2:11">
      <c r="B661" s="63"/>
      <c r="C661" s="75" t="s">
        <v>1174</v>
      </c>
      <c r="D661" s="64">
        <v>80</v>
      </c>
      <c r="E661" s="64">
        <f t="shared" si="19"/>
        <v>190</v>
      </c>
      <c r="F661" s="67" t="s">
        <v>650</v>
      </c>
      <c r="G661" s="63"/>
      <c r="H661" s="66"/>
      <c r="I661" s="66"/>
      <c r="J661" s="66"/>
      <c r="K661" s="66"/>
    </row>
    <row r="662" spans="2:11">
      <c r="B662" s="63"/>
      <c r="C662" s="75" t="s">
        <v>1174</v>
      </c>
      <c r="D662" s="64">
        <v>80</v>
      </c>
      <c r="E662" s="64">
        <f t="shared" si="19"/>
        <v>200</v>
      </c>
      <c r="F662" s="67" t="s">
        <v>1632</v>
      </c>
      <c r="G662" s="63"/>
      <c r="H662" s="66"/>
      <c r="I662" s="66"/>
      <c r="J662" s="66"/>
      <c r="K662" s="66"/>
    </row>
    <row r="663" spans="2:11">
      <c r="B663" s="63"/>
      <c r="C663" s="75"/>
      <c r="D663" s="64"/>
      <c r="E663" s="64"/>
      <c r="F663" s="67"/>
      <c r="G663" s="63"/>
      <c r="H663" s="66"/>
      <c r="I663" s="66"/>
      <c r="J663" s="66"/>
      <c r="K663" s="66"/>
    </row>
    <row r="664" spans="2:11">
      <c r="B664" s="63"/>
      <c r="C664" s="81" t="s">
        <v>1174</v>
      </c>
      <c r="D664" s="82">
        <v>90</v>
      </c>
      <c r="E664" s="3349" t="s">
        <v>1143</v>
      </c>
      <c r="F664" s="3349"/>
      <c r="G664" s="63"/>
      <c r="H664" s="66"/>
      <c r="I664" s="66"/>
      <c r="J664" s="66"/>
      <c r="K664" s="66"/>
    </row>
    <row r="665" spans="2:11" ht="6" customHeight="1">
      <c r="B665" s="63"/>
      <c r="C665" s="75"/>
      <c r="D665" s="64"/>
      <c r="E665" s="80"/>
      <c r="F665" s="63"/>
      <c r="G665" s="63"/>
      <c r="H665" s="66"/>
      <c r="I665" s="66"/>
      <c r="J665" s="66"/>
      <c r="K665" s="66"/>
    </row>
    <row r="666" spans="2:11">
      <c r="B666" s="63"/>
      <c r="C666" s="75" t="s">
        <v>1174</v>
      </c>
      <c r="D666" s="98">
        <v>90</v>
      </c>
      <c r="E666" s="64">
        <v>100</v>
      </c>
      <c r="F666" s="65" t="s">
        <v>1713</v>
      </c>
      <c r="G666" s="63"/>
      <c r="H666" s="66"/>
      <c r="I666" s="66"/>
      <c r="J666" s="66"/>
      <c r="K666" s="66"/>
    </row>
    <row r="667" spans="2:11">
      <c r="B667" s="63"/>
      <c r="C667" s="75" t="s">
        <v>1174</v>
      </c>
      <c r="D667" s="98">
        <v>90</v>
      </c>
      <c r="E667" s="64">
        <f t="shared" ref="E667:E698" si="20">E666+5</f>
        <v>105</v>
      </c>
      <c r="F667" s="67" t="s">
        <v>1615</v>
      </c>
      <c r="G667" s="63"/>
      <c r="H667" s="66"/>
      <c r="I667" s="66"/>
      <c r="J667" s="66"/>
      <c r="K667" s="66"/>
    </row>
    <row r="668" spans="2:11">
      <c r="B668" s="63"/>
      <c r="C668" s="75" t="s">
        <v>1174</v>
      </c>
      <c r="D668" s="98">
        <v>90</v>
      </c>
      <c r="E668" s="64">
        <f t="shared" si="20"/>
        <v>110</v>
      </c>
      <c r="F668" s="65" t="s">
        <v>1976</v>
      </c>
      <c r="G668" s="63"/>
      <c r="H668" s="66"/>
      <c r="I668" s="66"/>
      <c r="J668" s="66"/>
      <c r="K668" s="66"/>
    </row>
    <row r="669" spans="2:11">
      <c r="B669" s="63"/>
      <c r="C669" s="75" t="s">
        <v>1174</v>
      </c>
      <c r="D669" s="98">
        <v>90</v>
      </c>
      <c r="E669" s="64">
        <f t="shared" si="20"/>
        <v>115</v>
      </c>
      <c r="F669" s="65" t="s">
        <v>2127</v>
      </c>
      <c r="G669" s="63"/>
      <c r="H669" s="66"/>
      <c r="I669" s="66"/>
      <c r="J669" s="66"/>
      <c r="K669" s="66"/>
    </row>
    <row r="670" spans="2:11">
      <c r="B670" s="63"/>
      <c r="C670" s="75" t="s">
        <v>1174</v>
      </c>
      <c r="D670" s="98">
        <v>90</v>
      </c>
      <c r="E670" s="64">
        <f t="shared" si="20"/>
        <v>120</v>
      </c>
      <c r="F670" s="65" t="s">
        <v>898</v>
      </c>
      <c r="G670" s="63"/>
      <c r="H670" s="66"/>
      <c r="I670" s="66"/>
      <c r="J670" s="66"/>
      <c r="K670" s="66"/>
    </row>
    <row r="671" spans="2:11">
      <c r="B671" s="63"/>
      <c r="C671" s="75" t="s">
        <v>1174</v>
      </c>
      <c r="D671" s="98">
        <v>90</v>
      </c>
      <c r="E671" s="64">
        <f t="shared" si="20"/>
        <v>125</v>
      </c>
      <c r="F671" s="65" t="s">
        <v>1506</v>
      </c>
      <c r="G671" s="63"/>
      <c r="H671" s="66"/>
      <c r="I671" s="66"/>
      <c r="J671" s="66"/>
      <c r="K671" s="66"/>
    </row>
    <row r="672" spans="2:11">
      <c r="B672" s="63"/>
      <c r="C672" s="75" t="s">
        <v>1174</v>
      </c>
      <c r="D672" s="98">
        <v>90</v>
      </c>
      <c r="E672" s="64">
        <f t="shared" si="20"/>
        <v>130</v>
      </c>
      <c r="F672" s="65" t="s">
        <v>1560</v>
      </c>
      <c r="G672" s="63"/>
      <c r="H672" s="66"/>
      <c r="I672" s="66"/>
      <c r="J672" s="66"/>
      <c r="K672" s="66"/>
    </row>
    <row r="673" spans="2:11">
      <c r="B673" s="63"/>
      <c r="C673" s="75" t="s">
        <v>1174</v>
      </c>
      <c r="D673" s="98">
        <v>90</v>
      </c>
      <c r="E673" s="64">
        <f t="shared" si="20"/>
        <v>135</v>
      </c>
      <c r="F673" s="65" t="s">
        <v>1561</v>
      </c>
      <c r="G673" s="63"/>
      <c r="H673" s="66"/>
      <c r="I673" s="66"/>
      <c r="J673" s="66"/>
      <c r="K673" s="66"/>
    </row>
    <row r="674" spans="2:11">
      <c r="B674" s="63"/>
      <c r="C674" s="75" t="s">
        <v>1174</v>
      </c>
      <c r="D674" s="98">
        <v>90</v>
      </c>
      <c r="E674" s="64">
        <f t="shared" si="20"/>
        <v>140</v>
      </c>
      <c r="F674" s="65" t="s">
        <v>1562</v>
      </c>
      <c r="G674" s="63"/>
      <c r="H674" s="66"/>
      <c r="I674" s="66"/>
      <c r="J674" s="66"/>
      <c r="K674" s="66"/>
    </row>
    <row r="675" spans="2:11">
      <c r="B675" s="63"/>
      <c r="C675" s="75" t="s">
        <v>1174</v>
      </c>
      <c r="D675" s="98">
        <v>90</v>
      </c>
      <c r="E675" s="64">
        <f t="shared" si="20"/>
        <v>145</v>
      </c>
      <c r="F675" s="65" t="s">
        <v>86</v>
      </c>
      <c r="G675" s="63"/>
      <c r="H675" s="66"/>
      <c r="I675" s="66"/>
      <c r="J675" s="66"/>
      <c r="K675" s="66"/>
    </row>
    <row r="676" spans="2:11">
      <c r="B676" s="63"/>
      <c r="C676" s="75" t="s">
        <v>1174</v>
      </c>
      <c r="D676" s="98">
        <v>90</v>
      </c>
      <c r="E676" s="64">
        <f t="shared" si="20"/>
        <v>150</v>
      </c>
      <c r="F676" s="65" t="s">
        <v>1507</v>
      </c>
      <c r="G676" s="63"/>
      <c r="H676" s="66"/>
      <c r="I676" s="66"/>
      <c r="J676" s="66"/>
      <c r="K676" s="66"/>
    </row>
    <row r="677" spans="2:11">
      <c r="B677" s="63"/>
      <c r="C677" s="75" t="s">
        <v>1174</v>
      </c>
      <c r="D677" s="98">
        <v>90</v>
      </c>
      <c r="E677" s="64">
        <f t="shared" si="20"/>
        <v>155</v>
      </c>
      <c r="F677" s="65" t="s">
        <v>179</v>
      </c>
      <c r="G677" s="63"/>
      <c r="H677" s="66"/>
      <c r="I677" s="66"/>
      <c r="J677" s="66"/>
      <c r="K677" s="66"/>
    </row>
    <row r="678" spans="2:11">
      <c r="B678" s="63"/>
      <c r="C678" s="75" t="s">
        <v>1174</v>
      </c>
      <c r="D678" s="98">
        <v>90</v>
      </c>
      <c r="E678" s="64">
        <f t="shared" si="20"/>
        <v>160</v>
      </c>
      <c r="F678" s="65" t="s">
        <v>594</v>
      </c>
      <c r="G678" s="63"/>
      <c r="H678" s="66"/>
      <c r="I678" s="66"/>
      <c r="J678" s="66"/>
      <c r="K678" s="66"/>
    </row>
    <row r="679" spans="2:11">
      <c r="B679" s="63"/>
      <c r="C679" s="75" t="s">
        <v>1174</v>
      </c>
      <c r="D679" s="98">
        <v>90</v>
      </c>
      <c r="E679" s="64">
        <f t="shared" si="20"/>
        <v>165</v>
      </c>
      <c r="F679" s="65" t="s">
        <v>1257</v>
      </c>
      <c r="G679" s="63"/>
      <c r="H679" s="66"/>
      <c r="I679" s="66"/>
      <c r="J679" s="66"/>
      <c r="K679" s="66"/>
    </row>
    <row r="680" spans="2:11">
      <c r="B680" s="63"/>
      <c r="C680" s="75" t="s">
        <v>1174</v>
      </c>
      <c r="D680" s="98">
        <v>90</v>
      </c>
      <c r="E680" s="64">
        <f t="shared" si="20"/>
        <v>170</v>
      </c>
      <c r="F680" s="65" t="s">
        <v>1674</v>
      </c>
      <c r="G680" s="63"/>
      <c r="H680" s="66"/>
      <c r="I680" s="66"/>
      <c r="J680" s="66"/>
      <c r="K680" s="66"/>
    </row>
    <row r="681" spans="2:11">
      <c r="B681" s="63"/>
      <c r="C681" s="75" t="s">
        <v>1174</v>
      </c>
      <c r="D681" s="98">
        <v>90</v>
      </c>
      <c r="E681" s="64">
        <f t="shared" si="20"/>
        <v>175</v>
      </c>
      <c r="F681" s="65" t="s">
        <v>1614</v>
      </c>
      <c r="G681" s="63"/>
      <c r="H681" s="66"/>
      <c r="I681" s="66"/>
      <c r="J681" s="66"/>
      <c r="K681" s="66"/>
    </row>
    <row r="682" spans="2:11">
      <c r="B682" s="63"/>
      <c r="C682" s="75" t="s">
        <v>1174</v>
      </c>
      <c r="D682" s="98">
        <v>90</v>
      </c>
      <c r="E682" s="64">
        <f t="shared" si="20"/>
        <v>180</v>
      </c>
      <c r="F682" s="65" t="s">
        <v>184</v>
      </c>
      <c r="G682" s="63"/>
      <c r="H682" s="66"/>
      <c r="I682" s="66"/>
      <c r="J682" s="66"/>
      <c r="K682" s="66"/>
    </row>
    <row r="683" spans="2:11">
      <c r="B683" s="63"/>
      <c r="C683" s="75" t="s">
        <v>1174</v>
      </c>
      <c r="D683" s="98">
        <v>90</v>
      </c>
      <c r="E683" s="64">
        <f t="shared" si="20"/>
        <v>185</v>
      </c>
      <c r="F683" s="65" t="s">
        <v>185</v>
      </c>
      <c r="G683" s="63"/>
      <c r="H683" s="66"/>
      <c r="I683" s="66"/>
      <c r="J683" s="66"/>
      <c r="K683" s="66"/>
    </row>
    <row r="684" spans="2:11">
      <c r="B684" s="63"/>
      <c r="C684" s="75" t="s">
        <v>1174</v>
      </c>
      <c r="D684" s="98">
        <v>90</v>
      </c>
      <c r="E684" s="64">
        <f t="shared" si="20"/>
        <v>190</v>
      </c>
      <c r="F684" s="65" t="s">
        <v>595</v>
      </c>
      <c r="G684" s="63"/>
      <c r="H684" s="66"/>
      <c r="I684" s="66"/>
      <c r="J684" s="66"/>
      <c r="K684" s="66"/>
    </row>
    <row r="685" spans="2:11">
      <c r="B685" s="63"/>
      <c r="C685" s="75" t="s">
        <v>1174</v>
      </c>
      <c r="D685" s="98">
        <v>90</v>
      </c>
      <c r="E685" s="64">
        <f t="shared" si="20"/>
        <v>195</v>
      </c>
      <c r="F685" s="65" t="s">
        <v>596</v>
      </c>
      <c r="G685" s="63"/>
      <c r="H685" s="66"/>
      <c r="I685" s="66"/>
      <c r="J685" s="66"/>
      <c r="K685" s="66"/>
    </row>
    <row r="686" spans="2:11">
      <c r="B686" s="63"/>
      <c r="C686" s="75" t="s">
        <v>1174</v>
      </c>
      <c r="D686" s="98">
        <v>90</v>
      </c>
      <c r="E686" s="64">
        <f t="shared" si="20"/>
        <v>200</v>
      </c>
      <c r="F686" s="65" t="s">
        <v>597</v>
      </c>
      <c r="G686" s="63"/>
      <c r="H686" s="66"/>
      <c r="I686" s="66"/>
      <c r="J686" s="66"/>
      <c r="K686" s="66"/>
    </row>
    <row r="687" spans="2:11">
      <c r="B687" s="63"/>
      <c r="C687" s="75" t="s">
        <v>1174</v>
      </c>
      <c r="D687" s="98">
        <v>90</v>
      </c>
      <c r="E687" s="64">
        <f t="shared" si="20"/>
        <v>205</v>
      </c>
      <c r="F687" s="65" t="s">
        <v>2036</v>
      </c>
      <c r="G687" s="63"/>
      <c r="H687" s="66"/>
      <c r="I687" s="66"/>
      <c r="J687" s="66"/>
      <c r="K687" s="66"/>
    </row>
    <row r="688" spans="2:11">
      <c r="B688" s="63"/>
      <c r="C688" s="75" t="s">
        <v>1174</v>
      </c>
      <c r="D688" s="98">
        <v>90</v>
      </c>
      <c r="E688" s="64">
        <f t="shared" si="20"/>
        <v>210</v>
      </c>
      <c r="F688" s="65" t="s">
        <v>1047</v>
      </c>
      <c r="G688" s="63"/>
      <c r="H688" s="66"/>
      <c r="I688" s="66"/>
      <c r="J688" s="66"/>
      <c r="K688" s="66"/>
    </row>
    <row r="689" spans="2:11">
      <c r="B689" s="63"/>
      <c r="C689" s="75" t="s">
        <v>1174</v>
      </c>
      <c r="D689" s="98">
        <v>90</v>
      </c>
      <c r="E689" s="64">
        <f t="shared" si="20"/>
        <v>215</v>
      </c>
      <c r="F689" s="65" t="s">
        <v>1101</v>
      </c>
      <c r="G689" s="63"/>
      <c r="H689" s="66"/>
      <c r="I689" s="66"/>
      <c r="J689" s="66"/>
      <c r="K689" s="66"/>
    </row>
    <row r="690" spans="2:11">
      <c r="B690" s="63"/>
      <c r="C690" s="75" t="s">
        <v>1174</v>
      </c>
      <c r="D690" s="98">
        <v>90</v>
      </c>
      <c r="E690" s="64">
        <f t="shared" si="20"/>
        <v>220</v>
      </c>
      <c r="F690" s="65" t="s">
        <v>1102</v>
      </c>
      <c r="G690" s="63"/>
      <c r="H690" s="66"/>
      <c r="I690" s="66"/>
      <c r="J690" s="66"/>
      <c r="K690" s="66"/>
    </row>
    <row r="691" spans="2:11">
      <c r="B691" s="63"/>
      <c r="C691" s="75" t="s">
        <v>1174</v>
      </c>
      <c r="D691" s="98">
        <v>90</v>
      </c>
      <c r="E691" s="64">
        <f t="shared" si="20"/>
        <v>225</v>
      </c>
      <c r="F691" s="65" t="s">
        <v>598</v>
      </c>
      <c r="G691" s="63"/>
      <c r="H691" s="66"/>
      <c r="I691" s="66"/>
      <c r="J691" s="66"/>
      <c r="K691" s="66"/>
    </row>
    <row r="692" spans="2:11">
      <c r="B692" s="63"/>
      <c r="C692" s="75" t="s">
        <v>1174</v>
      </c>
      <c r="D692" s="98">
        <v>90</v>
      </c>
      <c r="E692" s="64">
        <f t="shared" si="20"/>
        <v>230</v>
      </c>
      <c r="F692" s="65" t="s">
        <v>1559</v>
      </c>
      <c r="G692" s="63"/>
      <c r="H692" s="66"/>
      <c r="I692" s="66"/>
      <c r="J692" s="66"/>
      <c r="K692" s="66"/>
    </row>
    <row r="693" spans="2:11">
      <c r="B693" s="63"/>
      <c r="C693" s="75" t="s">
        <v>1174</v>
      </c>
      <c r="D693" s="98">
        <v>90</v>
      </c>
      <c r="E693" s="64">
        <f t="shared" si="20"/>
        <v>235</v>
      </c>
      <c r="F693" s="65" t="s">
        <v>1042</v>
      </c>
      <c r="G693" s="63"/>
      <c r="H693" s="66"/>
      <c r="I693" s="66"/>
      <c r="J693" s="66"/>
      <c r="K693" s="66"/>
    </row>
    <row r="694" spans="2:11">
      <c r="B694" s="63"/>
      <c r="C694" s="75" t="s">
        <v>1174</v>
      </c>
      <c r="D694" s="98">
        <v>90</v>
      </c>
      <c r="E694" s="64">
        <f t="shared" si="20"/>
        <v>240</v>
      </c>
      <c r="F694" s="65" t="s">
        <v>1043</v>
      </c>
      <c r="G694" s="63"/>
      <c r="H694" s="66"/>
      <c r="I694" s="66"/>
      <c r="J694" s="66"/>
      <c r="K694" s="66"/>
    </row>
    <row r="695" spans="2:11">
      <c r="B695" s="63"/>
      <c r="C695" s="75" t="s">
        <v>1174</v>
      </c>
      <c r="D695" s="98">
        <v>90</v>
      </c>
      <c r="E695" s="64">
        <f t="shared" si="20"/>
        <v>245</v>
      </c>
      <c r="F695" s="65" t="s">
        <v>1044</v>
      </c>
      <c r="G695" s="63"/>
      <c r="H695" s="66"/>
      <c r="I695" s="66"/>
      <c r="J695" s="66"/>
      <c r="K695" s="66"/>
    </row>
    <row r="696" spans="2:11">
      <c r="B696" s="63"/>
      <c r="C696" s="75" t="s">
        <v>1174</v>
      </c>
      <c r="D696" s="98">
        <v>90</v>
      </c>
      <c r="E696" s="64">
        <f t="shared" si="20"/>
        <v>250</v>
      </c>
      <c r="F696" s="65" t="s">
        <v>1045</v>
      </c>
      <c r="G696" s="63"/>
      <c r="H696" s="66"/>
      <c r="I696" s="66"/>
      <c r="J696" s="66"/>
      <c r="K696" s="66"/>
    </row>
    <row r="697" spans="2:11">
      <c r="B697" s="63"/>
      <c r="C697" s="75" t="s">
        <v>1174</v>
      </c>
      <c r="D697" s="98">
        <v>90</v>
      </c>
      <c r="E697" s="64">
        <f t="shared" si="20"/>
        <v>255</v>
      </c>
      <c r="F697" s="65" t="s">
        <v>1046</v>
      </c>
      <c r="G697" s="63"/>
      <c r="H697" s="66"/>
      <c r="I697" s="66"/>
      <c r="J697" s="66"/>
      <c r="K697" s="66"/>
    </row>
    <row r="698" spans="2:11">
      <c r="B698" s="63"/>
      <c r="C698" s="75" t="s">
        <v>1174</v>
      </c>
      <c r="D698" s="98">
        <v>90</v>
      </c>
      <c r="E698" s="64">
        <f t="shared" si="20"/>
        <v>260</v>
      </c>
      <c r="F698" s="65" t="s">
        <v>1508</v>
      </c>
      <c r="G698" s="63"/>
      <c r="H698" s="66"/>
      <c r="I698" s="66"/>
      <c r="J698" s="66"/>
      <c r="K698" s="66"/>
    </row>
    <row r="699" spans="2:11">
      <c r="B699" s="63"/>
      <c r="C699" s="75" t="s">
        <v>1174</v>
      </c>
      <c r="D699" s="98">
        <v>90</v>
      </c>
      <c r="E699" s="64">
        <f t="shared" ref="E699:E730" si="21">E698+5</f>
        <v>265</v>
      </c>
      <c r="F699" s="67" t="s">
        <v>1617</v>
      </c>
      <c r="G699" s="63"/>
      <c r="H699" s="66"/>
      <c r="I699" s="66"/>
      <c r="J699" s="66"/>
      <c r="K699" s="66"/>
    </row>
    <row r="700" spans="2:11">
      <c r="B700" s="63"/>
      <c r="C700" s="75" t="s">
        <v>1174</v>
      </c>
      <c r="D700" s="98">
        <v>90</v>
      </c>
      <c r="E700" s="64">
        <f t="shared" si="21"/>
        <v>270</v>
      </c>
      <c r="F700" s="65" t="s">
        <v>2038</v>
      </c>
      <c r="G700" s="63"/>
      <c r="H700" s="66"/>
      <c r="I700" s="66"/>
      <c r="J700" s="66"/>
      <c r="K700" s="66"/>
    </row>
    <row r="701" spans="2:11">
      <c r="B701" s="63"/>
      <c r="C701" s="75" t="s">
        <v>1174</v>
      </c>
      <c r="D701" s="98">
        <v>90</v>
      </c>
      <c r="E701" s="64">
        <f t="shared" si="21"/>
        <v>275</v>
      </c>
      <c r="F701" s="65" t="s">
        <v>599</v>
      </c>
      <c r="G701" s="63"/>
      <c r="H701" s="66"/>
      <c r="I701" s="66"/>
      <c r="J701" s="66"/>
      <c r="K701" s="66"/>
    </row>
    <row r="702" spans="2:11">
      <c r="B702" s="63"/>
      <c r="C702" s="75" t="s">
        <v>1174</v>
      </c>
      <c r="D702" s="98">
        <v>90</v>
      </c>
      <c r="E702" s="64">
        <f t="shared" si="21"/>
        <v>280</v>
      </c>
      <c r="F702" s="65" t="s">
        <v>1616</v>
      </c>
      <c r="G702" s="63"/>
      <c r="H702" s="66"/>
      <c r="I702" s="66"/>
      <c r="J702" s="66"/>
      <c r="K702" s="66"/>
    </row>
    <row r="703" spans="2:11">
      <c r="B703" s="63"/>
      <c r="C703" s="75" t="s">
        <v>1174</v>
      </c>
      <c r="D703" s="98">
        <v>90</v>
      </c>
      <c r="E703" s="64">
        <f t="shared" si="21"/>
        <v>285</v>
      </c>
      <c r="F703" s="65" t="s">
        <v>1155</v>
      </c>
      <c r="G703" s="63"/>
      <c r="H703" s="66"/>
      <c r="I703" s="66"/>
      <c r="J703" s="66"/>
      <c r="K703" s="66"/>
    </row>
    <row r="704" spans="2:11">
      <c r="B704" s="63"/>
      <c r="C704" s="75" t="s">
        <v>1174</v>
      </c>
      <c r="D704" s="98">
        <v>90</v>
      </c>
      <c r="E704" s="64">
        <f t="shared" si="21"/>
        <v>290</v>
      </c>
      <c r="F704" s="65" t="s">
        <v>1156</v>
      </c>
      <c r="G704" s="63"/>
      <c r="H704" s="66"/>
      <c r="I704" s="66"/>
      <c r="J704" s="66"/>
      <c r="K704" s="66"/>
    </row>
    <row r="705" spans="2:11">
      <c r="B705" s="63"/>
      <c r="C705" s="75" t="s">
        <v>1174</v>
      </c>
      <c r="D705" s="98">
        <v>90</v>
      </c>
      <c r="E705" s="64">
        <f t="shared" si="21"/>
        <v>295</v>
      </c>
      <c r="F705" s="65" t="s">
        <v>1157</v>
      </c>
      <c r="G705" s="63"/>
      <c r="H705" s="66"/>
      <c r="I705" s="66"/>
      <c r="J705" s="66"/>
      <c r="K705" s="66"/>
    </row>
    <row r="706" spans="2:11">
      <c r="B706" s="63"/>
      <c r="C706" s="75" t="s">
        <v>1174</v>
      </c>
      <c r="D706" s="98">
        <v>90</v>
      </c>
      <c r="E706" s="64">
        <f t="shared" si="21"/>
        <v>300</v>
      </c>
      <c r="F706" s="65" t="s">
        <v>1119</v>
      </c>
      <c r="G706" s="63"/>
      <c r="H706" s="66"/>
      <c r="I706" s="66"/>
      <c r="J706" s="66"/>
      <c r="K706" s="66"/>
    </row>
    <row r="707" spans="2:11">
      <c r="B707" s="63"/>
      <c r="C707" s="75" t="s">
        <v>1174</v>
      </c>
      <c r="D707" s="98">
        <v>90</v>
      </c>
      <c r="E707" s="64">
        <f t="shared" si="21"/>
        <v>305</v>
      </c>
      <c r="F707" s="65" t="s">
        <v>140</v>
      </c>
      <c r="G707" s="63"/>
      <c r="H707" s="66"/>
      <c r="I707" s="66"/>
      <c r="J707" s="66"/>
      <c r="K707" s="66"/>
    </row>
    <row r="708" spans="2:11">
      <c r="B708" s="63"/>
      <c r="C708" s="75" t="s">
        <v>1174</v>
      </c>
      <c r="D708" s="98">
        <v>90</v>
      </c>
      <c r="E708" s="64">
        <f t="shared" si="21"/>
        <v>310</v>
      </c>
      <c r="F708" s="65" t="s">
        <v>2009</v>
      </c>
      <c r="G708" s="63"/>
      <c r="H708" s="66"/>
      <c r="I708" s="66"/>
      <c r="J708" s="66"/>
      <c r="K708" s="66"/>
    </row>
    <row r="709" spans="2:11">
      <c r="B709" s="63"/>
      <c r="C709" s="75" t="s">
        <v>1174</v>
      </c>
      <c r="D709" s="98">
        <v>90</v>
      </c>
      <c r="E709" s="64">
        <f t="shared" si="21"/>
        <v>315</v>
      </c>
      <c r="F709" s="65" t="s">
        <v>2128</v>
      </c>
      <c r="G709" s="63"/>
      <c r="H709" s="66"/>
      <c r="I709" s="66"/>
      <c r="J709" s="66"/>
      <c r="K709" s="66"/>
    </row>
    <row r="710" spans="2:11">
      <c r="B710" s="63"/>
      <c r="C710" s="75" t="s">
        <v>1174</v>
      </c>
      <c r="D710" s="98">
        <v>90</v>
      </c>
      <c r="E710" s="64">
        <f t="shared" si="21"/>
        <v>320</v>
      </c>
      <c r="F710" s="65" t="s">
        <v>688</v>
      </c>
      <c r="G710" s="63"/>
      <c r="H710" s="66"/>
      <c r="I710" s="66"/>
      <c r="J710" s="66"/>
      <c r="K710" s="66"/>
    </row>
    <row r="711" spans="2:11">
      <c r="B711" s="63"/>
      <c r="C711" s="75" t="s">
        <v>1174</v>
      </c>
      <c r="D711" s="98">
        <v>90</v>
      </c>
      <c r="E711" s="64">
        <f t="shared" si="21"/>
        <v>325</v>
      </c>
      <c r="F711" s="65" t="s">
        <v>689</v>
      </c>
      <c r="G711" s="63"/>
      <c r="H711" s="66"/>
      <c r="I711" s="66"/>
      <c r="J711" s="66"/>
      <c r="K711" s="66"/>
    </row>
    <row r="712" spans="2:11">
      <c r="B712" s="63"/>
      <c r="C712" s="75" t="s">
        <v>1174</v>
      </c>
      <c r="D712" s="98">
        <v>90</v>
      </c>
      <c r="E712" s="64">
        <f t="shared" si="21"/>
        <v>330</v>
      </c>
      <c r="F712" s="65" t="s">
        <v>690</v>
      </c>
      <c r="G712" s="63"/>
      <c r="H712" s="66"/>
      <c r="I712" s="66"/>
      <c r="J712" s="66"/>
      <c r="K712" s="66"/>
    </row>
    <row r="713" spans="2:11">
      <c r="B713" s="63"/>
      <c r="C713" s="75" t="s">
        <v>1174</v>
      </c>
      <c r="D713" s="98">
        <v>90</v>
      </c>
      <c r="E713" s="64">
        <f t="shared" si="21"/>
        <v>335</v>
      </c>
      <c r="F713" s="65" t="s">
        <v>691</v>
      </c>
      <c r="G713" s="63"/>
      <c r="H713" s="66"/>
      <c r="I713" s="66"/>
      <c r="J713" s="66"/>
      <c r="K713" s="66"/>
    </row>
    <row r="714" spans="2:11">
      <c r="B714" s="63"/>
      <c r="C714" s="75" t="s">
        <v>1174</v>
      </c>
      <c r="D714" s="98">
        <v>90</v>
      </c>
      <c r="E714" s="64">
        <f t="shared" si="21"/>
        <v>340</v>
      </c>
      <c r="F714" s="65" t="s">
        <v>1509</v>
      </c>
      <c r="G714" s="63"/>
      <c r="H714" s="66"/>
      <c r="I714" s="66"/>
      <c r="J714" s="66"/>
      <c r="K714" s="66"/>
    </row>
    <row r="715" spans="2:11">
      <c r="B715" s="63"/>
      <c r="C715" s="75" t="s">
        <v>1174</v>
      </c>
      <c r="D715" s="98">
        <v>90</v>
      </c>
      <c r="E715" s="64">
        <f t="shared" si="21"/>
        <v>345</v>
      </c>
      <c r="F715" s="65" t="s">
        <v>693</v>
      </c>
      <c r="G715" s="63"/>
      <c r="H715" s="66"/>
      <c r="I715" s="66"/>
      <c r="J715" s="66"/>
      <c r="K715" s="66"/>
    </row>
    <row r="716" spans="2:11">
      <c r="B716" s="63"/>
      <c r="C716" s="75" t="s">
        <v>1174</v>
      </c>
      <c r="D716" s="98">
        <v>90</v>
      </c>
      <c r="E716" s="64">
        <f t="shared" si="21"/>
        <v>350</v>
      </c>
      <c r="F716" s="65" t="s">
        <v>11</v>
      </c>
      <c r="G716" s="63"/>
      <c r="H716" s="66"/>
      <c r="I716" s="66"/>
      <c r="J716" s="66"/>
      <c r="K716" s="66"/>
    </row>
    <row r="717" spans="2:11">
      <c r="B717" s="63"/>
      <c r="C717" s="75" t="s">
        <v>1174</v>
      </c>
      <c r="D717" s="98">
        <v>90</v>
      </c>
      <c r="E717" s="64">
        <f t="shared" si="21"/>
        <v>355</v>
      </c>
      <c r="F717" s="65" t="s">
        <v>1510</v>
      </c>
      <c r="G717" s="63"/>
      <c r="H717" s="66"/>
      <c r="I717" s="66"/>
      <c r="J717" s="66"/>
      <c r="K717" s="66"/>
    </row>
    <row r="718" spans="2:11">
      <c r="B718" s="63"/>
      <c r="C718" s="75" t="s">
        <v>1174</v>
      </c>
      <c r="D718" s="98">
        <v>90</v>
      </c>
      <c r="E718" s="64">
        <f t="shared" si="21"/>
        <v>360</v>
      </c>
      <c r="F718" s="65" t="s">
        <v>1511</v>
      </c>
      <c r="G718" s="63"/>
      <c r="H718" s="66"/>
      <c r="I718" s="66"/>
      <c r="J718" s="66"/>
      <c r="K718" s="66"/>
    </row>
    <row r="719" spans="2:11">
      <c r="B719" s="63"/>
      <c r="C719" s="75" t="s">
        <v>1174</v>
      </c>
      <c r="D719" s="98">
        <v>90</v>
      </c>
      <c r="E719" s="64">
        <f t="shared" si="21"/>
        <v>365</v>
      </c>
      <c r="F719" s="65" t="s">
        <v>13</v>
      </c>
      <c r="G719" s="63"/>
      <c r="H719" s="66"/>
      <c r="I719" s="66"/>
      <c r="J719" s="66"/>
      <c r="K719" s="66"/>
    </row>
    <row r="720" spans="2:11">
      <c r="B720" s="63"/>
      <c r="C720" s="75" t="s">
        <v>1174</v>
      </c>
      <c r="D720" s="98">
        <v>90</v>
      </c>
      <c r="E720" s="64">
        <f t="shared" si="21"/>
        <v>370</v>
      </c>
      <c r="F720" s="65" t="s">
        <v>1512</v>
      </c>
      <c r="G720" s="63"/>
      <c r="H720" s="66"/>
      <c r="I720" s="66"/>
      <c r="J720" s="66"/>
      <c r="K720" s="66"/>
    </row>
    <row r="721" spans="2:11">
      <c r="B721" s="63"/>
      <c r="C721" s="75" t="s">
        <v>1174</v>
      </c>
      <c r="D721" s="98">
        <v>90</v>
      </c>
      <c r="E721" s="64">
        <f t="shared" si="21"/>
        <v>375</v>
      </c>
      <c r="F721" s="65" t="s">
        <v>1991</v>
      </c>
      <c r="G721" s="63"/>
      <c r="H721" s="66"/>
      <c r="I721" s="66"/>
      <c r="J721" s="66"/>
      <c r="K721" s="66"/>
    </row>
    <row r="722" spans="2:11">
      <c r="B722" s="63"/>
      <c r="C722" s="75" t="s">
        <v>1174</v>
      </c>
      <c r="D722" s="98">
        <v>90</v>
      </c>
      <c r="E722" s="64">
        <f t="shared" si="21"/>
        <v>380</v>
      </c>
      <c r="F722" s="65" t="s">
        <v>1992</v>
      </c>
      <c r="G722" s="63"/>
      <c r="H722" s="66"/>
      <c r="I722" s="66"/>
      <c r="J722" s="66"/>
      <c r="K722" s="66"/>
    </row>
    <row r="723" spans="2:11">
      <c r="B723" s="63"/>
      <c r="C723" s="75" t="s">
        <v>1174</v>
      </c>
      <c r="D723" s="98">
        <v>90</v>
      </c>
      <c r="E723" s="64">
        <f t="shared" si="21"/>
        <v>385</v>
      </c>
      <c r="F723" s="65" t="s">
        <v>1993</v>
      </c>
      <c r="G723" s="63"/>
      <c r="H723" s="66"/>
      <c r="I723" s="66"/>
      <c r="J723" s="66"/>
      <c r="K723" s="66"/>
    </row>
    <row r="724" spans="2:11">
      <c r="B724" s="63"/>
      <c r="C724" s="75" t="s">
        <v>1174</v>
      </c>
      <c r="D724" s="98">
        <v>90</v>
      </c>
      <c r="E724" s="64">
        <f t="shared" si="21"/>
        <v>390</v>
      </c>
      <c r="F724" s="65" t="s">
        <v>1994</v>
      </c>
      <c r="G724" s="63"/>
      <c r="H724" s="66"/>
      <c r="I724" s="66"/>
      <c r="J724" s="66"/>
      <c r="K724" s="66"/>
    </row>
    <row r="725" spans="2:11">
      <c r="B725" s="63"/>
      <c r="C725" s="75" t="s">
        <v>1174</v>
      </c>
      <c r="D725" s="98">
        <v>90</v>
      </c>
      <c r="E725" s="64">
        <f t="shared" si="21"/>
        <v>395</v>
      </c>
      <c r="F725" s="65" t="s">
        <v>1513</v>
      </c>
      <c r="G725" s="63"/>
      <c r="H725" s="66"/>
      <c r="I725" s="66"/>
      <c r="J725" s="66"/>
      <c r="K725" s="66"/>
    </row>
    <row r="726" spans="2:11">
      <c r="B726" s="63"/>
      <c r="C726" s="75" t="s">
        <v>1174</v>
      </c>
      <c r="D726" s="98">
        <v>90</v>
      </c>
      <c r="E726" s="64">
        <f t="shared" si="21"/>
        <v>400</v>
      </c>
      <c r="F726" s="65" t="s">
        <v>1514</v>
      </c>
      <c r="G726" s="63"/>
      <c r="H726" s="66"/>
      <c r="I726" s="66"/>
      <c r="J726" s="66"/>
      <c r="K726" s="66"/>
    </row>
    <row r="727" spans="2:11">
      <c r="B727" s="63"/>
      <c r="C727" s="75" t="s">
        <v>1174</v>
      </c>
      <c r="D727" s="98">
        <v>90</v>
      </c>
      <c r="E727" s="64">
        <f t="shared" si="21"/>
        <v>405</v>
      </c>
      <c r="F727" s="65" t="s">
        <v>2182</v>
      </c>
      <c r="G727" s="63"/>
      <c r="H727" s="66"/>
      <c r="I727" s="66"/>
      <c r="J727" s="66"/>
      <c r="K727" s="66"/>
    </row>
    <row r="728" spans="2:11">
      <c r="B728" s="63"/>
      <c r="C728" s="75" t="s">
        <v>1174</v>
      </c>
      <c r="D728" s="98">
        <v>90</v>
      </c>
      <c r="E728" s="64">
        <f t="shared" si="21"/>
        <v>410</v>
      </c>
      <c r="F728" s="65" t="s">
        <v>1228</v>
      </c>
      <c r="G728" s="63"/>
      <c r="H728" s="66"/>
      <c r="I728" s="66"/>
      <c r="J728" s="66"/>
      <c r="K728" s="66"/>
    </row>
    <row r="729" spans="2:11">
      <c r="B729" s="63"/>
      <c r="C729" s="75" t="s">
        <v>1174</v>
      </c>
      <c r="D729" s="98">
        <v>90</v>
      </c>
      <c r="E729" s="64">
        <f t="shared" si="21"/>
        <v>415</v>
      </c>
      <c r="F729" s="65" t="s">
        <v>1229</v>
      </c>
      <c r="G729" s="63"/>
      <c r="H729" s="66"/>
      <c r="I729" s="66"/>
      <c r="J729" s="66"/>
      <c r="K729" s="66"/>
    </row>
    <row r="730" spans="2:11">
      <c r="B730" s="63"/>
      <c r="C730" s="75" t="s">
        <v>1174</v>
      </c>
      <c r="D730" s="98">
        <v>90</v>
      </c>
      <c r="E730" s="64">
        <f t="shared" si="21"/>
        <v>420</v>
      </c>
      <c r="F730" s="65" t="s">
        <v>1230</v>
      </c>
      <c r="G730" s="63"/>
      <c r="H730" s="66"/>
      <c r="I730" s="66"/>
      <c r="J730" s="66"/>
      <c r="K730" s="66"/>
    </row>
    <row r="731" spans="2:11">
      <c r="B731" s="63"/>
      <c r="C731" s="75" t="s">
        <v>1174</v>
      </c>
      <c r="D731" s="98">
        <v>90</v>
      </c>
      <c r="E731" s="64">
        <f t="shared" ref="E731:E756" si="22">E730+5</f>
        <v>425</v>
      </c>
      <c r="F731" s="65" t="s">
        <v>1231</v>
      </c>
      <c r="G731" s="63"/>
      <c r="H731" s="66"/>
      <c r="I731" s="66"/>
      <c r="J731" s="66"/>
      <c r="K731" s="66"/>
    </row>
    <row r="732" spans="2:11">
      <c r="B732" s="63"/>
      <c r="C732" s="75" t="s">
        <v>1174</v>
      </c>
      <c r="D732" s="98">
        <v>90</v>
      </c>
      <c r="E732" s="64">
        <f t="shared" si="22"/>
        <v>430</v>
      </c>
      <c r="F732" s="65" t="s">
        <v>1232</v>
      </c>
      <c r="G732" s="63"/>
      <c r="H732" s="66"/>
      <c r="I732" s="66"/>
      <c r="J732" s="66"/>
      <c r="K732" s="66"/>
    </row>
    <row r="733" spans="2:11">
      <c r="B733" s="63"/>
      <c r="C733" s="75" t="s">
        <v>1174</v>
      </c>
      <c r="D733" s="98">
        <v>90</v>
      </c>
      <c r="E733" s="64">
        <f t="shared" si="22"/>
        <v>435</v>
      </c>
      <c r="F733" s="65" t="s">
        <v>1233</v>
      </c>
      <c r="G733" s="63"/>
      <c r="H733" s="66"/>
      <c r="I733" s="66"/>
      <c r="J733" s="66"/>
      <c r="K733" s="66"/>
    </row>
    <row r="734" spans="2:11">
      <c r="B734" s="63"/>
      <c r="C734" s="75" t="s">
        <v>1174</v>
      </c>
      <c r="D734" s="98">
        <v>90</v>
      </c>
      <c r="E734" s="64">
        <f t="shared" si="22"/>
        <v>440</v>
      </c>
      <c r="F734" s="65" t="s">
        <v>2183</v>
      </c>
      <c r="G734" s="63"/>
      <c r="H734" s="66"/>
      <c r="I734" s="66"/>
      <c r="J734" s="66"/>
      <c r="K734" s="66"/>
    </row>
    <row r="735" spans="2:11">
      <c r="B735" s="63"/>
      <c r="C735" s="75" t="s">
        <v>1174</v>
      </c>
      <c r="D735" s="98">
        <v>90</v>
      </c>
      <c r="E735" s="64">
        <f t="shared" si="22"/>
        <v>445</v>
      </c>
      <c r="F735" s="65" t="s">
        <v>1053</v>
      </c>
      <c r="G735" s="63"/>
      <c r="H735" s="66"/>
      <c r="I735" s="66"/>
      <c r="J735" s="66"/>
      <c r="K735" s="66"/>
    </row>
    <row r="736" spans="2:11">
      <c r="B736" s="63"/>
      <c r="C736" s="75" t="s">
        <v>1174</v>
      </c>
      <c r="D736" s="98">
        <v>90</v>
      </c>
      <c r="E736" s="64">
        <f t="shared" si="22"/>
        <v>450</v>
      </c>
      <c r="F736" s="65" t="s">
        <v>1054</v>
      </c>
      <c r="G736" s="63"/>
      <c r="H736" s="66"/>
      <c r="I736" s="66"/>
      <c r="J736" s="66"/>
      <c r="K736" s="66"/>
    </row>
    <row r="737" spans="2:11">
      <c r="B737" s="63"/>
      <c r="C737" s="75" t="s">
        <v>1174</v>
      </c>
      <c r="D737" s="98">
        <v>90</v>
      </c>
      <c r="E737" s="64">
        <f t="shared" si="22"/>
        <v>455</v>
      </c>
      <c r="F737" s="65" t="s">
        <v>2130</v>
      </c>
      <c r="G737" s="63"/>
      <c r="H737" s="66"/>
      <c r="I737" s="66"/>
      <c r="J737" s="66"/>
      <c r="K737" s="66"/>
    </row>
    <row r="738" spans="2:11">
      <c r="B738" s="63"/>
      <c r="C738" s="75" t="s">
        <v>1174</v>
      </c>
      <c r="D738" s="98">
        <v>90</v>
      </c>
      <c r="E738" s="64">
        <f t="shared" si="22"/>
        <v>460</v>
      </c>
      <c r="F738" s="65" t="s">
        <v>1972</v>
      </c>
      <c r="G738" s="63"/>
      <c r="H738" s="66"/>
      <c r="I738" s="66"/>
      <c r="J738" s="66"/>
      <c r="K738" s="66"/>
    </row>
    <row r="739" spans="2:11">
      <c r="B739" s="63"/>
      <c r="C739" s="75" t="s">
        <v>1174</v>
      </c>
      <c r="D739" s="98">
        <v>90</v>
      </c>
      <c r="E739" s="64">
        <f t="shared" si="22"/>
        <v>465</v>
      </c>
      <c r="F739" s="65" t="s">
        <v>2129</v>
      </c>
      <c r="G739" s="63"/>
      <c r="H739" s="66"/>
      <c r="I739" s="66"/>
      <c r="J739" s="66"/>
      <c r="K739" s="66"/>
    </row>
    <row r="740" spans="2:11">
      <c r="B740" s="63"/>
      <c r="C740" s="75" t="s">
        <v>1174</v>
      </c>
      <c r="D740" s="98">
        <v>90</v>
      </c>
      <c r="E740" s="64">
        <f t="shared" si="22"/>
        <v>470</v>
      </c>
      <c r="F740" s="65" t="s">
        <v>1055</v>
      </c>
      <c r="G740" s="63"/>
      <c r="H740" s="66"/>
      <c r="I740" s="66"/>
      <c r="J740" s="66"/>
      <c r="K740" s="66"/>
    </row>
    <row r="741" spans="2:11">
      <c r="B741" s="63"/>
      <c r="C741" s="75" t="s">
        <v>1174</v>
      </c>
      <c r="D741" s="98">
        <v>90</v>
      </c>
      <c r="E741" s="64">
        <f t="shared" si="22"/>
        <v>475</v>
      </c>
      <c r="F741" s="65" t="s">
        <v>1429</v>
      </c>
      <c r="G741" s="63"/>
      <c r="H741" s="66"/>
      <c r="I741" s="66"/>
      <c r="J741" s="66"/>
      <c r="K741" s="66"/>
    </row>
    <row r="742" spans="2:11">
      <c r="B742" s="63"/>
      <c r="C742" s="75" t="s">
        <v>1174</v>
      </c>
      <c r="D742" s="98">
        <v>90</v>
      </c>
      <c r="E742" s="64">
        <f t="shared" si="22"/>
        <v>480</v>
      </c>
      <c r="F742" s="65" t="s">
        <v>2053</v>
      </c>
      <c r="G742" s="63"/>
      <c r="H742" s="66"/>
      <c r="I742" s="66"/>
      <c r="J742" s="66"/>
      <c r="K742" s="66"/>
    </row>
    <row r="743" spans="2:11">
      <c r="B743" s="63"/>
      <c r="C743" s="75" t="s">
        <v>1174</v>
      </c>
      <c r="D743" s="98">
        <v>90</v>
      </c>
      <c r="E743" s="64">
        <f t="shared" si="22"/>
        <v>485</v>
      </c>
      <c r="F743" s="65" t="s">
        <v>1764</v>
      </c>
      <c r="G743" s="63"/>
      <c r="H743" s="66"/>
      <c r="I743" s="66"/>
      <c r="J743" s="66"/>
      <c r="K743" s="66"/>
    </row>
    <row r="744" spans="2:11">
      <c r="B744" s="63"/>
      <c r="C744" s="75" t="s">
        <v>1174</v>
      </c>
      <c r="D744" s="98">
        <v>90</v>
      </c>
      <c r="E744" s="64">
        <f t="shared" si="22"/>
        <v>490</v>
      </c>
      <c r="F744" s="65" t="s">
        <v>1937</v>
      </c>
      <c r="G744" s="63"/>
      <c r="H744" s="66"/>
      <c r="I744" s="66"/>
      <c r="J744" s="66"/>
      <c r="K744" s="66"/>
    </row>
    <row r="745" spans="2:11">
      <c r="B745" s="63"/>
      <c r="C745" s="75" t="s">
        <v>1174</v>
      </c>
      <c r="D745" s="98">
        <v>90</v>
      </c>
      <c r="E745" s="64">
        <f t="shared" si="22"/>
        <v>495</v>
      </c>
      <c r="F745" s="65" t="s">
        <v>1938</v>
      </c>
      <c r="G745" s="63"/>
      <c r="H745" s="66"/>
      <c r="I745" s="66"/>
      <c r="J745" s="66"/>
      <c r="K745" s="66"/>
    </row>
    <row r="746" spans="2:11">
      <c r="B746" s="63"/>
      <c r="C746" s="75" t="s">
        <v>1174</v>
      </c>
      <c r="D746" s="98">
        <v>90</v>
      </c>
      <c r="E746" s="64">
        <f t="shared" si="22"/>
        <v>500</v>
      </c>
      <c r="F746" s="65" t="s">
        <v>1939</v>
      </c>
      <c r="G746" s="63"/>
      <c r="H746" s="66"/>
      <c r="I746" s="66"/>
      <c r="J746" s="66"/>
      <c r="K746" s="66"/>
    </row>
    <row r="747" spans="2:11">
      <c r="B747" s="63"/>
      <c r="C747" s="75" t="s">
        <v>1174</v>
      </c>
      <c r="D747" s="98">
        <v>90</v>
      </c>
      <c r="E747" s="64">
        <f t="shared" si="22"/>
        <v>505</v>
      </c>
      <c r="F747" s="65" t="s">
        <v>1940</v>
      </c>
      <c r="G747" s="63"/>
      <c r="H747" s="66"/>
      <c r="I747" s="66"/>
      <c r="J747" s="66"/>
      <c r="K747" s="66"/>
    </row>
    <row r="748" spans="2:11">
      <c r="B748" s="63"/>
      <c r="C748" s="75" t="s">
        <v>1174</v>
      </c>
      <c r="D748" s="98">
        <v>90</v>
      </c>
      <c r="E748" s="64">
        <f t="shared" si="22"/>
        <v>510</v>
      </c>
      <c r="F748" s="65" t="s">
        <v>1941</v>
      </c>
      <c r="G748" s="63"/>
      <c r="H748" s="66"/>
      <c r="I748" s="66"/>
      <c r="J748" s="66"/>
      <c r="K748" s="66"/>
    </row>
    <row r="749" spans="2:11">
      <c r="B749" s="63"/>
      <c r="C749" s="75" t="s">
        <v>1174</v>
      </c>
      <c r="D749" s="98">
        <v>90</v>
      </c>
      <c r="E749" s="64">
        <f t="shared" si="22"/>
        <v>515</v>
      </c>
      <c r="F749" s="65" t="s">
        <v>1942</v>
      </c>
      <c r="G749" s="63"/>
      <c r="H749" s="66"/>
      <c r="I749" s="66"/>
      <c r="J749" s="66"/>
      <c r="K749" s="66"/>
    </row>
    <row r="750" spans="2:11">
      <c r="B750" s="63"/>
      <c r="C750" s="75" t="s">
        <v>1174</v>
      </c>
      <c r="D750" s="98">
        <v>90</v>
      </c>
      <c r="E750" s="64">
        <f t="shared" si="22"/>
        <v>520</v>
      </c>
      <c r="F750" s="65" t="s">
        <v>1943</v>
      </c>
      <c r="G750" s="63"/>
      <c r="H750" s="66"/>
      <c r="I750" s="66"/>
      <c r="J750" s="66"/>
      <c r="K750" s="66"/>
    </row>
    <row r="751" spans="2:11">
      <c r="B751" s="63"/>
      <c r="C751" s="75" t="s">
        <v>1174</v>
      </c>
      <c r="D751" s="98">
        <v>90</v>
      </c>
      <c r="E751" s="64">
        <f t="shared" si="22"/>
        <v>525</v>
      </c>
      <c r="F751" s="65" t="s">
        <v>1430</v>
      </c>
      <c r="G751" s="63"/>
      <c r="H751" s="66"/>
      <c r="I751" s="66"/>
      <c r="J751" s="66"/>
      <c r="K751" s="66"/>
    </row>
    <row r="752" spans="2:11">
      <c r="B752" s="63"/>
      <c r="C752" s="75" t="s">
        <v>1174</v>
      </c>
      <c r="D752" s="98">
        <v>90</v>
      </c>
      <c r="E752" s="64">
        <f t="shared" si="22"/>
        <v>530</v>
      </c>
      <c r="F752" s="65" t="s">
        <v>1431</v>
      </c>
      <c r="G752" s="63"/>
      <c r="H752" s="66"/>
      <c r="I752" s="66"/>
      <c r="J752" s="66"/>
      <c r="K752" s="66"/>
    </row>
    <row r="753" spans="2:11">
      <c r="B753" s="63"/>
      <c r="C753" s="75" t="s">
        <v>1174</v>
      </c>
      <c r="D753" s="98">
        <v>90</v>
      </c>
      <c r="E753" s="64">
        <f t="shared" si="22"/>
        <v>535</v>
      </c>
      <c r="F753" s="65" t="s">
        <v>899</v>
      </c>
      <c r="G753" s="63"/>
      <c r="H753" s="66"/>
      <c r="I753" s="66"/>
      <c r="J753" s="66"/>
      <c r="K753" s="66"/>
    </row>
    <row r="754" spans="2:11">
      <c r="B754" s="63"/>
      <c r="C754" s="75" t="s">
        <v>1174</v>
      </c>
      <c r="D754" s="98">
        <v>90</v>
      </c>
      <c r="E754" s="64">
        <f t="shared" si="22"/>
        <v>540</v>
      </c>
      <c r="F754" s="65" t="s">
        <v>2126</v>
      </c>
      <c r="G754" s="63"/>
      <c r="H754" s="66"/>
      <c r="I754" s="66"/>
      <c r="J754" s="66"/>
      <c r="K754" s="66"/>
    </row>
    <row r="755" spans="2:11">
      <c r="B755" s="63"/>
      <c r="C755" s="75" t="s">
        <v>1174</v>
      </c>
      <c r="D755" s="98">
        <v>90</v>
      </c>
      <c r="E755" s="64">
        <f t="shared" si="22"/>
        <v>545</v>
      </c>
      <c r="F755" s="65" t="s">
        <v>2035</v>
      </c>
      <c r="G755" s="63"/>
      <c r="H755" s="66"/>
      <c r="I755" s="66"/>
      <c r="J755" s="66"/>
      <c r="K755" s="66"/>
    </row>
    <row r="756" spans="2:11">
      <c r="B756" s="63"/>
      <c r="C756" s="75" t="s">
        <v>1174</v>
      </c>
      <c r="D756" s="98">
        <v>90</v>
      </c>
      <c r="E756" s="64">
        <f t="shared" si="22"/>
        <v>550</v>
      </c>
      <c r="F756" s="65" t="s">
        <v>2037</v>
      </c>
      <c r="G756" s="63"/>
      <c r="H756" s="66"/>
      <c r="I756" s="66"/>
      <c r="J756" s="66"/>
      <c r="K756" s="66"/>
    </row>
    <row r="757" spans="2:11">
      <c r="B757" s="63"/>
      <c r="C757" s="75"/>
      <c r="D757" s="98"/>
      <c r="E757" s="64"/>
      <c r="F757" s="65"/>
      <c r="G757" s="63"/>
      <c r="H757" s="66"/>
      <c r="I757" s="66"/>
      <c r="J757" s="66"/>
      <c r="K757" s="66"/>
    </row>
    <row r="758" spans="2:11" ht="15.6">
      <c r="B758" s="63"/>
      <c r="C758" s="99">
        <v>10</v>
      </c>
      <c r="D758" s="3351" t="s">
        <v>1221</v>
      </c>
      <c r="E758" s="3351"/>
      <c r="F758" s="3351"/>
      <c r="G758" s="63"/>
      <c r="H758" s="66"/>
      <c r="I758" s="66"/>
      <c r="J758" s="66"/>
      <c r="K758" s="66"/>
    </row>
    <row r="759" spans="2:11" ht="6" customHeight="1">
      <c r="B759" s="63"/>
      <c r="C759" s="64"/>
      <c r="D759" s="63"/>
      <c r="E759" s="63"/>
      <c r="F759" s="63"/>
      <c r="G759" s="63"/>
      <c r="H759" s="66"/>
      <c r="I759" s="66"/>
      <c r="J759" s="66"/>
      <c r="K759" s="66"/>
    </row>
    <row r="760" spans="2:11">
      <c r="B760" s="63"/>
      <c r="C760" s="82">
        <v>10</v>
      </c>
      <c r="D760" s="82">
        <v>10</v>
      </c>
      <c r="E760" s="3349" t="s">
        <v>466</v>
      </c>
      <c r="F760" s="3349"/>
      <c r="G760" s="63"/>
      <c r="H760" s="66"/>
      <c r="I760" s="66"/>
      <c r="J760" s="66"/>
      <c r="K760" s="66"/>
    </row>
    <row r="761" spans="2:11" ht="6" customHeight="1">
      <c r="B761" s="63"/>
      <c r="C761" s="82"/>
      <c r="D761" s="82"/>
      <c r="E761" s="100"/>
      <c r="F761" s="100"/>
      <c r="G761" s="63"/>
      <c r="H761" s="66"/>
      <c r="I761" s="66"/>
      <c r="J761" s="66"/>
      <c r="K761" s="66"/>
    </row>
    <row r="762" spans="2:11">
      <c r="B762" s="63"/>
      <c r="C762" s="64">
        <v>10</v>
      </c>
      <c r="D762" s="64">
        <v>10</v>
      </c>
      <c r="E762" s="64">
        <v>100</v>
      </c>
      <c r="F762" s="65" t="s">
        <v>1184</v>
      </c>
      <c r="G762" s="63"/>
      <c r="H762" s="66"/>
      <c r="I762" s="66"/>
      <c r="J762" s="66"/>
      <c r="K762" s="66"/>
    </row>
    <row r="763" spans="2:11">
      <c r="B763" s="63"/>
      <c r="C763" s="64">
        <v>10</v>
      </c>
      <c r="D763" s="64">
        <v>10</v>
      </c>
      <c r="E763" s="64">
        <f t="shared" ref="E763:E785" si="23">E762+10</f>
        <v>110</v>
      </c>
      <c r="F763" s="65" t="s">
        <v>1185</v>
      </c>
      <c r="G763" s="63"/>
      <c r="H763" s="66"/>
      <c r="I763" s="66"/>
      <c r="J763" s="66"/>
      <c r="K763" s="66"/>
    </row>
    <row r="764" spans="2:11">
      <c r="B764" s="63"/>
      <c r="C764" s="64">
        <v>10</v>
      </c>
      <c r="D764" s="64">
        <v>10</v>
      </c>
      <c r="E764" s="64">
        <f t="shared" si="23"/>
        <v>120</v>
      </c>
      <c r="F764" s="65" t="s">
        <v>1186</v>
      </c>
      <c r="G764" s="63"/>
      <c r="H764" s="66"/>
      <c r="I764" s="66"/>
      <c r="J764" s="66"/>
      <c r="K764" s="66"/>
    </row>
    <row r="765" spans="2:11">
      <c r="B765" s="63"/>
      <c r="C765" s="64">
        <v>10</v>
      </c>
      <c r="D765" s="64">
        <v>10</v>
      </c>
      <c r="E765" s="64">
        <f t="shared" si="23"/>
        <v>130</v>
      </c>
      <c r="F765" s="65" t="s">
        <v>1187</v>
      </c>
      <c r="G765" s="63"/>
      <c r="H765" s="66"/>
      <c r="I765" s="66"/>
      <c r="J765" s="66"/>
      <c r="K765" s="66"/>
    </row>
    <row r="766" spans="2:11">
      <c r="B766" s="63"/>
      <c r="C766" s="64">
        <v>10</v>
      </c>
      <c r="D766" s="64">
        <v>10</v>
      </c>
      <c r="E766" s="64">
        <f t="shared" si="23"/>
        <v>140</v>
      </c>
      <c r="F766" s="65" t="s">
        <v>1188</v>
      </c>
      <c r="G766" s="63"/>
      <c r="H766" s="66"/>
      <c r="I766" s="66"/>
      <c r="J766" s="66"/>
      <c r="K766" s="66"/>
    </row>
    <row r="767" spans="2:11">
      <c r="B767" s="63"/>
      <c r="C767" s="64">
        <v>10</v>
      </c>
      <c r="D767" s="64">
        <v>10</v>
      </c>
      <c r="E767" s="64">
        <f t="shared" si="23"/>
        <v>150</v>
      </c>
      <c r="F767" s="65" t="s">
        <v>1189</v>
      </c>
      <c r="G767" s="63"/>
      <c r="H767" s="66"/>
      <c r="I767" s="66"/>
      <c r="J767" s="66"/>
      <c r="K767" s="66"/>
    </row>
    <row r="768" spans="2:11">
      <c r="B768" s="63"/>
      <c r="C768" s="64">
        <v>10</v>
      </c>
      <c r="D768" s="64">
        <v>10</v>
      </c>
      <c r="E768" s="64">
        <f t="shared" si="23"/>
        <v>160</v>
      </c>
      <c r="F768" s="65" t="s">
        <v>1190</v>
      </c>
      <c r="G768" s="63"/>
      <c r="H768" s="66"/>
      <c r="I768" s="66"/>
      <c r="J768" s="66"/>
      <c r="K768" s="66"/>
    </row>
    <row r="769" spans="2:11">
      <c r="B769" s="63"/>
      <c r="C769" s="64">
        <v>10</v>
      </c>
      <c r="D769" s="64">
        <v>10</v>
      </c>
      <c r="E769" s="64">
        <f t="shared" si="23"/>
        <v>170</v>
      </c>
      <c r="F769" s="65" t="s">
        <v>1191</v>
      </c>
      <c r="G769" s="63"/>
      <c r="H769" s="66"/>
      <c r="I769" s="66"/>
      <c r="J769" s="66"/>
      <c r="K769" s="66"/>
    </row>
    <row r="770" spans="2:11">
      <c r="B770" s="63"/>
      <c r="C770" s="64">
        <v>10</v>
      </c>
      <c r="D770" s="64">
        <v>10</v>
      </c>
      <c r="E770" s="64">
        <f t="shared" si="23"/>
        <v>180</v>
      </c>
      <c r="F770" s="65" t="s">
        <v>1192</v>
      </c>
      <c r="G770" s="63"/>
      <c r="H770" s="66"/>
      <c r="I770" s="66"/>
      <c r="J770" s="66"/>
      <c r="K770" s="66"/>
    </row>
    <row r="771" spans="2:11">
      <c r="B771" s="63"/>
      <c r="C771" s="64">
        <v>10</v>
      </c>
      <c r="D771" s="64">
        <v>10</v>
      </c>
      <c r="E771" s="64">
        <f t="shared" si="23"/>
        <v>190</v>
      </c>
      <c r="F771" s="65" t="s">
        <v>1193</v>
      </c>
      <c r="G771" s="63"/>
      <c r="H771" s="66"/>
      <c r="I771" s="66"/>
      <c r="J771" s="66"/>
      <c r="K771" s="66"/>
    </row>
    <row r="772" spans="2:11">
      <c r="B772" s="63"/>
      <c r="C772" s="64">
        <v>10</v>
      </c>
      <c r="D772" s="64">
        <v>10</v>
      </c>
      <c r="E772" s="64">
        <f t="shared" si="23"/>
        <v>200</v>
      </c>
      <c r="F772" s="65" t="s">
        <v>1194</v>
      </c>
      <c r="G772" s="63"/>
      <c r="H772" s="66"/>
      <c r="I772" s="66"/>
      <c r="J772" s="66"/>
      <c r="K772" s="66"/>
    </row>
    <row r="773" spans="2:11">
      <c r="B773" s="63"/>
      <c r="C773" s="64">
        <v>10</v>
      </c>
      <c r="D773" s="64">
        <v>10</v>
      </c>
      <c r="E773" s="64">
        <f t="shared" si="23"/>
        <v>210</v>
      </c>
      <c r="F773" s="65" t="s">
        <v>1195</v>
      </c>
      <c r="G773" s="63"/>
      <c r="H773" s="66"/>
      <c r="I773" s="66"/>
      <c r="J773" s="66"/>
      <c r="K773" s="66"/>
    </row>
    <row r="774" spans="2:11">
      <c r="B774" s="63"/>
      <c r="C774" s="64">
        <v>10</v>
      </c>
      <c r="D774" s="64">
        <v>10</v>
      </c>
      <c r="E774" s="64">
        <f t="shared" si="23"/>
        <v>220</v>
      </c>
      <c r="F774" s="65" t="s">
        <v>1932</v>
      </c>
      <c r="G774" s="63"/>
      <c r="H774" s="66"/>
      <c r="I774" s="66"/>
      <c r="J774" s="66"/>
      <c r="K774" s="66"/>
    </row>
    <row r="775" spans="2:11">
      <c r="B775" s="63"/>
      <c r="C775" s="64">
        <v>10</v>
      </c>
      <c r="D775" s="64">
        <v>10</v>
      </c>
      <c r="E775" s="64">
        <f t="shared" si="23"/>
        <v>230</v>
      </c>
      <c r="F775" s="65" t="s">
        <v>1933</v>
      </c>
      <c r="G775" s="63"/>
      <c r="H775" s="66"/>
      <c r="I775" s="66"/>
      <c r="J775" s="66"/>
      <c r="K775" s="66"/>
    </row>
    <row r="776" spans="2:11">
      <c r="B776" s="63"/>
      <c r="C776" s="64">
        <v>10</v>
      </c>
      <c r="D776" s="64">
        <v>10</v>
      </c>
      <c r="E776" s="64">
        <f t="shared" si="23"/>
        <v>240</v>
      </c>
      <c r="F776" s="65" t="s">
        <v>1934</v>
      </c>
      <c r="G776" s="63"/>
      <c r="H776" s="66"/>
      <c r="I776" s="66"/>
      <c r="J776" s="66"/>
      <c r="K776" s="66"/>
    </row>
    <row r="777" spans="2:11">
      <c r="B777" s="63"/>
      <c r="C777" s="64">
        <v>10</v>
      </c>
      <c r="D777" s="64">
        <v>10</v>
      </c>
      <c r="E777" s="64">
        <f t="shared" si="23"/>
        <v>250</v>
      </c>
      <c r="F777" s="65" t="s">
        <v>1104</v>
      </c>
      <c r="G777" s="63"/>
      <c r="H777" s="66"/>
      <c r="I777" s="66"/>
      <c r="J777" s="66"/>
      <c r="K777" s="66"/>
    </row>
    <row r="778" spans="2:11">
      <c r="B778" s="63"/>
      <c r="C778" s="64">
        <v>10</v>
      </c>
      <c r="D778" s="64">
        <v>10</v>
      </c>
      <c r="E778" s="64">
        <f t="shared" si="23"/>
        <v>260</v>
      </c>
      <c r="F778" s="65" t="s">
        <v>51</v>
      </c>
      <c r="G778" s="63"/>
      <c r="H778" s="66"/>
      <c r="I778" s="66"/>
      <c r="J778" s="66"/>
      <c r="K778" s="66"/>
    </row>
    <row r="779" spans="2:11">
      <c r="B779" s="63"/>
      <c r="C779" s="64">
        <v>10</v>
      </c>
      <c r="D779" s="64">
        <v>10</v>
      </c>
      <c r="E779" s="64">
        <f t="shared" si="23"/>
        <v>270</v>
      </c>
      <c r="F779" s="65" t="s">
        <v>52</v>
      </c>
      <c r="G779" s="63"/>
      <c r="H779" s="66"/>
      <c r="I779" s="66"/>
      <c r="J779" s="66"/>
      <c r="K779" s="66"/>
    </row>
    <row r="780" spans="2:11">
      <c r="B780" s="63"/>
      <c r="C780" s="64">
        <v>10</v>
      </c>
      <c r="D780" s="64">
        <v>10</v>
      </c>
      <c r="E780" s="64">
        <f t="shared" si="23"/>
        <v>280</v>
      </c>
      <c r="F780" s="65" t="s">
        <v>53</v>
      </c>
      <c r="G780" s="63"/>
      <c r="H780" s="66"/>
      <c r="I780" s="66"/>
      <c r="J780" s="66"/>
      <c r="K780" s="66"/>
    </row>
    <row r="781" spans="2:11">
      <c r="B781" s="63"/>
      <c r="C781" s="64">
        <v>10</v>
      </c>
      <c r="D781" s="64">
        <v>10</v>
      </c>
      <c r="E781" s="64">
        <f t="shared" si="23"/>
        <v>290</v>
      </c>
      <c r="F781" s="65" t="s">
        <v>1463</v>
      </c>
      <c r="G781" s="63"/>
      <c r="H781" s="66"/>
      <c r="I781" s="66"/>
      <c r="J781" s="66"/>
      <c r="K781" s="66"/>
    </row>
    <row r="782" spans="2:11">
      <c r="B782" s="63"/>
      <c r="C782" s="64">
        <v>10</v>
      </c>
      <c r="D782" s="64">
        <v>10</v>
      </c>
      <c r="E782" s="64">
        <f t="shared" si="23"/>
        <v>300</v>
      </c>
      <c r="F782" s="65" t="s">
        <v>1464</v>
      </c>
      <c r="G782" s="63"/>
      <c r="H782" s="66"/>
      <c r="I782" s="66"/>
      <c r="J782" s="66"/>
      <c r="K782" s="66"/>
    </row>
    <row r="783" spans="2:11">
      <c r="B783" s="63"/>
      <c r="C783" s="64">
        <v>10</v>
      </c>
      <c r="D783" s="64">
        <v>10</v>
      </c>
      <c r="E783" s="64">
        <f t="shared" si="23"/>
        <v>310</v>
      </c>
      <c r="F783" s="65" t="s">
        <v>1465</v>
      </c>
      <c r="G783" s="63"/>
      <c r="H783" s="66"/>
      <c r="I783" s="66"/>
      <c r="J783" s="66"/>
      <c r="K783" s="66"/>
    </row>
    <row r="784" spans="2:11">
      <c r="B784" s="63"/>
      <c r="C784" s="64">
        <v>10</v>
      </c>
      <c r="D784" s="64">
        <v>10</v>
      </c>
      <c r="E784" s="64">
        <f t="shared" si="23"/>
        <v>320</v>
      </c>
      <c r="F784" s="65" t="s">
        <v>1466</v>
      </c>
      <c r="G784" s="63"/>
      <c r="H784" s="66"/>
      <c r="I784" s="66"/>
      <c r="J784" s="66"/>
      <c r="K784" s="66"/>
    </row>
    <row r="785" spans="2:11">
      <c r="B785" s="63"/>
      <c r="C785" s="64">
        <v>10</v>
      </c>
      <c r="D785" s="64">
        <v>10</v>
      </c>
      <c r="E785" s="64">
        <f t="shared" si="23"/>
        <v>330</v>
      </c>
      <c r="F785" s="65" t="s">
        <v>1467</v>
      </c>
      <c r="G785" s="63"/>
      <c r="H785" s="66"/>
      <c r="I785" s="66"/>
      <c r="J785" s="66"/>
      <c r="K785" s="66"/>
    </row>
    <row r="786" spans="2:11">
      <c r="B786" s="63"/>
      <c r="C786" s="64"/>
      <c r="D786" s="64"/>
      <c r="E786" s="64"/>
      <c r="F786" s="65"/>
      <c r="G786" s="63"/>
      <c r="H786" s="66"/>
      <c r="I786" s="66"/>
      <c r="J786" s="66"/>
      <c r="K786" s="66"/>
    </row>
    <row r="787" spans="2:11">
      <c r="B787" s="63"/>
      <c r="C787" s="82">
        <v>10</v>
      </c>
      <c r="D787" s="82">
        <v>20</v>
      </c>
      <c r="E787" s="3349" t="s">
        <v>467</v>
      </c>
      <c r="F787" s="3349"/>
      <c r="G787" s="63"/>
      <c r="H787" s="66"/>
      <c r="I787" s="66"/>
      <c r="J787" s="66"/>
      <c r="K787" s="66"/>
    </row>
    <row r="788" spans="2:11" ht="6" customHeight="1">
      <c r="B788" s="63"/>
      <c r="C788" s="82"/>
      <c r="D788" s="82"/>
      <c r="E788" s="100"/>
      <c r="F788" s="100"/>
      <c r="G788" s="63"/>
      <c r="H788" s="66"/>
      <c r="I788" s="66"/>
      <c r="J788" s="66"/>
      <c r="K788" s="66"/>
    </row>
    <row r="789" spans="2:11">
      <c r="B789" s="63"/>
      <c r="C789" s="64">
        <v>10</v>
      </c>
      <c r="D789" s="92">
        <v>20</v>
      </c>
      <c r="E789" s="64">
        <v>100</v>
      </c>
      <c r="F789" s="65" t="s">
        <v>1222</v>
      </c>
      <c r="G789" s="63"/>
      <c r="H789" s="66"/>
      <c r="I789" s="66"/>
      <c r="J789" s="66"/>
      <c r="K789" s="66"/>
    </row>
    <row r="790" spans="2:11">
      <c r="B790" s="63"/>
      <c r="C790" s="64">
        <v>10</v>
      </c>
      <c r="D790" s="92">
        <v>20</v>
      </c>
      <c r="E790" s="64">
        <f t="shared" ref="E790:E820" si="24">E789+10</f>
        <v>110</v>
      </c>
      <c r="F790" s="65" t="s">
        <v>1223</v>
      </c>
      <c r="G790" s="63"/>
      <c r="H790" s="66"/>
      <c r="I790" s="66"/>
      <c r="J790" s="66"/>
      <c r="K790" s="66"/>
    </row>
    <row r="791" spans="2:11">
      <c r="B791" s="63"/>
      <c r="C791" s="64">
        <v>10</v>
      </c>
      <c r="D791" s="92">
        <v>20</v>
      </c>
      <c r="E791" s="64">
        <f t="shared" si="24"/>
        <v>120</v>
      </c>
      <c r="F791" s="65" t="s">
        <v>1681</v>
      </c>
      <c r="G791" s="63"/>
      <c r="H791" s="66"/>
      <c r="I791" s="66"/>
      <c r="J791" s="66"/>
      <c r="K791" s="66"/>
    </row>
    <row r="792" spans="2:11">
      <c r="B792" s="63"/>
      <c r="C792" s="64">
        <v>10</v>
      </c>
      <c r="D792" s="92">
        <v>20</v>
      </c>
      <c r="E792" s="64">
        <f t="shared" si="24"/>
        <v>130</v>
      </c>
      <c r="F792" s="65" t="s">
        <v>1224</v>
      </c>
      <c r="G792" s="63"/>
      <c r="H792" s="66"/>
      <c r="I792" s="66"/>
      <c r="J792" s="66"/>
      <c r="K792" s="66"/>
    </row>
    <row r="793" spans="2:11">
      <c r="B793" s="63"/>
      <c r="C793" s="64">
        <v>10</v>
      </c>
      <c r="D793" s="92">
        <v>20</v>
      </c>
      <c r="E793" s="64">
        <f t="shared" si="24"/>
        <v>140</v>
      </c>
      <c r="F793" s="65" t="s">
        <v>1626</v>
      </c>
      <c r="G793" s="63"/>
      <c r="H793" s="66"/>
      <c r="I793" s="66"/>
      <c r="J793" s="66"/>
      <c r="K793" s="66"/>
    </row>
    <row r="794" spans="2:11">
      <c r="B794" s="63"/>
      <c r="C794" s="64">
        <v>10</v>
      </c>
      <c r="D794" s="92">
        <v>20</v>
      </c>
      <c r="E794" s="64">
        <f t="shared" si="24"/>
        <v>150</v>
      </c>
      <c r="F794" s="65" t="s">
        <v>1627</v>
      </c>
      <c r="G794" s="63"/>
      <c r="H794" s="66"/>
      <c r="I794" s="66"/>
      <c r="J794" s="66"/>
      <c r="K794" s="66"/>
    </row>
    <row r="795" spans="2:11">
      <c r="B795" s="63"/>
      <c r="C795" s="64">
        <v>10</v>
      </c>
      <c r="D795" s="92">
        <v>20</v>
      </c>
      <c r="E795" s="64">
        <f t="shared" si="24"/>
        <v>160</v>
      </c>
      <c r="F795" s="65" t="s">
        <v>1628</v>
      </c>
      <c r="G795" s="63"/>
      <c r="H795" s="66"/>
      <c r="I795" s="66"/>
      <c r="J795" s="66"/>
      <c r="K795" s="66"/>
    </row>
    <row r="796" spans="2:11">
      <c r="B796" s="63"/>
      <c r="C796" s="64">
        <v>10</v>
      </c>
      <c r="D796" s="92">
        <v>20</v>
      </c>
      <c r="E796" s="64">
        <f t="shared" si="24"/>
        <v>170</v>
      </c>
      <c r="F796" s="65" t="s">
        <v>1629</v>
      </c>
      <c r="G796" s="63"/>
      <c r="H796" s="66"/>
      <c r="I796" s="66"/>
      <c r="J796" s="66"/>
      <c r="K796" s="66"/>
    </row>
    <row r="797" spans="2:11">
      <c r="B797" s="63"/>
      <c r="C797" s="64">
        <v>10</v>
      </c>
      <c r="D797" s="92">
        <v>20</v>
      </c>
      <c r="E797" s="64">
        <f t="shared" si="24"/>
        <v>180</v>
      </c>
      <c r="F797" s="65" t="s">
        <v>1890</v>
      </c>
      <c r="G797" s="63"/>
      <c r="H797" s="66"/>
      <c r="I797" s="66"/>
      <c r="J797" s="66"/>
      <c r="K797" s="66"/>
    </row>
    <row r="798" spans="2:11">
      <c r="B798" s="63"/>
      <c r="C798" s="64">
        <v>10</v>
      </c>
      <c r="D798" s="92">
        <v>20</v>
      </c>
      <c r="E798" s="64">
        <f t="shared" si="24"/>
        <v>190</v>
      </c>
      <c r="F798" s="65" t="s">
        <v>1891</v>
      </c>
      <c r="G798" s="63"/>
      <c r="H798" s="66"/>
      <c r="I798" s="66"/>
      <c r="J798" s="66"/>
      <c r="K798" s="66"/>
    </row>
    <row r="799" spans="2:11">
      <c r="B799" s="63"/>
      <c r="C799" s="64">
        <v>10</v>
      </c>
      <c r="D799" s="92">
        <v>20</v>
      </c>
      <c r="E799" s="64">
        <f t="shared" si="24"/>
        <v>200</v>
      </c>
      <c r="F799" s="65" t="s">
        <v>2177</v>
      </c>
      <c r="G799" s="63"/>
      <c r="H799" s="66"/>
      <c r="I799" s="66"/>
      <c r="J799" s="66"/>
      <c r="K799" s="66"/>
    </row>
    <row r="800" spans="2:11">
      <c r="B800" s="63"/>
      <c r="C800" s="64">
        <v>10</v>
      </c>
      <c r="D800" s="92">
        <v>20</v>
      </c>
      <c r="E800" s="64">
        <f t="shared" si="24"/>
        <v>210</v>
      </c>
      <c r="F800" s="65" t="s">
        <v>2178</v>
      </c>
      <c r="G800" s="63"/>
      <c r="H800" s="66"/>
      <c r="I800" s="66"/>
      <c r="J800" s="66"/>
      <c r="K800" s="66"/>
    </row>
    <row r="801" spans="2:11">
      <c r="B801" s="63"/>
      <c r="C801" s="64">
        <v>10</v>
      </c>
      <c r="D801" s="92">
        <v>20</v>
      </c>
      <c r="E801" s="64">
        <f t="shared" si="24"/>
        <v>220</v>
      </c>
      <c r="F801" s="65" t="s">
        <v>2179</v>
      </c>
      <c r="G801" s="63"/>
      <c r="H801" s="66"/>
      <c r="I801" s="66"/>
      <c r="J801" s="66"/>
      <c r="K801" s="66"/>
    </row>
    <row r="802" spans="2:11">
      <c r="B802" s="63"/>
      <c r="C802" s="64">
        <v>10</v>
      </c>
      <c r="D802" s="92">
        <v>20</v>
      </c>
      <c r="E802" s="64">
        <f t="shared" si="24"/>
        <v>230</v>
      </c>
      <c r="F802" s="65" t="s">
        <v>1003</v>
      </c>
      <c r="G802" s="63"/>
      <c r="H802" s="66"/>
      <c r="I802" s="66"/>
      <c r="J802" s="66"/>
      <c r="K802" s="66"/>
    </row>
    <row r="803" spans="2:11">
      <c r="B803" s="63"/>
      <c r="C803" s="64">
        <v>10</v>
      </c>
      <c r="D803" s="92">
        <v>20</v>
      </c>
      <c r="E803" s="64">
        <f t="shared" si="24"/>
        <v>240</v>
      </c>
      <c r="F803" s="65" t="s">
        <v>283</v>
      </c>
      <c r="G803" s="63"/>
      <c r="H803" s="66"/>
      <c r="I803" s="66"/>
      <c r="J803" s="66"/>
      <c r="K803" s="66"/>
    </row>
    <row r="804" spans="2:11">
      <c r="B804" s="63"/>
      <c r="C804" s="64">
        <v>10</v>
      </c>
      <c r="D804" s="92">
        <v>20</v>
      </c>
      <c r="E804" s="64">
        <f t="shared" si="24"/>
        <v>250</v>
      </c>
      <c r="F804" s="65" t="s">
        <v>1004</v>
      </c>
      <c r="G804" s="63"/>
      <c r="H804" s="66"/>
      <c r="I804" s="66"/>
      <c r="J804" s="66"/>
      <c r="K804" s="66"/>
    </row>
    <row r="805" spans="2:11">
      <c r="B805" s="63"/>
      <c r="C805" s="64">
        <v>10</v>
      </c>
      <c r="D805" s="92">
        <v>20</v>
      </c>
      <c r="E805" s="64">
        <f t="shared" si="24"/>
        <v>260</v>
      </c>
      <c r="F805" s="65" t="s">
        <v>1005</v>
      </c>
      <c r="G805" s="63"/>
      <c r="H805" s="66"/>
      <c r="I805" s="66"/>
      <c r="J805" s="66"/>
      <c r="K805" s="66"/>
    </row>
    <row r="806" spans="2:11">
      <c r="B806" s="63"/>
      <c r="C806" s="64">
        <v>10</v>
      </c>
      <c r="D806" s="92">
        <v>20</v>
      </c>
      <c r="E806" s="64">
        <f t="shared" si="24"/>
        <v>270</v>
      </c>
      <c r="F806" s="65" t="s">
        <v>1006</v>
      </c>
      <c r="G806" s="63"/>
      <c r="H806" s="66"/>
      <c r="I806" s="66"/>
      <c r="J806" s="66"/>
      <c r="K806" s="66"/>
    </row>
    <row r="807" spans="2:11">
      <c r="B807" s="63"/>
      <c r="C807" s="64">
        <v>10</v>
      </c>
      <c r="D807" s="92">
        <v>20</v>
      </c>
      <c r="E807" s="64">
        <f t="shared" si="24"/>
        <v>280</v>
      </c>
      <c r="F807" s="65" t="s">
        <v>1133</v>
      </c>
      <c r="G807" s="63"/>
      <c r="H807" s="66"/>
      <c r="I807" s="66"/>
      <c r="J807" s="66"/>
      <c r="K807" s="66"/>
    </row>
    <row r="808" spans="2:11">
      <c r="B808" s="63"/>
      <c r="C808" s="64">
        <v>10</v>
      </c>
      <c r="D808" s="92">
        <v>20</v>
      </c>
      <c r="E808" s="64">
        <f t="shared" si="24"/>
        <v>290</v>
      </c>
      <c r="F808" s="65" t="s">
        <v>1850</v>
      </c>
      <c r="G808" s="63"/>
      <c r="H808" s="66"/>
      <c r="I808" s="66"/>
      <c r="J808" s="66"/>
      <c r="K808" s="66"/>
    </row>
    <row r="809" spans="2:11">
      <c r="B809" s="63"/>
      <c r="C809" s="64">
        <v>10</v>
      </c>
      <c r="D809" s="92">
        <v>20</v>
      </c>
      <c r="E809" s="64">
        <f t="shared" si="24"/>
        <v>300</v>
      </c>
      <c r="F809" s="65" t="s">
        <v>1849</v>
      </c>
      <c r="G809" s="63"/>
      <c r="H809" s="66"/>
      <c r="I809" s="66"/>
      <c r="J809" s="66"/>
      <c r="K809" s="66"/>
    </row>
    <row r="810" spans="2:11">
      <c r="B810" s="63"/>
      <c r="C810" s="64">
        <v>10</v>
      </c>
      <c r="D810" s="92">
        <v>20</v>
      </c>
      <c r="E810" s="64">
        <f t="shared" si="24"/>
        <v>310</v>
      </c>
      <c r="F810" s="65" t="s">
        <v>1134</v>
      </c>
      <c r="G810" s="63"/>
      <c r="H810" s="66"/>
      <c r="I810" s="66"/>
      <c r="J810" s="66"/>
      <c r="K810" s="66"/>
    </row>
    <row r="811" spans="2:11">
      <c r="B811" s="63"/>
      <c r="C811" s="64">
        <v>10</v>
      </c>
      <c r="D811" s="92">
        <v>20</v>
      </c>
      <c r="E811" s="64">
        <f t="shared" si="24"/>
        <v>320</v>
      </c>
      <c r="F811" s="65" t="s">
        <v>1680</v>
      </c>
      <c r="G811" s="63"/>
      <c r="H811" s="66"/>
      <c r="I811" s="66"/>
      <c r="J811" s="66"/>
      <c r="K811" s="66"/>
    </row>
    <row r="812" spans="2:11">
      <c r="B812" s="63"/>
      <c r="C812" s="64">
        <v>10</v>
      </c>
      <c r="D812" s="92">
        <v>20</v>
      </c>
      <c r="E812" s="64">
        <f t="shared" si="24"/>
        <v>330</v>
      </c>
      <c r="F812" s="65" t="s">
        <v>1135</v>
      </c>
      <c r="G812" s="63"/>
      <c r="H812" s="66"/>
      <c r="I812" s="66"/>
      <c r="J812" s="66"/>
      <c r="K812" s="66"/>
    </row>
    <row r="813" spans="2:11">
      <c r="B813" s="63"/>
      <c r="C813" s="64">
        <v>10</v>
      </c>
      <c r="D813" s="92">
        <v>20</v>
      </c>
      <c r="E813" s="64">
        <f t="shared" si="24"/>
        <v>340</v>
      </c>
      <c r="F813" s="65" t="s">
        <v>1136</v>
      </c>
      <c r="G813" s="63"/>
      <c r="H813" s="66"/>
      <c r="I813" s="66"/>
      <c r="J813" s="66"/>
      <c r="K813" s="66"/>
    </row>
    <row r="814" spans="2:11">
      <c r="B814" s="63"/>
      <c r="C814" s="64">
        <v>10</v>
      </c>
      <c r="D814" s="92">
        <v>20</v>
      </c>
      <c r="E814" s="64">
        <f t="shared" si="24"/>
        <v>350</v>
      </c>
      <c r="F814" s="65" t="s">
        <v>1137</v>
      </c>
      <c r="G814" s="63"/>
      <c r="H814" s="66"/>
      <c r="I814" s="66"/>
      <c r="J814" s="66"/>
      <c r="K814" s="66"/>
    </row>
    <row r="815" spans="2:11">
      <c r="B815" s="63"/>
      <c r="C815" s="64">
        <v>10</v>
      </c>
      <c r="D815" s="92">
        <v>20</v>
      </c>
      <c r="E815" s="64">
        <f t="shared" si="24"/>
        <v>360</v>
      </c>
      <c r="F815" s="65" t="s">
        <v>1138</v>
      </c>
      <c r="G815" s="63"/>
      <c r="H815" s="66"/>
      <c r="I815" s="66"/>
      <c r="J815" s="66"/>
      <c r="K815" s="66"/>
    </row>
    <row r="816" spans="2:11">
      <c r="B816" s="63"/>
      <c r="C816" s="64">
        <v>10</v>
      </c>
      <c r="D816" s="92">
        <v>20</v>
      </c>
      <c r="E816" s="64">
        <f t="shared" si="24"/>
        <v>370</v>
      </c>
      <c r="F816" s="65" t="s">
        <v>1139</v>
      </c>
      <c r="G816" s="63"/>
      <c r="H816" s="66"/>
      <c r="I816" s="66"/>
      <c r="J816" s="66"/>
      <c r="K816" s="66"/>
    </row>
    <row r="817" spans="2:11">
      <c r="B817" s="63"/>
      <c r="C817" s="64">
        <v>10</v>
      </c>
      <c r="D817" s="92">
        <v>20</v>
      </c>
      <c r="E817" s="64">
        <f t="shared" si="24"/>
        <v>380</v>
      </c>
      <c r="F817" s="65" t="s">
        <v>1140</v>
      </c>
      <c r="G817" s="63"/>
      <c r="H817" s="66"/>
      <c r="I817" s="66"/>
      <c r="J817" s="66"/>
      <c r="K817" s="66"/>
    </row>
    <row r="818" spans="2:11">
      <c r="B818" s="63"/>
      <c r="C818" s="64">
        <v>10</v>
      </c>
      <c r="D818" s="92">
        <v>20</v>
      </c>
      <c r="E818" s="64">
        <f t="shared" si="24"/>
        <v>390</v>
      </c>
      <c r="F818" s="65" t="s">
        <v>1141</v>
      </c>
      <c r="G818" s="63"/>
      <c r="H818" s="66"/>
      <c r="I818" s="66"/>
      <c r="J818" s="66"/>
      <c r="K818" s="66"/>
    </row>
    <row r="819" spans="2:11">
      <c r="B819" s="63"/>
      <c r="C819" s="64">
        <v>10</v>
      </c>
      <c r="D819" s="92">
        <v>20</v>
      </c>
      <c r="E819" s="64">
        <f t="shared" si="24"/>
        <v>400</v>
      </c>
      <c r="F819" s="65" t="s">
        <v>1142</v>
      </c>
      <c r="G819" s="63"/>
      <c r="H819" s="66"/>
      <c r="I819" s="66"/>
      <c r="J819" s="66"/>
      <c r="K819" s="66"/>
    </row>
    <row r="820" spans="2:11">
      <c r="B820" s="63"/>
      <c r="C820" s="64">
        <v>10</v>
      </c>
      <c r="D820" s="92">
        <v>20</v>
      </c>
      <c r="E820" s="64">
        <f t="shared" si="24"/>
        <v>410</v>
      </c>
      <c r="F820" s="65" t="s">
        <v>2101</v>
      </c>
      <c r="G820" s="63"/>
      <c r="H820" s="66"/>
      <c r="I820" s="66"/>
      <c r="J820" s="66"/>
      <c r="K820" s="66"/>
    </row>
    <row r="821" spans="2:11">
      <c r="B821" s="63"/>
      <c r="C821" s="64"/>
      <c r="D821" s="92"/>
      <c r="E821" s="64"/>
      <c r="F821" s="65"/>
      <c r="G821" s="63"/>
      <c r="H821" s="66"/>
      <c r="I821" s="66"/>
      <c r="J821" s="66"/>
      <c r="K821" s="66"/>
    </row>
    <row r="822" spans="2:11">
      <c r="B822" s="63"/>
      <c r="C822" s="82">
        <v>10</v>
      </c>
      <c r="D822" s="82">
        <v>30</v>
      </c>
      <c r="E822" s="3349"/>
      <c r="F822" s="3349"/>
      <c r="G822" s="63"/>
      <c r="H822" s="66"/>
      <c r="I822" s="66"/>
      <c r="J822" s="66"/>
      <c r="K822" s="66"/>
    </row>
    <row r="823" spans="2:11" ht="6" customHeight="1">
      <c r="B823" s="63"/>
      <c r="C823" s="82"/>
      <c r="D823" s="82"/>
      <c r="E823" s="100"/>
      <c r="F823" s="100"/>
      <c r="G823" s="63"/>
      <c r="H823" s="66"/>
      <c r="I823" s="66"/>
      <c r="J823" s="66"/>
      <c r="K823" s="66"/>
    </row>
    <row r="824" spans="2:11">
      <c r="B824" s="63"/>
      <c r="C824" s="82"/>
      <c r="D824" s="82"/>
      <c r="E824" s="100"/>
      <c r="F824" s="100"/>
      <c r="G824" s="63"/>
      <c r="H824" s="66"/>
      <c r="I824" s="66"/>
      <c r="J824" s="66"/>
      <c r="K824" s="66"/>
    </row>
    <row r="825" spans="2:11">
      <c r="B825" s="63"/>
      <c r="C825" s="82">
        <v>10</v>
      </c>
      <c r="D825" s="82">
        <v>40</v>
      </c>
      <c r="E825" s="3349" t="s">
        <v>1503</v>
      </c>
      <c r="F825" s="3349"/>
      <c r="G825" s="63"/>
      <c r="H825" s="66"/>
      <c r="I825" s="66"/>
      <c r="J825" s="66"/>
      <c r="K825" s="66"/>
    </row>
    <row r="826" spans="2:11" ht="6" customHeight="1">
      <c r="B826" s="63"/>
      <c r="C826" s="82"/>
      <c r="D826" s="82"/>
      <c r="E826" s="100"/>
      <c r="F826" s="100"/>
      <c r="G826" s="63"/>
      <c r="H826" s="66"/>
      <c r="I826" s="66"/>
      <c r="J826" s="66"/>
      <c r="K826" s="66"/>
    </row>
    <row r="827" spans="2:11">
      <c r="B827" s="63"/>
      <c r="C827" s="64">
        <v>10</v>
      </c>
      <c r="D827" s="64">
        <v>40</v>
      </c>
      <c r="E827" s="64">
        <v>100</v>
      </c>
      <c r="F827" s="65" t="s">
        <v>2087</v>
      </c>
      <c r="G827" s="63"/>
      <c r="H827" s="66"/>
      <c r="I827" s="66"/>
      <c r="J827" s="66"/>
      <c r="K827" s="66"/>
    </row>
    <row r="828" spans="2:11">
      <c r="B828" s="63"/>
      <c r="C828" s="64">
        <v>10</v>
      </c>
      <c r="D828" s="64">
        <v>40</v>
      </c>
      <c r="E828" s="64">
        <f t="shared" ref="E828:E839" si="25">E827+10</f>
        <v>110</v>
      </c>
      <c r="F828" s="65" t="s">
        <v>589</v>
      </c>
      <c r="G828" s="63"/>
      <c r="H828" s="66"/>
      <c r="I828" s="66"/>
      <c r="J828" s="66"/>
      <c r="K828" s="66"/>
    </row>
    <row r="829" spans="2:11">
      <c r="B829" s="63"/>
      <c r="C829" s="64">
        <v>10</v>
      </c>
      <c r="D829" s="64">
        <v>40</v>
      </c>
      <c r="E829" s="64">
        <f t="shared" si="25"/>
        <v>120</v>
      </c>
      <c r="F829" s="65" t="s">
        <v>590</v>
      </c>
      <c r="G829" s="63"/>
      <c r="H829" s="66"/>
      <c r="I829" s="66"/>
      <c r="J829" s="66"/>
      <c r="K829" s="66"/>
    </row>
    <row r="830" spans="2:11">
      <c r="B830" s="63"/>
      <c r="C830" s="64">
        <v>10</v>
      </c>
      <c r="D830" s="64">
        <v>40</v>
      </c>
      <c r="E830" s="64">
        <f t="shared" si="25"/>
        <v>130</v>
      </c>
      <c r="F830" s="65" t="s">
        <v>2088</v>
      </c>
      <c r="G830" s="63"/>
      <c r="H830" s="66"/>
      <c r="I830" s="66"/>
      <c r="J830" s="66"/>
      <c r="K830" s="66"/>
    </row>
    <row r="831" spans="2:11">
      <c r="B831" s="63"/>
      <c r="C831" s="64">
        <v>10</v>
      </c>
      <c r="D831" s="64">
        <v>40</v>
      </c>
      <c r="E831" s="64">
        <f t="shared" si="25"/>
        <v>140</v>
      </c>
      <c r="F831" s="65" t="s">
        <v>383</v>
      </c>
      <c r="G831" s="63"/>
      <c r="H831" s="66"/>
      <c r="I831" s="66"/>
      <c r="J831" s="66"/>
      <c r="K831" s="66"/>
    </row>
    <row r="832" spans="2:11">
      <c r="B832" s="63"/>
      <c r="C832" s="64">
        <v>10</v>
      </c>
      <c r="D832" s="64">
        <v>40</v>
      </c>
      <c r="E832" s="64">
        <f t="shared" si="25"/>
        <v>150</v>
      </c>
      <c r="F832" s="65" t="s">
        <v>1988</v>
      </c>
      <c r="G832" s="63"/>
      <c r="H832" s="66"/>
      <c r="I832" s="66"/>
      <c r="J832" s="66"/>
      <c r="K832" s="66"/>
    </row>
    <row r="833" spans="2:11">
      <c r="B833" s="63"/>
      <c r="C833" s="64">
        <v>10</v>
      </c>
      <c r="D833" s="64">
        <v>40</v>
      </c>
      <c r="E833" s="64">
        <f t="shared" si="25"/>
        <v>160</v>
      </c>
      <c r="F833" s="65" t="s">
        <v>1989</v>
      </c>
      <c r="G833" s="63"/>
      <c r="H833" s="66"/>
      <c r="I833" s="66"/>
      <c r="J833" s="66"/>
      <c r="K833" s="66"/>
    </row>
    <row r="834" spans="2:11">
      <c r="B834" s="63"/>
      <c r="C834" s="64">
        <v>10</v>
      </c>
      <c r="D834" s="64">
        <v>40</v>
      </c>
      <c r="E834" s="64">
        <f t="shared" si="25"/>
        <v>170</v>
      </c>
      <c r="F834" s="65" t="s">
        <v>1990</v>
      </c>
      <c r="G834" s="63"/>
      <c r="H834" s="66"/>
      <c r="I834" s="66"/>
      <c r="J834" s="66"/>
      <c r="K834" s="66"/>
    </row>
    <row r="835" spans="2:11">
      <c r="B835" s="63"/>
      <c r="C835" s="64">
        <v>10</v>
      </c>
      <c r="D835" s="64">
        <v>40</v>
      </c>
      <c r="E835" s="64">
        <f t="shared" si="25"/>
        <v>180</v>
      </c>
      <c r="F835" s="65" t="s">
        <v>591</v>
      </c>
      <c r="G835" s="63"/>
      <c r="H835" s="66"/>
      <c r="I835" s="66"/>
      <c r="J835" s="66"/>
      <c r="K835" s="66"/>
    </row>
    <row r="836" spans="2:11">
      <c r="B836" s="63"/>
      <c r="C836" s="64">
        <v>10</v>
      </c>
      <c r="D836" s="64">
        <v>40</v>
      </c>
      <c r="E836" s="64">
        <f t="shared" si="25"/>
        <v>190</v>
      </c>
      <c r="F836" s="65" t="s">
        <v>1715</v>
      </c>
      <c r="G836" s="63"/>
      <c r="H836" s="66"/>
      <c r="I836" s="66"/>
      <c r="J836" s="66"/>
      <c r="K836" s="66"/>
    </row>
    <row r="837" spans="2:11">
      <c r="B837" s="63"/>
      <c r="C837" s="64">
        <v>10</v>
      </c>
      <c r="D837" s="64">
        <v>40</v>
      </c>
      <c r="E837" s="64">
        <f t="shared" si="25"/>
        <v>200</v>
      </c>
      <c r="F837" s="65" t="s">
        <v>757</v>
      </c>
      <c r="G837" s="63"/>
      <c r="H837" s="66"/>
      <c r="I837" s="66"/>
      <c r="J837" s="66"/>
      <c r="K837" s="66"/>
    </row>
    <row r="838" spans="2:11">
      <c r="B838" s="63"/>
      <c r="C838" s="64">
        <v>10</v>
      </c>
      <c r="D838" s="64">
        <v>40</v>
      </c>
      <c r="E838" s="64">
        <f t="shared" si="25"/>
        <v>210</v>
      </c>
      <c r="F838" s="65" t="s">
        <v>1716</v>
      </c>
      <c r="G838" s="63"/>
      <c r="H838" s="66"/>
      <c r="I838" s="66"/>
      <c r="J838" s="66"/>
      <c r="K838" s="66"/>
    </row>
    <row r="839" spans="2:11">
      <c r="B839" s="63"/>
      <c r="C839" s="64">
        <v>10</v>
      </c>
      <c r="D839" s="64">
        <v>40</v>
      </c>
      <c r="E839" s="64">
        <f t="shared" si="25"/>
        <v>220</v>
      </c>
      <c r="F839" s="65" t="s">
        <v>592</v>
      </c>
      <c r="G839" s="63"/>
      <c r="H839" s="66"/>
      <c r="I839" s="66"/>
      <c r="J839" s="66"/>
      <c r="K839" s="66"/>
    </row>
    <row r="840" spans="2:11">
      <c r="B840" s="63"/>
      <c r="C840" s="64"/>
      <c r="D840" s="64"/>
      <c r="E840" s="64"/>
      <c r="F840" s="65"/>
      <c r="G840" s="63"/>
      <c r="H840" s="66"/>
      <c r="I840" s="66"/>
      <c r="J840" s="66"/>
      <c r="K840" s="66"/>
    </row>
    <row r="841" spans="2:11">
      <c r="B841" s="63"/>
      <c r="C841" s="82">
        <v>10</v>
      </c>
      <c r="D841" s="82">
        <v>50</v>
      </c>
      <c r="E841" s="3349" t="s">
        <v>1717</v>
      </c>
      <c r="F841" s="3349"/>
      <c r="G841" s="63"/>
      <c r="H841" s="66"/>
      <c r="I841" s="66"/>
      <c r="J841" s="66"/>
      <c r="K841" s="66"/>
    </row>
    <row r="842" spans="2:11" ht="6" customHeight="1">
      <c r="B842" s="63"/>
      <c r="C842" s="82"/>
      <c r="D842" s="82"/>
      <c r="E842" s="100"/>
      <c r="F842" s="100"/>
      <c r="G842" s="63"/>
      <c r="H842" s="66"/>
      <c r="I842" s="66"/>
      <c r="J842" s="66"/>
      <c r="K842" s="66"/>
    </row>
    <row r="843" spans="2:11">
      <c r="B843" s="63"/>
      <c r="C843" s="64">
        <v>10</v>
      </c>
      <c r="D843" s="92">
        <v>50</v>
      </c>
      <c r="E843" s="64">
        <v>100</v>
      </c>
      <c r="F843" s="65" t="s">
        <v>485</v>
      </c>
      <c r="G843" s="63"/>
      <c r="H843" s="66"/>
      <c r="I843" s="66"/>
      <c r="J843" s="66"/>
      <c r="K843" s="66"/>
    </row>
    <row r="844" spans="2:11">
      <c r="B844" s="63"/>
      <c r="C844" s="64">
        <v>10</v>
      </c>
      <c r="D844" s="92">
        <v>50</v>
      </c>
      <c r="E844" s="64">
        <f>E843+10</f>
        <v>110</v>
      </c>
      <c r="F844" s="65" t="s">
        <v>381</v>
      </c>
      <c r="G844" s="63"/>
      <c r="H844" s="66"/>
      <c r="I844" s="66"/>
      <c r="J844" s="66"/>
      <c r="K844" s="66"/>
    </row>
    <row r="845" spans="2:11">
      <c r="B845" s="63"/>
      <c r="C845" s="64">
        <v>10</v>
      </c>
      <c r="D845" s="92">
        <v>50</v>
      </c>
      <c r="E845" s="64">
        <f>E844+10</f>
        <v>120</v>
      </c>
      <c r="F845" s="65" t="s">
        <v>382</v>
      </c>
      <c r="G845" s="63"/>
      <c r="H845" s="66"/>
      <c r="I845" s="66"/>
      <c r="J845" s="66"/>
      <c r="K845" s="66"/>
    </row>
    <row r="846" spans="2:11">
      <c r="B846" s="63"/>
      <c r="C846" s="64">
        <v>10</v>
      </c>
      <c r="D846" s="92">
        <v>50</v>
      </c>
      <c r="E846" s="64">
        <f>E845+10</f>
        <v>130</v>
      </c>
      <c r="F846" s="65" t="s">
        <v>1718</v>
      </c>
      <c r="G846" s="63"/>
      <c r="H846" s="66"/>
      <c r="I846" s="66"/>
      <c r="J846" s="66"/>
      <c r="K846" s="66"/>
    </row>
    <row r="847" spans="2:11">
      <c r="B847" s="63"/>
      <c r="C847" s="64"/>
      <c r="D847" s="92"/>
      <c r="E847" s="64"/>
      <c r="F847" s="65"/>
      <c r="G847" s="63"/>
      <c r="H847" s="66"/>
      <c r="I847" s="66"/>
      <c r="J847" s="66"/>
      <c r="K847" s="66"/>
    </row>
    <row r="848" spans="2:11">
      <c r="B848" s="63"/>
      <c r="C848" s="81">
        <v>10</v>
      </c>
      <c r="D848" s="82">
        <v>60</v>
      </c>
      <c r="E848" s="3349" t="s">
        <v>508</v>
      </c>
      <c r="F848" s="3349"/>
      <c r="G848" s="63"/>
      <c r="H848" s="66"/>
      <c r="I848" s="66"/>
      <c r="J848" s="66"/>
      <c r="K848" s="66"/>
    </row>
    <row r="849" spans="2:11" ht="6" customHeight="1">
      <c r="B849" s="63"/>
      <c r="C849" s="64"/>
      <c r="D849" s="64"/>
      <c r="E849" s="63"/>
      <c r="F849" s="65"/>
      <c r="G849" s="63"/>
      <c r="H849" s="66"/>
      <c r="I849" s="66"/>
      <c r="J849" s="66"/>
      <c r="K849" s="66"/>
    </row>
    <row r="850" spans="2:11">
      <c r="B850" s="63"/>
      <c r="C850" s="64">
        <v>10</v>
      </c>
      <c r="D850" s="64">
        <v>60</v>
      </c>
      <c r="E850" s="64">
        <v>100</v>
      </c>
      <c r="F850" s="65" t="s">
        <v>2034</v>
      </c>
      <c r="G850" s="63"/>
      <c r="H850" s="66"/>
      <c r="I850" s="66"/>
      <c r="J850" s="66"/>
      <c r="K850" s="66"/>
    </row>
    <row r="851" spans="2:11">
      <c r="B851" s="63"/>
      <c r="C851" s="64"/>
      <c r="D851" s="63"/>
      <c r="E851" s="64"/>
      <c r="F851" s="65"/>
      <c r="G851" s="63"/>
      <c r="H851" s="66"/>
      <c r="I851" s="66"/>
      <c r="J851" s="66"/>
      <c r="K851" s="66"/>
    </row>
    <row r="852" spans="2:11" ht="15.6">
      <c r="B852" s="63"/>
      <c r="C852" s="99">
        <v>11</v>
      </c>
      <c r="D852" s="3351" t="s">
        <v>509</v>
      </c>
      <c r="E852" s="3351"/>
      <c r="F852" s="3351"/>
      <c r="G852" s="63"/>
      <c r="H852" s="66"/>
      <c r="I852" s="66"/>
      <c r="J852" s="66"/>
      <c r="K852" s="66"/>
    </row>
    <row r="853" spans="2:11" ht="6" customHeight="1">
      <c r="B853" s="63"/>
      <c r="C853" s="99"/>
      <c r="D853" s="101"/>
      <c r="E853" s="101"/>
      <c r="F853" s="101"/>
      <c r="G853" s="63"/>
      <c r="H853" s="66"/>
      <c r="I853" s="66"/>
      <c r="J853" s="66"/>
      <c r="K853" s="66"/>
    </row>
    <row r="854" spans="2:11">
      <c r="B854" s="63"/>
      <c r="C854" s="81">
        <v>11</v>
      </c>
      <c r="D854" s="82">
        <v>10</v>
      </c>
      <c r="E854" s="3349" t="s">
        <v>510</v>
      </c>
      <c r="F854" s="3349"/>
      <c r="G854" s="63"/>
      <c r="H854" s="66"/>
      <c r="I854" s="66"/>
      <c r="J854" s="66"/>
      <c r="K854" s="66"/>
    </row>
    <row r="855" spans="2:11" ht="6" customHeight="1">
      <c r="B855" s="63"/>
      <c r="C855" s="81"/>
      <c r="D855" s="82"/>
      <c r="E855" s="100"/>
      <c r="F855" s="100"/>
      <c r="G855" s="63"/>
      <c r="H855" s="66"/>
      <c r="I855" s="66"/>
      <c r="J855" s="66"/>
      <c r="K855" s="66"/>
    </row>
    <row r="856" spans="2:11">
      <c r="B856" s="63"/>
      <c r="C856" s="64">
        <v>11</v>
      </c>
      <c r="D856" s="64">
        <v>10</v>
      </c>
      <c r="E856" s="64">
        <v>100</v>
      </c>
      <c r="F856" s="65" t="s">
        <v>511</v>
      </c>
      <c r="G856" s="63"/>
      <c r="H856" s="66"/>
      <c r="I856" s="66"/>
      <c r="J856" s="66"/>
      <c r="K856" s="66"/>
    </row>
    <row r="857" spans="2:11">
      <c r="B857" s="63"/>
      <c r="C857" s="64">
        <v>11</v>
      </c>
      <c r="D857" s="64">
        <v>10</v>
      </c>
      <c r="E857" s="64">
        <v>150</v>
      </c>
      <c r="F857" s="65" t="s">
        <v>512</v>
      </c>
      <c r="G857" s="63"/>
      <c r="H857" s="66"/>
      <c r="I857" s="66"/>
      <c r="J857" s="66"/>
      <c r="K857" s="66"/>
    </row>
    <row r="858" spans="2:11">
      <c r="B858" s="63"/>
      <c r="C858" s="64">
        <v>11</v>
      </c>
      <c r="D858" s="64">
        <v>10</v>
      </c>
      <c r="E858" s="64">
        <v>200</v>
      </c>
      <c r="F858" s="65" t="s">
        <v>812</v>
      </c>
      <c r="G858" s="63"/>
      <c r="H858" s="66"/>
      <c r="I858" s="66"/>
      <c r="J858" s="66"/>
      <c r="K858" s="66"/>
    </row>
    <row r="859" spans="2:11">
      <c r="B859" s="63"/>
      <c r="C859" s="64">
        <v>11</v>
      </c>
      <c r="D859" s="64">
        <v>10</v>
      </c>
      <c r="E859" s="64">
        <v>300</v>
      </c>
      <c r="F859" s="65" t="s">
        <v>513</v>
      </c>
      <c r="G859" s="63"/>
      <c r="H859" s="66"/>
      <c r="I859" s="66"/>
      <c r="J859" s="66"/>
      <c r="K859" s="66"/>
    </row>
    <row r="860" spans="2:11">
      <c r="B860" s="63"/>
      <c r="C860" s="64">
        <v>11</v>
      </c>
      <c r="D860" s="64">
        <v>10</v>
      </c>
      <c r="E860" s="64">
        <v>320</v>
      </c>
      <c r="F860" s="65" t="s">
        <v>657</v>
      </c>
      <c r="G860" s="63"/>
      <c r="H860" s="66"/>
      <c r="I860" s="66"/>
      <c r="J860" s="66"/>
      <c r="K860" s="66"/>
    </row>
    <row r="861" spans="2:11">
      <c r="B861" s="63"/>
      <c r="C861" s="64">
        <v>11</v>
      </c>
      <c r="D861" s="64">
        <v>10</v>
      </c>
      <c r="E861" s="64">
        <v>400</v>
      </c>
      <c r="F861" s="65" t="s">
        <v>658</v>
      </c>
      <c r="G861" s="63"/>
      <c r="H861" s="66"/>
      <c r="I861" s="66"/>
      <c r="J861" s="66"/>
      <c r="K861" s="66"/>
    </row>
    <row r="862" spans="2:11">
      <c r="B862" s="63"/>
      <c r="C862" s="64">
        <v>11</v>
      </c>
      <c r="D862" s="64">
        <v>10</v>
      </c>
      <c r="E862" s="64">
        <v>500</v>
      </c>
      <c r="F862" s="65" t="s">
        <v>659</v>
      </c>
      <c r="G862" s="63"/>
      <c r="H862" s="66"/>
      <c r="I862" s="66"/>
      <c r="J862" s="66"/>
      <c r="K862" s="66"/>
    </row>
    <row r="863" spans="2:11">
      <c r="B863" s="63"/>
      <c r="C863" s="64">
        <v>11</v>
      </c>
      <c r="D863" s="64">
        <v>10</v>
      </c>
      <c r="E863" s="64">
        <v>600</v>
      </c>
      <c r="F863" s="65" t="s">
        <v>660</v>
      </c>
      <c r="G863" s="63"/>
      <c r="H863" s="66"/>
      <c r="I863" s="66"/>
      <c r="J863" s="66"/>
      <c r="K863" s="66"/>
    </row>
    <row r="864" spans="2:11">
      <c r="B864" s="63"/>
      <c r="C864" s="64">
        <v>11</v>
      </c>
      <c r="D864" s="64">
        <v>10</v>
      </c>
      <c r="E864" s="64">
        <v>650</v>
      </c>
      <c r="F864" s="65" t="s">
        <v>661</v>
      </c>
      <c r="G864" s="63"/>
      <c r="H864" s="66"/>
      <c r="I864" s="66"/>
      <c r="J864" s="66"/>
      <c r="K864" s="66"/>
    </row>
    <row r="865" spans="2:11">
      <c r="B865" s="63"/>
      <c r="C865" s="64">
        <v>11</v>
      </c>
      <c r="D865" s="64">
        <v>10</v>
      </c>
      <c r="E865" s="64">
        <v>700</v>
      </c>
      <c r="F865" s="65" t="s">
        <v>662</v>
      </c>
      <c r="G865" s="63"/>
      <c r="H865" s="66"/>
      <c r="I865" s="66"/>
      <c r="J865" s="66"/>
      <c r="K865" s="66"/>
    </row>
    <row r="866" spans="2:11">
      <c r="B866" s="63"/>
      <c r="C866" s="64">
        <v>11</v>
      </c>
      <c r="D866" s="64">
        <v>10</v>
      </c>
      <c r="E866" s="64">
        <v>750</v>
      </c>
      <c r="F866" s="65" t="s">
        <v>663</v>
      </c>
      <c r="G866" s="63"/>
      <c r="H866" s="66"/>
      <c r="I866" s="66"/>
      <c r="J866" s="66"/>
      <c r="K866" s="66"/>
    </row>
    <row r="867" spans="2:11">
      <c r="B867" s="63"/>
      <c r="C867" s="64">
        <v>11</v>
      </c>
      <c r="D867" s="64">
        <v>10</v>
      </c>
      <c r="E867" s="64">
        <v>800</v>
      </c>
      <c r="F867" s="65" t="s">
        <v>1927</v>
      </c>
      <c r="G867" s="63"/>
      <c r="H867" s="66"/>
      <c r="I867" s="66"/>
      <c r="J867" s="66"/>
      <c r="K867" s="66"/>
    </row>
    <row r="868" spans="2:11">
      <c r="B868" s="63"/>
      <c r="C868" s="64">
        <v>11</v>
      </c>
      <c r="D868" s="64">
        <v>10</v>
      </c>
      <c r="E868" s="92">
        <v>850</v>
      </c>
      <c r="F868" s="65" t="s">
        <v>471</v>
      </c>
      <c r="G868" s="63"/>
      <c r="H868" s="66"/>
      <c r="I868" s="66"/>
      <c r="J868" s="66"/>
      <c r="K868" s="66"/>
    </row>
    <row r="869" spans="2:11">
      <c r="B869" s="63"/>
      <c r="C869" s="64"/>
      <c r="D869" s="64"/>
      <c r="E869" s="92"/>
      <c r="F869" s="65"/>
      <c r="G869" s="63"/>
      <c r="H869" s="66"/>
      <c r="I869" s="66"/>
      <c r="J869" s="66"/>
      <c r="K869" s="66"/>
    </row>
    <row r="870" spans="2:11">
      <c r="B870" s="63"/>
      <c r="C870" s="81">
        <v>11</v>
      </c>
      <c r="D870" s="82">
        <v>20</v>
      </c>
      <c r="E870" s="3349" t="s">
        <v>472</v>
      </c>
      <c r="F870" s="3349"/>
      <c r="G870" s="63"/>
      <c r="H870" s="66"/>
      <c r="I870" s="66"/>
      <c r="J870" s="66"/>
      <c r="K870" s="66"/>
    </row>
    <row r="871" spans="2:11" ht="6" customHeight="1">
      <c r="B871" s="63"/>
      <c r="C871" s="81"/>
      <c r="D871" s="82"/>
      <c r="E871" s="100"/>
      <c r="F871" s="100"/>
      <c r="G871" s="63"/>
      <c r="H871" s="66"/>
      <c r="I871" s="66"/>
      <c r="J871" s="66"/>
      <c r="K871" s="66"/>
    </row>
    <row r="872" spans="2:11">
      <c r="B872" s="63"/>
      <c r="C872" s="92">
        <v>11</v>
      </c>
      <c r="D872" s="92">
        <v>20</v>
      </c>
      <c r="E872" s="64">
        <v>100</v>
      </c>
      <c r="F872" s="65" t="s">
        <v>472</v>
      </c>
      <c r="G872" s="63"/>
      <c r="H872" s="66"/>
      <c r="I872" s="66"/>
      <c r="J872" s="66"/>
      <c r="K872" s="66"/>
    </row>
    <row r="873" spans="2:11">
      <c r="B873" s="63"/>
      <c r="C873" s="92">
        <v>11</v>
      </c>
      <c r="D873" s="92">
        <v>20</v>
      </c>
      <c r="E873" s="64">
        <f>E872+10</f>
        <v>110</v>
      </c>
      <c r="F873" s="65" t="s">
        <v>473</v>
      </c>
      <c r="G873" s="63"/>
      <c r="H873" s="66"/>
      <c r="I873" s="66"/>
      <c r="J873" s="66"/>
      <c r="K873" s="66"/>
    </row>
    <row r="874" spans="2:11">
      <c r="B874" s="63"/>
      <c r="C874" s="92"/>
      <c r="D874" s="92"/>
      <c r="E874" s="64"/>
      <c r="F874" s="65"/>
      <c r="G874" s="63"/>
      <c r="H874" s="66"/>
      <c r="I874" s="66"/>
      <c r="J874" s="66"/>
      <c r="K874" s="66"/>
    </row>
    <row r="875" spans="2:11">
      <c r="B875" s="63"/>
      <c r="C875" s="81">
        <v>11</v>
      </c>
      <c r="D875" s="82">
        <v>30</v>
      </c>
      <c r="E875" s="3349" t="s">
        <v>1928</v>
      </c>
      <c r="F875" s="3349"/>
      <c r="G875" s="63"/>
      <c r="H875" s="66"/>
      <c r="I875" s="66"/>
      <c r="J875" s="66"/>
      <c r="K875" s="66"/>
    </row>
    <row r="876" spans="2:11" ht="6" customHeight="1">
      <c r="B876" s="63"/>
      <c r="C876" s="81"/>
      <c r="D876" s="82"/>
      <c r="E876" s="100"/>
      <c r="F876" s="100"/>
      <c r="G876" s="63"/>
      <c r="H876" s="66"/>
      <c r="I876" s="66"/>
      <c r="J876" s="66"/>
      <c r="K876" s="66"/>
    </row>
    <row r="877" spans="2:11">
      <c r="B877" s="63"/>
      <c r="C877" s="92">
        <v>11</v>
      </c>
      <c r="D877" s="92">
        <v>30</v>
      </c>
      <c r="E877" s="64">
        <v>100</v>
      </c>
      <c r="F877" s="65" t="s">
        <v>474</v>
      </c>
      <c r="G877" s="63"/>
      <c r="H877" s="66"/>
      <c r="I877" s="66"/>
      <c r="J877" s="66"/>
      <c r="K877" s="66"/>
    </row>
    <row r="878" spans="2:11">
      <c r="B878" s="63"/>
      <c r="C878" s="92">
        <v>11</v>
      </c>
      <c r="D878" s="92">
        <v>30</v>
      </c>
      <c r="E878" s="64">
        <f>E877+10</f>
        <v>110</v>
      </c>
      <c r="F878" s="65" t="s">
        <v>1773</v>
      </c>
      <c r="G878" s="63"/>
      <c r="H878" s="66"/>
      <c r="I878" s="66"/>
      <c r="J878" s="66"/>
      <c r="K878" s="66"/>
    </row>
    <row r="879" spans="2:11">
      <c r="B879" s="63"/>
      <c r="C879" s="92"/>
      <c r="D879" s="92"/>
      <c r="E879" s="64"/>
      <c r="F879" s="65"/>
      <c r="G879" s="63"/>
      <c r="H879" s="66"/>
      <c r="I879" s="66"/>
      <c r="J879" s="66"/>
      <c r="K879" s="66"/>
    </row>
    <row r="880" spans="2:11">
      <c r="B880" s="63"/>
      <c r="C880" s="81">
        <v>11</v>
      </c>
      <c r="D880" s="82">
        <v>40</v>
      </c>
      <c r="E880" s="3349" t="s">
        <v>236</v>
      </c>
      <c r="F880" s="3349"/>
      <c r="G880" s="63"/>
      <c r="H880" s="66"/>
      <c r="I880" s="66"/>
      <c r="J880" s="66"/>
      <c r="K880" s="66"/>
    </row>
    <row r="881" spans="2:11" ht="6" customHeight="1">
      <c r="B881" s="63"/>
      <c r="C881" s="81"/>
      <c r="D881" s="82"/>
      <c r="E881" s="100"/>
      <c r="F881" s="100"/>
      <c r="G881" s="63"/>
      <c r="H881" s="66"/>
      <c r="I881" s="66"/>
      <c r="J881" s="66"/>
      <c r="K881" s="66"/>
    </row>
    <row r="882" spans="2:11">
      <c r="B882" s="63"/>
      <c r="C882" s="92">
        <v>11</v>
      </c>
      <c r="D882" s="64">
        <v>40</v>
      </c>
      <c r="E882" s="64">
        <v>100</v>
      </c>
      <c r="F882" s="65" t="s">
        <v>237</v>
      </c>
      <c r="G882" s="63"/>
      <c r="H882" s="66"/>
      <c r="I882" s="66"/>
      <c r="J882" s="66"/>
      <c r="K882" s="66"/>
    </row>
    <row r="883" spans="2:11">
      <c r="B883" s="63"/>
      <c r="C883" s="92">
        <v>11</v>
      </c>
      <c r="D883" s="64">
        <v>40</v>
      </c>
      <c r="E883" s="64">
        <f t="shared" ref="E883:E890" si="26">E882+10</f>
        <v>110</v>
      </c>
      <c r="F883" s="65" t="s">
        <v>238</v>
      </c>
      <c r="G883" s="63"/>
      <c r="H883" s="66"/>
      <c r="I883" s="66"/>
      <c r="J883" s="66"/>
      <c r="K883" s="66"/>
    </row>
    <row r="884" spans="2:11">
      <c r="B884" s="63"/>
      <c r="C884" s="92">
        <v>11</v>
      </c>
      <c r="D884" s="64">
        <v>40</v>
      </c>
      <c r="E884" s="64">
        <f t="shared" si="26"/>
        <v>120</v>
      </c>
      <c r="F884" s="65" t="s">
        <v>239</v>
      </c>
      <c r="G884" s="63"/>
      <c r="H884" s="66"/>
      <c r="I884" s="66"/>
      <c r="J884" s="66"/>
      <c r="K884" s="66"/>
    </row>
    <row r="885" spans="2:11">
      <c r="B885" s="63"/>
      <c r="C885" s="92">
        <v>11</v>
      </c>
      <c r="D885" s="64">
        <v>40</v>
      </c>
      <c r="E885" s="64">
        <f t="shared" si="26"/>
        <v>130</v>
      </c>
      <c r="F885" s="65" t="s">
        <v>240</v>
      </c>
      <c r="G885" s="63"/>
      <c r="H885" s="66"/>
      <c r="I885" s="66"/>
      <c r="J885" s="66"/>
      <c r="K885" s="66"/>
    </row>
    <row r="886" spans="2:11">
      <c r="B886" s="63"/>
      <c r="C886" s="92">
        <v>11</v>
      </c>
      <c r="D886" s="64">
        <v>40</v>
      </c>
      <c r="E886" s="64">
        <f t="shared" si="26"/>
        <v>140</v>
      </c>
      <c r="F886" s="65" t="s">
        <v>241</v>
      </c>
      <c r="G886" s="63"/>
      <c r="H886" s="66"/>
      <c r="I886" s="66"/>
      <c r="J886" s="66"/>
      <c r="K886" s="66"/>
    </row>
    <row r="887" spans="2:11">
      <c r="B887" s="63"/>
      <c r="C887" s="92">
        <v>11</v>
      </c>
      <c r="D887" s="64">
        <v>40</v>
      </c>
      <c r="E887" s="64">
        <f t="shared" si="26"/>
        <v>150</v>
      </c>
      <c r="F887" s="65" t="s">
        <v>242</v>
      </c>
      <c r="G887" s="63"/>
      <c r="H887" s="66"/>
      <c r="I887" s="66"/>
      <c r="J887" s="66"/>
      <c r="K887" s="66"/>
    </row>
    <row r="888" spans="2:11">
      <c r="B888" s="63"/>
      <c r="C888" s="92">
        <v>11</v>
      </c>
      <c r="D888" s="64">
        <v>40</v>
      </c>
      <c r="E888" s="64">
        <f t="shared" si="26"/>
        <v>160</v>
      </c>
      <c r="F888" s="65" t="s">
        <v>243</v>
      </c>
      <c r="G888" s="63"/>
      <c r="H888" s="66"/>
      <c r="I888" s="66"/>
      <c r="J888" s="66"/>
      <c r="K888" s="66"/>
    </row>
    <row r="889" spans="2:11">
      <c r="B889" s="63"/>
      <c r="C889" s="92">
        <v>11</v>
      </c>
      <c r="D889" s="64">
        <v>40</v>
      </c>
      <c r="E889" s="64">
        <f t="shared" si="26"/>
        <v>170</v>
      </c>
      <c r="F889" s="65" t="s">
        <v>1761</v>
      </c>
      <c r="G889" s="63"/>
      <c r="H889" s="66"/>
      <c r="I889" s="66"/>
      <c r="J889" s="66"/>
      <c r="K889" s="66"/>
    </row>
    <row r="890" spans="2:11">
      <c r="B890" s="63"/>
      <c r="C890" s="92">
        <v>11</v>
      </c>
      <c r="D890" s="64">
        <v>40</v>
      </c>
      <c r="E890" s="64">
        <f t="shared" si="26"/>
        <v>180</v>
      </c>
      <c r="F890" s="65" t="s">
        <v>244</v>
      </c>
      <c r="G890" s="63"/>
      <c r="H890" s="66"/>
      <c r="I890" s="66"/>
      <c r="J890" s="66"/>
      <c r="K890" s="66"/>
    </row>
    <row r="891" spans="2:11">
      <c r="B891" s="63"/>
      <c r="C891" s="92"/>
      <c r="D891" s="64"/>
      <c r="E891" s="64"/>
      <c r="F891" s="65"/>
      <c r="G891" s="63"/>
      <c r="H891" s="66"/>
      <c r="I891" s="66"/>
      <c r="J891" s="66"/>
      <c r="K891" s="66"/>
    </row>
    <row r="892" spans="2:11" ht="15.6">
      <c r="B892" s="63"/>
      <c r="C892" s="99">
        <v>12</v>
      </c>
      <c r="D892" s="3351" t="s">
        <v>245</v>
      </c>
      <c r="E892" s="3345"/>
      <c r="F892" s="3345"/>
      <c r="G892" s="63"/>
      <c r="H892" s="66"/>
      <c r="I892" s="66"/>
      <c r="J892" s="66"/>
      <c r="K892" s="66"/>
    </row>
    <row r="893" spans="2:11" ht="6" customHeight="1">
      <c r="B893" s="63"/>
      <c r="C893" s="99"/>
      <c r="D893" s="101"/>
      <c r="E893" s="102"/>
      <c r="F893" s="102"/>
      <c r="G893" s="63"/>
      <c r="H893" s="66"/>
      <c r="I893" s="66"/>
      <c r="J893" s="66"/>
      <c r="K893" s="66"/>
    </row>
    <row r="894" spans="2:11">
      <c r="B894" s="63"/>
      <c r="C894" s="103">
        <v>12</v>
      </c>
      <c r="D894" s="82">
        <v>10</v>
      </c>
      <c r="E894" s="3349" t="s">
        <v>246</v>
      </c>
      <c r="F894" s="3342"/>
      <c r="G894" s="63"/>
      <c r="H894" s="66"/>
      <c r="I894" s="66"/>
      <c r="J894" s="66"/>
      <c r="K894" s="66"/>
    </row>
    <row r="895" spans="2:11" ht="6" customHeight="1">
      <c r="B895" s="63"/>
      <c r="C895" s="103"/>
      <c r="D895" s="82"/>
      <c r="E895" s="100"/>
      <c r="F895" s="104"/>
      <c r="G895" s="63"/>
      <c r="H895" s="66"/>
      <c r="I895" s="66"/>
      <c r="J895" s="66"/>
      <c r="K895" s="66"/>
    </row>
    <row r="896" spans="2:11">
      <c r="B896" s="63"/>
      <c r="C896" s="103"/>
      <c r="D896" s="82"/>
      <c r="E896" s="100"/>
      <c r="F896" s="104"/>
      <c r="G896" s="63"/>
      <c r="H896" s="66"/>
      <c r="I896" s="66"/>
      <c r="J896" s="66"/>
      <c r="K896" s="66"/>
    </row>
    <row r="897" spans="2:11">
      <c r="B897" s="63"/>
      <c r="C897" s="103">
        <v>12</v>
      </c>
      <c r="D897" s="82">
        <v>20</v>
      </c>
      <c r="E897" s="3349" t="s">
        <v>247</v>
      </c>
      <c r="F897" s="3342"/>
      <c r="G897" s="63"/>
      <c r="H897" s="66"/>
      <c r="I897" s="66"/>
      <c r="J897" s="66"/>
      <c r="K897" s="66"/>
    </row>
    <row r="898" spans="2:11" ht="6" customHeight="1">
      <c r="B898" s="63"/>
      <c r="C898" s="103"/>
      <c r="D898" s="82"/>
      <c r="E898" s="100"/>
      <c r="F898" s="104"/>
      <c r="G898" s="63"/>
      <c r="H898" s="66"/>
      <c r="I898" s="66"/>
      <c r="J898" s="66"/>
      <c r="K898" s="66"/>
    </row>
    <row r="899" spans="2:11">
      <c r="B899" s="63"/>
      <c r="C899" s="63"/>
      <c r="D899" s="64"/>
      <c r="E899" s="63"/>
      <c r="F899" s="65"/>
      <c r="G899" s="63"/>
      <c r="H899" s="66"/>
      <c r="I899" s="66"/>
      <c r="J899" s="66"/>
      <c r="K899" s="66"/>
    </row>
    <row r="900" spans="2:11" ht="15.6">
      <c r="B900" s="63"/>
      <c r="C900" s="99">
        <v>13</v>
      </c>
      <c r="D900" s="3344" t="s">
        <v>836</v>
      </c>
      <c r="E900" s="3345"/>
      <c r="F900" s="3345"/>
      <c r="G900" s="63"/>
      <c r="H900" s="66"/>
      <c r="I900" s="66"/>
      <c r="J900" s="66"/>
      <c r="K900" s="66"/>
    </row>
    <row r="901" spans="2:11" ht="6" customHeight="1">
      <c r="B901" s="63"/>
      <c r="C901" s="99"/>
      <c r="D901" s="105"/>
      <c r="E901" s="102"/>
      <c r="F901" s="102"/>
      <c r="G901" s="63"/>
      <c r="H901" s="66"/>
      <c r="I901" s="66"/>
      <c r="J901" s="66"/>
      <c r="K901" s="66"/>
    </row>
    <row r="902" spans="2:11">
      <c r="B902" s="63"/>
      <c r="C902" s="103">
        <v>13</v>
      </c>
      <c r="D902" s="82">
        <v>10</v>
      </c>
      <c r="E902" s="3349" t="s">
        <v>248</v>
      </c>
      <c r="F902" s="3342"/>
      <c r="G902" s="63"/>
      <c r="H902" s="66"/>
      <c r="I902" s="66"/>
      <c r="J902" s="66"/>
      <c r="K902" s="66"/>
    </row>
    <row r="903" spans="2:11" ht="6" customHeight="1">
      <c r="B903" s="63"/>
      <c r="C903" s="64"/>
      <c r="D903" s="64"/>
      <c r="E903" s="63"/>
      <c r="F903" s="65"/>
      <c r="G903" s="63"/>
      <c r="H903" s="66"/>
      <c r="I903" s="66"/>
      <c r="J903" s="66"/>
      <c r="K903" s="66"/>
    </row>
    <row r="904" spans="2:11" ht="12.75" customHeight="1">
      <c r="B904" s="63"/>
      <c r="C904" s="64"/>
      <c r="D904" s="64"/>
      <c r="E904" s="63"/>
      <c r="F904" s="65"/>
      <c r="G904" s="63"/>
      <c r="H904" s="66"/>
      <c r="I904" s="66"/>
      <c r="J904" s="66"/>
      <c r="K904" s="66"/>
    </row>
    <row r="905" spans="2:11">
      <c r="B905" s="63"/>
      <c r="C905" s="103">
        <v>13</v>
      </c>
      <c r="D905" s="82">
        <v>20</v>
      </c>
      <c r="E905" s="3349" t="s">
        <v>249</v>
      </c>
      <c r="F905" s="3342"/>
      <c r="G905" s="63"/>
      <c r="H905" s="66"/>
      <c r="I905" s="66"/>
      <c r="J905" s="66"/>
      <c r="K905" s="66"/>
    </row>
    <row r="906" spans="2:11" ht="6" customHeight="1">
      <c r="B906" s="63"/>
      <c r="C906" s="103"/>
      <c r="D906" s="82"/>
      <c r="E906" s="100"/>
      <c r="F906" s="104"/>
      <c r="G906" s="63"/>
      <c r="H906" s="66"/>
      <c r="I906" s="66"/>
      <c r="J906" s="66"/>
      <c r="K906" s="66"/>
    </row>
    <row r="907" spans="2:11">
      <c r="B907" s="63"/>
      <c r="C907" s="103"/>
      <c r="D907" s="82"/>
      <c r="E907" s="100"/>
      <c r="F907" s="104"/>
      <c r="G907" s="63"/>
      <c r="H907" s="66"/>
      <c r="I907" s="66"/>
      <c r="J907" s="66"/>
      <c r="K907" s="66"/>
    </row>
    <row r="908" spans="2:11" ht="15.6">
      <c r="B908" s="63"/>
      <c r="C908" s="99">
        <v>14</v>
      </c>
      <c r="D908" s="3351" t="s">
        <v>250</v>
      </c>
      <c r="E908" s="3345"/>
      <c r="F908" s="3345"/>
      <c r="G908" s="63"/>
      <c r="H908" s="66"/>
      <c r="I908" s="66"/>
      <c r="J908" s="66"/>
      <c r="K908" s="66"/>
    </row>
    <row r="909" spans="2:11" ht="6" customHeight="1">
      <c r="B909" s="63"/>
      <c r="C909" s="99"/>
      <c r="D909" s="101"/>
      <c r="E909" s="102"/>
      <c r="F909" s="102"/>
      <c r="G909" s="63"/>
      <c r="H909" s="66"/>
      <c r="I909" s="66"/>
      <c r="J909" s="66"/>
      <c r="K909" s="66"/>
    </row>
    <row r="910" spans="2:11">
      <c r="B910" s="63"/>
      <c r="C910" s="103">
        <v>14</v>
      </c>
      <c r="D910" s="82">
        <v>10</v>
      </c>
      <c r="E910" s="3349" t="s">
        <v>251</v>
      </c>
      <c r="F910" s="3342"/>
      <c r="G910" s="63"/>
      <c r="H910" s="66"/>
      <c r="I910" s="66"/>
      <c r="J910" s="66"/>
      <c r="K910" s="66"/>
    </row>
    <row r="911" spans="2:11" ht="6" customHeight="1">
      <c r="B911" s="63"/>
      <c r="C911" s="64"/>
      <c r="D911" s="64"/>
      <c r="E911" s="80"/>
      <c r="F911" s="65"/>
      <c r="G911" s="63"/>
      <c r="H911" s="66"/>
      <c r="I911" s="66"/>
      <c r="J911" s="66"/>
      <c r="K911" s="66"/>
    </row>
    <row r="912" spans="2:11" ht="12.75" customHeight="1">
      <c r="B912" s="63"/>
      <c r="C912" s="64"/>
      <c r="D912" s="64"/>
      <c r="E912" s="80"/>
      <c r="F912" s="65"/>
      <c r="G912" s="63"/>
      <c r="H912" s="66"/>
      <c r="I912" s="66"/>
      <c r="J912" s="66"/>
      <c r="K912" s="66"/>
    </row>
    <row r="913" spans="2:11">
      <c r="B913" s="63"/>
      <c r="C913" s="103">
        <v>14</v>
      </c>
      <c r="D913" s="82">
        <f>D910+3</f>
        <v>13</v>
      </c>
      <c r="E913" s="3349" t="s">
        <v>252</v>
      </c>
      <c r="F913" s="3342"/>
      <c r="G913" s="63"/>
      <c r="H913" s="66"/>
      <c r="I913" s="66"/>
      <c r="J913" s="66"/>
      <c r="K913" s="66"/>
    </row>
    <row r="914" spans="2:11" ht="6" customHeight="1">
      <c r="B914" s="63"/>
      <c r="C914" s="64"/>
      <c r="D914" s="64"/>
      <c r="E914" s="80"/>
      <c r="F914" s="65"/>
      <c r="G914" s="63"/>
      <c r="H914" s="66"/>
      <c r="I914" s="66"/>
      <c r="J914" s="66"/>
      <c r="K914" s="66"/>
    </row>
    <row r="915" spans="2:11" ht="12.75" customHeight="1">
      <c r="B915" s="63"/>
      <c r="C915" s="64"/>
      <c r="D915" s="64"/>
      <c r="E915" s="80"/>
      <c r="F915" s="65"/>
      <c r="G915" s="63"/>
      <c r="H915" s="66"/>
      <c r="I915" s="66"/>
      <c r="J915" s="66"/>
      <c r="K915" s="66"/>
    </row>
    <row r="916" spans="2:11">
      <c r="B916" s="63"/>
      <c r="C916" s="103">
        <v>14</v>
      </c>
      <c r="D916" s="82">
        <f>D913+3</f>
        <v>16</v>
      </c>
      <c r="E916" s="3349" t="s">
        <v>253</v>
      </c>
      <c r="F916" s="3342"/>
      <c r="G916" s="63"/>
      <c r="H916" s="66"/>
      <c r="I916" s="66"/>
      <c r="J916" s="66"/>
      <c r="K916" s="66"/>
    </row>
    <row r="917" spans="2:11" ht="6" customHeight="1">
      <c r="B917" s="63"/>
      <c r="C917" s="64"/>
      <c r="D917" s="64"/>
      <c r="E917" s="80"/>
      <c r="F917" s="65"/>
      <c r="G917" s="63"/>
      <c r="H917" s="66"/>
      <c r="I917" s="66"/>
      <c r="J917" s="66"/>
      <c r="K917" s="66"/>
    </row>
    <row r="918" spans="2:11">
      <c r="B918" s="63"/>
      <c r="C918" s="103"/>
      <c r="D918" s="82"/>
      <c r="E918" s="100"/>
      <c r="F918" s="104"/>
      <c r="G918" s="63"/>
      <c r="H918" s="66"/>
      <c r="I918" s="66"/>
      <c r="J918" s="66"/>
      <c r="K918" s="66"/>
    </row>
    <row r="919" spans="2:11">
      <c r="B919" s="63"/>
      <c r="C919" s="103">
        <v>14</v>
      </c>
      <c r="D919" s="82">
        <f>D916+3</f>
        <v>19</v>
      </c>
      <c r="E919" s="3349" t="s">
        <v>254</v>
      </c>
      <c r="F919" s="3342"/>
      <c r="G919" s="63"/>
      <c r="H919" s="66"/>
      <c r="I919" s="66"/>
      <c r="J919" s="66"/>
      <c r="K919" s="66"/>
    </row>
    <row r="920" spans="2:11" ht="6" customHeight="1">
      <c r="B920" s="63"/>
      <c r="C920" s="64"/>
      <c r="D920" s="64"/>
      <c r="E920" s="80"/>
      <c r="F920" s="65"/>
      <c r="G920" s="63"/>
      <c r="H920" s="66"/>
      <c r="I920" s="66"/>
      <c r="J920" s="66"/>
      <c r="K920" s="66"/>
    </row>
    <row r="921" spans="2:11">
      <c r="B921" s="63"/>
      <c r="C921" s="103"/>
      <c r="D921" s="82"/>
      <c r="E921" s="100"/>
      <c r="F921" s="104"/>
      <c r="G921" s="63"/>
      <c r="H921" s="66"/>
      <c r="I921" s="66"/>
      <c r="J921" s="66"/>
      <c r="K921" s="66"/>
    </row>
    <row r="922" spans="2:11">
      <c r="B922" s="63"/>
      <c r="C922" s="103">
        <v>14</v>
      </c>
      <c r="D922" s="82">
        <f>D919+3</f>
        <v>22</v>
      </c>
      <c r="E922" s="3349" t="s">
        <v>255</v>
      </c>
      <c r="F922" s="3342"/>
      <c r="G922" s="63"/>
      <c r="H922" s="66"/>
      <c r="I922" s="66"/>
      <c r="J922" s="66"/>
      <c r="K922" s="66"/>
    </row>
    <row r="923" spans="2:11" ht="6" customHeight="1">
      <c r="B923" s="63"/>
      <c r="C923" s="64"/>
      <c r="D923" s="64"/>
      <c r="E923" s="80"/>
      <c r="F923" s="65"/>
      <c r="G923" s="63"/>
      <c r="H923" s="66"/>
      <c r="I923" s="66"/>
      <c r="J923" s="66"/>
      <c r="K923" s="66"/>
    </row>
    <row r="924" spans="2:11">
      <c r="B924" s="63"/>
      <c r="C924" s="103"/>
      <c r="D924" s="82"/>
      <c r="E924" s="100"/>
      <c r="F924" s="104"/>
      <c r="G924" s="63"/>
      <c r="H924" s="66"/>
      <c r="I924" s="66"/>
      <c r="J924" s="66"/>
      <c r="K924" s="66"/>
    </row>
    <row r="925" spans="2:11">
      <c r="B925" s="63"/>
      <c r="C925" s="103">
        <v>14</v>
      </c>
      <c r="D925" s="82">
        <f>D922+3</f>
        <v>25</v>
      </c>
      <c r="E925" s="3349" t="s">
        <v>538</v>
      </c>
      <c r="F925" s="3342"/>
      <c r="G925" s="63"/>
      <c r="H925" s="66"/>
      <c r="I925" s="66"/>
      <c r="J925" s="66"/>
      <c r="K925" s="66"/>
    </row>
    <row r="926" spans="2:11" ht="6" customHeight="1">
      <c r="B926" s="63"/>
      <c r="C926" s="64"/>
      <c r="D926" s="64"/>
      <c r="E926" s="80"/>
      <c r="F926" s="65"/>
      <c r="G926" s="63"/>
      <c r="H926" s="66"/>
      <c r="I926" s="66"/>
      <c r="J926" s="66"/>
      <c r="K926" s="66"/>
    </row>
    <row r="927" spans="2:11">
      <c r="B927" s="63"/>
      <c r="C927" s="103"/>
      <c r="D927" s="82"/>
      <c r="E927" s="100"/>
      <c r="F927" s="104"/>
      <c r="G927" s="63"/>
      <c r="H927" s="66"/>
      <c r="I927" s="66"/>
      <c r="J927" s="66"/>
      <c r="K927" s="66"/>
    </row>
    <row r="928" spans="2:11">
      <c r="B928" s="63"/>
      <c r="C928" s="103">
        <v>14</v>
      </c>
      <c r="D928" s="82">
        <f>D925+3</f>
        <v>28</v>
      </c>
      <c r="E928" s="3349" t="s">
        <v>539</v>
      </c>
      <c r="F928" s="3342"/>
      <c r="G928" s="63"/>
      <c r="H928" s="66"/>
      <c r="I928" s="66"/>
      <c r="J928" s="66"/>
      <c r="K928" s="66"/>
    </row>
    <row r="929" spans="2:11" ht="6" customHeight="1">
      <c r="B929" s="63"/>
      <c r="C929" s="64"/>
      <c r="D929" s="64"/>
      <c r="E929" s="80"/>
      <c r="F929" s="65"/>
      <c r="G929" s="63"/>
      <c r="H929" s="66"/>
      <c r="I929" s="66"/>
      <c r="J929" s="66"/>
      <c r="K929" s="66"/>
    </row>
    <row r="930" spans="2:11">
      <c r="B930" s="63"/>
      <c r="C930" s="103"/>
      <c r="D930" s="82"/>
      <c r="E930" s="100"/>
      <c r="F930" s="104"/>
      <c r="G930" s="63"/>
      <c r="H930" s="66"/>
      <c r="I930" s="66"/>
      <c r="J930" s="66"/>
      <c r="K930" s="66"/>
    </row>
    <row r="931" spans="2:11">
      <c r="B931" s="63"/>
      <c r="C931" s="103">
        <v>14</v>
      </c>
      <c r="D931" s="82">
        <f>D928+3</f>
        <v>31</v>
      </c>
      <c r="E931" s="3349" t="s">
        <v>540</v>
      </c>
      <c r="F931" s="3342"/>
      <c r="G931" s="63"/>
      <c r="H931" s="66"/>
      <c r="I931" s="66"/>
      <c r="J931" s="66"/>
      <c r="K931" s="66"/>
    </row>
    <row r="932" spans="2:11" ht="6" customHeight="1">
      <c r="B932" s="63"/>
      <c r="C932" s="64"/>
      <c r="D932" s="64"/>
      <c r="E932" s="80"/>
      <c r="F932" s="65"/>
      <c r="G932" s="63"/>
      <c r="H932" s="66"/>
      <c r="I932" s="66"/>
      <c r="J932" s="66"/>
      <c r="K932" s="66"/>
    </row>
    <row r="933" spans="2:11">
      <c r="B933" s="63"/>
      <c r="C933" s="103"/>
      <c r="D933" s="82"/>
      <c r="E933" s="100"/>
      <c r="F933" s="104"/>
      <c r="G933" s="63"/>
      <c r="H933" s="66"/>
      <c r="I933" s="66"/>
      <c r="J933" s="66"/>
      <c r="K933" s="66"/>
    </row>
    <row r="934" spans="2:11">
      <c r="B934" s="56"/>
      <c r="C934" s="103">
        <v>14</v>
      </c>
      <c r="D934" s="82">
        <f>D931+3</f>
        <v>34</v>
      </c>
      <c r="E934" s="3349" t="s">
        <v>541</v>
      </c>
      <c r="F934" s="3349"/>
      <c r="G934" s="56"/>
    </row>
    <row r="935" spans="2:11" ht="6" customHeight="1">
      <c r="B935" s="63"/>
      <c r="C935" s="64"/>
      <c r="D935" s="64"/>
      <c r="E935" s="80"/>
      <c r="F935" s="65"/>
      <c r="G935" s="63"/>
      <c r="H935" s="66"/>
      <c r="I935" s="66"/>
      <c r="J935" s="66"/>
      <c r="K935" s="66"/>
    </row>
    <row r="936" spans="2:11">
      <c r="B936" s="56"/>
      <c r="C936" s="103"/>
      <c r="D936" s="82"/>
      <c r="E936" s="100"/>
      <c r="F936" s="100"/>
      <c r="G936" s="56"/>
    </row>
    <row r="937" spans="2:11">
      <c r="B937" s="56"/>
      <c r="C937" s="103">
        <v>14</v>
      </c>
      <c r="D937" s="82">
        <f>D934+3</f>
        <v>37</v>
      </c>
      <c r="E937" s="3349" t="s">
        <v>542</v>
      </c>
      <c r="F937" s="3349"/>
      <c r="G937" s="56"/>
    </row>
    <row r="938" spans="2:11" ht="6" customHeight="1">
      <c r="B938" s="63"/>
      <c r="C938" s="64"/>
      <c r="D938" s="64"/>
      <c r="E938" s="80"/>
      <c r="F938" s="65"/>
      <c r="G938" s="63"/>
      <c r="H938" s="66"/>
      <c r="I938" s="66"/>
      <c r="J938" s="66"/>
      <c r="K938" s="66"/>
    </row>
    <row r="939" spans="2:11">
      <c r="B939" s="56"/>
      <c r="C939" s="103"/>
      <c r="D939" s="82"/>
      <c r="E939" s="100"/>
      <c r="F939" s="100"/>
      <c r="G939" s="56"/>
    </row>
    <row r="940" spans="2:11">
      <c r="B940" s="56"/>
      <c r="C940" s="103">
        <v>14</v>
      </c>
      <c r="D940" s="82">
        <f>D937+3</f>
        <v>40</v>
      </c>
      <c r="E940" s="3349" t="s">
        <v>543</v>
      </c>
      <c r="F940" s="3342"/>
      <c r="G940" s="56"/>
    </row>
    <row r="941" spans="2:11" ht="6" customHeight="1">
      <c r="B941" s="63"/>
      <c r="C941" s="64"/>
      <c r="D941" s="64"/>
      <c r="E941" s="80"/>
      <c r="F941" s="65"/>
      <c r="G941" s="63"/>
      <c r="H941" s="66"/>
      <c r="I941" s="66"/>
      <c r="J941" s="66"/>
      <c r="K941" s="66"/>
    </row>
    <row r="942" spans="2:11">
      <c r="B942" s="56"/>
      <c r="C942" s="103"/>
      <c r="D942" s="82"/>
      <c r="E942" s="100"/>
      <c r="F942" s="104"/>
      <c r="G942" s="56"/>
    </row>
    <row r="943" spans="2:11">
      <c r="B943" s="56"/>
      <c r="C943" s="103">
        <v>14</v>
      </c>
      <c r="D943" s="82">
        <f>D940+3</f>
        <v>43</v>
      </c>
      <c r="E943" s="3349" t="s">
        <v>263</v>
      </c>
      <c r="F943" s="3342"/>
      <c r="G943" s="56"/>
    </row>
    <row r="944" spans="2:11" ht="6" customHeight="1">
      <c r="B944" s="63"/>
      <c r="C944" s="64"/>
      <c r="D944" s="64"/>
      <c r="E944" s="80"/>
      <c r="F944" s="65"/>
      <c r="G944" s="63"/>
      <c r="H944" s="66"/>
      <c r="I944" s="66"/>
      <c r="J944" s="66"/>
      <c r="K944" s="66"/>
    </row>
    <row r="945" spans="2:11">
      <c r="B945" s="56"/>
      <c r="C945" s="103"/>
      <c r="D945" s="82"/>
      <c r="E945" s="100"/>
      <c r="F945" s="104"/>
      <c r="G945" s="56"/>
    </row>
    <row r="946" spans="2:11">
      <c r="B946" s="56"/>
      <c r="C946" s="103">
        <v>14</v>
      </c>
      <c r="D946" s="82">
        <f>D943+3</f>
        <v>46</v>
      </c>
      <c r="E946" s="3349" t="s">
        <v>1457</v>
      </c>
      <c r="F946" s="3342"/>
      <c r="G946" s="56"/>
    </row>
    <row r="947" spans="2:11" ht="6" customHeight="1">
      <c r="B947" s="63"/>
      <c r="C947" s="64"/>
      <c r="D947" s="64"/>
      <c r="E947" s="80"/>
      <c r="F947" s="65"/>
      <c r="G947" s="63"/>
      <c r="H947" s="66"/>
      <c r="I947" s="66"/>
      <c r="J947" s="66"/>
      <c r="K947" s="66"/>
    </row>
    <row r="948" spans="2:11">
      <c r="B948" s="56"/>
      <c r="C948" s="103"/>
      <c r="D948" s="82"/>
      <c r="E948" s="100"/>
      <c r="F948" s="104"/>
      <c r="G948" s="56"/>
    </row>
    <row r="949" spans="2:11">
      <c r="B949" s="56"/>
      <c r="C949" s="103">
        <v>14</v>
      </c>
      <c r="D949" s="82">
        <f>D946+3</f>
        <v>49</v>
      </c>
      <c r="E949" s="3349" t="s">
        <v>535</v>
      </c>
      <c r="F949" s="3342"/>
      <c r="G949" s="56"/>
    </row>
    <row r="950" spans="2:11" ht="6" customHeight="1">
      <c r="B950" s="63"/>
      <c r="C950" s="64"/>
      <c r="D950" s="64"/>
      <c r="E950" s="80"/>
      <c r="F950" s="65"/>
      <c r="G950" s="63"/>
      <c r="H950" s="66"/>
      <c r="I950" s="66"/>
      <c r="J950" s="66"/>
      <c r="K950" s="66"/>
    </row>
    <row r="951" spans="2:11">
      <c r="B951" s="56"/>
      <c r="C951" s="64">
        <v>14</v>
      </c>
      <c r="D951" s="64">
        <v>49</v>
      </c>
      <c r="E951" s="57">
        <v>100</v>
      </c>
      <c r="F951" s="65" t="s">
        <v>536</v>
      </c>
      <c r="G951" s="56"/>
    </row>
    <row r="952" spans="2:11">
      <c r="B952" s="56"/>
      <c r="C952" s="64">
        <v>14</v>
      </c>
      <c r="D952" s="64">
        <v>49</v>
      </c>
      <c r="E952" s="57">
        <f>E951+10</f>
        <v>110</v>
      </c>
      <c r="F952" s="65" t="s">
        <v>537</v>
      </c>
      <c r="G952" s="56"/>
    </row>
    <row r="953" spans="2:11">
      <c r="B953" s="56"/>
      <c r="C953" s="64">
        <v>14</v>
      </c>
      <c r="D953" s="64">
        <v>49</v>
      </c>
      <c r="E953" s="57">
        <f>E952+10</f>
        <v>120</v>
      </c>
      <c r="F953" s="65" t="s">
        <v>1547</v>
      </c>
      <c r="G953" s="56"/>
    </row>
    <row r="954" spans="2:11">
      <c r="B954" s="56"/>
      <c r="C954" s="64">
        <v>14</v>
      </c>
      <c r="D954" s="64">
        <v>49</v>
      </c>
      <c r="E954" s="57">
        <f>E953+10</f>
        <v>130</v>
      </c>
      <c r="F954" s="65" t="s">
        <v>1548</v>
      </c>
      <c r="G954" s="56"/>
    </row>
    <row r="955" spans="2:11">
      <c r="B955" s="56"/>
      <c r="C955" s="64">
        <v>14</v>
      </c>
      <c r="D955" s="92">
        <v>49</v>
      </c>
      <c r="E955" s="57">
        <f>E954+10</f>
        <v>140</v>
      </c>
      <c r="F955" s="65" t="s">
        <v>1549</v>
      </c>
      <c r="G955" s="56"/>
    </row>
    <row r="956" spans="2:11">
      <c r="B956" s="56"/>
      <c r="C956" s="64"/>
      <c r="D956" s="92"/>
      <c r="E956" s="57"/>
      <c r="F956" s="65"/>
      <c r="G956" s="56"/>
    </row>
    <row r="957" spans="2:11">
      <c r="B957" s="56"/>
      <c r="C957" s="103">
        <v>14</v>
      </c>
      <c r="D957" s="82">
        <v>52</v>
      </c>
      <c r="E957" s="3349" t="s">
        <v>1550</v>
      </c>
      <c r="F957" s="3342"/>
      <c r="G957" s="56"/>
    </row>
    <row r="958" spans="2:11" ht="6" customHeight="1">
      <c r="B958" s="63"/>
      <c r="C958" s="64"/>
      <c r="D958" s="64"/>
      <c r="E958" s="80"/>
      <c r="F958" s="65"/>
      <c r="G958" s="63"/>
      <c r="H958" s="66"/>
      <c r="I958" s="66"/>
      <c r="J958" s="66"/>
      <c r="K958" s="66"/>
    </row>
    <row r="959" spans="2:11">
      <c r="B959" s="56"/>
      <c r="C959" s="103"/>
      <c r="D959" s="82"/>
      <c r="E959" s="100"/>
      <c r="F959" s="65"/>
      <c r="G959" s="56"/>
    </row>
    <row r="960" spans="2:11">
      <c r="B960" s="56"/>
      <c r="C960" s="103">
        <v>14</v>
      </c>
      <c r="D960" s="82">
        <f>D957+3</f>
        <v>55</v>
      </c>
      <c r="E960" s="3349" t="s">
        <v>1551</v>
      </c>
      <c r="F960" s="3342"/>
      <c r="G960" s="56"/>
    </row>
    <row r="961" spans="2:11" ht="6" customHeight="1">
      <c r="B961" s="63"/>
      <c r="C961" s="64"/>
      <c r="D961" s="64"/>
      <c r="E961" s="80"/>
      <c r="F961" s="65"/>
      <c r="G961" s="63"/>
      <c r="H961" s="66"/>
      <c r="I961" s="66"/>
      <c r="J961" s="66"/>
      <c r="K961" s="66"/>
    </row>
    <row r="962" spans="2:11">
      <c r="B962" s="56"/>
      <c r="C962" s="103"/>
      <c r="D962" s="82"/>
      <c r="E962" s="100"/>
      <c r="F962" s="65"/>
      <c r="G962" s="56"/>
    </row>
    <row r="963" spans="2:11">
      <c r="B963" s="56"/>
      <c r="C963" s="103">
        <v>14</v>
      </c>
      <c r="D963" s="82">
        <f>D960+3</f>
        <v>58</v>
      </c>
      <c r="E963" s="3349" t="s">
        <v>544</v>
      </c>
      <c r="F963" s="3342"/>
      <c r="G963" s="56"/>
    </row>
    <row r="964" spans="2:11" ht="6" customHeight="1">
      <c r="B964" s="63"/>
      <c r="C964" s="64"/>
      <c r="D964" s="64"/>
      <c r="E964" s="80"/>
      <c r="F964" s="65"/>
      <c r="G964" s="63"/>
      <c r="H964" s="66"/>
      <c r="I964" s="66"/>
      <c r="J964" s="66"/>
      <c r="K964" s="66"/>
    </row>
    <row r="965" spans="2:11">
      <c r="B965" s="56"/>
      <c r="C965" s="103"/>
      <c r="D965" s="82"/>
      <c r="E965" s="100"/>
      <c r="F965" s="65"/>
      <c r="G965" s="56"/>
    </row>
    <row r="966" spans="2:11">
      <c r="B966" s="56"/>
      <c r="C966" s="103">
        <v>14</v>
      </c>
      <c r="D966" s="82">
        <f>D963+3</f>
        <v>61</v>
      </c>
      <c r="E966" s="3349" t="s">
        <v>545</v>
      </c>
      <c r="F966" s="3342"/>
      <c r="G966" s="56"/>
    </row>
    <row r="967" spans="2:11" ht="6" customHeight="1">
      <c r="B967" s="63"/>
      <c r="C967" s="64"/>
      <c r="D967" s="64"/>
      <c r="E967" s="80"/>
      <c r="F967" s="65"/>
      <c r="G967" s="63"/>
      <c r="H967" s="66"/>
      <c r="I967" s="66"/>
      <c r="J967" s="66"/>
      <c r="K967" s="66"/>
    </row>
    <row r="968" spans="2:11">
      <c r="B968" s="56"/>
      <c r="C968" s="103"/>
      <c r="D968" s="82"/>
      <c r="E968" s="100"/>
      <c r="F968" s="65"/>
      <c r="G968" s="56"/>
    </row>
    <row r="969" spans="2:11">
      <c r="B969" s="56"/>
      <c r="C969" s="103">
        <v>14</v>
      </c>
      <c r="D969" s="82">
        <f>D966+3</f>
        <v>64</v>
      </c>
      <c r="E969" s="3349" t="s">
        <v>546</v>
      </c>
      <c r="F969" s="3342"/>
      <c r="G969" s="56"/>
    </row>
    <row r="970" spans="2:11" ht="6" customHeight="1">
      <c r="B970" s="63"/>
      <c r="C970" s="64"/>
      <c r="D970" s="64"/>
      <c r="E970" s="80"/>
      <c r="F970" s="65"/>
      <c r="G970" s="63"/>
      <c r="H970" s="66"/>
      <c r="I970" s="66"/>
      <c r="J970" s="66"/>
      <c r="K970" s="66"/>
    </row>
    <row r="971" spans="2:11">
      <c r="B971" s="56"/>
      <c r="C971" s="64">
        <v>14</v>
      </c>
      <c r="D971" s="57">
        <v>64</v>
      </c>
      <c r="E971" s="57">
        <v>100</v>
      </c>
      <c r="F971" s="65" t="s">
        <v>547</v>
      </c>
      <c r="G971" s="56"/>
    </row>
    <row r="972" spans="2:11">
      <c r="B972" s="56"/>
      <c r="C972" s="64">
        <v>14</v>
      </c>
      <c r="D972" s="57">
        <v>64</v>
      </c>
      <c r="E972" s="57">
        <f>E971+10</f>
        <v>110</v>
      </c>
      <c r="F972" s="65" t="s">
        <v>548</v>
      </c>
      <c r="G972" s="56"/>
    </row>
    <row r="973" spans="2:11">
      <c r="B973" s="56"/>
      <c r="C973" s="64">
        <v>14</v>
      </c>
      <c r="D973" s="57">
        <v>64</v>
      </c>
      <c r="E973" s="57">
        <f>E972+10</f>
        <v>120</v>
      </c>
      <c r="F973" s="65" t="s">
        <v>892</v>
      </c>
      <c r="G973" s="56"/>
    </row>
    <row r="974" spans="2:11">
      <c r="B974" s="56"/>
      <c r="C974" s="64">
        <v>14</v>
      </c>
      <c r="D974" s="57">
        <v>64</v>
      </c>
      <c r="E974" s="57">
        <f>E973+10</f>
        <v>130</v>
      </c>
      <c r="F974" s="65" t="s">
        <v>893</v>
      </c>
      <c r="G974" s="56"/>
    </row>
    <row r="975" spans="2:11">
      <c r="B975" s="56"/>
      <c r="C975" s="64">
        <v>14</v>
      </c>
      <c r="D975" s="57">
        <v>64</v>
      </c>
      <c r="E975" s="57">
        <f>E974+10</f>
        <v>140</v>
      </c>
      <c r="F975" s="65" t="s">
        <v>894</v>
      </c>
      <c r="G975" s="56"/>
    </row>
    <row r="976" spans="2:11">
      <c r="B976" s="56"/>
      <c r="C976" s="64">
        <v>14</v>
      </c>
      <c r="D976" s="57">
        <v>64</v>
      </c>
      <c r="E976" s="57">
        <f>E975+10</f>
        <v>150</v>
      </c>
      <c r="F976" s="65" t="s">
        <v>579</v>
      </c>
      <c r="G976" s="56"/>
    </row>
    <row r="977" spans="2:11">
      <c r="B977" s="56"/>
      <c r="C977" s="64"/>
      <c r="D977" s="57"/>
      <c r="E977" s="57"/>
      <c r="F977" s="65"/>
      <c r="G977" s="56"/>
    </row>
    <row r="978" spans="2:11">
      <c r="B978" s="56"/>
      <c r="C978" s="103">
        <v>14</v>
      </c>
      <c r="D978" s="82">
        <v>67</v>
      </c>
      <c r="E978" s="3349" t="s">
        <v>580</v>
      </c>
      <c r="F978" s="3342"/>
      <c r="G978" s="56"/>
    </row>
    <row r="979" spans="2:11" ht="6" customHeight="1">
      <c r="B979" s="63"/>
      <c r="C979" s="64"/>
      <c r="D979" s="64"/>
      <c r="E979" s="80"/>
      <c r="F979" s="65"/>
      <c r="G979" s="63"/>
      <c r="H979" s="66"/>
      <c r="I979" s="66"/>
      <c r="J979" s="66"/>
      <c r="K979" s="66"/>
    </row>
    <row r="980" spans="2:11">
      <c r="B980" s="56"/>
      <c r="C980" s="64"/>
      <c r="D980" s="57"/>
      <c r="E980" s="71"/>
      <c r="F980" s="65"/>
      <c r="G980" s="56"/>
    </row>
    <row r="981" spans="2:11">
      <c r="B981" s="56"/>
      <c r="C981" s="103">
        <v>14</v>
      </c>
      <c r="D981" s="82">
        <f>D978+3</f>
        <v>70</v>
      </c>
      <c r="E981" s="3349" t="s">
        <v>135</v>
      </c>
      <c r="F981" s="3342"/>
      <c r="G981" s="56"/>
    </row>
    <row r="982" spans="2:11" ht="6" customHeight="1">
      <c r="B982" s="63"/>
      <c r="C982" s="64"/>
      <c r="D982" s="64"/>
      <c r="E982" s="80"/>
      <c r="F982" s="65"/>
      <c r="G982" s="63"/>
      <c r="H982" s="66"/>
      <c r="I982" s="66"/>
      <c r="J982" s="66"/>
      <c r="K982" s="66"/>
    </row>
    <row r="983" spans="2:11">
      <c r="B983" s="56"/>
      <c r="C983" s="64"/>
      <c r="D983" s="64"/>
      <c r="E983" s="71"/>
      <c r="F983" s="65"/>
      <c r="G983" s="56"/>
    </row>
    <row r="984" spans="2:11">
      <c r="B984" s="56"/>
      <c r="C984" s="103">
        <v>14</v>
      </c>
      <c r="D984" s="82">
        <f>D981+3</f>
        <v>73</v>
      </c>
      <c r="E984" s="3349" t="s">
        <v>136</v>
      </c>
      <c r="F984" s="3342"/>
      <c r="G984" s="56"/>
    </row>
    <row r="985" spans="2:11" ht="6" customHeight="1">
      <c r="B985" s="63"/>
      <c r="C985" s="64"/>
      <c r="D985" s="64"/>
      <c r="E985" s="80"/>
      <c r="F985" s="65"/>
      <c r="G985" s="63"/>
      <c r="H985" s="66"/>
      <c r="I985" s="66"/>
      <c r="J985" s="66"/>
      <c r="K985" s="66"/>
    </row>
    <row r="986" spans="2:11">
      <c r="B986" s="56"/>
      <c r="C986" s="64"/>
      <c r="D986" s="64"/>
      <c r="E986" s="71"/>
      <c r="F986" s="65"/>
      <c r="G986" s="56"/>
    </row>
    <row r="987" spans="2:11">
      <c r="B987" s="56"/>
      <c r="C987" s="103">
        <v>14</v>
      </c>
      <c r="D987" s="82">
        <f>D984+3</f>
        <v>76</v>
      </c>
      <c r="E987" s="3349" t="s">
        <v>137</v>
      </c>
      <c r="F987" s="3342"/>
      <c r="G987" s="56"/>
    </row>
    <row r="988" spans="2:11" ht="6" customHeight="1">
      <c r="B988" s="63"/>
      <c r="C988" s="64"/>
      <c r="D988" s="64"/>
      <c r="E988" s="80"/>
      <c r="F988" s="65"/>
      <c r="G988" s="63"/>
      <c r="H988" s="66"/>
      <c r="I988" s="66"/>
      <c r="J988" s="66"/>
      <c r="K988" s="66"/>
    </row>
    <row r="989" spans="2:11">
      <c r="B989" s="56"/>
      <c r="C989" s="64"/>
      <c r="D989" s="64"/>
      <c r="E989" s="71"/>
      <c r="F989" s="65"/>
      <c r="G989" s="56"/>
    </row>
    <row r="990" spans="2:11">
      <c r="B990" s="56"/>
      <c r="C990" s="103">
        <v>14</v>
      </c>
      <c r="D990" s="82">
        <f>D987+3</f>
        <v>79</v>
      </c>
      <c r="E990" s="3349" t="s">
        <v>138</v>
      </c>
      <c r="F990" s="3342"/>
      <c r="G990" s="56"/>
    </row>
    <row r="991" spans="2:11" ht="6" customHeight="1">
      <c r="B991" s="63"/>
      <c r="C991" s="64"/>
      <c r="D991" s="64"/>
      <c r="E991" s="80"/>
      <c r="F991" s="65"/>
      <c r="G991" s="63"/>
      <c r="H991" s="66"/>
      <c r="I991" s="66"/>
      <c r="J991" s="66"/>
      <c r="K991" s="66"/>
    </row>
    <row r="992" spans="2:11">
      <c r="B992" s="56"/>
      <c r="C992" s="64"/>
      <c r="D992" s="64"/>
      <c r="E992" s="71"/>
      <c r="F992" s="65"/>
      <c r="G992" s="56"/>
    </row>
    <row r="993" spans="2:7">
      <c r="B993" s="56"/>
      <c r="C993" s="103">
        <v>14</v>
      </c>
      <c r="D993" s="82">
        <f>D990+3</f>
        <v>82</v>
      </c>
      <c r="E993" s="3349" t="s">
        <v>139</v>
      </c>
      <c r="F993" s="3342"/>
      <c r="G993" s="56"/>
    </row>
    <row r="994" spans="2:7" ht="6" customHeight="1">
      <c r="B994" s="56"/>
      <c r="C994" s="64"/>
      <c r="D994" s="64"/>
      <c r="E994" s="56"/>
      <c r="F994" s="65"/>
      <c r="G994" s="56"/>
    </row>
    <row r="995" spans="2:7" ht="12.75" customHeight="1">
      <c r="D995" s="106"/>
      <c r="E995" s="74"/>
      <c r="F995" s="65"/>
    </row>
    <row r="996" spans="2:7" ht="12.75" customHeight="1">
      <c r="D996" s="106"/>
      <c r="E996" s="74"/>
      <c r="F996" s="65"/>
    </row>
    <row r="997" spans="2:7" ht="12.75" customHeight="1">
      <c r="D997" s="106"/>
      <c r="E997" s="74"/>
      <c r="F997" s="65"/>
    </row>
    <row r="998" spans="2:7" ht="12.75" customHeight="1">
      <c r="D998" s="106"/>
      <c r="E998" s="74"/>
      <c r="F998" s="65"/>
    </row>
    <row r="999" spans="2:7" ht="12.75" customHeight="1">
      <c r="D999" s="106"/>
      <c r="F999" s="65"/>
    </row>
    <row r="1000" spans="2:7" ht="12.75" customHeight="1">
      <c r="D1000" s="106"/>
      <c r="F1000" s="65"/>
    </row>
    <row r="1001" spans="2:7" ht="12.75" customHeight="1">
      <c r="D1001" s="106"/>
    </row>
    <row r="1002" spans="2:7" ht="12.75" customHeight="1">
      <c r="D1002" s="106"/>
    </row>
    <row r="1003" spans="2:7" ht="12.75" customHeight="1">
      <c r="D1003" s="106"/>
    </row>
    <row r="1004" spans="2:7" ht="12.75" customHeight="1">
      <c r="D1004" s="106"/>
    </row>
    <row r="1005" spans="2:7" ht="12.75" customHeight="1">
      <c r="D1005" s="106"/>
    </row>
    <row r="1006" spans="2:7" ht="12.75" customHeight="1"/>
    <row r="1007" spans="2:7" ht="12.75" customHeight="1"/>
    <row r="1008" spans="2:7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</sheetData>
  <mergeCells count="97">
    <mergeCell ref="E990:F990"/>
    <mergeCell ref="E993:F993"/>
    <mergeCell ref="D155:F155"/>
    <mergeCell ref="D165:F165"/>
    <mergeCell ref="E194:F194"/>
    <mergeCell ref="E190:F190"/>
    <mergeCell ref="E186:F186"/>
    <mergeCell ref="E182:F182"/>
    <mergeCell ref="E178:F178"/>
    <mergeCell ref="E171:F171"/>
    <mergeCell ref="E978:F978"/>
    <mergeCell ref="E981:F981"/>
    <mergeCell ref="E984:F984"/>
    <mergeCell ref="E987:F987"/>
    <mergeCell ref="E960:F960"/>
    <mergeCell ref="E963:F963"/>
    <mergeCell ref="E966:F966"/>
    <mergeCell ref="E969:F969"/>
    <mergeCell ref="E943:F943"/>
    <mergeCell ref="E946:F946"/>
    <mergeCell ref="E949:F949"/>
    <mergeCell ref="E957:F957"/>
    <mergeCell ref="E931:F931"/>
    <mergeCell ref="E934:F934"/>
    <mergeCell ref="E937:F937"/>
    <mergeCell ref="E940:F940"/>
    <mergeCell ref="E919:F919"/>
    <mergeCell ref="E922:F922"/>
    <mergeCell ref="E925:F925"/>
    <mergeCell ref="E928:F928"/>
    <mergeCell ref="D908:F908"/>
    <mergeCell ref="E910:F910"/>
    <mergeCell ref="E913:F913"/>
    <mergeCell ref="E916:F916"/>
    <mergeCell ref="E897:F897"/>
    <mergeCell ref="D900:F900"/>
    <mergeCell ref="E902:F902"/>
    <mergeCell ref="E905:F905"/>
    <mergeCell ref="E875:F875"/>
    <mergeCell ref="E880:F880"/>
    <mergeCell ref="D892:F892"/>
    <mergeCell ref="E894:F894"/>
    <mergeCell ref="E848:F848"/>
    <mergeCell ref="D852:F852"/>
    <mergeCell ref="E854:F854"/>
    <mergeCell ref="E870:F870"/>
    <mergeCell ref="E787:F787"/>
    <mergeCell ref="E822:F822"/>
    <mergeCell ref="E825:F825"/>
    <mergeCell ref="E841:F841"/>
    <mergeCell ref="E650:F650"/>
    <mergeCell ref="E664:F664"/>
    <mergeCell ref="D758:F758"/>
    <mergeCell ref="E760:F760"/>
    <mergeCell ref="E643:F643"/>
    <mergeCell ref="E208:F208"/>
    <mergeCell ref="E212:F212"/>
    <mergeCell ref="E345:F345"/>
    <mergeCell ref="E216:F216"/>
    <mergeCell ref="D223:F223"/>
    <mergeCell ref="E225:F225"/>
    <mergeCell ref="D228:F228"/>
    <mergeCell ref="E230:F230"/>
    <mergeCell ref="D244:F244"/>
    <mergeCell ref="E246:F246"/>
    <mergeCell ref="D260:F260"/>
    <mergeCell ref="E262:F262"/>
    <mergeCell ref="E133:F133"/>
    <mergeCell ref="E127:F127"/>
    <mergeCell ref="E615:F615"/>
    <mergeCell ref="E622:F622"/>
    <mergeCell ref="E635:F635"/>
    <mergeCell ref="E272:F272"/>
    <mergeCell ref="E326:F326"/>
    <mergeCell ref="E539:F539"/>
    <mergeCell ref="E546:F546"/>
    <mergeCell ref="E604:F604"/>
    <mergeCell ref="E350:F350"/>
    <mergeCell ref="E452:F452"/>
    <mergeCell ref="E521:F521"/>
    <mergeCell ref="D537:F537"/>
    <mergeCell ref="B8:E8"/>
    <mergeCell ref="E130:F130"/>
    <mergeCell ref="E200:F200"/>
    <mergeCell ref="D198:F198"/>
    <mergeCell ref="E22:F22"/>
    <mergeCell ref="E17:F17"/>
    <mergeCell ref="D15:F15"/>
    <mergeCell ref="C11:F11"/>
    <mergeCell ref="C12:F12"/>
    <mergeCell ref="C13:F13"/>
    <mergeCell ref="E100:F100"/>
    <mergeCell ref="E167:F167"/>
    <mergeCell ref="E161:F161"/>
    <mergeCell ref="E157:F157"/>
    <mergeCell ref="E148:F148"/>
    <mergeCell ref="E141:F141"/>
  </mergeCells>
  <phoneticPr fontId="29" type="noConversion"/>
  <printOptions horizontalCentered="1"/>
  <pageMargins left="0.64" right="0.67" top="0.78" bottom="0.91" header="0.41" footer="0.5"/>
  <pageSetup scale="68" fitToHeight="15" orientation="portrait" r:id="rId1"/>
  <headerFooter alignWithMargins="0">
    <oddHeader>&amp;RPrint Date: &amp;D</oddHeader>
    <oddFooter>&amp;L&amp;6          &amp;F\ &amp;A
&amp;C&amp;"Arial MT,Bold"&amp;10Page &amp;P of &amp;N&amp;R&amp;G</oddFooter>
  </headerFooter>
  <ignoredErrors>
    <ignoredError sqref="C15:C756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503"/>
  <sheetViews>
    <sheetView showGridLines="0" showOutlineSymbols="0" zoomScale="70" zoomScaleNormal="70" workbookViewId="0">
      <selection activeCell="R24" sqref="R24"/>
    </sheetView>
  </sheetViews>
  <sheetFormatPr defaultColWidth="11.453125" defaultRowHeight="16.2"/>
  <cols>
    <col min="1" max="1" width="2.36328125" style="710" customWidth="1"/>
    <col min="2" max="2" width="22.6328125" style="710" customWidth="1"/>
    <col min="3" max="3" width="25.1796875" style="710" customWidth="1"/>
    <col min="4" max="4" width="54.54296875" style="710" customWidth="1"/>
    <col min="5" max="5" width="3.36328125" style="710" customWidth="1"/>
    <col min="6" max="6" width="19.90625" style="710" bestFit="1" customWidth="1"/>
    <col min="7" max="7" width="2.453125" style="710" customWidth="1"/>
    <col min="8" max="8" width="22.36328125" style="710" bestFit="1" customWidth="1"/>
    <col min="9" max="9" width="3.08984375" style="710" customWidth="1"/>
    <col min="10" max="10" width="18.08984375" style="710" bestFit="1" customWidth="1"/>
    <col min="11" max="11" width="3.08984375" style="710" customWidth="1"/>
    <col min="12" max="12" width="27" style="710" bestFit="1" customWidth="1"/>
    <col min="13" max="13" width="2.90625" style="710" customWidth="1"/>
    <col min="14" max="14" width="25.81640625" style="710" bestFit="1" customWidth="1"/>
    <col min="15" max="15" width="2.90625" style="710" customWidth="1"/>
    <col min="16" max="16" width="13" style="710" bestFit="1" customWidth="1"/>
    <col min="17" max="17" width="2.36328125" style="710" customWidth="1"/>
    <col min="18" max="18" width="16.81640625" style="710" customWidth="1"/>
    <col min="19" max="19" width="11.453125" style="710" customWidth="1"/>
    <col min="20" max="20" width="17" style="720" bestFit="1" customWidth="1"/>
    <col min="21" max="16384" width="11.453125" style="710"/>
  </cols>
  <sheetData>
    <row r="1" spans="1:17" ht="22.2">
      <c r="A1" s="714"/>
      <c r="B1" s="715" t="str">
        <f>+'Cover Sheet'!B11:J11</f>
        <v>10 MW PV Solar  - Standard Efficiency Crystalline Panels</v>
      </c>
      <c r="C1" s="715"/>
      <c r="D1" s="716"/>
      <c r="E1" s="716"/>
      <c r="F1" s="716"/>
      <c r="H1" s="717"/>
      <c r="I1" s="718"/>
      <c r="J1" s="718"/>
      <c r="M1" s="719"/>
      <c r="N1" s="714"/>
      <c r="O1" s="719"/>
      <c r="P1" s="714"/>
      <c r="Q1" s="714"/>
    </row>
    <row r="2" spans="1:17">
      <c r="A2" s="714"/>
      <c r="B2" s="721" t="s">
        <v>2025</v>
      </c>
      <c r="C2" s="716" t="s">
        <v>2189</v>
      </c>
      <c r="D2" s="716"/>
      <c r="E2" s="716"/>
      <c r="F2" s="716"/>
      <c r="G2" s="714"/>
      <c r="H2" s="722"/>
      <c r="I2" s="718"/>
      <c r="J2" s="718"/>
      <c r="K2" s="718"/>
      <c r="L2" s="718"/>
      <c r="M2" s="718"/>
      <c r="N2" s="714"/>
      <c r="O2" s="718"/>
      <c r="P2" s="714"/>
      <c r="Q2" s="714"/>
    </row>
    <row r="3" spans="1:17">
      <c r="A3" s="714"/>
      <c r="B3" s="721" t="s">
        <v>517</v>
      </c>
      <c r="C3" s="723">
        <v>221566</v>
      </c>
      <c r="D3" s="716"/>
      <c r="E3" s="716"/>
      <c r="F3" s="716"/>
      <c r="G3" s="714"/>
      <c r="H3" s="722"/>
      <c r="I3" s="718"/>
      <c r="J3" s="718"/>
      <c r="K3" s="718"/>
      <c r="L3" s="718"/>
      <c r="M3" s="718"/>
      <c r="N3" s="714"/>
      <c r="O3" s="718"/>
      <c r="P3" s="714"/>
      <c r="Q3" s="714"/>
    </row>
    <row r="4" spans="1:17" ht="14.1" customHeight="1">
      <c r="A4" s="714"/>
      <c r="B4" s="721" t="s">
        <v>2026</v>
      </c>
      <c r="C4" s="724" t="s">
        <v>2500</v>
      </c>
      <c r="D4" s="716"/>
      <c r="E4" s="716"/>
      <c r="F4" s="716"/>
      <c r="G4" s="714"/>
      <c r="H4" s="3109"/>
      <c r="I4" s="718"/>
      <c r="J4" s="718"/>
      <c r="K4" s="718"/>
      <c r="L4" s="718"/>
      <c r="M4" s="718"/>
      <c r="N4" s="718"/>
      <c r="O4" s="718"/>
      <c r="P4" s="718"/>
      <c r="Q4" s="718"/>
    </row>
    <row r="5" spans="1:17" ht="15" customHeight="1">
      <c r="A5" s="714"/>
      <c r="B5" s="721" t="s">
        <v>2027</v>
      </c>
      <c r="C5" s="716" t="s">
        <v>2484</v>
      </c>
      <c r="D5" s="716"/>
      <c r="E5" s="716"/>
      <c r="F5" s="716"/>
      <c r="G5" s="714"/>
      <c r="H5" s="3110"/>
      <c r="I5" s="714"/>
      <c r="J5" s="714"/>
      <c r="K5" s="714"/>
      <c r="L5" s="714"/>
      <c r="M5" s="714"/>
      <c r="Q5" s="725"/>
    </row>
    <row r="6" spans="1:17" ht="15" customHeight="1">
      <c r="A6" s="714"/>
      <c r="B6" s="721" t="s">
        <v>2028</v>
      </c>
      <c r="C6" s="716" t="s">
        <v>2294</v>
      </c>
      <c r="D6" s="716"/>
      <c r="E6" s="716"/>
      <c r="F6" s="716"/>
      <c r="G6" s="714"/>
      <c r="H6" s="3110"/>
      <c r="I6" s="714"/>
      <c r="J6" s="714"/>
      <c r="K6" s="714"/>
      <c r="L6" s="714"/>
      <c r="M6" s="714"/>
      <c r="N6" s="726" t="s">
        <v>2024</v>
      </c>
      <c r="O6" s="716"/>
      <c r="P6" s="725">
        <f>'Cover Sheet'!$B$20</f>
        <v>41681</v>
      </c>
      <c r="Q6" s="725"/>
    </row>
    <row r="7" spans="1:17">
      <c r="A7" s="714"/>
      <c r="B7" s="721" t="s">
        <v>1903</v>
      </c>
      <c r="C7" s="716" t="s">
        <v>305</v>
      </c>
      <c r="D7" s="716"/>
      <c r="E7" s="716"/>
      <c r="F7" s="716"/>
      <c r="G7" s="714"/>
      <c r="H7" s="714"/>
      <c r="I7" s="714"/>
      <c r="J7" s="714"/>
      <c r="K7" s="714"/>
      <c r="L7" s="714"/>
      <c r="M7" s="714"/>
      <c r="N7" s="726"/>
      <c r="O7" s="714"/>
      <c r="P7" s="727"/>
      <c r="Q7" s="727"/>
    </row>
    <row r="8" spans="1:17">
      <c r="A8" s="714"/>
      <c r="B8" s="721"/>
      <c r="C8" s="716"/>
      <c r="D8" s="716"/>
      <c r="E8" s="716"/>
      <c r="F8" s="716"/>
      <c r="G8" s="714"/>
      <c r="H8" s="714"/>
      <c r="I8" s="714"/>
      <c r="J8" s="714"/>
      <c r="K8" s="714"/>
      <c r="L8" s="714"/>
      <c r="M8" s="714"/>
      <c r="N8" s="726"/>
      <c r="O8" s="714"/>
      <c r="P8" s="727"/>
      <c r="Q8" s="727"/>
    </row>
    <row r="9" spans="1:17">
      <c r="A9" s="714"/>
      <c r="B9" s="730" t="s">
        <v>2488</v>
      </c>
      <c r="C9" s="731"/>
      <c r="D9" s="3111"/>
      <c r="E9" s="3111"/>
      <c r="F9" s="3111"/>
      <c r="G9" s="732"/>
      <c r="H9" s="733"/>
      <c r="I9" s="734"/>
      <c r="J9" s="731" t="s">
        <v>1777</v>
      </c>
      <c r="K9" s="735"/>
      <c r="L9" s="736" t="s">
        <v>2502</v>
      </c>
      <c r="M9" s="737"/>
      <c r="N9" s="738"/>
      <c r="O9" s="737"/>
      <c r="P9" s="739"/>
      <c r="Q9" s="729"/>
    </row>
    <row r="10" spans="1:17" ht="19.5" customHeight="1">
      <c r="A10" s="714"/>
      <c r="B10" s="740"/>
      <c r="C10" s="741"/>
      <c r="D10" s="3112" t="s">
        <v>1069</v>
      </c>
      <c r="E10" s="3112"/>
      <c r="F10" s="3112"/>
      <c r="G10" s="743"/>
      <c r="H10" s="2058" t="s">
        <v>305</v>
      </c>
      <c r="I10" s="744"/>
      <c r="J10" s="742" t="s">
        <v>987</v>
      </c>
      <c r="K10" s="745"/>
      <c r="L10" s="3087">
        <v>10</v>
      </c>
      <c r="M10" s="747"/>
      <c r="N10" s="748" t="s">
        <v>1349</v>
      </c>
      <c r="O10" s="747"/>
      <c r="P10" s="749" t="s">
        <v>961</v>
      </c>
      <c r="Q10" s="729"/>
    </row>
    <row r="11" spans="1:17" ht="18" customHeight="1">
      <c r="A11" s="714"/>
      <c r="B11" s="750"/>
      <c r="C11" s="741"/>
      <c r="D11" s="3113" t="s">
        <v>1068</v>
      </c>
      <c r="E11" s="3113"/>
      <c r="F11" s="3113"/>
      <c r="G11" s="3042" t="s">
        <v>1900</v>
      </c>
      <c r="H11" s="2059" t="s">
        <v>305</v>
      </c>
      <c r="I11" s="744"/>
      <c r="J11" s="742" t="s">
        <v>1778</v>
      </c>
      <c r="K11" s="745"/>
      <c r="L11" s="746">
        <v>1</v>
      </c>
      <c r="M11" s="747"/>
      <c r="N11" s="753" t="s">
        <v>1350</v>
      </c>
      <c r="O11" s="747"/>
      <c r="P11" s="749" t="s">
        <v>961</v>
      </c>
      <c r="Q11" s="754"/>
    </row>
    <row r="12" spans="1:17">
      <c r="A12" s="714"/>
      <c r="B12" s="755"/>
      <c r="C12" s="756"/>
      <c r="D12" s="3114" t="s">
        <v>877</v>
      </c>
      <c r="E12" s="3114"/>
      <c r="F12" s="3114"/>
      <c r="G12" s="757"/>
      <c r="H12" s="2060">
        <v>42705</v>
      </c>
      <c r="I12" s="759"/>
      <c r="J12" s="756" t="s">
        <v>1954</v>
      </c>
      <c r="K12" s="760"/>
      <c r="L12" s="761" t="s">
        <v>2501</v>
      </c>
      <c r="M12" s="762"/>
      <c r="N12" s="763" t="s">
        <v>1955</v>
      </c>
      <c r="O12" s="762"/>
      <c r="P12" s="3090" t="s">
        <v>961</v>
      </c>
      <c r="Q12" s="754"/>
    </row>
    <row r="13" spans="1:17" ht="10.5" customHeight="1"/>
    <row r="14" spans="1:17">
      <c r="A14" s="714"/>
      <c r="B14" s="3115" t="s">
        <v>1961</v>
      </c>
      <c r="C14" s="3116"/>
      <c r="D14" s="3121" t="s">
        <v>1956</v>
      </c>
      <c r="E14" s="3122"/>
      <c r="F14" s="3122"/>
      <c r="G14" s="3122"/>
      <c r="H14" s="3122"/>
      <c r="I14" s="3122"/>
      <c r="J14" s="3122"/>
      <c r="K14" s="3122"/>
      <c r="L14" s="3122"/>
      <c r="M14" s="3123"/>
      <c r="N14" s="764"/>
      <c r="O14" s="765"/>
      <c r="P14" s="766"/>
      <c r="Q14" s="767"/>
    </row>
    <row r="15" spans="1:17">
      <c r="A15" s="714"/>
      <c r="B15" s="3117"/>
      <c r="C15" s="3118"/>
      <c r="D15" s="768" t="s">
        <v>1957</v>
      </c>
      <c r="E15" s="766"/>
      <c r="F15" s="769" t="s">
        <v>1958</v>
      </c>
      <c r="G15" s="766"/>
      <c r="H15" s="769" t="s">
        <v>1958</v>
      </c>
      <c r="I15" s="766"/>
      <c r="J15" s="769" t="s">
        <v>1958</v>
      </c>
      <c r="K15" s="766"/>
      <c r="L15" s="769" t="s">
        <v>1959</v>
      </c>
      <c r="M15" s="770"/>
      <c r="N15" s="771" t="s">
        <v>1960</v>
      </c>
      <c r="O15" s="769"/>
      <c r="P15" s="772"/>
      <c r="Q15" s="767"/>
    </row>
    <row r="16" spans="1:17">
      <c r="A16" s="714"/>
      <c r="B16" s="3119"/>
      <c r="C16" s="3120"/>
      <c r="D16" s="773" t="s">
        <v>1962</v>
      </c>
      <c r="E16" s="774"/>
      <c r="F16" s="775" t="s">
        <v>1963</v>
      </c>
      <c r="G16" s="774"/>
      <c r="H16" s="775" t="s">
        <v>1964</v>
      </c>
      <c r="I16" s="774"/>
      <c r="J16" s="775" t="s">
        <v>2059</v>
      </c>
      <c r="K16" s="774"/>
      <c r="L16" s="775" t="s">
        <v>1694</v>
      </c>
      <c r="M16" s="776"/>
      <c r="N16" s="777" t="s">
        <v>1965</v>
      </c>
      <c r="O16" s="775"/>
      <c r="P16" s="774" t="s">
        <v>1774</v>
      </c>
      <c r="Q16" s="767"/>
    </row>
    <row r="17" spans="1:20" ht="10.5" customHeight="1">
      <c r="A17" s="714"/>
      <c r="B17" s="714"/>
      <c r="C17" s="714"/>
      <c r="D17" s="778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14"/>
      <c r="Q17" s="714"/>
    </row>
    <row r="18" spans="1:20" ht="20.100000000000001" customHeight="1">
      <c r="A18" s="714"/>
      <c r="B18" s="3086" t="s">
        <v>2504</v>
      </c>
      <c r="C18" s="781"/>
      <c r="D18" s="782">
        <f>'Estimate Details'!N35</f>
        <v>0</v>
      </c>
      <c r="E18" s="783"/>
      <c r="F18" s="782">
        <f>'Estimate Details'!O35</f>
        <v>831050</v>
      </c>
      <c r="G18" s="783"/>
      <c r="H18" s="782">
        <f>'Estimate Details'!R35</f>
        <v>893439.11430083762</v>
      </c>
      <c r="I18" s="783"/>
      <c r="J18" s="784">
        <f>'Estimate Details'!S35</f>
        <v>19838.715500000002</v>
      </c>
      <c r="K18" s="783"/>
      <c r="L18" s="784">
        <f>'Estimate Details'!U35</f>
        <v>515750</v>
      </c>
      <c r="M18" s="783"/>
      <c r="N18" s="2062">
        <f t="shared" ref="N18" si="0">D18+F18+H18+L18</f>
        <v>2240239.1143008377</v>
      </c>
      <c r="O18" s="783"/>
      <c r="P18" s="786">
        <f t="shared" ref="P18:P25" si="1">N18/$N$42</f>
        <v>7.7275509897399675E-2</v>
      </c>
      <c r="Q18" s="787"/>
      <c r="R18" s="789">
        <f>'Estimate Details'!V35</f>
        <v>2240239.1143008373</v>
      </c>
    </row>
    <row r="19" spans="1:20" ht="20.100000000000001" customHeight="1">
      <c r="A19" s="714"/>
      <c r="B19" s="790" t="s">
        <v>2506</v>
      </c>
      <c r="C19" s="791"/>
      <c r="D19" s="792">
        <f>'Estimate Details'!N41</f>
        <v>0</v>
      </c>
      <c r="E19" s="787"/>
      <c r="F19" s="792">
        <f>'Estimate Details'!O41</f>
        <v>8998875</v>
      </c>
      <c r="G19" s="787"/>
      <c r="H19" s="792">
        <f>'Estimate Details'!R41</f>
        <v>0</v>
      </c>
      <c r="I19" s="787"/>
      <c r="J19" s="793">
        <f>'Estimate Details'!S41</f>
        <v>0</v>
      </c>
      <c r="K19" s="787"/>
      <c r="L19" s="793">
        <f>'Estimate Details'!U41</f>
        <v>2750000</v>
      </c>
      <c r="M19" s="787"/>
      <c r="N19" s="811">
        <f t="shared" ref="N19:N22" si="2">D19+F19+H19+L19</f>
        <v>11748875</v>
      </c>
      <c r="O19" s="787"/>
      <c r="P19" s="795">
        <f t="shared" si="1"/>
        <v>0.40526937528682544</v>
      </c>
      <c r="Q19" s="787"/>
      <c r="R19" s="789">
        <f>'Estimate Details'!V41</f>
        <v>11748875</v>
      </c>
      <c r="T19" s="710"/>
    </row>
    <row r="20" spans="1:20" ht="20.100000000000001" customHeight="1">
      <c r="A20" s="714"/>
      <c r="B20" s="790" t="s">
        <v>2507</v>
      </c>
      <c r="C20" s="791"/>
      <c r="D20" s="792">
        <f>'Estimate Details'!N46</f>
        <v>0</v>
      </c>
      <c r="E20" s="787"/>
      <c r="F20" s="792">
        <f>'Estimate Details'!O46</f>
        <v>2400000</v>
      </c>
      <c r="G20" s="787"/>
      <c r="H20" s="792">
        <f>'Estimate Details'!R46</f>
        <v>173317.93997132897</v>
      </c>
      <c r="I20" s="787"/>
      <c r="J20" s="793">
        <f>'Estimate Details'!S46</f>
        <v>2604</v>
      </c>
      <c r="K20" s="787"/>
      <c r="L20" s="793">
        <f>'Estimate Details'!U46</f>
        <v>0</v>
      </c>
      <c r="M20" s="787"/>
      <c r="N20" s="811">
        <f t="shared" si="2"/>
        <v>2573317.9399713292</v>
      </c>
      <c r="O20" s="787"/>
      <c r="P20" s="795">
        <f t="shared" si="1"/>
        <v>8.8764835266913741E-2</v>
      </c>
      <c r="Q20" s="787"/>
      <c r="R20" s="789">
        <f>'Estimate Details'!V46</f>
        <v>2573317.9399713292</v>
      </c>
      <c r="T20" s="710"/>
    </row>
    <row r="21" spans="1:20" ht="20.100000000000001" customHeight="1">
      <c r="A21" s="714"/>
      <c r="B21" s="790" t="s">
        <v>2508</v>
      </c>
      <c r="C21" s="791"/>
      <c r="D21" s="792">
        <f>'Estimate Details'!$N$67</f>
        <v>0</v>
      </c>
      <c r="E21" s="787"/>
      <c r="F21" s="792">
        <f>'Estimate Details'!$O$67</f>
        <v>1838138.9600000002</v>
      </c>
      <c r="G21" s="787"/>
      <c r="H21" s="792">
        <f>'Estimate Details'!$R$67</f>
        <v>1978282.083958379</v>
      </c>
      <c r="I21" s="787"/>
      <c r="J21" s="793">
        <f>'Estimate Details'!$S$67</f>
        <v>40529.6325</v>
      </c>
      <c r="K21" s="787"/>
      <c r="L21" s="793">
        <f>'Estimate Details'!$U$67</f>
        <v>0</v>
      </c>
      <c r="M21" s="787"/>
      <c r="N21" s="811">
        <f t="shared" si="2"/>
        <v>3816421.043958379</v>
      </c>
      <c r="O21" s="787"/>
      <c r="P21" s="795">
        <f t="shared" si="1"/>
        <v>0.13164482321213788</v>
      </c>
      <c r="Q21" s="787"/>
      <c r="R21" s="789">
        <f>+'Estimate Details'!V67</f>
        <v>3816421.0439583794</v>
      </c>
      <c r="T21" s="710"/>
    </row>
    <row r="22" spans="1:20" ht="20.100000000000001" customHeight="1">
      <c r="A22" s="714"/>
      <c r="B22" s="790" t="s">
        <v>2509</v>
      </c>
      <c r="C22" s="791"/>
      <c r="D22" s="792">
        <f>+'Estimate Details'!$N$73</f>
        <v>0</v>
      </c>
      <c r="E22" s="787"/>
      <c r="F22" s="792">
        <f>+'Estimate Details'!$O$73</f>
        <v>200000</v>
      </c>
      <c r="G22" s="787"/>
      <c r="H22" s="792">
        <f>+'Estimate Details'!$R$73</f>
        <v>229451.1279899033</v>
      </c>
      <c r="I22" s="787"/>
      <c r="J22" s="793">
        <f>+'Estimate Details'!$S$73</f>
        <v>4557</v>
      </c>
      <c r="K22" s="787"/>
      <c r="L22" s="793">
        <f>+'Estimate Details'!$U$73</f>
        <v>0</v>
      </c>
      <c r="M22" s="787"/>
      <c r="N22" s="811">
        <f t="shared" si="2"/>
        <v>429451.12798990333</v>
      </c>
      <c r="O22" s="787"/>
      <c r="P22" s="795">
        <f t="shared" si="1"/>
        <v>1.4813621760099639E-2</v>
      </c>
      <c r="Q22" s="787"/>
      <c r="R22" s="789">
        <f>+'Estimate Details'!V73</f>
        <v>429451.12798990327</v>
      </c>
      <c r="T22" s="710"/>
    </row>
    <row r="23" spans="1:20" ht="20.100000000000001" customHeight="1">
      <c r="A23" s="779"/>
      <c r="B23" s="780" t="s">
        <v>1554</v>
      </c>
      <c r="C23" s="781"/>
      <c r="D23" s="799">
        <f>SUM(D18:D22)</f>
        <v>0</v>
      </c>
      <c r="E23" s="800"/>
      <c r="F23" s="799">
        <f>SUM(F18:F22)</f>
        <v>14268063.960000001</v>
      </c>
      <c r="G23" s="800"/>
      <c r="H23" s="799">
        <f>SUM(H18:H22)</f>
        <v>3274490.2662204485</v>
      </c>
      <c r="I23" s="800"/>
      <c r="J23" s="801">
        <f>SUM(J18:J22)</f>
        <v>67529.347999999998</v>
      </c>
      <c r="K23" s="800"/>
      <c r="L23" s="799">
        <f>SUM(L18:L22)</f>
        <v>3265750</v>
      </c>
      <c r="M23" s="783"/>
      <c r="N23" s="1591">
        <f>SUM(N18:N22)</f>
        <v>20808304.226220451</v>
      </c>
      <c r="O23" s="783"/>
      <c r="P23" s="786">
        <f t="shared" si="1"/>
        <v>0.7177681654233764</v>
      </c>
      <c r="Q23" s="787"/>
      <c r="R23" s="796">
        <f>+'Estimate Details'!V76</f>
        <v>20808304.226220451</v>
      </c>
      <c r="T23" s="710"/>
    </row>
    <row r="24" spans="1:20" ht="20.100000000000001" customHeight="1">
      <c r="A24" s="714"/>
      <c r="B24" s="790" t="s">
        <v>2311</v>
      </c>
      <c r="C24" s="791"/>
      <c r="D24" s="788"/>
      <c r="E24" s="779"/>
      <c r="F24" s="788" t="str">
        <f>'Estimate Details'!$O$77</f>
        <v xml:space="preserve"> </v>
      </c>
      <c r="G24" s="787"/>
      <c r="H24" s="779"/>
      <c r="I24" s="779"/>
      <c r="J24" s="788"/>
      <c r="K24" s="779"/>
      <c r="L24" s="788">
        <f>'Estimate Details'!U77</f>
        <v>54221.688000000002</v>
      </c>
      <c r="M24" s="787"/>
      <c r="N24" s="811">
        <f>'Estimate Details'!V77</f>
        <v>54221.688000000002</v>
      </c>
      <c r="O24" s="787"/>
      <c r="P24" s="795">
        <f t="shared" si="1"/>
        <v>1.8703398940542954E-3</v>
      </c>
      <c r="Q24" s="787"/>
      <c r="R24" s="802">
        <f>+'Estimate Details'!V78</f>
        <v>0</v>
      </c>
      <c r="T24" s="710"/>
    </row>
    <row r="25" spans="1:20" ht="20.100000000000001" customHeight="1">
      <c r="A25" s="714"/>
      <c r="B25" s="803" t="s">
        <v>100</v>
      </c>
      <c r="C25" s="804"/>
      <c r="D25" s="805">
        <f>SUM(D23:D24)</f>
        <v>0</v>
      </c>
      <c r="E25" s="806"/>
      <c r="F25" s="805">
        <f>SUM(F23:F24)</f>
        <v>14268063.960000001</v>
      </c>
      <c r="G25" s="806"/>
      <c r="H25" s="805">
        <f>SUM(H23)</f>
        <v>3274490.2662204485</v>
      </c>
      <c r="I25" s="806"/>
      <c r="J25" s="807">
        <f>SUM(J23:J24)</f>
        <v>67529.347999999998</v>
      </c>
      <c r="K25" s="806"/>
      <c r="L25" s="805">
        <f>SUM(L23+L24)</f>
        <v>3319971.6880000001</v>
      </c>
      <c r="M25" s="806"/>
      <c r="N25" s="820">
        <f>SUM(N23:N24)</f>
        <v>20862525.914220452</v>
      </c>
      <c r="O25" s="806"/>
      <c r="P25" s="808">
        <f t="shared" si="1"/>
        <v>0.71963850531743079</v>
      </c>
      <c r="Q25" s="787"/>
      <c r="R25" s="802">
        <f>+'Estimate Details'!V79</f>
        <v>20862525.914220452</v>
      </c>
      <c r="T25" s="710"/>
    </row>
    <row r="26" spans="1:20" ht="20.100000000000001" customHeight="1">
      <c r="A26" s="714"/>
      <c r="B26" s="790" t="s">
        <v>391</v>
      </c>
      <c r="C26" s="791"/>
      <c r="D26" s="792"/>
      <c r="E26" s="809"/>
      <c r="F26" s="792"/>
      <c r="G26" s="809"/>
      <c r="H26" s="792"/>
      <c r="I26" s="809"/>
      <c r="J26" s="793"/>
      <c r="K26" s="809"/>
      <c r="L26" s="792"/>
      <c r="M26" s="809"/>
      <c r="N26" s="792"/>
      <c r="O26" s="809"/>
      <c r="P26" s="810"/>
      <c r="Q26" s="809"/>
      <c r="T26" s="710"/>
    </row>
    <row r="27" spans="1:20" ht="20.100000000000001" customHeight="1" thickBot="1">
      <c r="A27" s="714"/>
      <c r="B27" s="790" t="s">
        <v>2510</v>
      </c>
      <c r="C27" s="791"/>
      <c r="D27" s="792"/>
      <c r="E27" s="809"/>
      <c r="F27" s="792"/>
      <c r="G27" s="809"/>
      <c r="H27" s="792" t="str">
        <f>'Estimate Details'!$R83</f>
        <v xml:space="preserve"> </v>
      </c>
      <c r="I27" s="809"/>
      <c r="J27" s="793" t="str">
        <f>'Estimate Details'!$S83</f>
        <v xml:space="preserve"> </v>
      </c>
      <c r="K27" s="809"/>
      <c r="L27" s="792" t="s">
        <v>305</v>
      </c>
      <c r="M27" s="787"/>
      <c r="N27" s="792">
        <f>'Estimate Details'!V85</f>
        <v>3129378.8871330679</v>
      </c>
      <c r="O27" s="787"/>
      <c r="P27" s="795">
        <f>N27/$N$42</f>
        <v>0.10794577579761462</v>
      </c>
      <c r="Q27" s="787"/>
      <c r="R27" s="798"/>
      <c r="T27" s="710"/>
    </row>
    <row r="28" spans="1:20" ht="20.100000000000001" customHeight="1" thickTop="1">
      <c r="A28" s="714"/>
      <c r="B28" s="812" t="s">
        <v>101</v>
      </c>
      <c r="C28" s="813"/>
      <c r="D28" s="814"/>
      <c r="E28" s="815"/>
      <c r="F28" s="814">
        <v>0</v>
      </c>
      <c r="G28" s="815"/>
      <c r="H28" s="814">
        <v>0</v>
      </c>
      <c r="I28" s="815"/>
      <c r="J28" s="816">
        <v>0</v>
      </c>
      <c r="K28" s="815"/>
      <c r="L28" s="814">
        <v>0</v>
      </c>
      <c r="M28" s="817"/>
      <c r="N28" s="814">
        <f>SUM(N26:N27)</f>
        <v>3129378.8871330679</v>
      </c>
      <c r="O28" s="817"/>
      <c r="P28" s="818">
        <f>N28/$N$42</f>
        <v>0.10794577579761462</v>
      </c>
      <c r="Q28" s="787"/>
      <c r="R28" s="798">
        <f>+'Estimate Details'!V85</f>
        <v>3129378.8871330679</v>
      </c>
      <c r="T28" s="710"/>
    </row>
    <row r="29" spans="1:20" ht="20.100000000000001" customHeight="1">
      <c r="A29" s="714"/>
      <c r="B29" s="803" t="s">
        <v>102</v>
      </c>
      <c r="C29" s="804"/>
      <c r="D29" s="805">
        <f>D28+D25</f>
        <v>0</v>
      </c>
      <c r="E29" s="806"/>
      <c r="F29" s="805">
        <f>SUM(F28,F25)</f>
        <v>14268063.960000001</v>
      </c>
      <c r="G29" s="806"/>
      <c r="H29" s="805">
        <f>H28+H25</f>
        <v>3274490.2662204485</v>
      </c>
      <c r="I29" s="806"/>
      <c r="J29" s="807">
        <f>J28+J25</f>
        <v>67529.347999999998</v>
      </c>
      <c r="K29" s="806"/>
      <c r="L29" s="805">
        <f>L28+L25</f>
        <v>3319971.6880000001</v>
      </c>
      <c r="M29" s="819"/>
      <c r="N29" s="820">
        <f>N28+N25</f>
        <v>23991904.801353522</v>
      </c>
      <c r="O29" s="819"/>
      <c r="P29" s="808">
        <f>N29/$N$42</f>
        <v>0.82758428111504545</v>
      </c>
      <c r="Q29" s="787"/>
      <c r="R29" s="802">
        <f>+'Estimate Details'!V87</f>
        <v>23991904.801353522</v>
      </c>
      <c r="T29" s="710"/>
    </row>
    <row r="30" spans="1:20" ht="20.100000000000001" customHeight="1">
      <c r="A30" s="714"/>
      <c r="B30" s="790" t="s">
        <v>1295</v>
      </c>
      <c r="C30" s="791"/>
      <c r="D30" s="797"/>
      <c r="E30" s="779"/>
      <c r="F30" s="797"/>
      <c r="G30" s="779"/>
      <c r="H30" s="797"/>
      <c r="I30" s="779"/>
      <c r="J30" s="788">
        <f>(L23*0.45)/57</f>
        <v>25782.236842105263</v>
      </c>
      <c r="K30" s="779"/>
      <c r="L30" s="797"/>
      <c r="M30" s="1864"/>
      <c r="N30" s="838"/>
      <c r="O30" s="1864"/>
      <c r="P30" s="795"/>
      <c r="Q30" s="787"/>
      <c r="R30" s="802"/>
      <c r="T30" s="710"/>
    </row>
    <row r="31" spans="1:20" ht="20.100000000000001" customHeight="1">
      <c r="A31" s="714"/>
      <c r="B31" s="790" t="s">
        <v>514</v>
      </c>
      <c r="C31" s="791"/>
      <c r="D31" s="792"/>
      <c r="E31" s="809"/>
      <c r="F31" s="792"/>
      <c r="G31" s="809"/>
      <c r="H31" s="792"/>
      <c r="I31" s="809"/>
      <c r="J31" s="793"/>
      <c r="K31" s="809"/>
      <c r="L31" s="792"/>
      <c r="M31" s="787"/>
      <c r="N31" s="792"/>
      <c r="O31" s="787"/>
      <c r="P31" s="795"/>
      <c r="Q31" s="787"/>
      <c r="T31" s="710"/>
    </row>
    <row r="32" spans="1:20" ht="20.100000000000001" customHeight="1">
      <c r="A32" s="714"/>
      <c r="B32" s="790" t="s">
        <v>2100</v>
      </c>
      <c r="C32" s="791"/>
      <c r="D32" s="792"/>
      <c r="E32" s="809"/>
      <c r="F32" s="792"/>
      <c r="G32" s="809"/>
      <c r="H32" s="792"/>
      <c r="I32" s="809"/>
      <c r="J32" s="792"/>
      <c r="K32" s="809"/>
      <c r="L32" s="792">
        <f>'Estimate Details'!$U$95</f>
        <v>2309271.432121817</v>
      </c>
      <c r="M32" s="787"/>
      <c r="N32" s="792">
        <f>'Estimate Details'!$V$95</f>
        <v>2309271.432121817</v>
      </c>
      <c r="O32" s="787"/>
      <c r="P32" s="795">
        <f>N32/$N$42</f>
        <v>7.9656732296813221E-2</v>
      </c>
      <c r="Q32" s="787"/>
      <c r="R32" s="798"/>
      <c r="T32" s="710"/>
    </row>
    <row r="33" spans="1:20" ht="20.100000000000001" customHeight="1">
      <c r="A33" s="714"/>
      <c r="B33" s="803" t="s">
        <v>180</v>
      </c>
      <c r="C33" s="804"/>
      <c r="D33" s="821">
        <f>SUM(D32:D32)</f>
        <v>0</v>
      </c>
      <c r="E33" s="822"/>
      <c r="F33" s="821">
        <f>SUM(F32:F32)</f>
        <v>0</v>
      </c>
      <c r="G33" s="823"/>
      <c r="H33" s="821">
        <f>SUM(H32:H32)</f>
        <v>0</v>
      </c>
      <c r="I33" s="822"/>
      <c r="J33" s="824">
        <f>SUM(J32:J32)</f>
        <v>0</v>
      </c>
      <c r="K33" s="822"/>
      <c r="L33" s="821">
        <f>SUM(L31:L32)</f>
        <v>2309271.432121817</v>
      </c>
      <c r="M33" s="823"/>
      <c r="N33" s="821">
        <f>SUM(N31:N32)</f>
        <v>2309271.432121817</v>
      </c>
      <c r="O33" s="823"/>
      <c r="P33" s="808">
        <f>N33/$N$42</f>
        <v>7.9656732296813221E-2</v>
      </c>
      <c r="Q33" s="787"/>
      <c r="R33" s="798">
        <f>+'Estimate Details'!V95</f>
        <v>2309271.432121817</v>
      </c>
      <c r="T33" s="710"/>
    </row>
    <row r="34" spans="1:20" ht="20.100000000000001" customHeight="1">
      <c r="A34" s="714"/>
      <c r="B34" s="790" t="s">
        <v>1225</v>
      </c>
      <c r="C34" s="791"/>
      <c r="D34" s="792"/>
      <c r="E34" s="809"/>
      <c r="F34" s="792"/>
      <c r="G34" s="809"/>
      <c r="H34" s="792"/>
      <c r="I34" s="809"/>
      <c r="J34" s="793"/>
      <c r="K34" s="809"/>
      <c r="L34" s="792"/>
      <c r="M34" s="787"/>
      <c r="N34" s="792"/>
      <c r="O34" s="787"/>
      <c r="P34" s="795"/>
      <c r="Q34" s="787"/>
      <c r="T34" s="710"/>
    </row>
    <row r="35" spans="1:20" ht="20.100000000000001" customHeight="1">
      <c r="A35" s="714"/>
      <c r="B35" s="790" t="s">
        <v>1172</v>
      </c>
      <c r="C35" s="791"/>
      <c r="D35" s="792"/>
      <c r="E35" s="809"/>
      <c r="F35" s="792"/>
      <c r="G35" s="809"/>
      <c r="H35" s="792"/>
      <c r="I35" s="809"/>
      <c r="J35" s="793"/>
      <c r="K35" s="809"/>
      <c r="L35" s="811">
        <f>'Estimate Details'!U99</f>
        <v>119959.52400676761</v>
      </c>
      <c r="M35" s="787"/>
      <c r="N35" s="792">
        <f>D35+F35+H35+L35</f>
        <v>119959.52400676761</v>
      </c>
      <c r="O35" s="787"/>
      <c r="P35" s="795">
        <f t="shared" ref="P35:P40" si="3">N35/$N$42</f>
        <v>4.1379214055752272E-3</v>
      </c>
      <c r="Q35" s="787"/>
      <c r="R35" s="798"/>
      <c r="T35" s="710"/>
    </row>
    <row r="36" spans="1:20" ht="20.100000000000001" customHeight="1">
      <c r="A36" s="714"/>
      <c r="B36" s="790" t="s">
        <v>144</v>
      </c>
      <c r="C36" s="791"/>
      <c r="D36" s="792"/>
      <c r="E36" s="809"/>
      <c r="F36" s="792"/>
      <c r="G36" s="809"/>
      <c r="H36" s="792"/>
      <c r="I36" s="809"/>
      <c r="J36" s="793"/>
      <c r="K36" s="809"/>
      <c r="L36" s="792">
        <f>'Estimate Details'!U100</f>
        <v>119959.52400676761</v>
      </c>
      <c r="M36" s="787"/>
      <c r="N36" s="811">
        <f>D36+F36+H36+L36</f>
        <v>119959.52400676761</v>
      </c>
      <c r="O36" s="787"/>
      <c r="P36" s="795">
        <f t="shared" si="3"/>
        <v>4.1379214055752272E-3</v>
      </c>
      <c r="Q36" s="787"/>
      <c r="R36" s="798"/>
      <c r="T36" s="710"/>
    </row>
    <row r="37" spans="1:20" ht="20.100000000000001" customHeight="1">
      <c r="A37" s="714"/>
      <c r="B37" s="825" t="s">
        <v>955</v>
      </c>
      <c r="C37" s="826"/>
      <c r="D37" s="827"/>
      <c r="E37" s="828"/>
      <c r="F37" s="827"/>
      <c r="G37" s="828"/>
      <c r="H37" s="827"/>
      <c r="I37" s="828"/>
      <c r="J37" s="829"/>
      <c r="K37" s="828"/>
      <c r="L37" s="827">
        <f>'Estimate Details'!U101</f>
        <v>50000</v>
      </c>
      <c r="M37" s="830"/>
      <c r="N37" s="831">
        <f>D37+F37+H37+L37</f>
        <v>50000</v>
      </c>
      <c r="O37" s="830"/>
      <c r="P37" s="832">
        <f t="shared" si="3"/>
        <v>1.7247156654863782E-3</v>
      </c>
      <c r="Q37" s="787"/>
      <c r="R37" s="798"/>
      <c r="T37" s="710"/>
    </row>
    <row r="38" spans="1:20" ht="20.100000000000001" customHeight="1">
      <c r="A38" s="714"/>
      <c r="B38" s="803" t="s">
        <v>826</v>
      </c>
      <c r="C38" s="804"/>
      <c r="D38" s="821">
        <f>SUM(D35:D37)</f>
        <v>0</v>
      </c>
      <c r="E38" s="822"/>
      <c r="F38" s="821">
        <f>SUM(F35:F37)</f>
        <v>0</v>
      </c>
      <c r="G38" s="822"/>
      <c r="H38" s="821">
        <f>SUM(H35:H37)</f>
        <v>0</v>
      </c>
      <c r="I38" s="822"/>
      <c r="J38" s="824">
        <f>SUM(J35:J37)</f>
        <v>0</v>
      </c>
      <c r="K38" s="822"/>
      <c r="L38" s="821">
        <f>SUM(L34:L37)</f>
        <v>289919.04801353521</v>
      </c>
      <c r="M38" s="823"/>
      <c r="N38" s="821">
        <f>SUM(N34:N37)</f>
        <v>289919.04801353521</v>
      </c>
      <c r="O38" s="823"/>
      <c r="P38" s="808">
        <f t="shared" si="3"/>
        <v>1.0000558476636832E-2</v>
      </c>
      <c r="Q38" s="787"/>
      <c r="R38" s="798">
        <f>+'Estimate Details'!V103</f>
        <v>289919.04801353521</v>
      </c>
      <c r="T38" s="710"/>
    </row>
    <row r="39" spans="1:20" ht="20.100000000000001" customHeight="1" thickBot="1">
      <c r="A39" s="714"/>
      <c r="B39" s="790" t="s">
        <v>147</v>
      </c>
      <c r="C39" s="791"/>
      <c r="D39" s="833">
        <f>SUM(D38,D33)</f>
        <v>0</v>
      </c>
      <c r="E39" s="834"/>
      <c r="F39" s="833">
        <f>SUM(F38,F33)</f>
        <v>0</v>
      </c>
      <c r="G39" s="834"/>
      <c r="H39" s="833">
        <f>SUM(H32:H37)</f>
        <v>0</v>
      </c>
      <c r="I39" s="834"/>
      <c r="J39" s="835">
        <f>SUM(J32:J37)</f>
        <v>0</v>
      </c>
      <c r="K39" s="834"/>
      <c r="L39" s="833">
        <f>SUM(L38,L33)</f>
        <v>2599190.4801353524</v>
      </c>
      <c r="M39" s="787"/>
      <c r="N39" s="833">
        <f>SUM(N38,N33)</f>
        <v>2599190.4801353524</v>
      </c>
      <c r="O39" s="787"/>
      <c r="P39" s="795">
        <f t="shared" si="3"/>
        <v>8.9657290773450068E-2</v>
      </c>
      <c r="Q39" s="787"/>
      <c r="R39" s="798"/>
      <c r="T39" s="710"/>
    </row>
    <row r="40" spans="1:20" ht="20.100000000000001" customHeight="1" thickTop="1">
      <c r="A40" s="714"/>
      <c r="B40" s="812" t="s">
        <v>1293</v>
      </c>
      <c r="C40" s="813"/>
      <c r="D40" s="816">
        <f>SUM(D29,D39:D39)</f>
        <v>0</v>
      </c>
      <c r="E40" s="816"/>
      <c r="F40" s="816">
        <f>SUM(F29,F39:F39)</f>
        <v>14268063.960000001</v>
      </c>
      <c r="G40" s="816"/>
      <c r="H40" s="816">
        <f>SUM(H29,H39:H39)</f>
        <v>3274490.2662204485</v>
      </c>
      <c r="I40" s="816"/>
      <c r="J40" s="816">
        <f>SUM(J29:J30)</f>
        <v>93311.584842105265</v>
      </c>
      <c r="K40" s="816"/>
      <c r="L40" s="816">
        <f>SUM(L29,L39:L39)</f>
        <v>5919162.1681353524</v>
      </c>
      <c r="M40" s="817"/>
      <c r="N40" s="816">
        <f>SUM(N29,N39:N39)</f>
        <v>26591095.281488873</v>
      </c>
      <c r="O40" s="817"/>
      <c r="P40" s="818">
        <f t="shared" si="3"/>
        <v>0.91724157188849553</v>
      </c>
      <c r="Q40" s="787"/>
      <c r="R40" s="798">
        <f>'Estimate Details'!V107</f>
        <v>26591095.281488873</v>
      </c>
      <c r="T40" s="710"/>
    </row>
    <row r="41" spans="1:20" ht="20.100000000000001" customHeight="1" thickBot="1">
      <c r="A41" s="714"/>
      <c r="B41" s="790" t="s">
        <v>2513</v>
      </c>
      <c r="C41" s="791"/>
      <c r="D41" s="833">
        <f>'Estimate Details'!N109</f>
        <v>0</v>
      </c>
      <c r="E41" s="834"/>
      <c r="F41" s="833">
        <f>'Estimate Details'!O109</f>
        <v>1426806.3960000002</v>
      </c>
      <c r="G41" s="836"/>
      <c r="H41" s="833">
        <f>'Estimate Details'!R109</f>
        <v>327449.02662204485</v>
      </c>
      <c r="I41" s="836"/>
      <c r="J41" s="833"/>
      <c r="K41" s="834"/>
      <c r="L41" s="833">
        <f>'Estimate Details'!U109</f>
        <v>644935.05751330685</v>
      </c>
      <c r="M41" s="787"/>
      <c r="N41" s="837">
        <f>D41+F41+H41+L41</f>
        <v>2399190.4801353519</v>
      </c>
      <c r="O41" s="787"/>
      <c r="P41" s="795">
        <f t="shared" ref="P41" si="4">N41/$N$42</f>
        <v>8.2758428111504537E-2</v>
      </c>
      <c r="Q41" s="787"/>
      <c r="R41" s="798">
        <f>+'Estimate Details'!V109</f>
        <v>2399190.4801353519</v>
      </c>
      <c r="T41" s="710"/>
    </row>
    <row r="42" spans="1:20" ht="20.100000000000001" customHeight="1" thickBot="1">
      <c r="A42" s="714"/>
      <c r="B42" s="839" t="s">
        <v>395</v>
      </c>
      <c r="C42" s="840"/>
      <c r="D42" s="841">
        <f>SUM(D40:D40)</f>
        <v>0</v>
      </c>
      <c r="E42" s="842"/>
      <c r="F42" s="841">
        <f>SUM(F40:F40)</f>
        <v>14268063.960000001</v>
      </c>
      <c r="G42" s="842"/>
      <c r="H42" s="841">
        <f>SUM(H40:H40)</f>
        <v>3274490.2662204485</v>
      </c>
      <c r="I42" s="842"/>
      <c r="J42" s="843">
        <f>SUM(J40:J40)</f>
        <v>93311.584842105265</v>
      </c>
      <c r="K42" s="842"/>
      <c r="L42" s="841">
        <f>SUM(L40:L40)</f>
        <v>5919162.1681353524</v>
      </c>
      <c r="M42" s="844"/>
      <c r="N42" s="845">
        <f>SUM(N40:N41)</f>
        <v>28990285.761624224</v>
      </c>
      <c r="O42" s="846"/>
      <c r="P42" s="847">
        <f>N42/$N$42</f>
        <v>1</v>
      </c>
      <c r="Q42" s="787"/>
      <c r="R42" s="802">
        <f>+'Estimate Details'!V113</f>
        <v>28990285.761624224</v>
      </c>
      <c r="T42" s="710"/>
    </row>
    <row r="43" spans="1:20" ht="20.100000000000001" customHeight="1" thickBot="1">
      <c r="A43" s="714"/>
      <c r="B43" s="848" t="s">
        <v>1552</v>
      </c>
      <c r="C43" s="849"/>
      <c r="D43" s="849"/>
      <c r="E43" s="850"/>
      <c r="F43" s="811"/>
      <c r="G43" s="850"/>
      <c r="H43" s="811"/>
      <c r="I43" s="850"/>
      <c r="J43" s="851"/>
      <c r="K43" s="850"/>
      <c r="L43" s="852"/>
      <c r="M43" s="852"/>
      <c r="N43" s="849">
        <f>+$N$42/(L10*1000)</f>
        <v>2899.0285761624223</v>
      </c>
      <c r="O43" s="852"/>
      <c r="P43" s="853"/>
      <c r="Q43" s="809"/>
      <c r="R43" s="798"/>
      <c r="T43" s="710"/>
    </row>
    <row r="44" spans="1:20" ht="20.100000000000001" customHeight="1">
      <c r="A44" s="855"/>
      <c r="B44" s="3107" t="s">
        <v>1750</v>
      </c>
      <c r="C44" s="3108"/>
      <c r="D44" s="856"/>
      <c r="E44" s="856"/>
      <c r="F44" s="856"/>
      <c r="G44" s="856"/>
      <c r="H44" s="856"/>
      <c r="I44" s="856"/>
      <c r="J44" s="856"/>
      <c r="K44" s="856"/>
      <c r="L44" s="856"/>
      <c r="M44" s="856"/>
      <c r="N44" s="856"/>
      <c r="O44" s="856"/>
      <c r="P44" s="857"/>
      <c r="Q44" s="855"/>
      <c r="T44" s="710"/>
    </row>
    <row r="45" spans="1:20" ht="20.100000000000001" customHeight="1">
      <c r="B45" s="858" t="s">
        <v>2301</v>
      </c>
      <c r="C45" s="859"/>
      <c r="D45" s="855"/>
      <c r="E45" s="855"/>
      <c r="F45" s="855"/>
      <c r="G45" s="855"/>
      <c r="H45" s="855"/>
      <c r="I45" s="855"/>
      <c r="J45" s="855"/>
      <c r="K45" s="855"/>
      <c r="L45" s="860"/>
      <c r="M45" s="861"/>
      <c r="N45" s="862">
        <f>'Estimate Details'!$V$132</f>
        <v>2920000</v>
      </c>
      <c r="O45" s="861"/>
      <c r="P45" s="863"/>
      <c r="Q45" s="855"/>
      <c r="T45" s="710"/>
    </row>
    <row r="46" spans="1:20" ht="20.100000000000001" customHeight="1" thickBot="1">
      <c r="B46" s="858" t="s">
        <v>1772</v>
      </c>
      <c r="C46" s="859"/>
      <c r="D46" s="855"/>
      <c r="E46" s="855"/>
      <c r="F46" s="855"/>
      <c r="G46" s="855"/>
      <c r="H46" s="855"/>
      <c r="I46" s="855"/>
      <c r="J46" s="855"/>
      <c r="K46" s="855"/>
      <c r="L46" s="860"/>
      <c r="M46" s="860"/>
      <c r="N46" s="862">
        <f>'Estimate Details'!$V$135</f>
        <v>4348542.8642436331</v>
      </c>
      <c r="O46" s="860"/>
      <c r="P46" s="863"/>
      <c r="Q46" s="855"/>
      <c r="T46" s="710"/>
    </row>
    <row r="47" spans="1:20" ht="20.100000000000001" customHeight="1" thickBot="1">
      <c r="B47" s="864" t="s">
        <v>127</v>
      </c>
      <c r="C47" s="865"/>
      <c r="D47" s="865"/>
      <c r="E47" s="865"/>
      <c r="F47" s="865"/>
      <c r="G47" s="865"/>
      <c r="H47" s="865"/>
      <c r="I47" s="865"/>
      <c r="J47" s="865"/>
      <c r="K47" s="865"/>
      <c r="L47" s="865"/>
      <c r="M47" s="865"/>
      <c r="N47" s="866">
        <f>SUM(N45:N46,N42)</f>
        <v>36258828.625867859</v>
      </c>
      <c r="O47" s="865"/>
      <c r="P47" s="867"/>
      <c r="Q47" s="855"/>
      <c r="R47" s="798">
        <f>+'Estimate Details'!V140</f>
        <v>36258828.625867859</v>
      </c>
      <c r="T47" s="710"/>
    </row>
    <row r="48" spans="1:20" ht="20.100000000000001" customHeight="1" thickBot="1">
      <c r="B48" s="868" t="s">
        <v>1553</v>
      </c>
      <c r="C48" s="869"/>
      <c r="D48" s="870"/>
      <c r="E48" s="869"/>
      <c r="F48" s="869"/>
      <c r="G48" s="869"/>
      <c r="H48" s="869"/>
      <c r="I48" s="869"/>
      <c r="J48" s="871"/>
      <c r="K48" s="869"/>
      <c r="L48" s="872"/>
      <c r="M48" s="869"/>
      <c r="N48" s="870">
        <f>+$N$47/(L10*1000)</f>
        <v>3625.8828625867859</v>
      </c>
      <c r="O48" s="869"/>
      <c r="P48" s="873"/>
      <c r="Q48" s="855"/>
      <c r="R48" s="798">
        <f>+'Estimate Details'!V142</f>
        <v>3625.8828625867859</v>
      </c>
      <c r="T48" s="710"/>
    </row>
    <row r="49" spans="1:20" ht="10.5" customHeight="1">
      <c r="B49" s="861"/>
      <c r="C49" s="855"/>
      <c r="D49" s="855"/>
      <c r="E49" s="855"/>
      <c r="F49" s="855"/>
      <c r="G49" s="855"/>
      <c r="H49" s="855"/>
      <c r="I49" s="855"/>
      <c r="J49" s="855"/>
      <c r="K49" s="855"/>
      <c r="L49" s="855"/>
      <c r="M49" s="855"/>
      <c r="N49" s="881"/>
      <c r="O49" s="855"/>
      <c r="P49" s="855"/>
      <c r="Q49" s="855"/>
      <c r="T49" s="710"/>
    </row>
    <row r="50" spans="1:20">
      <c r="A50" s="714"/>
      <c r="B50" s="780" t="s">
        <v>1294</v>
      </c>
      <c r="C50" s="781"/>
      <c r="D50" s="784">
        <f>J42</f>
        <v>93311.584842105265</v>
      </c>
      <c r="E50" s="882"/>
      <c r="F50" s="882"/>
      <c r="G50" s="883" t="s">
        <v>956</v>
      </c>
      <c r="H50" s="884"/>
      <c r="I50" s="804"/>
      <c r="J50" s="781"/>
      <c r="K50" s="882"/>
      <c r="L50" s="883" t="s">
        <v>606</v>
      </c>
      <c r="M50" s="885" t="s">
        <v>2454</v>
      </c>
      <c r="N50" s="885"/>
      <c r="O50" s="886"/>
      <c r="P50" s="887"/>
      <c r="Q50" s="888"/>
      <c r="T50" s="710"/>
    </row>
    <row r="51" spans="1:20" ht="14.1" customHeight="1">
      <c r="A51" s="714"/>
      <c r="B51" s="790" t="s">
        <v>781</v>
      </c>
      <c r="C51" s="791"/>
      <c r="D51" s="889">
        <f>(H29+(L25*0.45))/D50</f>
        <v>51.102738570878444</v>
      </c>
      <c r="E51" s="779"/>
      <c r="F51" s="779"/>
      <c r="G51" s="890" t="s">
        <v>957</v>
      </c>
      <c r="H51" s="891"/>
      <c r="I51" s="826"/>
      <c r="J51" s="791"/>
      <c r="K51" s="779"/>
      <c r="L51" s="890" t="s">
        <v>958</v>
      </c>
      <c r="M51" s="892" t="s">
        <v>2455</v>
      </c>
      <c r="N51" s="892"/>
      <c r="O51" s="893"/>
      <c r="P51" s="894"/>
      <c r="Q51" s="888"/>
      <c r="R51" s="802" t="s">
        <v>305</v>
      </c>
      <c r="T51" s="710"/>
    </row>
    <row r="52" spans="1:20" ht="14.1" customHeight="1">
      <c r="A52" s="714"/>
      <c r="B52" s="790" t="s">
        <v>959</v>
      </c>
      <c r="C52" s="791"/>
      <c r="D52" s="895" t="s">
        <v>2453</v>
      </c>
      <c r="E52" s="779"/>
      <c r="F52" s="779"/>
      <c r="G52" s="890" t="s">
        <v>392</v>
      </c>
      <c r="H52" s="891"/>
      <c r="I52" s="826"/>
      <c r="J52" s="791"/>
      <c r="K52" s="779"/>
      <c r="L52" s="890" t="s">
        <v>1947</v>
      </c>
      <c r="M52" s="892" t="s">
        <v>2456</v>
      </c>
      <c r="N52" s="892"/>
      <c r="O52" s="893"/>
      <c r="P52" s="894"/>
      <c r="Q52" s="888"/>
      <c r="T52" s="710"/>
    </row>
    <row r="53" spans="1:20" ht="13.5" customHeight="1">
      <c r="A53" s="714"/>
      <c r="B53" s="825" t="s">
        <v>600</v>
      </c>
      <c r="C53" s="826"/>
      <c r="D53" s="896">
        <f>'Estimate Details'!S87/'Estimate Details'!L87</f>
        <v>1.0647151902725747</v>
      </c>
      <c r="E53" s="897"/>
      <c r="F53" s="897"/>
      <c r="G53" s="898" t="s">
        <v>601</v>
      </c>
      <c r="H53" s="891"/>
      <c r="I53" s="826"/>
      <c r="J53" s="826"/>
      <c r="K53" s="897"/>
      <c r="L53" s="898" t="s">
        <v>602</v>
      </c>
      <c r="M53" s="892" t="s">
        <v>2295</v>
      </c>
      <c r="N53" s="892"/>
      <c r="O53" s="893"/>
      <c r="P53" s="894"/>
      <c r="Q53" s="888"/>
      <c r="T53" s="710"/>
    </row>
    <row r="54" spans="1:20">
      <c r="A54" s="714"/>
      <c r="B54" s="714"/>
      <c r="C54" s="714"/>
      <c r="D54" s="714"/>
      <c r="E54" s="714"/>
      <c r="F54" s="714"/>
      <c r="G54" s="714"/>
      <c r="H54" s="714"/>
      <c r="I54" s="714"/>
      <c r="J54" s="714"/>
      <c r="K54" s="779"/>
      <c r="L54" s="779"/>
      <c r="M54" s="779"/>
      <c r="N54" s="899"/>
      <c r="O54" s="779"/>
      <c r="P54" s="714"/>
      <c r="Q54" s="779"/>
      <c r="T54" s="710"/>
    </row>
    <row r="55" spans="1:20">
      <c r="D55" s="900"/>
      <c r="Q55" s="855"/>
      <c r="T55" s="710"/>
    </row>
    <row r="56" spans="1:20">
      <c r="Q56" s="855"/>
      <c r="T56" s="710"/>
    </row>
    <row r="57" spans="1:20">
      <c r="K57" s="901" t="s">
        <v>1505</v>
      </c>
      <c r="L57" s="902"/>
      <c r="M57" s="806"/>
      <c r="N57" s="903">
        <f>N42-'Estimate Details'!V113</f>
        <v>0</v>
      </c>
      <c r="O57" s="904"/>
      <c r="P57" s="899"/>
      <c r="Q57" s="899"/>
      <c r="T57" s="710"/>
    </row>
    <row r="58" spans="1:20">
      <c r="Q58" s="855"/>
      <c r="T58" s="710"/>
    </row>
    <row r="59" spans="1:20">
      <c r="Q59" s="855"/>
      <c r="T59" s="710"/>
    </row>
    <row r="60" spans="1:20">
      <c r="Q60" s="855"/>
      <c r="T60" s="710"/>
    </row>
    <row r="61" spans="1:20">
      <c r="Q61" s="855"/>
      <c r="T61" s="710"/>
    </row>
    <row r="62" spans="1:20">
      <c r="Q62" s="855"/>
      <c r="T62" s="710"/>
    </row>
    <row r="63" spans="1:20">
      <c r="Q63" s="855"/>
      <c r="T63" s="710"/>
    </row>
    <row r="64" spans="1:20">
      <c r="Q64" s="855"/>
      <c r="T64" s="710"/>
    </row>
    <row r="65" spans="17:20">
      <c r="Q65" s="855"/>
      <c r="T65" s="710"/>
    </row>
    <row r="66" spans="17:20">
      <c r="Q66" s="855"/>
      <c r="T66" s="710"/>
    </row>
    <row r="67" spans="17:20">
      <c r="Q67" s="855"/>
      <c r="T67" s="710"/>
    </row>
    <row r="68" spans="17:20">
      <c r="Q68" s="855"/>
      <c r="T68" s="710"/>
    </row>
    <row r="69" spans="17:20">
      <c r="Q69" s="855"/>
      <c r="T69" s="710"/>
    </row>
    <row r="70" spans="17:20">
      <c r="Q70" s="855"/>
      <c r="T70" s="710"/>
    </row>
    <row r="239" spans="20:24">
      <c r="T239" s="710"/>
      <c r="X239" s="710" t="s">
        <v>2489</v>
      </c>
    </row>
    <row r="261" spans="20:24">
      <c r="T261" s="710"/>
      <c r="X261" s="710" t="s">
        <v>2489</v>
      </c>
    </row>
    <row r="503" spans="20:21">
      <c r="T503" s="710"/>
      <c r="U503" s="710">
        <v>14250000</v>
      </c>
    </row>
  </sheetData>
  <customSheetViews>
    <customSheetView guid="{B0DE55D3-31F4-4C5A-BCDA-3DAF0319F50E}" scale="75" showGridLines="0" outlineSymbols="0" fitToPage="1" showRuler="0" topLeftCell="E61">
      <selection activeCell="L82" sqref="L82"/>
      <rowBreaks count="2" manualBreakCount="2">
        <brk id="48" max="15" man="1"/>
        <brk id="67" max="16383" man="1"/>
      </rowBreaks>
      <pageMargins left="0.88" right="0.25" top="0.35" bottom="0.35" header="0" footer="0.15"/>
      <printOptions horizontalCentered="1"/>
      <pageSetup paperSize="17" scale="60" orientation="landscape" r:id="rId1"/>
      <headerFooter alignWithMargins="0">
        <oddHeader xml:space="preserve">&amp;C&amp;"Arial,Regular"&amp;16&amp;A&amp;R&amp;"Arial,Regular"&amp;16     </oddHeader>
        <oddFooter>&amp;L&amp;D
CUMMINS &amp;&amp; BARNARD, INC&amp;RPage &amp;P</oddFooter>
      </headerFooter>
    </customSheetView>
    <customSheetView guid="{BC3A604D-E901-4D72-B567-A41E3CE4BC9B}" scale="75" showPageBreaks="1" showGridLines="0" outlineSymbols="0" fitToPage="1" printArea="1" showRuler="0">
      <selection activeCell="O493" sqref="O493"/>
      <rowBreaks count="2" manualBreakCount="2">
        <brk id="48" max="14" man="1"/>
        <brk id="67" max="16383" man="1"/>
      </rowBreaks>
      <pageMargins left="0.88" right="0.25" top="0.35" bottom="0.35" header="0" footer="0.15"/>
      <printOptions horizontalCentered="1"/>
      <pageSetup paperSize="17" scale="58" orientation="landscape" r:id="rId2"/>
      <headerFooter alignWithMargins="0">
        <oddHeader xml:space="preserve">&amp;C&amp;"Arial,Regular"&amp;16&amp;A&amp;R&amp;"Arial,Regular"&amp;16     </oddHeader>
        <oddFooter>&amp;L&amp;D
CUMMINS &amp;&amp; BARNARD, INC&amp;RPage &amp;P</oddFooter>
      </headerFooter>
    </customSheetView>
  </customSheetViews>
  <mergeCells count="8">
    <mergeCell ref="D11:F11"/>
    <mergeCell ref="H4:H6"/>
    <mergeCell ref="D9:F9"/>
    <mergeCell ref="B44:C44"/>
    <mergeCell ref="D10:F10"/>
    <mergeCell ref="D12:F12"/>
    <mergeCell ref="D14:M14"/>
    <mergeCell ref="B14:C16"/>
  </mergeCells>
  <phoneticPr fontId="0" type="noConversion"/>
  <printOptions horizontalCentered="1"/>
  <pageMargins left="1" right="1" top="0.75" bottom="0.86" header="0.5" footer="0.45"/>
  <pageSetup paperSize="17" scale="63" fitToHeight="2" orientation="landscape" r:id="rId3"/>
  <headerFooter alignWithMargins="0">
    <oddFooter xml:space="preserve">&amp;C&amp;"Verdana,Bold"&amp;16CONFIDENTIAL&amp;20
</oddFooter>
  </headerFooter>
  <rowBreaks count="1" manualBreakCount="1">
    <brk id="28" max="20" man="1"/>
  </rowBreaks>
  <ignoredErrors>
    <ignoredError sqref="N23" formula="1"/>
    <ignoredError sqref="D51 D53:D54" unlockedFormula="1"/>
  </ignoredErrors>
  <drawing r:id="rId4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GridLines="0" topLeftCell="C1" zoomScale="70" workbookViewId="0">
      <selection activeCell="N20" sqref="N20"/>
    </sheetView>
  </sheetViews>
  <sheetFormatPr defaultRowHeight="15"/>
  <cols>
    <col min="1" max="1" width="2.6328125" customWidth="1"/>
    <col min="2" max="2" width="14.90625" customWidth="1"/>
    <col min="3" max="3" width="32.36328125" customWidth="1"/>
    <col min="4" max="4" width="18.6328125" bestFit="1" customWidth="1"/>
    <col min="6" max="6" width="16.90625" customWidth="1"/>
    <col min="8" max="8" width="16.81640625" bestFit="1" customWidth="1"/>
    <col min="10" max="10" width="18.1796875" bestFit="1" customWidth="1"/>
    <col min="12" max="12" width="23.453125" bestFit="1" customWidth="1"/>
    <col min="14" max="14" width="18.81640625" bestFit="1" customWidth="1"/>
    <col min="15" max="15" width="3.81640625" customWidth="1"/>
    <col min="16" max="16" width="19.6328125" customWidth="1"/>
  </cols>
  <sheetData>
    <row r="1" spans="1:16" ht="22.2">
      <c r="A1" s="779"/>
      <c r="B1" s="1574" t="s">
        <v>1347</v>
      </c>
      <c r="C1" s="1574"/>
      <c r="D1" s="729"/>
      <c r="E1" s="729"/>
      <c r="F1" s="729"/>
      <c r="G1" s="710"/>
      <c r="H1" s="717"/>
      <c r="I1" s="718"/>
      <c r="J1" s="718"/>
      <c r="K1" s="710"/>
      <c r="L1" s="710"/>
      <c r="M1" s="719"/>
      <c r="N1" s="714"/>
      <c r="O1" s="719"/>
      <c r="P1" s="714"/>
    </row>
    <row r="2" spans="1:16" ht="16.2">
      <c r="A2" s="779"/>
      <c r="B2" s="1575" t="s">
        <v>2025</v>
      </c>
      <c r="C2" s="729"/>
      <c r="D2" s="729"/>
      <c r="E2" s="729"/>
      <c r="F2" s="729"/>
      <c r="G2" s="714"/>
      <c r="H2" s="722"/>
      <c r="I2" s="718"/>
      <c r="J2" s="718"/>
      <c r="K2" s="718"/>
      <c r="L2" s="718"/>
      <c r="M2" s="718"/>
      <c r="N2" s="714"/>
      <c r="O2" s="718"/>
      <c r="P2" s="714"/>
    </row>
    <row r="3" spans="1:16" ht="16.2">
      <c r="A3" s="779"/>
      <c r="B3" s="1575" t="s">
        <v>517</v>
      </c>
      <c r="C3" s="1576">
        <v>5622</v>
      </c>
      <c r="D3" s="729"/>
      <c r="E3" s="729"/>
      <c r="F3" s="729"/>
      <c r="G3" s="714"/>
      <c r="H3" s="722"/>
      <c r="I3" s="718"/>
      <c r="J3" s="718"/>
      <c r="K3" s="718"/>
      <c r="L3" s="718"/>
      <c r="M3" s="718"/>
      <c r="N3" s="714"/>
      <c r="O3" s="718"/>
      <c r="P3" s="714"/>
    </row>
    <row r="4" spans="1:16" ht="16.2">
      <c r="A4" s="779"/>
      <c r="B4" s="1575" t="s">
        <v>2026</v>
      </c>
      <c r="C4" s="1573" t="s">
        <v>1351</v>
      </c>
      <c r="D4" s="729"/>
      <c r="E4" s="729"/>
      <c r="F4" s="729"/>
      <c r="G4" s="714"/>
      <c r="H4" s="3109"/>
      <c r="I4" s="718"/>
      <c r="J4" s="718"/>
      <c r="K4" s="718"/>
      <c r="L4" s="718"/>
      <c r="M4" s="718"/>
      <c r="N4" s="718"/>
      <c r="O4" s="718"/>
      <c r="P4" s="718"/>
    </row>
    <row r="5" spans="1:16" ht="16.2">
      <c r="A5" s="779"/>
      <c r="B5" s="1575" t="s">
        <v>2027</v>
      </c>
      <c r="C5" s="729" t="s">
        <v>1346</v>
      </c>
      <c r="D5" s="729"/>
      <c r="E5" s="729"/>
      <c r="F5" s="729"/>
      <c r="G5" s="714"/>
      <c r="H5" s="3110"/>
      <c r="I5" s="714"/>
      <c r="J5" s="714"/>
      <c r="K5" s="714"/>
      <c r="L5" s="714"/>
      <c r="M5" s="714"/>
      <c r="N5" s="710"/>
      <c r="O5" s="710"/>
      <c r="P5" s="710"/>
    </row>
    <row r="6" spans="1:16" ht="16.2">
      <c r="A6" s="779"/>
      <c r="B6" s="1575" t="s">
        <v>2028</v>
      </c>
      <c r="C6" s="729" t="s">
        <v>2055</v>
      </c>
      <c r="D6" s="729"/>
      <c r="E6" s="729"/>
      <c r="F6" s="729"/>
      <c r="G6" s="714"/>
      <c r="H6" s="3110"/>
      <c r="I6" s="714"/>
      <c r="J6" s="714"/>
      <c r="K6" s="714"/>
      <c r="L6" s="714"/>
      <c r="M6" s="714"/>
      <c r="N6" s="726" t="s">
        <v>2024</v>
      </c>
      <c r="O6" s="716"/>
      <c r="P6" s="725">
        <v>39356</v>
      </c>
    </row>
    <row r="7" spans="1:16" ht="16.2">
      <c r="A7" s="779"/>
      <c r="B7" s="1575" t="s">
        <v>1903</v>
      </c>
      <c r="C7" s="729" t="s">
        <v>2022</v>
      </c>
      <c r="D7" s="729"/>
      <c r="E7" s="729"/>
      <c r="F7" s="729"/>
      <c r="G7" s="714"/>
      <c r="H7" s="714"/>
      <c r="I7" s="714"/>
      <c r="J7" s="714"/>
      <c r="K7" s="714"/>
      <c r="L7" s="714"/>
      <c r="M7" s="714"/>
      <c r="N7" s="726"/>
      <c r="O7" s="714"/>
      <c r="P7" s="727"/>
    </row>
    <row r="8" spans="1:16" ht="29.4">
      <c r="A8" s="728"/>
      <c r="B8" s="3124" t="s">
        <v>190</v>
      </c>
      <c r="C8" s="3125"/>
      <c r="D8" s="3125"/>
      <c r="E8" s="3125"/>
      <c r="F8" s="3125"/>
      <c r="G8" s="3125"/>
      <c r="H8" s="3125"/>
      <c r="I8" s="3125"/>
      <c r="J8" s="3125"/>
      <c r="K8" s="3125"/>
      <c r="L8" s="3125"/>
      <c r="M8" s="3125"/>
      <c r="N8" s="3125"/>
      <c r="O8" s="3125"/>
      <c r="P8" s="3125"/>
    </row>
    <row r="9" spans="1:16" ht="16.2">
      <c r="A9" s="714"/>
      <c r="B9" s="730" t="s">
        <v>607</v>
      </c>
      <c r="C9" s="731"/>
      <c r="D9" s="3111"/>
      <c r="E9" s="3111"/>
      <c r="F9" s="3111"/>
      <c r="G9" s="732"/>
      <c r="H9" s="733"/>
      <c r="I9" s="734"/>
      <c r="J9" s="731" t="s">
        <v>1777</v>
      </c>
      <c r="K9" s="735"/>
      <c r="L9" s="736" t="s">
        <v>518</v>
      </c>
      <c r="M9" s="737"/>
      <c r="N9" s="738"/>
      <c r="O9" s="737"/>
      <c r="P9" s="739"/>
    </row>
    <row r="10" spans="1:16" ht="15" customHeight="1">
      <c r="A10" s="714"/>
      <c r="B10" s="740"/>
      <c r="C10" s="741"/>
      <c r="D10" s="3112" t="s">
        <v>1069</v>
      </c>
      <c r="E10" s="3112"/>
      <c r="F10" s="3112"/>
      <c r="G10" s="743"/>
      <c r="H10" s="743" t="s">
        <v>1348</v>
      </c>
      <c r="I10" s="744"/>
      <c r="J10" s="742" t="s">
        <v>987</v>
      </c>
      <c r="K10" s="745"/>
      <c r="L10" s="746">
        <v>800</v>
      </c>
      <c r="M10" s="747"/>
      <c r="N10" s="748" t="s">
        <v>1349</v>
      </c>
      <c r="O10" s="747"/>
      <c r="P10" s="749" t="s">
        <v>519</v>
      </c>
    </row>
    <row r="11" spans="1:16" ht="15" customHeight="1">
      <c r="A11" s="714"/>
      <c r="B11" s="750"/>
      <c r="C11" s="741"/>
      <c r="D11" s="3113" t="s">
        <v>1068</v>
      </c>
      <c r="E11" s="3113"/>
      <c r="F11" s="3113"/>
      <c r="G11" s="751"/>
      <c r="H11" s="752" t="s">
        <v>1348</v>
      </c>
      <c r="I11" s="744"/>
      <c r="J11" s="742" t="s">
        <v>1778</v>
      </c>
      <c r="K11" s="745"/>
      <c r="L11" s="746">
        <v>1</v>
      </c>
      <c r="M11" s="747"/>
      <c r="N11" s="753" t="s">
        <v>1350</v>
      </c>
      <c r="O11" s="747"/>
      <c r="P11" s="749" t="s">
        <v>396</v>
      </c>
    </row>
    <row r="12" spans="1:16" ht="15" customHeight="1">
      <c r="A12" s="714"/>
      <c r="B12" s="755"/>
      <c r="C12" s="756"/>
      <c r="D12" s="3114" t="s">
        <v>877</v>
      </c>
      <c r="E12" s="3114"/>
      <c r="F12" s="3114"/>
      <c r="G12" s="757"/>
      <c r="H12" s="758" t="s">
        <v>1348</v>
      </c>
      <c r="I12" s="759"/>
      <c r="J12" s="756" t="s">
        <v>1954</v>
      </c>
      <c r="K12" s="760"/>
      <c r="L12" s="761" t="s">
        <v>1763</v>
      </c>
      <c r="M12" s="762"/>
      <c r="N12" s="763" t="s">
        <v>1955</v>
      </c>
      <c r="O12" s="762"/>
      <c r="P12" s="1107" t="s">
        <v>1478</v>
      </c>
    </row>
    <row r="13" spans="1:16" ht="16.2">
      <c r="A13" s="710"/>
      <c r="B13" s="710"/>
      <c r="C13" s="710"/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10"/>
      <c r="O13" s="710"/>
      <c r="P13" s="710"/>
    </row>
    <row r="14" spans="1:16" ht="16.2">
      <c r="A14" s="714"/>
      <c r="B14" s="3115" t="s">
        <v>1961</v>
      </c>
      <c r="C14" s="3116"/>
      <c r="D14" s="3121" t="s">
        <v>1956</v>
      </c>
      <c r="E14" s="3122"/>
      <c r="F14" s="3122"/>
      <c r="G14" s="3122"/>
      <c r="H14" s="3122"/>
      <c r="I14" s="3122"/>
      <c r="J14" s="3122"/>
      <c r="K14" s="3122"/>
      <c r="L14" s="3122"/>
      <c r="M14" s="3123"/>
      <c r="N14" s="764"/>
      <c r="O14" s="765"/>
      <c r="P14" s="766"/>
    </row>
    <row r="15" spans="1:16" ht="16.2">
      <c r="A15" s="714"/>
      <c r="B15" s="3117"/>
      <c r="C15" s="3118"/>
      <c r="D15" s="768" t="s">
        <v>1957</v>
      </c>
      <c r="E15" s="3126" t="s">
        <v>1774</v>
      </c>
      <c r="F15" s="769" t="s">
        <v>1958</v>
      </c>
      <c r="G15" s="3126" t="s">
        <v>1774</v>
      </c>
      <c r="H15" s="769" t="s">
        <v>1958</v>
      </c>
      <c r="I15" s="3126" t="s">
        <v>1774</v>
      </c>
      <c r="J15" s="769" t="s">
        <v>1958</v>
      </c>
      <c r="K15" s="3126" t="s">
        <v>1774</v>
      </c>
      <c r="L15" s="769" t="s">
        <v>1959</v>
      </c>
      <c r="M15" s="3126" t="s">
        <v>1774</v>
      </c>
      <c r="N15" s="771" t="s">
        <v>1960</v>
      </c>
      <c r="O15" s="769"/>
      <c r="P15" s="772"/>
    </row>
    <row r="16" spans="1:16" ht="16.2">
      <c r="A16" s="714"/>
      <c r="B16" s="3119"/>
      <c r="C16" s="3120"/>
      <c r="D16" s="773" t="s">
        <v>1962</v>
      </c>
      <c r="E16" s="3127"/>
      <c r="F16" s="775" t="s">
        <v>1963</v>
      </c>
      <c r="G16" s="3127"/>
      <c r="H16" s="775" t="s">
        <v>1964</v>
      </c>
      <c r="I16" s="3127"/>
      <c r="J16" s="775" t="s">
        <v>2059</v>
      </c>
      <c r="K16" s="3127"/>
      <c r="L16" s="775" t="s">
        <v>1694</v>
      </c>
      <c r="M16" s="3127"/>
      <c r="N16" s="777" t="s">
        <v>1965</v>
      </c>
      <c r="O16" s="775"/>
      <c r="P16" s="774" t="s">
        <v>1774</v>
      </c>
    </row>
    <row r="17" spans="1:17" ht="16.2">
      <c r="A17" s="714"/>
      <c r="B17" s="714"/>
      <c r="C17" s="714"/>
      <c r="D17" s="778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14"/>
    </row>
    <row r="18" spans="1:17" ht="16.2">
      <c r="A18" s="714"/>
      <c r="B18" s="780" t="s">
        <v>395</v>
      </c>
      <c r="C18" s="781"/>
      <c r="D18" s="785">
        <f>'Project Summary'!$D$42</f>
        <v>0</v>
      </c>
      <c r="E18" s="783"/>
      <c r="F18" s="785">
        <f>'Project Summary'!$F$42</f>
        <v>14268063.960000001</v>
      </c>
      <c r="G18" s="783"/>
      <c r="H18" s="782">
        <f>'Project Summary'!$H$42</f>
        <v>3274490.2662204485</v>
      </c>
      <c r="I18" s="783"/>
      <c r="J18" s="1577">
        <f>'Project Summary'!$J$42</f>
        <v>93311.584842105265</v>
      </c>
      <c r="K18" s="783"/>
      <c r="L18" s="1577">
        <f>'Project Summary'!$L$42</f>
        <v>5919162.1681353524</v>
      </c>
      <c r="M18" s="783"/>
      <c r="N18" s="785">
        <f>D18+F18+H18+L18</f>
        <v>23461716.394355804</v>
      </c>
      <c r="O18" s="783"/>
      <c r="P18" s="786"/>
    </row>
    <row r="19" spans="1:17" ht="16.2">
      <c r="A19" s="714"/>
      <c r="B19" s="790"/>
      <c r="C19" s="791"/>
      <c r="D19" s="792"/>
      <c r="E19" s="787"/>
      <c r="F19" s="792"/>
      <c r="G19" s="787"/>
      <c r="H19" s="792"/>
      <c r="I19" s="787"/>
      <c r="J19" s="793"/>
      <c r="K19" s="787"/>
      <c r="L19" s="793">
        <v>0</v>
      </c>
      <c r="M19" s="787"/>
      <c r="N19" s="794"/>
      <c r="O19" s="787"/>
      <c r="P19" s="795"/>
    </row>
    <row r="20" spans="1:17" ht="16.8" thickBot="1">
      <c r="A20" s="714"/>
      <c r="B20" s="1578" t="s">
        <v>2089</v>
      </c>
      <c r="C20" s="791"/>
      <c r="D20" s="1579"/>
      <c r="E20" s="1580"/>
      <c r="F20" s="1579"/>
      <c r="G20" s="1580"/>
      <c r="H20" s="1579"/>
      <c r="I20" s="1580"/>
      <c r="J20" s="793"/>
      <c r="K20" s="787"/>
      <c r="L20" s="793"/>
      <c r="M20" s="1580"/>
      <c r="N20" s="794">
        <f>'Project Summary'!$N$43</f>
        <v>2899.0285761624223</v>
      </c>
      <c r="O20" s="787"/>
      <c r="P20" s="795"/>
    </row>
    <row r="21" spans="1:17" ht="16.8" thickTop="1">
      <c r="A21" s="779"/>
      <c r="B21" s="791"/>
      <c r="C21" s="1581"/>
      <c r="D21" s="792"/>
      <c r="E21" s="787"/>
      <c r="F21" s="792"/>
      <c r="G21" s="787"/>
      <c r="H21" s="792"/>
      <c r="I21" s="787"/>
      <c r="J21" s="1582"/>
      <c r="K21" s="1583"/>
      <c r="L21" s="1582"/>
      <c r="M21" s="787"/>
      <c r="N21" s="1584"/>
      <c r="O21" s="1583"/>
      <c r="P21" s="1583"/>
    </row>
    <row r="22" spans="1:17" ht="16.2">
      <c r="A22" s="779"/>
      <c r="B22" s="791" t="s">
        <v>2090</v>
      </c>
      <c r="C22" s="791"/>
      <c r="D22" s="792"/>
      <c r="E22" s="787"/>
      <c r="F22" s="792"/>
      <c r="G22" s="787"/>
      <c r="H22" s="792"/>
      <c r="I22" s="787"/>
      <c r="J22" s="793"/>
      <c r="K22" s="787"/>
      <c r="L22" s="793"/>
      <c r="M22" s="787"/>
      <c r="N22" s="811"/>
      <c r="O22" s="787"/>
      <c r="P22" s="787"/>
      <c r="Q22" s="19"/>
    </row>
    <row r="23" spans="1:17" ht="16.2">
      <c r="A23" s="714"/>
      <c r="B23" s="1585"/>
      <c r="C23" s="791"/>
      <c r="D23" s="1586"/>
      <c r="E23" s="787"/>
      <c r="F23" s="1586"/>
      <c r="G23" s="787"/>
      <c r="H23" s="1586"/>
      <c r="I23" s="1587"/>
      <c r="J23" s="793"/>
      <c r="K23" s="1587"/>
      <c r="L23" s="1588"/>
      <c r="M23" s="787"/>
      <c r="N23" s="1589"/>
      <c r="O23" s="1587"/>
      <c r="P23" s="787"/>
    </row>
    <row r="24" spans="1:17" ht="16.2">
      <c r="A24" s="714"/>
      <c r="B24" s="790" t="s">
        <v>404</v>
      </c>
      <c r="C24" s="1590"/>
      <c r="D24" s="792"/>
      <c r="E24" s="800"/>
      <c r="F24" s="792"/>
      <c r="G24" s="800"/>
      <c r="H24" s="792"/>
      <c r="I24" s="787"/>
      <c r="J24" s="801"/>
      <c r="K24" s="787"/>
      <c r="L24" s="793"/>
      <c r="M24" s="800"/>
      <c r="N24" s="1591"/>
      <c r="O24" s="787"/>
      <c r="P24" s="1592"/>
    </row>
    <row r="25" spans="1:17" ht="16.2">
      <c r="A25" s="1593"/>
      <c r="B25" s="791"/>
      <c r="C25" s="791"/>
      <c r="D25" s="792"/>
      <c r="E25" s="787"/>
      <c r="F25" s="792"/>
      <c r="G25" s="787"/>
      <c r="H25" s="792"/>
      <c r="I25" s="787"/>
      <c r="J25" s="793"/>
      <c r="K25" s="787"/>
      <c r="L25" s="793"/>
      <c r="M25" s="787"/>
      <c r="N25" s="811"/>
      <c r="O25" s="787"/>
      <c r="P25" s="795"/>
    </row>
    <row r="26" spans="1:17" ht="16.2">
      <c r="A26" s="1593"/>
      <c r="B26" s="1594" t="s">
        <v>2091</v>
      </c>
      <c r="C26" s="1594"/>
      <c r="D26" s="792"/>
      <c r="E26" s="787"/>
      <c r="F26" s="792"/>
      <c r="G26" s="787"/>
      <c r="H26" s="792"/>
      <c r="I26" s="787"/>
      <c r="J26" s="793"/>
      <c r="K26" s="787"/>
      <c r="L26" s="1595">
        <f>'Owners Cost'!$D$18</f>
        <v>0</v>
      </c>
      <c r="M26" s="787"/>
      <c r="N26" s="811">
        <f>D26+F26+H26+J26+L26</f>
        <v>0</v>
      </c>
      <c r="O26" s="787"/>
      <c r="P26" s="795"/>
    </row>
    <row r="27" spans="1:17" ht="16.2">
      <c r="A27" s="1593"/>
      <c r="B27" s="1594" t="s">
        <v>2092</v>
      </c>
      <c r="C27" s="1594"/>
      <c r="D27" s="792"/>
      <c r="E27" s="787"/>
      <c r="F27" s="792"/>
      <c r="G27" s="787"/>
      <c r="H27" s="792"/>
      <c r="I27" s="787"/>
      <c r="J27" s="793"/>
      <c r="K27" s="787"/>
      <c r="L27" s="1595">
        <f>'Owners Cost'!$D$27</f>
        <v>0</v>
      </c>
      <c r="M27" s="787"/>
      <c r="N27" s="811">
        <f t="shared" ref="N27:N34" si="0">D27+F27+H27+J27+L27</f>
        <v>0</v>
      </c>
      <c r="O27" s="787"/>
      <c r="P27" s="795"/>
    </row>
    <row r="28" spans="1:17" ht="16.2">
      <c r="A28" s="1593"/>
      <c r="B28" s="1594" t="s">
        <v>679</v>
      </c>
      <c r="C28" s="1594"/>
      <c r="D28" s="792"/>
      <c r="E28" s="787"/>
      <c r="F28" s="792"/>
      <c r="G28" s="787"/>
      <c r="H28" s="792"/>
      <c r="I28" s="787"/>
      <c r="J28" s="793"/>
      <c r="K28" s="787"/>
      <c r="L28" s="1595">
        <f>'Owners Cost'!$D$37</f>
        <v>0</v>
      </c>
      <c r="M28" s="787"/>
      <c r="N28" s="811">
        <f t="shared" si="0"/>
        <v>0</v>
      </c>
      <c r="O28" s="787"/>
      <c r="P28" s="795"/>
    </row>
    <row r="29" spans="1:17" ht="16.2">
      <c r="A29" s="1593"/>
      <c r="B29" s="1594" t="s">
        <v>680</v>
      </c>
      <c r="C29" s="1594"/>
      <c r="D29" s="792"/>
      <c r="E29" s="787"/>
      <c r="F29" s="792"/>
      <c r="G29" s="787"/>
      <c r="H29" s="792"/>
      <c r="I29" s="787"/>
      <c r="J29" s="793"/>
      <c r="K29" s="787"/>
      <c r="L29" s="1595">
        <f>'Owners Cost'!$D$44</f>
        <v>0</v>
      </c>
      <c r="M29" s="787"/>
      <c r="N29" s="811">
        <f t="shared" si="0"/>
        <v>0</v>
      </c>
      <c r="O29" s="787"/>
      <c r="P29" s="795"/>
    </row>
    <row r="30" spans="1:17" ht="16.2">
      <c r="A30" s="1593"/>
      <c r="B30" s="1594" t="s">
        <v>681</v>
      </c>
      <c r="C30" s="1594"/>
      <c r="D30" s="792"/>
      <c r="E30" s="787"/>
      <c r="F30" s="792"/>
      <c r="G30" s="787"/>
      <c r="H30" s="792"/>
      <c r="I30" s="787"/>
      <c r="J30" s="793"/>
      <c r="K30" s="787"/>
      <c r="L30" s="1595">
        <f>'Owners Cost'!$D$48</f>
        <v>0</v>
      </c>
      <c r="M30" s="787"/>
      <c r="N30" s="811">
        <f t="shared" si="0"/>
        <v>0</v>
      </c>
      <c r="O30" s="787"/>
      <c r="P30" s="795"/>
    </row>
    <row r="31" spans="1:17" ht="16.2">
      <c r="A31" s="1593"/>
      <c r="B31" s="1594" t="s">
        <v>682</v>
      </c>
      <c r="C31" s="1594"/>
      <c r="D31" s="792"/>
      <c r="E31" s="787"/>
      <c r="F31" s="792"/>
      <c r="G31" s="787"/>
      <c r="H31" s="792"/>
      <c r="I31" s="787"/>
      <c r="J31" s="793"/>
      <c r="K31" s="787"/>
      <c r="L31" s="1595">
        <f>'Owners Cost'!$D$61</f>
        <v>0</v>
      </c>
      <c r="M31" s="787"/>
      <c r="N31" s="811">
        <f t="shared" si="0"/>
        <v>0</v>
      </c>
      <c r="O31" s="787"/>
      <c r="P31" s="795"/>
    </row>
    <row r="32" spans="1:17" ht="16.2">
      <c r="A32" s="1593"/>
      <c r="B32" s="1594" t="s">
        <v>683</v>
      </c>
      <c r="C32" s="1594"/>
      <c r="D32" s="792"/>
      <c r="E32" s="787"/>
      <c r="F32" s="792"/>
      <c r="G32" s="787"/>
      <c r="H32" s="792"/>
      <c r="I32" s="787"/>
      <c r="J32" s="793"/>
      <c r="K32" s="787"/>
      <c r="L32" s="1595">
        <f>'Owners Cost'!$D$72</f>
        <v>0</v>
      </c>
      <c r="M32" s="787"/>
      <c r="N32" s="811">
        <f t="shared" si="0"/>
        <v>0</v>
      </c>
      <c r="O32" s="787"/>
      <c r="P32" s="795"/>
    </row>
    <row r="33" spans="1:19" ht="16.2">
      <c r="A33" s="1593"/>
      <c r="B33" s="1594" t="s">
        <v>684</v>
      </c>
      <c r="C33" s="1594"/>
      <c r="D33" s="792"/>
      <c r="E33" s="787"/>
      <c r="F33" s="792"/>
      <c r="G33" s="787"/>
      <c r="H33" s="792"/>
      <c r="I33" s="787"/>
      <c r="J33" s="793"/>
      <c r="K33" s="787"/>
      <c r="L33" s="1595">
        <f>'Owners Cost'!$D$72</f>
        <v>0</v>
      </c>
      <c r="M33" s="787"/>
      <c r="N33" s="811">
        <f t="shared" si="0"/>
        <v>0</v>
      </c>
      <c r="O33" s="787"/>
      <c r="P33" s="795"/>
    </row>
    <row r="34" spans="1:19" ht="16.2">
      <c r="A34" s="1593"/>
      <c r="B34" s="1594" t="s">
        <v>685</v>
      </c>
      <c r="C34" s="1594"/>
      <c r="D34" s="788"/>
      <c r="E34" s="779"/>
      <c r="F34" s="788"/>
      <c r="G34" s="787"/>
      <c r="H34" s="779"/>
      <c r="I34" s="779"/>
      <c r="J34" s="788"/>
      <c r="K34" s="779"/>
      <c r="L34" s="1596">
        <f>'Owners Cost'!$D$91</f>
        <v>0</v>
      </c>
      <c r="M34" s="787"/>
      <c r="N34" s="811">
        <f t="shared" si="0"/>
        <v>0</v>
      </c>
      <c r="O34" s="787"/>
      <c r="P34" s="795"/>
    </row>
    <row r="35" spans="1:19" ht="16.2">
      <c r="A35" s="714"/>
      <c r="B35" s="825"/>
      <c r="C35" s="826"/>
      <c r="D35" s="1597"/>
      <c r="E35" s="897"/>
      <c r="F35" s="1597"/>
      <c r="G35" s="897"/>
      <c r="H35" s="1597"/>
      <c r="I35" s="897"/>
      <c r="J35" s="1598"/>
      <c r="K35" s="897"/>
      <c r="L35" s="1597"/>
      <c r="M35" s="897"/>
      <c r="N35" s="1599"/>
      <c r="O35" s="897"/>
      <c r="P35" s="832"/>
    </row>
    <row r="36" spans="1:19" ht="16.2">
      <c r="A36" s="714"/>
      <c r="B36" s="790" t="s">
        <v>686</v>
      </c>
      <c r="C36" s="791"/>
      <c r="D36" s="792"/>
      <c r="E36" s="809"/>
      <c r="F36" s="792"/>
      <c r="G36" s="809"/>
      <c r="H36" s="792"/>
      <c r="I36" s="809"/>
      <c r="J36" s="793"/>
      <c r="K36" s="809"/>
      <c r="L36" s="792">
        <f>SUM(L26:L35)</f>
        <v>0</v>
      </c>
      <c r="M36" s="809"/>
      <c r="N36" s="792">
        <f>SUM(N26:N35)</f>
        <v>0</v>
      </c>
      <c r="O36" s="809"/>
      <c r="P36" s="810"/>
    </row>
    <row r="37" spans="1:19" ht="16.2">
      <c r="A37" s="714"/>
      <c r="B37" s="1600" t="s">
        <v>1982</v>
      </c>
      <c r="C37" s="791"/>
      <c r="D37" s="792"/>
      <c r="E37" s="809"/>
      <c r="F37" s="792"/>
      <c r="G37" s="809"/>
      <c r="H37" s="792"/>
      <c r="I37" s="809"/>
      <c r="J37" s="793"/>
      <c r="K37" s="809"/>
      <c r="L37" s="792"/>
      <c r="M37" s="787"/>
      <c r="N37" s="792"/>
      <c r="O37" s="787"/>
      <c r="P37" s="795"/>
    </row>
    <row r="38" spans="1:19" ht="16.8" thickBot="1">
      <c r="A38" s="714"/>
      <c r="B38" s="1601"/>
      <c r="C38" s="1602"/>
      <c r="D38" s="792"/>
      <c r="E38" s="1603"/>
      <c r="F38" s="1579"/>
      <c r="G38" s="1603"/>
      <c r="H38" s="1579"/>
      <c r="I38" s="1603"/>
      <c r="J38" s="793"/>
      <c r="K38" s="809"/>
      <c r="L38" s="792"/>
      <c r="M38" s="1580"/>
      <c r="N38" s="1579"/>
      <c r="O38" s="787"/>
      <c r="P38" s="795"/>
    </row>
    <row r="39" spans="1:19" ht="16.8" thickTop="1">
      <c r="A39" s="714"/>
      <c r="B39" s="790" t="s">
        <v>1775</v>
      </c>
      <c r="C39" s="791"/>
      <c r="D39" s="1604">
        <f>SUM(D18:D38)</f>
        <v>0</v>
      </c>
      <c r="E39" s="809"/>
      <c r="F39" s="792">
        <f>SUM(F18:F38)</f>
        <v>14268063.960000001</v>
      </c>
      <c r="G39" s="809"/>
      <c r="H39" s="792">
        <f>SUM(H18:H38)</f>
        <v>3274490.2662204485</v>
      </c>
      <c r="I39" s="809"/>
      <c r="J39" s="1582"/>
      <c r="K39" s="1605"/>
      <c r="L39" s="1604">
        <f>SUM(L18,L36,L38)</f>
        <v>5919162.1681353524</v>
      </c>
      <c r="M39" s="787"/>
      <c r="N39" s="1604">
        <f>SUM(N18,N36,N38)</f>
        <v>23461716.394355804</v>
      </c>
      <c r="O39" s="1583"/>
      <c r="P39" s="1606"/>
    </row>
    <row r="40" spans="1:19" ht="16.2">
      <c r="A40" s="714"/>
      <c r="B40" s="1600" t="s">
        <v>1983</v>
      </c>
      <c r="C40" s="1594"/>
      <c r="D40" s="792">
        <f>D39*0</f>
        <v>0</v>
      </c>
      <c r="E40" s="809"/>
      <c r="F40" s="792">
        <f>F39*0</f>
        <v>0</v>
      </c>
      <c r="G40" s="809"/>
      <c r="H40" s="792">
        <f>H39*0</f>
        <v>0</v>
      </c>
      <c r="I40" s="809"/>
      <c r="J40" s="793"/>
      <c r="K40" s="792"/>
      <c r="L40" s="792">
        <f>L39*0</f>
        <v>0</v>
      </c>
      <c r="M40" s="787"/>
      <c r="N40" s="811">
        <f>SUM(D40,F40,H40,L40)</f>
        <v>0</v>
      </c>
      <c r="O40" s="787"/>
      <c r="P40" s="795">
        <f>N40/N39</f>
        <v>0</v>
      </c>
    </row>
    <row r="41" spans="1:19" ht="16.8" thickBot="1">
      <c r="A41" s="714"/>
      <c r="B41" s="1578"/>
      <c r="C41" s="1607"/>
      <c r="D41" s="1579"/>
      <c r="E41" s="1603"/>
      <c r="F41" s="1579"/>
      <c r="G41" s="1603"/>
      <c r="H41" s="792"/>
      <c r="I41" s="809"/>
      <c r="J41" s="793"/>
      <c r="K41" s="1603"/>
      <c r="L41" s="1579"/>
      <c r="M41" s="787"/>
      <c r="N41" s="1608"/>
      <c r="O41" s="787"/>
      <c r="P41" s="1609"/>
    </row>
    <row r="42" spans="1:19" ht="16.8" thickTop="1">
      <c r="A42" s="714"/>
      <c r="B42" s="1610" t="s">
        <v>1984</v>
      </c>
      <c r="C42" s="791"/>
      <c r="D42" s="794">
        <f>SUM(D40:D41)</f>
        <v>0</v>
      </c>
      <c r="E42" s="809"/>
      <c r="F42" s="794">
        <f>SUM(F40:F41)</f>
        <v>0</v>
      </c>
      <c r="G42" s="809"/>
      <c r="H42" s="1611">
        <f>SUM(H40:H41)</f>
        <v>0</v>
      </c>
      <c r="I42" s="1605"/>
      <c r="J42" s="1612">
        <v>0</v>
      </c>
      <c r="K42" s="809"/>
      <c r="L42" s="794">
        <f>SUM(L40:L41,L36)</f>
        <v>0</v>
      </c>
      <c r="M42" s="1583"/>
      <c r="N42" s="794">
        <f>SUM(N40:N41,N36)</f>
        <v>0</v>
      </c>
      <c r="O42" s="1583"/>
      <c r="P42" s="787"/>
      <c r="Q42" s="1613"/>
    </row>
    <row r="43" spans="1:19" ht="16.2">
      <c r="A43" s="714"/>
      <c r="B43" s="1614"/>
      <c r="C43" s="791"/>
      <c r="D43" s="792"/>
      <c r="E43" s="809"/>
      <c r="F43" s="792"/>
      <c r="G43" s="809"/>
      <c r="H43" s="792"/>
      <c r="I43" s="809"/>
      <c r="J43" s="793"/>
      <c r="K43" s="792"/>
      <c r="L43" s="792"/>
      <c r="M43" s="787"/>
      <c r="N43" s="811"/>
      <c r="O43" s="787"/>
      <c r="P43" s="1615"/>
      <c r="Q43" s="1613"/>
    </row>
    <row r="44" spans="1:19" ht="16.8" thickBot="1">
      <c r="A44" s="714"/>
      <c r="B44" s="1616"/>
      <c r="C44" s="1617"/>
      <c r="D44" s="1618"/>
      <c r="E44" s="1619"/>
      <c r="F44" s="1618"/>
      <c r="G44" s="809"/>
      <c r="H44" s="1618"/>
      <c r="I44" s="1620"/>
      <c r="J44" s="1621"/>
      <c r="K44" s="1620"/>
      <c r="L44" s="1622"/>
      <c r="M44" s="1620"/>
      <c r="N44" s="811"/>
      <c r="O44" s="1620"/>
      <c r="P44" s="787"/>
      <c r="Q44" s="1613"/>
    </row>
    <row r="45" spans="1:19" ht="16.2">
      <c r="A45" s="714"/>
      <c r="B45" s="1623"/>
      <c r="C45" s="1623"/>
      <c r="D45" s="1624"/>
      <c r="E45" s="1625"/>
      <c r="F45" s="792"/>
      <c r="G45" s="1625"/>
      <c r="H45" s="1624"/>
      <c r="I45" s="787"/>
      <c r="J45" s="793"/>
      <c r="K45" s="1626"/>
      <c r="L45" s="1624"/>
      <c r="M45" s="1626"/>
      <c r="N45" s="1627"/>
      <c r="O45" s="1626"/>
      <c r="P45" s="1626"/>
      <c r="Q45" s="19"/>
    </row>
    <row r="46" spans="1:19" ht="16.8" thickBot="1">
      <c r="A46" s="714"/>
      <c r="B46" s="791"/>
      <c r="C46" s="791"/>
      <c r="D46" s="792"/>
      <c r="E46" s="809"/>
      <c r="F46" s="1618"/>
      <c r="G46" s="1619"/>
      <c r="H46" s="792"/>
      <c r="I46" s="1620"/>
      <c r="J46" s="1621"/>
      <c r="K46" s="1620"/>
      <c r="L46" s="1618"/>
      <c r="M46" s="1620"/>
      <c r="N46" s="880"/>
      <c r="O46" s="787"/>
      <c r="P46" s="787"/>
      <c r="Q46" s="19"/>
    </row>
    <row r="47" spans="1:19" ht="16.2">
      <c r="A47" s="714"/>
      <c r="B47" s="1628" t="s">
        <v>1985</v>
      </c>
      <c r="C47" s="1623"/>
      <c r="D47" s="1629">
        <f>SUM(D39,D42)</f>
        <v>0</v>
      </c>
      <c r="E47" s="1625"/>
      <c r="F47" s="1629">
        <f>SUM(F39,F42)</f>
        <v>14268063.960000001</v>
      </c>
      <c r="G47" s="809"/>
      <c r="H47" s="1629">
        <f>SUM(H39,H42)</f>
        <v>3274490.2662204485</v>
      </c>
      <c r="I47" s="787"/>
      <c r="J47" s="1630">
        <f>SUM(J18:J45)</f>
        <v>93311.584842105265</v>
      </c>
      <c r="K47" s="787"/>
      <c r="L47" s="1631">
        <f>SUM(L18,L42)</f>
        <v>5919162.1681353524</v>
      </c>
      <c r="M47" s="787"/>
      <c r="N47" s="1631">
        <f>SUM(N18,N42)</f>
        <v>23461716.394355804</v>
      </c>
      <c r="O47" s="1626"/>
      <c r="P47" s="1668"/>
      <c r="Q47" s="1613"/>
      <c r="R47" s="1669" t="s">
        <v>549</v>
      </c>
      <c r="S47" s="1670">
        <f>+N47-'Project Summary'!N42</f>
        <v>-5528569.3672684208</v>
      </c>
    </row>
    <row r="48" spans="1:19" ht="16.2">
      <c r="A48" s="714"/>
      <c r="B48" s="1614"/>
      <c r="C48" s="791"/>
      <c r="D48" s="792"/>
      <c r="E48" s="809"/>
      <c r="F48" s="792"/>
      <c r="G48" s="809"/>
      <c r="H48" s="792"/>
      <c r="I48" s="787"/>
      <c r="J48" s="793"/>
      <c r="K48" s="787"/>
      <c r="L48" s="792"/>
      <c r="M48" s="787"/>
      <c r="N48" s="811"/>
      <c r="O48" s="787"/>
      <c r="P48" s="787"/>
      <c r="Q48" s="1613"/>
    </row>
    <row r="49" spans="1:17" ht="16.8" thickBot="1">
      <c r="A49" s="714"/>
      <c r="B49" s="1614" t="s">
        <v>1986</v>
      </c>
      <c r="C49" s="1617"/>
      <c r="D49" s="792"/>
      <c r="E49" s="809"/>
      <c r="F49" s="1618"/>
      <c r="G49" s="809"/>
      <c r="H49" s="1618"/>
      <c r="I49" s="1620"/>
      <c r="J49" s="1621"/>
      <c r="K49" s="787"/>
      <c r="L49" s="792"/>
      <c r="M49" s="1620"/>
      <c r="N49" s="880">
        <f>N47/800000</f>
        <v>29.327145492944755</v>
      </c>
      <c r="O49" s="787"/>
      <c r="P49" s="1632"/>
      <c r="Q49" s="1613"/>
    </row>
    <row r="50" spans="1:17" ht="16.2">
      <c r="A50" s="779"/>
      <c r="B50" s="1623"/>
      <c r="C50" s="791"/>
      <c r="D50" s="1624"/>
      <c r="E50" s="1625"/>
      <c r="F50" s="792"/>
      <c r="G50" s="1625"/>
      <c r="H50" s="792"/>
      <c r="I50" s="787"/>
      <c r="J50" s="793"/>
      <c r="K50" s="1626"/>
      <c r="L50" s="1624"/>
      <c r="M50" s="787"/>
      <c r="N50" s="811"/>
      <c r="O50" s="1626"/>
      <c r="P50" s="787"/>
      <c r="Q50" s="19"/>
    </row>
  </sheetData>
  <mergeCells count="13">
    <mergeCell ref="D12:F12"/>
    <mergeCell ref="B14:C16"/>
    <mergeCell ref="D14:M14"/>
    <mergeCell ref="E15:E16"/>
    <mergeCell ref="G15:G16"/>
    <mergeCell ref="I15:I16"/>
    <mergeCell ref="K15:K16"/>
    <mergeCell ref="M15:M16"/>
    <mergeCell ref="H4:H6"/>
    <mergeCell ref="B8:P8"/>
    <mergeCell ref="D9:F9"/>
    <mergeCell ref="D10:F10"/>
    <mergeCell ref="D11:F11"/>
  </mergeCells>
  <phoneticPr fontId="53" type="noConversion"/>
  <printOptions horizontalCentered="1"/>
  <pageMargins left="0.3" right="0.75" top="1" bottom="1" header="0.5" footer="0.5"/>
  <pageSetup paperSize="3" scale="46" orientation="landscape" r:id="rId1"/>
  <headerFooter alignWithMargins="0">
    <oddHeader>&amp;C&amp;"Arial MT,Bold"&amp;A&amp;R&amp;8Print Date: &amp;D</oddHeader>
    <oddFooter>&amp;L&amp;8&amp;F&amp;A&amp;C&amp;10&amp;G&amp;R&amp;"Arial MT,Bold"&amp;10CONFIDENTIAL
&amp;"Arial MT,Regular"&amp;8Page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zoomScale="70" workbookViewId="0">
      <selection activeCell="E11" sqref="E11"/>
    </sheetView>
  </sheetViews>
  <sheetFormatPr defaultRowHeight="15"/>
  <cols>
    <col min="1" max="1" width="18.08984375" customWidth="1"/>
    <col min="2" max="2" width="75.1796875" bestFit="1" customWidth="1"/>
    <col min="5" max="5" width="8.90625" style="19"/>
    <col min="13" max="13" width="11.1796875" bestFit="1" customWidth="1"/>
    <col min="14" max="14" width="9.1796875" bestFit="1" customWidth="1"/>
  </cols>
  <sheetData>
    <row r="1" spans="1:14" ht="22.8">
      <c r="B1" s="124" t="s">
        <v>1347</v>
      </c>
    </row>
    <row r="2" spans="1:14">
      <c r="B2" s="129" t="s">
        <v>2025</v>
      </c>
      <c r="D2" s="131"/>
    </row>
    <row r="3" spans="1:14" ht="15.6">
      <c r="B3" s="129" t="s">
        <v>517</v>
      </c>
      <c r="D3" s="1633"/>
      <c r="M3" s="1634" t="s">
        <v>2024</v>
      </c>
      <c r="N3" s="1635">
        <v>39356</v>
      </c>
    </row>
    <row r="4" spans="1:14">
      <c r="B4" s="129" t="s">
        <v>2026</v>
      </c>
      <c r="D4" s="131"/>
    </row>
    <row r="5" spans="1:14">
      <c r="B5" s="129" t="s">
        <v>2027</v>
      </c>
      <c r="D5" s="131"/>
    </row>
    <row r="6" spans="1:14" ht="15.6">
      <c r="B6" s="129" t="s">
        <v>2028</v>
      </c>
      <c r="D6" s="137"/>
    </row>
    <row r="7" spans="1:14">
      <c r="B7" s="1636" t="s">
        <v>1903</v>
      </c>
      <c r="D7" s="1636"/>
    </row>
    <row r="8" spans="1:14" ht="15.6" thickBot="1">
      <c r="B8" s="1637"/>
      <c r="C8" s="1637"/>
      <c r="D8" s="1637"/>
    </row>
    <row r="9" spans="1:14" ht="16.2">
      <c r="A9" s="1638"/>
      <c r="B9" s="668" t="s">
        <v>251</v>
      </c>
      <c r="C9" s="710"/>
      <c r="D9" s="1639"/>
      <c r="E9" s="1656"/>
      <c r="F9" s="710"/>
      <c r="G9" s="710"/>
      <c r="H9" s="710"/>
      <c r="I9" s="710"/>
      <c r="J9" s="710"/>
      <c r="K9" s="710"/>
      <c r="L9" s="710"/>
      <c r="M9" s="710"/>
      <c r="N9" s="710"/>
    </row>
    <row r="10" spans="1:14" ht="16.2">
      <c r="A10" s="1638"/>
      <c r="B10" s="1640" t="s">
        <v>24</v>
      </c>
      <c r="C10" s="710"/>
      <c r="D10" s="1641">
        <v>0</v>
      </c>
      <c r="E10" s="1656"/>
      <c r="F10" s="710"/>
      <c r="G10" s="710"/>
      <c r="H10" s="710"/>
      <c r="I10" s="710"/>
      <c r="J10" s="710"/>
      <c r="K10" s="710"/>
      <c r="L10" s="710"/>
      <c r="M10" s="710"/>
      <c r="N10" s="710"/>
    </row>
    <row r="11" spans="1:14" ht="16.2">
      <c r="A11" s="1638"/>
      <c r="B11" s="1640" t="s">
        <v>26</v>
      </c>
      <c r="C11" s="710"/>
      <c r="D11" s="1641">
        <v>0</v>
      </c>
      <c r="E11" s="1656"/>
      <c r="F11" s="710"/>
      <c r="G11" s="710"/>
      <c r="H11" s="710"/>
      <c r="I11" s="710"/>
      <c r="J11" s="710"/>
      <c r="K11" s="710"/>
      <c r="L11" s="710"/>
      <c r="M11" s="710"/>
      <c r="N11" s="710"/>
    </row>
    <row r="12" spans="1:14" ht="16.2">
      <c r="A12" s="1638"/>
      <c r="B12" s="1640" t="s">
        <v>28</v>
      </c>
      <c r="C12" s="710"/>
      <c r="D12" s="1641">
        <v>0</v>
      </c>
      <c r="E12" s="1656"/>
      <c r="F12" s="710"/>
      <c r="G12" s="710"/>
      <c r="H12" s="710"/>
      <c r="I12" s="710"/>
      <c r="J12" s="710"/>
      <c r="K12" s="710"/>
      <c r="L12" s="710"/>
      <c r="M12" s="710"/>
      <c r="N12" s="710"/>
    </row>
    <row r="13" spans="1:14" ht="16.2">
      <c r="A13" s="1638"/>
      <c r="B13" s="1640" t="s">
        <v>30</v>
      </c>
      <c r="C13" s="710"/>
      <c r="D13" s="1641">
        <v>0</v>
      </c>
      <c r="E13" s="1656"/>
      <c r="F13" s="710"/>
      <c r="G13" s="710"/>
      <c r="H13" s="710"/>
      <c r="I13" s="710"/>
      <c r="J13" s="710"/>
      <c r="K13" s="710"/>
      <c r="L13" s="710"/>
      <c r="M13" s="710"/>
      <c r="N13" s="710"/>
    </row>
    <row r="14" spans="1:14" ht="16.2">
      <c r="A14" s="1638"/>
      <c r="B14" s="1640" t="s">
        <v>32</v>
      </c>
      <c r="C14" s="710"/>
      <c r="D14" s="1641">
        <v>0</v>
      </c>
      <c r="E14" s="1656"/>
      <c r="F14" s="710"/>
      <c r="G14" s="710"/>
      <c r="H14" s="710"/>
      <c r="I14" s="710"/>
      <c r="J14" s="710"/>
      <c r="K14" s="710"/>
      <c r="L14" s="710"/>
      <c r="M14" s="710"/>
      <c r="N14" s="710"/>
    </row>
    <row r="15" spans="1:14" ht="16.2">
      <c r="A15" s="1638"/>
      <c r="B15" s="1640" t="s">
        <v>34</v>
      </c>
      <c r="C15" s="710"/>
      <c r="D15" s="1641">
        <v>0</v>
      </c>
      <c r="E15" s="1656"/>
      <c r="F15" s="710"/>
      <c r="G15" s="710"/>
      <c r="H15" s="710"/>
      <c r="I15" s="710"/>
      <c r="J15" s="710"/>
      <c r="K15" s="710"/>
      <c r="L15" s="710"/>
      <c r="M15" s="710"/>
      <c r="N15" s="710"/>
    </row>
    <row r="16" spans="1:14" ht="16.2">
      <c r="A16" s="1638"/>
      <c r="B16" s="1640" t="s">
        <v>36</v>
      </c>
      <c r="C16" s="710"/>
      <c r="D16" s="1641">
        <v>0</v>
      </c>
      <c r="E16" s="1656"/>
      <c r="F16" s="710"/>
      <c r="G16" s="710"/>
      <c r="H16" s="710"/>
      <c r="I16" s="710"/>
      <c r="J16" s="710"/>
      <c r="K16" s="710"/>
      <c r="L16" s="710"/>
      <c r="M16" s="710"/>
      <c r="N16" s="710"/>
    </row>
    <row r="17" spans="1:14" ht="16.8" thickBot="1">
      <c r="A17" s="1638"/>
      <c r="B17" s="1640" t="s">
        <v>38</v>
      </c>
      <c r="C17" s="710"/>
      <c r="D17" s="1641">
        <v>0</v>
      </c>
      <c r="E17" s="1656"/>
      <c r="F17" s="710"/>
      <c r="G17" s="710"/>
      <c r="H17" s="710"/>
      <c r="I17" s="710"/>
      <c r="J17" s="710"/>
      <c r="K17" s="710"/>
      <c r="L17" s="710"/>
      <c r="M17" s="710"/>
      <c r="N17" s="710"/>
    </row>
    <row r="18" spans="1:14" ht="16.8" thickBot="1">
      <c r="A18" s="1638"/>
      <c r="B18" s="1662" t="s">
        <v>40</v>
      </c>
      <c r="C18" s="1642"/>
      <c r="D18" s="1663">
        <f>SUM(D9:D17)</f>
        <v>0</v>
      </c>
      <c r="E18" s="1656"/>
      <c r="F18" s="710"/>
      <c r="G18" s="710"/>
      <c r="H18" s="710"/>
      <c r="I18" s="710"/>
      <c r="J18" s="710"/>
      <c r="K18" s="710"/>
      <c r="L18" s="710"/>
      <c r="M18" s="710"/>
      <c r="N18" s="710"/>
    </row>
    <row r="19" spans="1:14" ht="16.8" thickBot="1">
      <c r="B19" s="1642"/>
      <c r="C19" s="1642"/>
      <c r="D19" s="1642"/>
      <c r="E19" s="855"/>
      <c r="F19" s="710"/>
      <c r="G19" s="710"/>
      <c r="H19" s="710"/>
      <c r="I19" s="710"/>
      <c r="J19" s="710"/>
      <c r="K19" s="710"/>
      <c r="L19" s="710"/>
      <c r="M19" s="710"/>
      <c r="N19" s="710"/>
    </row>
    <row r="20" spans="1:14" ht="16.2">
      <c r="A20" s="1638"/>
      <c r="B20" s="668" t="s">
        <v>42</v>
      </c>
      <c r="C20" s="710"/>
      <c r="D20" s="1643"/>
      <c r="E20" s="1656"/>
      <c r="F20" s="710"/>
      <c r="G20" s="710"/>
      <c r="H20" s="710"/>
      <c r="I20" s="710"/>
      <c r="J20" s="710"/>
      <c r="K20" s="710"/>
      <c r="L20" s="710"/>
      <c r="M20" s="710"/>
      <c r="N20" s="710"/>
    </row>
    <row r="21" spans="1:14" ht="16.2">
      <c r="A21" s="1638"/>
      <c r="B21" s="1640" t="s">
        <v>1375</v>
      </c>
      <c r="C21" s="710"/>
      <c r="D21" s="1641">
        <v>0</v>
      </c>
      <c r="E21" s="1656"/>
      <c r="F21" s="710"/>
      <c r="G21" s="710"/>
      <c r="H21" s="710"/>
      <c r="I21" s="710"/>
      <c r="J21" s="710"/>
      <c r="K21" s="710"/>
      <c r="L21" s="710"/>
      <c r="M21" s="710"/>
      <c r="N21" s="710"/>
    </row>
    <row r="22" spans="1:14" ht="16.2">
      <c r="A22" s="1638"/>
      <c r="B22" s="1640" t="s">
        <v>1377</v>
      </c>
      <c r="C22" s="710"/>
      <c r="D22" s="1641">
        <v>0</v>
      </c>
      <c r="E22" s="1656"/>
      <c r="F22" s="710"/>
      <c r="G22" s="710"/>
      <c r="H22" s="710"/>
      <c r="I22" s="710"/>
      <c r="J22" s="710"/>
      <c r="K22" s="710"/>
      <c r="L22" s="710"/>
      <c r="M22" s="710"/>
      <c r="N22" s="710"/>
    </row>
    <row r="23" spans="1:14" ht="16.2">
      <c r="A23" s="1638"/>
      <c r="B23" s="1640" t="s">
        <v>1379</v>
      </c>
      <c r="C23" s="710"/>
      <c r="D23" s="1641">
        <v>0</v>
      </c>
      <c r="E23" s="1656"/>
      <c r="F23" s="710"/>
      <c r="G23" s="710"/>
      <c r="H23" s="710"/>
      <c r="I23" s="710"/>
      <c r="J23" s="710"/>
      <c r="K23" s="710"/>
      <c r="L23" s="710"/>
      <c r="M23" s="710"/>
      <c r="N23" s="710"/>
    </row>
    <row r="24" spans="1:14" ht="16.2">
      <c r="A24" s="1638"/>
      <c r="B24" s="1640" t="s">
        <v>1381</v>
      </c>
      <c r="C24" s="710"/>
      <c r="D24" s="1641">
        <v>0</v>
      </c>
      <c r="E24" s="1656"/>
      <c r="F24" s="710"/>
      <c r="G24" s="710"/>
      <c r="H24" s="710"/>
      <c r="I24" s="710"/>
      <c r="J24" s="710"/>
      <c r="K24" s="710"/>
      <c r="L24" s="710"/>
      <c r="M24" s="710"/>
      <c r="N24" s="710"/>
    </row>
    <row r="25" spans="1:14" ht="16.2">
      <c r="A25" s="1638"/>
      <c r="B25" s="1640" t="s">
        <v>1383</v>
      </c>
      <c r="C25" s="710"/>
      <c r="D25" s="1641">
        <v>0</v>
      </c>
      <c r="E25" s="1656"/>
      <c r="F25" s="710"/>
      <c r="G25" s="710"/>
      <c r="H25" s="710"/>
      <c r="I25" s="710"/>
      <c r="J25" s="710"/>
      <c r="K25" s="710"/>
      <c r="L25" s="710"/>
      <c r="M25" s="710"/>
      <c r="N25" s="710"/>
    </row>
    <row r="26" spans="1:14" ht="16.8" thickBot="1">
      <c r="A26" s="1638"/>
      <c r="B26" s="1640" t="s">
        <v>1385</v>
      </c>
      <c r="C26" s="710"/>
      <c r="D26" s="1641">
        <v>0</v>
      </c>
      <c r="E26" s="1656"/>
      <c r="F26" s="710"/>
      <c r="G26" s="710"/>
      <c r="H26" s="710"/>
      <c r="I26" s="710"/>
      <c r="J26" s="710"/>
      <c r="K26" s="710"/>
      <c r="L26" s="710"/>
      <c r="M26" s="710"/>
      <c r="N26" s="710"/>
    </row>
    <row r="27" spans="1:14" ht="16.8" thickBot="1">
      <c r="A27" s="1638"/>
      <c r="B27" s="1662" t="s">
        <v>1386</v>
      </c>
      <c r="C27" s="1642"/>
      <c r="D27" s="1663">
        <f>SUM(D21:D26)</f>
        <v>0</v>
      </c>
      <c r="E27" s="1656"/>
      <c r="F27" s="710"/>
      <c r="G27" s="710"/>
      <c r="H27" s="710"/>
      <c r="I27" s="710"/>
      <c r="J27" s="710"/>
      <c r="K27" s="710"/>
      <c r="L27" s="710"/>
      <c r="M27" s="710"/>
      <c r="N27" s="710"/>
    </row>
    <row r="28" spans="1:14" ht="16.8" thickBot="1">
      <c r="B28" s="1644"/>
      <c r="C28" s="1642"/>
      <c r="D28" s="1642"/>
      <c r="E28" s="855"/>
      <c r="F28" s="710"/>
      <c r="G28" s="710"/>
      <c r="H28" s="710"/>
      <c r="I28" s="710"/>
      <c r="J28" s="710"/>
      <c r="K28" s="710"/>
      <c r="L28" s="710"/>
      <c r="M28" s="710"/>
      <c r="N28" s="710"/>
    </row>
    <row r="29" spans="1:14" ht="16.2">
      <c r="A29" s="1638"/>
      <c r="B29" s="668" t="s">
        <v>1388</v>
      </c>
      <c r="C29" s="710"/>
      <c r="D29" s="1641"/>
      <c r="E29" s="1656"/>
      <c r="F29" s="710"/>
      <c r="G29" s="710"/>
      <c r="H29" s="710"/>
      <c r="I29" s="710"/>
      <c r="J29" s="710"/>
      <c r="K29" s="710"/>
      <c r="L29" s="710"/>
      <c r="M29" s="710"/>
      <c r="N29" s="710"/>
    </row>
    <row r="30" spans="1:14" ht="16.2">
      <c r="A30" s="1638"/>
      <c r="B30" s="1640" t="s">
        <v>1390</v>
      </c>
      <c r="C30" s="710"/>
      <c r="D30" s="1641">
        <v>0</v>
      </c>
      <c r="E30" s="1656"/>
      <c r="F30" s="710"/>
      <c r="G30" s="710"/>
      <c r="H30" s="710"/>
      <c r="I30" s="710"/>
      <c r="J30" s="710"/>
      <c r="K30" s="710"/>
      <c r="L30" s="710"/>
      <c r="M30" s="710"/>
      <c r="N30" s="710"/>
    </row>
    <row r="31" spans="1:14" ht="16.2">
      <c r="A31" s="1638"/>
      <c r="B31" s="1640" t="s">
        <v>1392</v>
      </c>
      <c r="C31" s="710"/>
      <c r="D31" s="1641">
        <v>0</v>
      </c>
      <c r="E31" s="1656"/>
      <c r="F31" s="710"/>
      <c r="G31" s="710"/>
      <c r="H31" s="710"/>
      <c r="I31" s="710"/>
      <c r="J31" s="710"/>
      <c r="K31" s="710"/>
      <c r="L31" s="710"/>
      <c r="M31" s="710"/>
      <c r="N31" s="710"/>
    </row>
    <row r="32" spans="1:14" ht="16.2">
      <c r="A32" s="1638"/>
      <c r="B32" s="1640" t="s">
        <v>1394</v>
      </c>
      <c r="C32" s="710"/>
      <c r="D32" s="1641">
        <v>0</v>
      </c>
      <c r="E32" s="1656"/>
      <c r="F32" s="710"/>
      <c r="G32" s="710"/>
      <c r="H32" s="710"/>
      <c r="I32" s="710"/>
      <c r="J32" s="710"/>
      <c r="K32" s="710"/>
      <c r="L32" s="710"/>
      <c r="M32" s="710"/>
      <c r="N32" s="710"/>
    </row>
    <row r="33" spans="1:14" ht="16.2">
      <c r="A33" s="1638"/>
      <c r="B33" s="1640" t="s">
        <v>1395</v>
      </c>
      <c r="C33" s="710"/>
      <c r="D33" s="1641">
        <v>0</v>
      </c>
      <c r="E33" s="1656"/>
      <c r="F33" s="710"/>
      <c r="G33" s="710"/>
      <c r="H33" s="710"/>
      <c r="I33" s="710"/>
      <c r="J33" s="710"/>
      <c r="K33" s="710"/>
      <c r="L33" s="710"/>
      <c r="M33" s="710"/>
      <c r="N33" s="710"/>
    </row>
    <row r="34" spans="1:14" ht="16.2">
      <c r="A34" s="1638"/>
      <c r="B34" s="1640" t="s">
        <v>1397</v>
      </c>
      <c r="C34" s="710"/>
      <c r="D34" s="1641">
        <v>0</v>
      </c>
      <c r="E34" s="1656"/>
      <c r="F34" s="710"/>
      <c r="G34" s="710"/>
      <c r="H34" s="710"/>
      <c r="I34" s="710"/>
      <c r="J34" s="710"/>
      <c r="K34" s="710"/>
      <c r="L34" s="710"/>
      <c r="M34" s="710"/>
      <c r="N34" s="710"/>
    </row>
    <row r="35" spans="1:14" ht="16.2">
      <c r="A35" s="1638"/>
      <c r="B35" s="1640" t="s">
        <v>1399</v>
      </c>
      <c r="C35" s="710"/>
      <c r="D35" s="1641">
        <v>0</v>
      </c>
      <c r="E35" s="1656"/>
      <c r="F35" s="710"/>
      <c r="G35" s="710"/>
      <c r="H35" s="710"/>
      <c r="I35" s="710"/>
      <c r="J35" s="710"/>
      <c r="K35" s="710"/>
      <c r="L35" s="710"/>
      <c r="M35" s="710"/>
      <c r="N35" s="710"/>
    </row>
    <row r="36" spans="1:14" ht="16.8" thickBot="1">
      <c r="A36" s="1638"/>
      <c r="B36" s="1640" t="s">
        <v>1400</v>
      </c>
      <c r="C36" s="710"/>
      <c r="D36" s="1641">
        <v>0</v>
      </c>
      <c r="E36" s="1656"/>
      <c r="F36" s="710"/>
      <c r="G36" s="710"/>
      <c r="H36" s="710"/>
      <c r="I36" s="710"/>
      <c r="J36" s="710"/>
      <c r="K36" s="710"/>
      <c r="L36" s="710"/>
      <c r="M36" s="710"/>
      <c r="N36" s="710"/>
    </row>
    <row r="37" spans="1:14" ht="16.8" thickBot="1">
      <c r="A37" s="1638"/>
      <c r="B37" s="1662" t="s">
        <v>1401</v>
      </c>
      <c r="C37" s="1642"/>
      <c r="D37" s="1663">
        <f>SUM(D29:D36)</f>
        <v>0</v>
      </c>
      <c r="E37" s="1656"/>
      <c r="F37" s="710"/>
      <c r="G37" s="710"/>
      <c r="H37" s="710"/>
      <c r="I37" s="710"/>
      <c r="J37" s="710"/>
      <c r="K37" s="710"/>
      <c r="L37" s="710"/>
      <c r="M37" s="710"/>
      <c r="N37" s="710"/>
    </row>
    <row r="38" spans="1:14" ht="16.8" thickBot="1">
      <c r="B38" s="1642"/>
      <c r="C38" s="1642"/>
      <c r="D38" s="1642"/>
      <c r="E38" s="855"/>
      <c r="F38" s="710"/>
      <c r="G38" s="710"/>
      <c r="H38" s="710"/>
      <c r="I38" s="710"/>
      <c r="J38" s="710"/>
      <c r="K38" s="710"/>
      <c r="L38" s="710"/>
      <c r="M38" s="710"/>
      <c r="N38" s="710"/>
    </row>
    <row r="39" spans="1:14" ht="16.2">
      <c r="A39" s="1638"/>
      <c r="B39" s="668" t="s">
        <v>254</v>
      </c>
      <c r="C39" s="710"/>
      <c r="D39" s="1639"/>
      <c r="E39" s="855"/>
      <c r="F39" s="710"/>
      <c r="G39" s="710"/>
      <c r="H39" s="710"/>
      <c r="I39" s="710"/>
      <c r="J39" s="710"/>
      <c r="K39" s="710"/>
      <c r="L39" s="710"/>
      <c r="M39" s="710"/>
      <c r="N39" s="710"/>
    </row>
    <row r="40" spans="1:14" ht="16.2">
      <c r="A40" s="1638"/>
      <c r="B40" s="1640" t="s">
        <v>764</v>
      </c>
      <c r="C40" s="710"/>
      <c r="D40" s="1641">
        <v>0</v>
      </c>
      <c r="E40" s="855"/>
      <c r="F40" s="710"/>
      <c r="G40" s="710"/>
      <c r="H40" s="710"/>
      <c r="I40" s="710"/>
      <c r="J40" s="710"/>
      <c r="K40" s="710"/>
      <c r="L40" s="710"/>
      <c r="M40" s="710"/>
      <c r="N40" s="710"/>
    </row>
    <row r="41" spans="1:14" ht="16.2">
      <c r="A41" s="1638"/>
      <c r="B41" s="1640" t="s">
        <v>765</v>
      </c>
      <c r="C41" s="710"/>
      <c r="D41" s="1641">
        <v>0</v>
      </c>
      <c r="E41" s="855"/>
      <c r="F41" s="710"/>
      <c r="G41" s="710"/>
      <c r="H41" s="710"/>
      <c r="I41" s="710"/>
      <c r="J41" s="710"/>
      <c r="K41" s="710"/>
      <c r="L41" s="710"/>
      <c r="M41" s="710"/>
      <c r="N41" s="710"/>
    </row>
    <row r="42" spans="1:14" ht="16.2">
      <c r="A42" s="1638"/>
      <c r="B42" s="1640" t="s">
        <v>766</v>
      </c>
      <c r="C42" s="710"/>
      <c r="D42" s="1641">
        <v>0</v>
      </c>
      <c r="E42" s="855"/>
      <c r="F42" s="710"/>
      <c r="G42" s="710"/>
      <c r="H42" s="710"/>
      <c r="I42" s="710"/>
      <c r="J42" s="710"/>
      <c r="K42" s="710"/>
      <c r="L42" s="710"/>
      <c r="M42" s="710"/>
      <c r="N42" s="710"/>
    </row>
    <row r="43" spans="1:14" ht="16.8" thickBot="1">
      <c r="A43" s="1638"/>
      <c r="B43" s="1640" t="s">
        <v>767</v>
      </c>
      <c r="C43" s="710"/>
      <c r="D43" s="1641">
        <v>0</v>
      </c>
      <c r="E43" s="855"/>
      <c r="F43" s="710"/>
      <c r="G43" s="710"/>
      <c r="H43" s="710"/>
      <c r="I43" s="710"/>
      <c r="J43" s="710"/>
      <c r="K43" s="710"/>
      <c r="L43" s="710"/>
      <c r="M43" s="710"/>
      <c r="N43" s="710"/>
    </row>
    <row r="44" spans="1:14" ht="16.8" thickBot="1">
      <c r="A44" s="1638"/>
      <c r="B44" s="1662" t="s">
        <v>768</v>
      </c>
      <c r="C44" s="1642"/>
      <c r="D44" s="1663">
        <f>SUM(D40:D43)</f>
        <v>0</v>
      </c>
      <c r="E44" s="855"/>
      <c r="F44" s="710"/>
      <c r="G44" s="710"/>
      <c r="H44" s="710"/>
      <c r="I44" s="710"/>
      <c r="J44" s="710"/>
      <c r="K44" s="710"/>
      <c r="L44" s="710"/>
      <c r="M44" s="710"/>
      <c r="N44" s="710"/>
    </row>
    <row r="45" spans="1:14" ht="16.8" thickBot="1">
      <c r="B45" s="1642"/>
      <c r="C45" s="1642"/>
      <c r="D45" s="1642"/>
      <c r="E45" s="855"/>
      <c r="F45" s="710"/>
      <c r="G45" s="710"/>
      <c r="H45" s="710"/>
      <c r="I45" s="710"/>
      <c r="J45" s="710"/>
      <c r="K45" s="710"/>
      <c r="L45" s="710"/>
      <c r="M45" s="710"/>
      <c r="N45" s="710"/>
    </row>
    <row r="46" spans="1:14" ht="16.2">
      <c r="A46" s="1638"/>
      <c r="B46" s="668" t="s">
        <v>1014</v>
      </c>
      <c r="C46" s="710"/>
      <c r="D46" s="1645"/>
      <c r="E46" s="855"/>
      <c r="F46" s="710"/>
      <c r="G46" s="710"/>
      <c r="H46" s="710"/>
      <c r="I46" s="710"/>
      <c r="J46" s="710"/>
      <c r="K46" s="710"/>
      <c r="L46" s="710"/>
      <c r="M46" s="710"/>
      <c r="N46" s="710"/>
    </row>
    <row r="47" spans="1:14" ht="16.8" thickBot="1">
      <c r="A47" s="1638"/>
      <c r="B47" s="1640" t="s">
        <v>1015</v>
      </c>
      <c r="C47" s="710"/>
      <c r="D47" s="1641">
        <v>0</v>
      </c>
      <c r="E47" s="855"/>
      <c r="F47" s="710"/>
      <c r="G47" s="710"/>
      <c r="H47" s="710"/>
      <c r="I47" s="710"/>
      <c r="J47" s="710"/>
      <c r="K47" s="710"/>
      <c r="L47" s="710"/>
      <c r="M47" s="710"/>
      <c r="N47" s="710"/>
    </row>
    <row r="48" spans="1:14" ht="16.8" thickBot="1">
      <c r="A48" s="1638"/>
      <c r="B48" s="1662" t="s">
        <v>1016</v>
      </c>
      <c r="C48" s="1642"/>
      <c r="D48" s="1663">
        <f>SUM(D47)</f>
        <v>0</v>
      </c>
      <c r="E48" s="855"/>
      <c r="F48" s="710"/>
      <c r="G48" s="710"/>
      <c r="H48" s="710"/>
      <c r="I48" s="710"/>
      <c r="J48" s="710"/>
      <c r="K48" s="710"/>
      <c r="L48" s="710"/>
      <c r="M48" s="710"/>
      <c r="N48" s="710"/>
    </row>
    <row r="49" spans="1:14" ht="16.8" thickBot="1">
      <c r="B49" s="1642"/>
      <c r="C49" s="1642"/>
      <c r="D49" s="1642"/>
      <c r="E49" s="855"/>
      <c r="F49" s="710"/>
      <c r="G49" s="710"/>
      <c r="H49" s="710"/>
      <c r="I49" s="710"/>
      <c r="J49" s="710"/>
      <c r="K49" s="710"/>
      <c r="L49" s="710"/>
      <c r="M49" s="710"/>
      <c r="N49" s="710"/>
    </row>
    <row r="50" spans="1:14" ht="16.2">
      <c r="A50" s="1638"/>
      <c r="B50" s="668" t="s">
        <v>1017</v>
      </c>
      <c r="C50" s="710"/>
      <c r="D50" s="1645"/>
      <c r="E50" s="855"/>
      <c r="F50" s="710"/>
      <c r="G50" s="710"/>
      <c r="H50" s="710"/>
      <c r="I50" s="710"/>
      <c r="J50" s="710"/>
      <c r="K50" s="710"/>
      <c r="L50" s="710"/>
      <c r="M50" s="710"/>
      <c r="N50" s="710"/>
    </row>
    <row r="51" spans="1:14" ht="16.2">
      <c r="A51" s="1638"/>
      <c r="B51" s="1640" t="s">
        <v>1018</v>
      </c>
      <c r="C51" s="710"/>
      <c r="D51" s="1641">
        <v>0</v>
      </c>
      <c r="E51" s="855"/>
      <c r="F51" s="710"/>
      <c r="G51" s="710"/>
      <c r="H51" s="710"/>
      <c r="I51" s="710"/>
      <c r="J51" s="710"/>
      <c r="K51" s="710"/>
      <c r="L51" s="710"/>
      <c r="M51" s="710"/>
      <c r="N51" s="710"/>
    </row>
    <row r="52" spans="1:14" ht="16.2">
      <c r="A52" s="1638"/>
      <c r="B52" s="1640" t="s">
        <v>1019</v>
      </c>
      <c r="C52" s="710"/>
      <c r="D52" s="1641">
        <v>0</v>
      </c>
      <c r="E52" s="855"/>
      <c r="F52" s="710"/>
      <c r="G52" s="710"/>
      <c r="H52" s="710"/>
      <c r="I52" s="710"/>
      <c r="J52" s="710"/>
      <c r="K52" s="710"/>
      <c r="L52" s="710"/>
      <c r="M52" s="710"/>
      <c r="N52" s="710"/>
    </row>
    <row r="53" spans="1:14" ht="16.2">
      <c r="A53" s="1638"/>
      <c r="B53" s="1640" t="s">
        <v>1020</v>
      </c>
      <c r="C53" s="710"/>
      <c r="D53" s="1641">
        <v>0</v>
      </c>
      <c r="E53" s="855"/>
      <c r="F53" s="710"/>
      <c r="G53" s="710"/>
      <c r="H53" s="710"/>
      <c r="I53" s="710"/>
      <c r="J53" s="710"/>
      <c r="K53" s="710"/>
      <c r="L53" s="710"/>
      <c r="M53" s="710"/>
      <c r="N53" s="710"/>
    </row>
    <row r="54" spans="1:14" ht="16.2">
      <c r="A54" s="1638"/>
      <c r="B54" s="1640" t="s">
        <v>1021</v>
      </c>
      <c r="C54" s="710"/>
      <c r="D54" s="1641">
        <v>0</v>
      </c>
      <c r="E54" s="855"/>
      <c r="F54" s="710"/>
      <c r="G54" s="710"/>
      <c r="H54" s="710"/>
      <c r="I54" s="710"/>
      <c r="J54" s="710"/>
      <c r="K54" s="710"/>
      <c r="L54" s="710"/>
      <c r="M54" s="710"/>
      <c r="N54" s="710"/>
    </row>
    <row r="55" spans="1:14" ht="16.2">
      <c r="A55" s="1638"/>
      <c r="B55" s="1640" t="s">
        <v>1022</v>
      </c>
      <c r="C55" s="710"/>
      <c r="D55" s="1641">
        <v>0</v>
      </c>
      <c r="E55" s="855"/>
      <c r="F55" s="710"/>
      <c r="G55" s="710"/>
      <c r="H55" s="710"/>
      <c r="I55" s="710"/>
      <c r="J55" s="710"/>
      <c r="K55" s="710"/>
      <c r="L55" s="710"/>
      <c r="M55" s="710"/>
      <c r="N55" s="710"/>
    </row>
    <row r="56" spans="1:14" ht="16.2">
      <c r="A56" s="1638"/>
      <c r="B56" s="1640" t="s">
        <v>1023</v>
      </c>
      <c r="C56" s="710"/>
      <c r="D56" s="1641">
        <v>0</v>
      </c>
      <c r="E56" s="855"/>
      <c r="F56" s="710"/>
      <c r="G56" s="710"/>
      <c r="H56" s="710"/>
      <c r="I56" s="710"/>
      <c r="J56" s="710"/>
      <c r="K56" s="710"/>
      <c r="L56" s="710"/>
      <c r="M56" s="710"/>
      <c r="N56" s="710"/>
    </row>
    <row r="57" spans="1:14" ht="16.2">
      <c r="A57" s="1638"/>
      <c r="B57" s="1640" t="s">
        <v>1024</v>
      </c>
      <c r="C57" s="710"/>
      <c r="D57" s="1641">
        <v>0</v>
      </c>
      <c r="E57" s="855"/>
      <c r="F57" s="710"/>
      <c r="G57" s="710"/>
      <c r="H57" s="710"/>
      <c r="I57" s="710"/>
      <c r="J57" s="710"/>
      <c r="K57" s="710"/>
      <c r="L57" s="710"/>
      <c r="M57" s="710"/>
      <c r="N57" s="710"/>
    </row>
    <row r="58" spans="1:14" ht="16.2">
      <c r="A58" s="1638"/>
      <c r="B58" s="1640" t="s">
        <v>907</v>
      </c>
      <c r="C58" s="710"/>
      <c r="D58" s="1641">
        <v>0</v>
      </c>
      <c r="E58" s="855"/>
      <c r="F58" s="710"/>
      <c r="G58" s="710"/>
      <c r="H58" s="710"/>
      <c r="I58" s="710"/>
      <c r="J58" s="710"/>
      <c r="K58" s="710"/>
      <c r="L58" s="710"/>
      <c r="M58" s="710"/>
      <c r="N58" s="710"/>
    </row>
    <row r="59" spans="1:14" ht="16.2">
      <c r="A59" s="1638"/>
      <c r="B59" s="1640" t="s">
        <v>908</v>
      </c>
      <c r="C59" s="710"/>
      <c r="D59" s="1641">
        <v>0</v>
      </c>
      <c r="E59" s="855"/>
      <c r="F59" s="710"/>
      <c r="G59" s="710"/>
      <c r="H59" s="710"/>
      <c r="I59" s="710"/>
      <c r="J59" s="710"/>
      <c r="K59" s="710"/>
      <c r="L59" s="710"/>
      <c r="M59" s="710"/>
      <c r="N59" s="710"/>
    </row>
    <row r="60" spans="1:14" ht="16.8" thickBot="1">
      <c r="A60" s="1638"/>
      <c r="B60" s="1640" t="s">
        <v>909</v>
      </c>
      <c r="C60" s="710"/>
      <c r="D60" s="1641">
        <v>0</v>
      </c>
      <c r="E60" s="855"/>
      <c r="F60" s="710"/>
      <c r="G60" s="710"/>
      <c r="H60" s="710"/>
      <c r="I60" s="710"/>
      <c r="J60" s="710"/>
      <c r="K60" s="710"/>
      <c r="L60" s="710"/>
      <c r="M60" s="710"/>
      <c r="N60" s="710"/>
    </row>
    <row r="61" spans="1:14" ht="16.8" thickBot="1">
      <c r="A61" s="1638"/>
      <c r="B61" s="1662" t="s">
        <v>910</v>
      </c>
      <c r="C61" s="1642"/>
      <c r="D61" s="1663">
        <f>SUM(D51:D60)</f>
        <v>0</v>
      </c>
      <c r="E61" s="855"/>
      <c r="F61" s="710"/>
      <c r="G61" s="710"/>
      <c r="H61" s="710"/>
      <c r="I61" s="710"/>
      <c r="J61" s="710"/>
      <c r="K61" s="710"/>
      <c r="L61" s="710"/>
      <c r="M61" s="710"/>
      <c r="N61" s="710"/>
    </row>
    <row r="62" spans="1:14" ht="16.8" thickBot="1">
      <c r="A62" s="19"/>
      <c r="B62" s="1654"/>
      <c r="C62" s="855"/>
      <c r="D62" s="1661"/>
      <c r="E62" s="855"/>
      <c r="F62" s="710"/>
      <c r="G62" s="710"/>
      <c r="H62" s="710"/>
      <c r="I62" s="710"/>
      <c r="J62" s="710"/>
      <c r="K62" s="710"/>
      <c r="L62" s="710"/>
      <c r="M62" s="710"/>
      <c r="N62" s="710"/>
    </row>
    <row r="63" spans="1:14" ht="16.2">
      <c r="B63" s="1657" t="s">
        <v>1987</v>
      </c>
      <c r="C63" s="1658"/>
      <c r="D63" s="1645"/>
      <c r="E63" s="855"/>
      <c r="F63" s="855"/>
      <c r="G63" s="855"/>
      <c r="H63" s="855"/>
      <c r="I63" s="855"/>
      <c r="J63" s="855"/>
      <c r="K63" s="710"/>
      <c r="L63" s="710"/>
      <c r="M63" s="710"/>
      <c r="N63" s="710"/>
    </row>
    <row r="64" spans="1:14" ht="16.2">
      <c r="A64" s="19"/>
      <c r="B64" s="1659" t="s">
        <v>25</v>
      </c>
      <c r="C64" s="855"/>
      <c r="D64" s="1641">
        <v>0</v>
      </c>
      <c r="E64" s="1656"/>
      <c r="F64" s="855"/>
      <c r="G64" s="855"/>
      <c r="H64" s="855"/>
      <c r="I64" s="855"/>
      <c r="J64" s="1655"/>
      <c r="K64" s="710"/>
      <c r="L64" s="710"/>
      <c r="M64" s="710"/>
      <c r="N64" s="710"/>
    </row>
    <row r="65" spans="2:14" ht="16.2">
      <c r="B65" s="1659" t="s">
        <v>27</v>
      </c>
      <c r="C65" s="855"/>
      <c r="D65" s="1641">
        <v>0</v>
      </c>
      <c r="E65" s="855"/>
      <c r="F65" s="710"/>
      <c r="G65" s="710"/>
      <c r="H65" s="710"/>
      <c r="I65" s="710"/>
      <c r="J65" s="710"/>
      <c r="K65" s="710"/>
      <c r="L65" s="710"/>
      <c r="M65" s="710"/>
      <c r="N65" s="710"/>
    </row>
    <row r="66" spans="2:14" ht="16.2">
      <c r="B66" s="1659" t="s">
        <v>29</v>
      </c>
      <c r="C66" s="855"/>
      <c r="D66" s="1641">
        <v>0</v>
      </c>
    </row>
    <row r="67" spans="2:14" ht="16.2">
      <c r="B67" s="1659" t="s">
        <v>31</v>
      </c>
      <c r="C67" s="855"/>
      <c r="D67" s="1641">
        <v>0</v>
      </c>
    </row>
    <row r="68" spans="2:14" ht="16.2">
      <c r="B68" s="1659" t="s">
        <v>33</v>
      </c>
      <c r="C68" s="855"/>
      <c r="D68" s="1641"/>
    </row>
    <row r="69" spans="2:14" ht="16.2">
      <c r="B69" s="1659" t="s">
        <v>35</v>
      </c>
      <c r="C69" s="855"/>
      <c r="D69" s="1641"/>
    </row>
    <row r="70" spans="2:14" ht="16.2">
      <c r="B70" s="1659" t="s">
        <v>37</v>
      </c>
      <c r="C70" s="855"/>
      <c r="D70" s="1641"/>
    </row>
    <row r="71" spans="2:14" ht="16.8" thickBot="1">
      <c r="B71" s="1659" t="s">
        <v>39</v>
      </c>
      <c r="C71" s="855"/>
      <c r="D71" s="1641"/>
    </row>
    <row r="72" spans="2:14" ht="16.8" thickBot="1">
      <c r="B72" s="1662" t="s">
        <v>41</v>
      </c>
      <c r="C72" s="1642"/>
      <c r="D72" s="1663">
        <f>SUM(D64:D71)</f>
        <v>0</v>
      </c>
    </row>
    <row r="73" spans="2:14" ht="16.8" thickBot="1">
      <c r="B73" s="1658"/>
      <c r="C73" s="1658"/>
      <c r="D73" s="1658"/>
    </row>
    <row r="74" spans="2:14" ht="16.2">
      <c r="B74" s="1657" t="s">
        <v>43</v>
      </c>
      <c r="C74" s="1658"/>
      <c r="D74" s="1645"/>
    </row>
    <row r="75" spans="2:14" ht="16.2">
      <c r="B75" s="1659" t="s">
        <v>1376</v>
      </c>
      <c r="C75" s="855"/>
      <c r="D75" s="1641">
        <v>0</v>
      </c>
    </row>
    <row r="76" spans="2:14" ht="16.2">
      <c r="B76" s="1659" t="s">
        <v>1378</v>
      </c>
      <c r="C76" s="855"/>
      <c r="D76" s="1641">
        <v>0</v>
      </c>
    </row>
    <row r="77" spans="2:14" ht="16.2">
      <c r="B77" s="1659" t="s">
        <v>1380</v>
      </c>
      <c r="C77" s="855"/>
      <c r="D77" s="1641"/>
    </row>
    <row r="78" spans="2:14" ht="16.2">
      <c r="B78" s="1659" t="s">
        <v>1382</v>
      </c>
      <c r="C78" s="855"/>
      <c r="D78" s="1641"/>
    </row>
    <row r="79" spans="2:14" ht="16.2">
      <c r="B79" s="1659" t="s">
        <v>1384</v>
      </c>
      <c r="C79" s="855"/>
      <c r="D79" s="1641"/>
    </row>
    <row r="80" spans="2:14" ht="16.8" thickBot="1">
      <c r="B80" s="1659"/>
      <c r="C80" s="855"/>
      <c r="D80" s="1641"/>
    </row>
    <row r="81" spans="2:4" ht="16.8" thickBot="1">
      <c r="B81" s="1664" t="s">
        <v>1387</v>
      </c>
      <c r="C81" s="1642"/>
      <c r="D81" s="1663">
        <v>0</v>
      </c>
    </row>
    <row r="82" spans="2:4" ht="16.8" thickBot="1">
      <c r="B82" s="1654"/>
      <c r="C82" s="855"/>
      <c r="D82" s="1660"/>
    </row>
    <row r="83" spans="2:4" ht="16.2">
      <c r="B83" s="1657" t="s">
        <v>1389</v>
      </c>
      <c r="C83" s="1658"/>
      <c r="D83" s="1645"/>
    </row>
    <row r="84" spans="2:4" ht="16.2">
      <c r="B84" s="1659" t="s">
        <v>1391</v>
      </c>
      <c r="C84" s="855"/>
      <c r="D84" s="1641">
        <v>0</v>
      </c>
    </row>
    <row r="85" spans="2:4" ht="16.2">
      <c r="B85" s="1659" t="s">
        <v>1393</v>
      </c>
      <c r="C85" s="855"/>
      <c r="D85" s="1641">
        <v>0</v>
      </c>
    </row>
    <row r="86" spans="2:4" ht="16.2">
      <c r="B86" s="1659" t="s">
        <v>1394</v>
      </c>
      <c r="C86" s="855"/>
      <c r="D86" s="1641">
        <v>0</v>
      </c>
    </row>
    <row r="87" spans="2:4" ht="16.2">
      <c r="B87" s="1659" t="s">
        <v>1396</v>
      </c>
      <c r="C87" s="855"/>
      <c r="D87" s="1641">
        <v>0</v>
      </c>
    </row>
    <row r="88" spans="2:4" ht="16.2">
      <c r="B88" s="1659" t="s">
        <v>1398</v>
      </c>
      <c r="C88" s="855"/>
      <c r="D88" s="1641">
        <v>0</v>
      </c>
    </row>
    <row r="89" spans="2:4" ht="16.2">
      <c r="B89" s="1659"/>
      <c r="C89" s="855"/>
      <c r="D89" s="1641"/>
    </row>
    <row r="90" spans="2:4" ht="16.8" thickBot="1">
      <c r="B90" s="1659"/>
      <c r="C90" s="855"/>
      <c r="D90" s="1641"/>
    </row>
    <row r="91" spans="2:4" ht="16.8" thickBot="1">
      <c r="B91" s="1662" t="s">
        <v>1402</v>
      </c>
      <c r="C91" s="1642"/>
      <c r="D91" s="1663">
        <f>SUM(D84:D90)</f>
        <v>0</v>
      </c>
    </row>
    <row r="92" spans="2:4" ht="16.8" thickBot="1">
      <c r="B92" s="1654"/>
      <c r="C92" s="855"/>
      <c r="D92" s="1655"/>
    </row>
    <row r="93" spans="2:4" ht="18.600000000000001" thickTop="1" thickBot="1">
      <c r="B93" s="1665" t="s">
        <v>911</v>
      </c>
      <c r="C93" s="1666"/>
      <c r="D93" s="1667">
        <f>+D91+D81+D72+D61+D44+D37+D27+D18</f>
        <v>0</v>
      </c>
    </row>
    <row r="94" spans="2:4" ht="16.8" thickTop="1">
      <c r="B94" s="710"/>
      <c r="C94" s="710"/>
      <c r="D94" s="710"/>
    </row>
  </sheetData>
  <phoneticPr fontId="53" type="noConversion"/>
  <printOptions verticalCentered="1"/>
  <pageMargins left="0.25" right="0.25" top="1.25" bottom="1.25" header="0.84" footer="0.5"/>
  <pageSetup paperSize="3" scale="70" orientation="portrait" r:id="rId1"/>
  <headerFooter alignWithMargins="0">
    <oddHeader>&amp;C&amp;"Arial MT,Bold"&amp;14&amp;A&amp;R&amp;8Print Date: &amp;D</oddHeader>
    <oddFooter>&amp;L&amp;8&amp;F&amp;A&amp;C&amp;8&amp;G&amp;R&amp;"Arial MT,Bold"&amp;10CONFIDENTIAL
&amp;"Arial MT,Regular"&amp;8Page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22" workbookViewId="0">
      <selection activeCell="B50" sqref="B50"/>
    </sheetView>
  </sheetViews>
  <sheetFormatPr defaultRowHeight="15"/>
  <cols>
    <col min="5" max="5" width="8.90625" style="38"/>
  </cols>
  <sheetData>
    <row r="1" spans="1:9">
      <c r="A1" t="s">
        <v>2425</v>
      </c>
      <c r="D1" t="s">
        <v>2426</v>
      </c>
      <c r="F1" t="s">
        <v>2427</v>
      </c>
      <c r="I1" t="s">
        <v>2428</v>
      </c>
    </row>
    <row r="2" spans="1:9">
      <c r="A2">
        <v>1150</v>
      </c>
      <c r="D2">
        <v>5419</v>
      </c>
      <c r="F2">
        <v>1448</v>
      </c>
      <c r="I2" t="s">
        <v>2427</v>
      </c>
    </row>
    <row r="3" spans="1:9">
      <c r="A3">
        <v>3495</v>
      </c>
      <c r="D3">
        <v>939</v>
      </c>
      <c r="F3">
        <v>1368</v>
      </c>
    </row>
    <row r="4" spans="1:9">
      <c r="A4">
        <v>11265</v>
      </c>
      <c r="D4">
        <v>4451</v>
      </c>
      <c r="F4">
        <v>24955</v>
      </c>
    </row>
    <row r="5" spans="1:9">
      <c r="A5">
        <v>299</v>
      </c>
      <c r="D5">
        <v>1228</v>
      </c>
      <c r="F5">
        <v>2347</v>
      </c>
    </row>
    <row r="6" spans="1:9">
      <c r="A6">
        <v>3296</v>
      </c>
      <c r="D6">
        <v>9991</v>
      </c>
      <c r="F6">
        <v>1591</v>
      </c>
    </row>
    <row r="7" spans="1:9">
      <c r="A7">
        <v>2417</v>
      </c>
      <c r="D7">
        <v>2428</v>
      </c>
      <c r="F7">
        <v>847</v>
      </c>
    </row>
    <row r="8" spans="1:9">
      <c r="A8">
        <v>4850</v>
      </c>
      <c r="D8">
        <v>4392</v>
      </c>
      <c r="F8">
        <v>1013</v>
      </c>
    </row>
    <row r="9" spans="1:9">
      <c r="A9">
        <v>54774</v>
      </c>
      <c r="D9">
        <v>44</v>
      </c>
      <c r="F9">
        <v>1199</v>
      </c>
    </row>
    <row r="10" spans="1:9">
      <c r="A10">
        <v>1875</v>
      </c>
      <c r="D10">
        <v>1881</v>
      </c>
      <c r="F10" s="2710">
        <v>6895</v>
      </c>
    </row>
    <row r="11" spans="1:9">
      <c r="A11">
        <v>365</v>
      </c>
      <c r="D11">
        <v>58</v>
      </c>
      <c r="F11">
        <f>SUM(F2:F10)</f>
        <v>41663</v>
      </c>
    </row>
    <row r="12" spans="1:9">
      <c r="A12">
        <v>7544</v>
      </c>
      <c r="D12">
        <v>1050</v>
      </c>
    </row>
    <row r="13" spans="1:9">
      <c r="A13">
        <v>2919</v>
      </c>
      <c r="D13" s="2710">
        <v>1359</v>
      </c>
    </row>
    <row r="14" spans="1:9">
      <c r="A14" s="2710">
        <v>5957</v>
      </c>
      <c r="D14">
        <f>SUM(D2:D13)</f>
        <v>33240</v>
      </c>
    </row>
    <row r="15" spans="1:9">
      <c r="A15">
        <f>SUM(A2:A14)</f>
        <v>100206</v>
      </c>
    </row>
    <row r="19" spans="1:6">
      <c r="A19" t="s">
        <v>2429</v>
      </c>
    </row>
    <row r="20" spans="1:6">
      <c r="A20" t="s">
        <v>2430</v>
      </c>
      <c r="B20">
        <v>12521</v>
      </c>
      <c r="D20" t="s">
        <v>2431</v>
      </c>
    </row>
    <row r="22" spans="1:6">
      <c r="E22" s="38" t="s">
        <v>2435</v>
      </c>
      <c r="F22" t="s">
        <v>2436</v>
      </c>
    </row>
    <row r="23" spans="1:6">
      <c r="A23" t="s">
        <v>2432</v>
      </c>
      <c r="D23">
        <v>1077</v>
      </c>
      <c r="E23" s="38">
        <v>4</v>
      </c>
      <c r="F23">
        <v>270</v>
      </c>
    </row>
    <row r="24" spans="1:6">
      <c r="A24" t="s">
        <v>2433</v>
      </c>
      <c r="D24">
        <v>796</v>
      </c>
      <c r="E24" s="38">
        <v>6</v>
      </c>
      <c r="F24">
        <v>132</v>
      </c>
    </row>
    <row r="25" spans="1:6">
      <c r="A25" t="s">
        <v>2434</v>
      </c>
      <c r="D25">
        <v>36</v>
      </c>
      <c r="E25" s="38">
        <v>2</v>
      </c>
      <c r="F25">
        <v>16</v>
      </c>
    </row>
    <row r="26" spans="1:6">
      <c r="A26" t="s">
        <v>2444</v>
      </c>
      <c r="D26">
        <v>832</v>
      </c>
      <c r="E26" s="38">
        <v>18</v>
      </c>
      <c r="F26">
        <v>46</v>
      </c>
    </row>
    <row r="34" spans="1:7">
      <c r="A34" s="3128" t="s">
        <v>2437</v>
      </c>
      <c r="B34" s="3128"/>
      <c r="C34" s="3128"/>
      <c r="D34" s="3128"/>
      <c r="E34" s="3128"/>
      <c r="F34" s="3128"/>
    </row>
    <row r="35" spans="1:7">
      <c r="A35" t="s">
        <v>2438</v>
      </c>
      <c r="E35" s="38" t="s">
        <v>2442</v>
      </c>
    </row>
    <row r="36" spans="1:7">
      <c r="B36" t="s">
        <v>2439</v>
      </c>
      <c r="C36">
        <v>1817</v>
      </c>
      <c r="D36" t="s">
        <v>1913</v>
      </c>
      <c r="E36" s="38">
        <v>67526</v>
      </c>
      <c r="F36" s="2711">
        <f>SUM(E36/C36)</f>
        <v>37.163456246560266</v>
      </c>
      <c r="G36" t="s">
        <v>1913</v>
      </c>
    </row>
    <row r="37" spans="1:7">
      <c r="B37" t="s">
        <v>2440</v>
      </c>
      <c r="C37">
        <v>8001</v>
      </c>
      <c r="D37" t="s">
        <v>1035</v>
      </c>
      <c r="E37" s="38">
        <v>47247</v>
      </c>
      <c r="F37" s="2711">
        <f t="shared" ref="F37:F38" si="0">SUM(E37/C37)</f>
        <v>5.9051368578927637</v>
      </c>
      <c r="G37" t="s">
        <v>1035</v>
      </c>
    </row>
    <row r="38" spans="1:7">
      <c r="B38" t="s">
        <v>2441</v>
      </c>
      <c r="C38">
        <v>4655</v>
      </c>
      <c r="D38" t="s">
        <v>1126</v>
      </c>
      <c r="E38" s="38">
        <v>4432</v>
      </c>
      <c r="F38" s="2711">
        <f t="shared" si="0"/>
        <v>0.95209452201933409</v>
      </c>
      <c r="G38" t="s">
        <v>1126</v>
      </c>
    </row>
    <row r="39" spans="1:7">
      <c r="C39">
        <f>SUM(C36:C38)</f>
        <v>14473</v>
      </c>
    </row>
    <row r="41" spans="1:7">
      <c r="A41" t="s">
        <v>678</v>
      </c>
      <c r="E41" s="107"/>
    </row>
    <row r="42" spans="1:7">
      <c r="B42" t="s">
        <v>2439</v>
      </c>
    </row>
    <row r="43" spans="1:7">
      <c r="B43" t="s">
        <v>2440</v>
      </c>
    </row>
    <row r="44" spans="1:7">
      <c r="B44" t="s">
        <v>2441</v>
      </c>
    </row>
    <row r="47" spans="1:7">
      <c r="A47" t="s">
        <v>2443</v>
      </c>
    </row>
    <row r="48" spans="1:7">
      <c r="A48" t="s">
        <v>2445</v>
      </c>
    </row>
    <row r="49" spans="1:2">
      <c r="A49" t="s">
        <v>2446</v>
      </c>
      <c r="B49">
        <v>6836</v>
      </c>
    </row>
    <row r="50" spans="1:2">
      <c r="A50" t="s">
        <v>2447</v>
      </c>
    </row>
    <row r="51" spans="1:2">
      <c r="A51" t="s">
        <v>2448</v>
      </c>
    </row>
    <row r="52" spans="1:2">
      <c r="A52" t="s">
        <v>2449</v>
      </c>
    </row>
  </sheetData>
  <mergeCells count="1">
    <mergeCell ref="A34:F3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G147"/>
  <sheetViews>
    <sheetView showGridLines="0" zoomScale="75" zoomScaleNormal="75" workbookViewId="0">
      <pane xSplit="5" ySplit="10" topLeftCell="F11" activePane="bottomRight" state="frozen"/>
      <selection activeCell="B20" sqref="B20:J20"/>
      <selection pane="topRight" activeCell="B20" sqref="B20:J20"/>
      <selection pane="bottomLeft" activeCell="B20" sqref="B20:J20"/>
      <selection pane="bottomRight" activeCell="A15" sqref="A15"/>
    </sheetView>
  </sheetViews>
  <sheetFormatPr defaultColWidth="8.90625" defaultRowHeight="16.2"/>
  <cols>
    <col min="1" max="1" width="11.6328125" style="713" customWidth="1"/>
    <col min="2" max="2" width="2.453125" style="710" customWidth="1"/>
    <col min="3" max="3" width="12.36328125" style="713" customWidth="1"/>
    <col min="4" max="4" width="58.54296875" style="710" customWidth="1"/>
    <col min="5" max="5" width="17.453125" style="710" customWidth="1"/>
    <col min="6" max="6" width="5.453125" style="710" customWidth="1"/>
    <col min="7" max="7" width="11" style="710" customWidth="1"/>
    <col min="8" max="8" width="10.1796875" style="710" customWidth="1"/>
    <col min="9" max="9" width="16.90625" style="1104" customWidth="1"/>
    <col min="10" max="10" width="13.81640625" style="710" customWidth="1"/>
    <col min="11" max="11" width="10.453125" style="1105" customWidth="1"/>
    <col min="12" max="12" width="14.1796875" style="710" customWidth="1"/>
    <col min="13" max="13" width="6.54296875" style="710" customWidth="1"/>
    <col min="14" max="15" width="15.81640625" style="710" customWidth="1"/>
    <col min="16" max="16" width="8.36328125" style="2652" customWidth="1"/>
    <col min="17" max="17" width="15.81640625" style="710" customWidth="1"/>
    <col min="18" max="18" width="15.90625" style="710" customWidth="1"/>
    <col min="19" max="19" width="12.6328125" style="710" customWidth="1"/>
    <col min="20" max="21" width="16.90625" style="710" customWidth="1"/>
    <col min="22" max="22" width="19.08984375" style="710" customWidth="1"/>
    <col min="23" max="23" width="1.81640625" style="710" customWidth="1"/>
    <col min="24" max="24" width="52.81640625" style="710" customWidth="1"/>
    <col min="25" max="25" width="16.54296875" style="710" customWidth="1"/>
    <col min="26" max="26" width="6.81640625" style="710" customWidth="1"/>
    <col min="27" max="27" width="13.90625" style="710" customWidth="1"/>
    <col min="28" max="28" width="16.1796875" style="710" customWidth="1"/>
    <col min="29" max="29" width="11.1796875" style="710" customWidth="1"/>
    <col min="30" max="30" width="11.81640625" style="710" customWidth="1"/>
    <col min="31" max="32" width="8.90625" style="710"/>
    <col min="33" max="33" width="9.90625" style="710" bestFit="1" customWidth="1"/>
    <col min="34" max="35" width="8.90625" style="710"/>
    <col min="36" max="36" width="11.453125" style="710" bestFit="1" customWidth="1"/>
    <col min="37" max="16384" width="8.90625" style="710"/>
  </cols>
  <sheetData>
    <row r="1" spans="1:33" ht="24.6">
      <c r="B1" s="906" t="str">
        <f>'Project Summary'!B1</f>
        <v>10 MW PV Solar  - Standard Efficiency Crystalline Panels</v>
      </c>
      <c r="C1" s="907"/>
      <c r="G1" s="908"/>
      <c r="I1" s="909"/>
      <c r="J1" s="908"/>
      <c r="K1" s="910"/>
      <c r="L1" s="908"/>
      <c r="M1" s="908"/>
      <c r="N1" s="908"/>
      <c r="O1" s="908"/>
      <c r="P1" s="2654"/>
      <c r="Q1" s="908"/>
      <c r="R1" s="908"/>
      <c r="S1" s="779"/>
      <c r="T1" s="779"/>
      <c r="W1" s="779"/>
      <c r="X1" s="779"/>
      <c r="Y1" s="779"/>
      <c r="Z1" s="855"/>
      <c r="AA1" s="729"/>
      <c r="AB1" s="729"/>
      <c r="AC1" s="855"/>
    </row>
    <row r="2" spans="1:33" ht="17.399999999999999">
      <c r="B2" s="1208" t="str">
        <f>'Project Summary'!C2</f>
        <v>Kentucky</v>
      </c>
      <c r="G2" s="908"/>
      <c r="H2" s="908"/>
      <c r="I2" s="913"/>
      <c r="J2" s="914"/>
      <c r="K2" s="915"/>
      <c r="L2" s="914"/>
      <c r="M2" s="914"/>
      <c r="N2" s="914"/>
      <c r="O2" s="914"/>
      <c r="P2" s="2655"/>
      <c r="Q2" s="914"/>
      <c r="R2" s="908"/>
      <c r="W2" s="725"/>
      <c r="X2" s="779"/>
      <c r="Y2" s="779"/>
      <c r="Z2" s="855"/>
      <c r="AA2" s="729"/>
      <c r="AB2" s="916"/>
      <c r="AC2" s="917"/>
    </row>
    <row r="3" spans="1:33">
      <c r="B3" s="918" t="str">
        <f>'Project Summary'!C4</f>
        <v>Solar PV</v>
      </c>
      <c r="G3" s="919"/>
      <c r="H3" s="919"/>
      <c r="I3" s="920"/>
      <c r="J3" s="919"/>
      <c r="K3" s="921"/>
      <c r="L3" s="919"/>
      <c r="M3" s="919"/>
      <c r="N3" s="919"/>
      <c r="O3" s="919"/>
      <c r="P3" s="907"/>
      <c r="Q3" s="919"/>
      <c r="R3" s="907"/>
      <c r="W3" s="779"/>
      <c r="X3" s="922"/>
      <c r="Y3" s="779"/>
      <c r="Z3" s="923"/>
      <c r="AA3" s="729"/>
      <c r="AB3" s="729"/>
      <c r="AC3" s="855"/>
    </row>
    <row r="4" spans="1:33" ht="17.399999999999999">
      <c r="B4" s="912" t="str">
        <f>'Project Summary'!C5</f>
        <v>LG&amp;E/KU</v>
      </c>
      <c r="G4" s="908"/>
      <c r="H4" s="908"/>
      <c r="I4" s="913"/>
      <c r="J4" s="914"/>
      <c r="K4" s="915"/>
      <c r="L4" s="914"/>
      <c r="M4" s="914"/>
      <c r="N4" s="914"/>
      <c r="O4" s="914"/>
      <c r="P4" s="2655"/>
      <c r="Q4" s="914"/>
      <c r="R4" s="924"/>
      <c r="U4" s="925" t="str">
        <f>'Project Summary'!N6</f>
        <v>STATUS DATE:</v>
      </c>
      <c r="V4" s="1653">
        <f>'Project Summary'!$P$6</f>
        <v>41681</v>
      </c>
      <c r="W4" s="926"/>
      <c r="X4" s="922"/>
      <c r="Y4" s="779"/>
      <c r="Z4" s="923"/>
      <c r="AA4" s="729"/>
      <c r="AB4" s="729"/>
      <c r="AC4" s="855"/>
    </row>
    <row r="5" spans="1:33">
      <c r="B5" s="918" t="str">
        <f>'Project Summary'!C6</f>
        <v>Conceptual</v>
      </c>
      <c r="G5" s="779"/>
      <c r="H5" s="779"/>
      <c r="I5" s="927"/>
      <c r="J5" s="779"/>
      <c r="K5" s="928"/>
      <c r="L5" s="779"/>
      <c r="M5" s="779"/>
      <c r="N5" s="779"/>
      <c r="O5" s="791"/>
      <c r="P5" s="767"/>
      <c r="Q5" s="791"/>
      <c r="R5" s="779"/>
      <c r="S5" s="779"/>
      <c r="T5" s="779"/>
      <c r="U5" s="779"/>
      <c r="V5" s="791"/>
      <c r="W5" s="791"/>
      <c r="X5" s="779"/>
      <c r="Y5" s="779"/>
      <c r="Z5" s="923"/>
      <c r="AA5" s="729"/>
      <c r="AB5" s="729"/>
      <c r="AC5" s="855"/>
    </row>
    <row r="6" spans="1:33" ht="15.9" customHeight="1">
      <c r="B6" s="912" t="str">
        <f>'Project Summary'!C7</f>
        <v xml:space="preserve"> </v>
      </c>
      <c r="G6" s="779"/>
      <c r="H6" s="779"/>
      <c r="I6" s="927"/>
      <c r="J6" s="779"/>
      <c r="K6" s="928"/>
      <c r="L6" s="779"/>
      <c r="M6" s="779"/>
      <c r="N6" s="779"/>
      <c r="O6" s="779"/>
      <c r="P6" s="2654"/>
      <c r="Q6" s="779"/>
      <c r="R6" s="791"/>
      <c r="S6" s="779"/>
      <c r="T6" s="779"/>
      <c r="U6" s="779"/>
      <c r="V6" s="791"/>
      <c r="W6" s="791"/>
      <c r="X6" s="922"/>
      <c r="Y6" s="779"/>
      <c r="Z6" s="923"/>
      <c r="AA6" s="729"/>
      <c r="AB6" s="729"/>
      <c r="AC6" s="855"/>
    </row>
    <row r="7" spans="1:33" ht="14.1" customHeight="1">
      <c r="A7" s="929"/>
      <c r="B7" s="930"/>
      <c r="C7" s="3141" t="s">
        <v>2064</v>
      </c>
      <c r="D7" s="3154" t="s">
        <v>2065</v>
      </c>
      <c r="E7" s="3144" t="s">
        <v>2066</v>
      </c>
      <c r="F7" s="3146" t="s">
        <v>2067</v>
      </c>
      <c r="G7" s="3148" t="s">
        <v>577</v>
      </c>
      <c r="H7" s="3148" t="s">
        <v>578</v>
      </c>
      <c r="I7" s="3152" t="s">
        <v>275</v>
      </c>
      <c r="J7" s="3143" t="s">
        <v>1663</v>
      </c>
      <c r="K7" s="3150" t="s">
        <v>1664</v>
      </c>
      <c r="L7" s="3143" t="s">
        <v>622</v>
      </c>
      <c r="M7" s="931"/>
      <c r="N7" s="3151" t="s">
        <v>623</v>
      </c>
      <c r="O7" s="3132" t="s">
        <v>2057</v>
      </c>
      <c r="P7" s="3133"/>
      <c r="Q7" s="3133"/>
      <c r="R7" s="3134"/>
      <c r="S7" s="3134"/>
      <c r="T7" s="3134"/>
      <c r="U7" s="3135"/>
      <c r="V7" s="3138" t="s">
        <v>888</v>
      </c>
      <c r="W7" s="932"/>
      <c r="X7" s="3129" t="s">
        <v>1363</v>
      </c>
      <c r="Y7" s="779"/>
      <c r="Z7" s="923"/>
      <c r="AA7" s="729"/>
      <c r="AB7" s="729"/>
      <c r="AC7" s="855"/>
    </row>
    <row r="8" spans="1:33" ht="14.1" customHeight="1">
      <c r="A8" s="929"/>
      <c r="B8" s="930"/>
      <c r="C8" s="3141"/>
      <c r="D8" s="3154"/>
      <c r="E8" s="3144"/>
      <c r="F8" s="3146"/>
      <c r="G8" s="3148"/>
      <c r="H8" s="3148"/>
      <c r="I8" s="3152"/>
      <c r="J8" s="3139"/>
      <c r="K8" s="3139"/>
      <c r="L8" s="3139"/>
      <c r="M8" s="933" t="s">
        <v>608</v>
      </c>
      <c r="N8" s="3139"/>
      <c r="O8" s="3132" t="s">
        <v>2063</v>
      </c>
      <c r="P8" s="3133"/>
      <c r="Q8" s="3133"/>
      <c r="R8" s="3134"/>
      <c r="S8" s="3134"/>
      <c r="T8" s="3135"/>
      <c r="U8" s="3136" t="s">
        <v>887</v>
      </c>
      <c r="V8" s="3139"/>
      <c r="W8" s="932"/>
      <c r="X8" s="3130"/>
      <c r="Y8" s="779"/>
      <c r="Z8" s="923"/>
      <c r="AA8" s="729"/>
      <c r="AB8" s="729"/>
      <c r="AC8" s="855"/>
    </row>
    <row r="9" spans="1:33" ht="16.8" thickBot="1">
      <c r="A9" s="934"/>
      <c r="B9" s="935" t="s">
        <v>2488</v>
      </c>
      <c r="C9" s="3142"/>
      <c r="D9" s="3155"/>
      <c r="E9" s="3145"/>
      <c r="F9" s="3147"/>
      <c r="G9" s="3149"/>
      <c r="H9" s="3149"/>
      <c r="I9" s="3153"/>
      <c r="J9" s="3140"/>
      <c r="K9" s="3140"/>
      <c r="L9" s="3140"/>
      <c r="M9" s="936" t="s">
        <v>1358</v>
      </c>
      <c r="N9" s="3140"/>
      <c r="O9" s="937" t="s">
        <v>1359</v>
      </c>
      <c r="P9" s="937" t="s">
        <v>2307</v>
      </c>
      <c r="Q9" s="937" t="s">
        <v>2306</v>
      </c>
      <c r="R9" s="937" t="s">
        <v>1360</v>
      </c>
      <c r="S9" s="938" t="s">
        <v>1361</v>
      </c>
      <c r="T9" s="937" t="s">
        <v>1362</v>
      </c>
      <c r="U9" s="3137"/>
      <c r="V9" s="3140"/>
      <c r="W9" s="939"/>
      <c r="X9" s="3131"/>
      <c r="Y9" s="779"/>
      <c r="Z9" s="923"/>
      <c r="AA9" s="729"/>
      <c r="AB9" s="729"/>
      <c r="AC9" s="855"/>
    </row>
    <row r="10" spans="1:33" ht="16.8" thickTop="1">
      <c r="A10" s="941" t="s">
        <v>1339</v>
      </c>
      <c r="B10" s="942"/>
      <c r="C10" s="943"/>
      <c r="D10" s="944"/>
      <c r="E10" s="945"/>
      <c r="F10" s="945"/>
      <c r="G10" s="943"/>
      <c r="H10" s="943"/>
      <c r="I10" s="946"/>
      <c r="J10" s="945"/>
      <c r="K10" s="947"/>
      <c r="L10" s="948"/>
      <c r="M10" s="948"/>
      <c r="N10" s="949"/>
      <c r="O10" s="949"/>
      <c r="P10" s="2656"/>
      <c r="Q10" s="949"/>
      <c r="R10" s="948"/>
      <c r="S10" s="948"/>
      <c r="T10" s="948"/>
      <c r="U10" s="948"/>
      <c r="V10" s="950"/>
      <c r="W10" s="950"/>
      <c r="X10" s="951"/>
      <c r="Y10" s="729"/>
      <c r="Z10" s="716"/>
      <c r="AA10" s="716"/>
      <c r="AB10" s="716"/>
      <c r="AC10" s="716"/>
      <c r="AD10" s="716"/>
      <c r="AE10" s="716"/>
      <c r="AF10" s="716"/>
      <c r="AG10" s="716"/>
    </row>
    <row r="11" spans="1:33">
      <c r="A11" s="952"/>
      <c r="B11" s="953"/>
      <c r="C11" s="954"/>
      <c r="D11" s="955"/>
      <c r="E11" s="956"/>
      <c r="F11" s="956"/>
      <c r="G11" s="954"/>
      <c r="H11" s="954"/>
      <c r="I11" s="957"/>
      <c r="J11" s="956"/>
      <c r="K11" s="958"/>
      <c r="L11" s="959"/>
      <c r="M11" s="959"/>
      <c r="N11" s="960"/>
      <c r="O11" s="960"/>
      <c r="P11" s="2657"/>
      <c r="Q11" s="960"/>
      <c r="R11" s="959"/>
      <c r="S11" s="959"/>
      <c r="T11" s="959"/>
      <c r="U11" s="959"/>
      <c r="V11" s="961"/>
      <c r="W11" s="961"/>
      <c r="X11" s="951"/>
      <c r="Y11" s="729"/>
      <c r="Z11" s="716"/>
      <c r="AA11" s="716"/>
      <c r="AB11" s="716"/>
      <c r="AC11" s="716"/>
      <c r="AD11" s="716"/>
      <c r="AE11" s="716"/>
      <c r="AF11" s="716"/>
      <c r="AG11" s="716"/>
    </row>
    <row r="12" spans="1:33" s="2703" customFormat="1" ht="15.75" customHeight="1">
      <c r="A12" s="2718">
        <v>1</v>
      </c>
      <c r="B12" s="2754" t="s">
        <v>2504</v>
      </c>
      <c r="C12" s="2718"/>
      <c r="E12" s="2712"/>
      <c r="F12" s="2712"/>
      <c r="G12" s="2718"/>
      <c r="H12" s="2718"/>
      <c r="I12" s="2713"/>
      <c r="J12" s="2712"/>
      <c r="K12" s="2714"/>
      <c r="L12" s="2715"/>
      <c r="M12" s="2715"/>
      <c r="N12" s="2786"/>
      <c r="O12" s="2786"/>
      <c r="P12" s="2748"/>
      <c r="Q12" s="2786"/>
      <c r="R12" s="2715"/>
      <c r="S12" s="2715"/>
      <c r="T12" s="2715"/>
      <c r="U12" s="2715"/>
      <c r="V12" s="2716"/>
      <c r="W12" s="2716"/>
      <c r="X12" s="2717"/>
      <c r="Y12" s="2701"/>
      <c r="Z12" s="2702"/>
      <c r="AA12" s="2702"/>
      <c r="AB12" s="2702"/>
      <c r="AC12" s="2702"/>
      <c r="AD12" s="2702"/>
      <c r="AE12" s="2702"/>
      <c r="AF12" s="2702"/>
      <c r="AG12" s="2702"/>
    </row>
    <row r="13" spans="1:33" s="2703" customFormat="1" ht="14.1" customHeight="1">
      <c r="A13" s="2718">
        <f>A12+1</f>
        <v>2</v>
      </c>
      <c r="B13" s="2719"/>
      <c r="C13" s="2720" t="s">
        <v>1122</v>
      </c>
      <c r="D13" s="2721" t="s">
        <v>2540</v>
      </c>
      <c r="E13" s="3074">
        <v>600</v>
      </c>
      <c r="F13" s="2722" t="s">
        <v>62</v>
      </c>
      <c r="G13" s="2723" t="s">
        <v>1124</v>
      </c>
      <c r="H13" s="2723" t="s">
        <v>1125</v>
      </c>
      <c r="I13" s="2724">
        <v>20</v>
      </c>
      <c r="J13" s="2057"/>
      <c r="K13" s="2725">
        <f t="shared" ref="K13:K17" si="0">S_1</f>
        <v>43.18423117857143</v>
      </c>
      <c r="L13" s="2726"/>
      <c r="M13" s="2727">
        <f>'Productivity Factor Calc.'!$J$43</f>
        <v>1.085</v>
      </c>
      <c r="N13" s="2728" t="str">
        <f t="shared" ref="N13" si="1">IF(G13="Owner",+I13*E13,"0")</f>
        <v>0</v>
      </c>
      <c r="O13" s="2728" t="str">
        <f t="shared" ref="O13:O29" si="2">IF(G13="Contr",+I13*E13,"0")</f>
        <v>0</v>
      </c>
      <c r="P13" s="2729" t="s">
        <v>2308</v>
      </c>
      <c r="Q13" s="2728">
        <f t="shared" ref="Q13" si="3">IF(P13="YES",+U13/2*0.06,"0")</f>
        <v>360</v>
      </c>
      <c r="R13" s="2726">
        <f t="shared" ref="R13:R29" si="4">K13*L13*M13</f>
        <v>0</v>
      </c>
      <c r="S13" s="2726">
        <f t="shared" ref="S13" si="5">L13*M13</f>
        <v>0</v>
      </c>
      <c r="T13" s="2726">
        <f t="shared" ref="T13" si="6">O13+R13</f>
        <v>0</v>
      </c>
      <c r="U13" s="2728">
        <f t="shared" ref="U13:U19" si="7">IF(G13="Sub",+E13*I13,"0")</f>
        <v>12000</v>
      </c>
      <c r="V13" s="2730">
        <f t="shared" ref="V13:V20" si="8">N13+T13+U13</f>
        <v>12000</v>
      </c>
      <c r="W13" s="2730"/>
      <c r="X13" s="2053" t="s">
        <v>2330</v>
      </c>
      <c r="Y13" s="2701"/>
      <c r="Z13" s="2702"/>
      <c r="AA13" s="2702"/>
      <c r="AB13" s="2702"/>
      <c r="AC13" s="2702"/>
      <c r="AD13" s="2702"/>
      <c r="AE13" s="2702"/>
      <c r="AF13" s="2702"/>
      <c r="AG13" s="2702"/>
    </row>
    <row r="14" spans="1:33" s="2703" customFormat="1" ht="14.1" customHeight="1">
      <c r="A14" s="2718">
        <f t="shared" ref="A14:A75" si="9">A13+1</f>
        <v>3</v>
      </c>
      <c r="B14" s="2719"/>
      <c r="C14" s="2720" t="s">
        <v>1122</v>
      </c>
      <c r="D14" s="2721" t="s">
        <v>2541</v>
      </c>
      <c r="E14" s="2056">
        <v>20000</v>
      </c>
      <c r="F14" s="2722" t="s">
        <v>62</v>
      </c>
      <c r="G14" s="2723" t="s">
        <v>1125</v>
      </c>
      <c r="H14" s="2723" t="s">
        <v>1125</v>
      </c>
      <c r="I14" s="2055">
        <v>5</v>
      </c>
      <c r="J14" s="2057">
        <v>5.5E-2</v>
      </c>
      <c r="K14" s="2725">
        <f t="shared" si="0"/>
        <v>43.18423117857143</v>
      </c>
      <c r="L14" s="2726">
        <f t="shared" ref="L14" si="10">E14*J14</f>
        <v>1100</v>
      </c>
      <c r="M14" s="2727">
        <f>'Productivity Factor Calc.'!$J$43</f>
        <v>1.085</v>
      </c>
      <c r="N14" s="2728" t="str">
        <f t="shared" ref="N14" si="11">IF(G14="Owner",+I14*E14,"0")</f>
        <v>0</v>
      </c>
      <c r="O14" s="2728">
        <f t="shared" ref="O14" si="12">IF(G14="Contr",+I14*E14,"0")</f>
        <v>100000</v>
      </c>
      <c r="P14" s="2729" t="s">
        <v>2308</v>
      </c>
      <c r="Q14" s="2728">
        <f t="shared" ref="Q14:Q28" si="13">IF(P14="YES",+O14*0.06,"0")</f>
        <v>6000</v>
      </c>
      <c r="R14" s="2726">
        <f t="shared" ref="R14" si="14">K14*L14*M14</f>
        <v>51540.379911625001</v>
      </c>
      <c r="S14" s="2726">
        <f t="shared" ref="S14" si="15">L14*M14</f>
        <v>1193.5</v>
      </c>
      <c r="T14" s="2726">
        <f t="shared" ref="T14" si="16">O14+R14</f>
        <v>151540.379911625</v>
      </c>
      <c r="U14" s="2728" t="str">
        <f t="shared" ref="U14" si="17">IF(G14="Sub",+E14*I14,"0")</f>
        <v>0</v>
      </c>
      <c r="V14" s="2730">
        <f t="shared" ref="V14" si="18">N14+T14+U14</f>
        <v>151540.379911625</v>
      </c>
      <c r="W14" s="2730"/>
      <c r="X14" s="2053" t="s">
        <v>2330</v>
      </c>
      <c r="Y14" s="2701"/>
      <c r="Z14" s="2702"/>
      <c r="AA14" s="2702"/>
      <c r="AB14" s="2702"/>
      <c r="AC14" s="2702"/>
      <c r="AD14" s="2702"/>
      <c r="AE14" s="2702"/>
      <c r="AF14" s="2702"/>
      <c r="AG14" s="2702"/>
    </row>
    <row r="15" spans="1:33" s="2703" customFormat="1" ht="14.1" customHeight="1">
      <c r="A15" s="2718">
        <f t="shared" si="9"/>
        <v>4</v>
      </c>
      <c r="B15" s="2719"/>
      <c r="C15" s="2720" t="s">
        <v>1122</v>
      </c>
      <c r="D15" s="2721" t="s">
        <v>131</v>
      </c>
      <c r="E15" s="2731">
        <v>100000</v>
      </c>
      <c r="F15" s="2722" t="s">
        <v>1123</v>
      </c>
      <c r="G15" s="2723" t="s">
        <v>1125</v>
      </c>
      <c r="H15" s="2723" t="s">
        <v>1125</v>
      </c>
      <c r="I15" s="2732">
        <v>1</v>
      </c>
      <c r="J15" s="2733">
        <v>2.7E-2</v>
      </c>
      <c r="K15" s="2725">
        <f t="shared" si="0"/>
        <v>43.18423117857143</v>
      </c>
      <c r="L15" s="2726">
        <f t="shared" ref="L15:L29" si="19">E15*J15</f>
        <v>2700</v>
      </c>
      <c r="M15" s="2727">
        <f>'Productivity Factor Calc.'!$J$43</f>
        <v>1.085</v>
      </c>
      <c r="N15" s="2728" t="str">
        <f t="shared" ref="N15:N23" si="20">IF(G15="EPC",+I15*E15,"0")</f>
        <v>0</v>
      </c>
      <c r="O15" s="2728">
        <f t="shared" si="2"/>
        <v>100000</v>
      </c>
      <c r="P15" s="2729" t="s">
        <v>2308</v>
      </c>
      <c r="Q15" s="2728">
        <f t="shared" si="13"/>
        <v>6000</v>
      </c>
      <c r="R15" s="2726">
        <f t="shared" si="4"/>
        <v>126508.20523762499</v>
      </c>
      <c r="S15" s="2726">
        <f t="shared" ref="S15:S22" si="21">+L15</f>
        <v>2700</v>
      </c>
      <c r="T15" s="2726">
        <f t="shared" ref="T15:T22" si="22">O15+R15</f>
        <v>226508.20523762499</v>
      </c>
      <c r="U15" s="2728" t="str">
        <f t="shared" si="7"/>
        <v>0</v>
      </c>
      <c r="V15" s="2726">
        <f>N15+T15+U15</f>
        <v>226508.20523762499</v>
      </c>
      <c r="W15" s="2730"/>
      <c r="X15" s="2053" t="s">
        <v>2330</v>
      </c>
      <c r="Y15" s="2735"/>
      <c r="AB15" s="2736">
        <v>3500</v>
      </c>
    </row>
    <row r="16" spans="1:33" s="2703" customFormat="1" ht="14.1" customHeight="1">
      <c r="A16" s="2718">
        <f t="shared" si="9"/>
        <v>5</v>
      </c>
      <c r="B16" s="3077" t="s">
        <v>305</v>
      </c>
      <c r="C16" s="2720" t="s">
        <v>1122</v>
      </c>
      <c r="D16" s="2721" t="s">
        <v>671</v>
      </c>
      <c r="E16" s="2731">
        <v>400000</v>
      </c>
      <c r="F16" s="2722" t="s">
        <v>1126</v>
      </c>
      <c r="G16" s="2723" t="s">
        <v>1125</v>
      </c>
      <c r="H16" s="2723" t="s">
        <v>1125</v>
      </c>
      <c r="I16" s="2732"/>
      <c r="J16" s="2733">
        <v>0.03</v>
      </c>
      <c r="K16" s="2725">
        <f t="shared" si="0"/>
        <v>43.18423117857143</v>
      </c>
      <c r="L16" s="2726">
        <f t="shared" si="19"/>
        <v>12000</v>
      </c>
      <c r="M16" s="2727">
        <f>'Productivity Factor Calc.'!$J$43</f>
        <v>1.085</v>
      </c>
      <c r="N16" s="2728" t="str">
        <f t="shared" si="20"/>
        <v>0</v>
      </c>
      <c r="O16" s="2728">
        <f t="shared" si="2"/>
        <v>0</v>
      </c>
      <c r="P16" s="2729" t="s">
        <v>2308</v>
      </c>
      <c r="Q16" s="2728">
        <f t="shared" si="13"/>
        <v>0</v>
      </c>
      <c r="R16" s="2726">
        <f t="shared" si="4"/>
        <v>562258.68994499999</v>
      </c>
      <c r="S16" s="2726">
        <f t="shared" si="21"/>
        <v>12000</v>
      </c>
      <c r="T16" s="2726">
        <f t="shared" si="22"/>
        <v>562258.68994499999</v>
      </c>
      <c r="U16" s="2728" t="str">
        <f t="shared" si="7"/>
        <v>0</v>
      </c>
      <c r="V16" s="2730">
        <f t="shared" si="8"/>
        <v>562258.68994499999</v>
      </c>
      <c r="W16" s="2730"/>
      <c r="X16" s="2053" t="s">
        <v>2330</v>
      </c>
      <c r="Y16" s="2735"/>
      <c r="AB16" s="2736">
        <v>6750</v>
      </c>
    </row>
    <row r="17" spans="1:33" s="2703" customFormat="1" ht="14.1" customHeight="1">
      <c r="A17" s="2718">
        <f t="shared" si="9"/>
        <v>6</v>
      </c>
      <c r="B17" s="2719"/>
      <c r="C17" s="2720" t="s">
        <v>1122</v>
      </c>
      <c r="D17" s="2721" t="s">
        <v>672</v>
      </c>
      <c r="E17" s="2731">
        <v>300</v>
      </c>
      <c r="F17" s="2722" t="s">
        <v>1123</v>
      </c>
      <c r="G17" s="2723" t="s">
        <v>1125</v>
      </c>
      <c r="H17" s="2723" t="s">
        <v>1125</v>
      </c>
      <c r="I17" s="2787">
        <v>9</v>
      </c>
      <c r="J17" s="2057">
        <v>0.12</v>
      </c>
      <c r="K17" s="2725">
        <f t="shared" si="0"/>
        <v>43.18423117857143</v>
      </c>
      <c r="L17" s="2726">
        <f t="shared" si="19"/>
        <v>36</v>
      </c>
      <c r="M17" s="2727">
        <f>'Productivity Factor Calc.'!$J$43</f>
        <v>1.085</v>
      </c>
      <c r="N17" s="2728" t="str">
        <f t="shared" si="20"/>
        <v>0</v>
      </c>
      <c r="O17" s="2728">
        <f t="shared" si="2"/>
        <v>2700</v>
      </c>
      <c r="P17" s="2729" t="s">
        <v>2308</v>
      </c>
      <c r="Q17" s="2728">
        <f t="shared" si="13"/>
        <v>162</v>
      </c>
      <c r="R17" s="2726">
        <f t="shared" si="4"/>
        <v>1686.776069835</v>
      </c>
      <c r="S17" s="2726">
        <f t="shared" si="21"/>
        <v>36</v>
      </c>
      <c r="T17" s="2726">
        <f t="shared" si="22"/>
        <v>4386.7760698350003</v>
      </c>
      <c r="U17" s="2728" t="str">
        <f t="shared" si="7"/>
        <v>0</v>
      </c>
      <c r="V17" s="2730">
        <f t="shared" si="8"/>
        <v>4386.7760698350003</v>
      </c>
      <c r="W17" s="2730"/>
      <c r="X17" s="2053" t="s">
        <v>2330</v>
      </c>
      <c r="Y17" s="2735"/>
      <c r="AB17" s="2736">
        <v>2000</v>
      </c>
    </row>
    <row r="18" spans="1:33" s="2703" customFormat="1" ht="14.1" hidden="1" customHeight="1">
      <c r="A18" s="2718">
        <f t="shared" si="9"/>
        <v>7</v>
      </c>
      <c r="B18" s="2719"/>
      <c r="C18" s="2720" t="s">
        <v>1122</v>
      </c>
      <c r="D18" s="2721" t="s">
        <v>61</v>
      </c>
      <c r="E18" s="2731"/>
      <c r="F18" s="2722" t="s">
        <v>62</v>
      </c>
      <c r="G18" s="2723" t="s">
        <v>1125</v>
      </c>
      <c r="H18" s="2723" t="s">
        <v>1125</v>
      </c>
      <c r="I18" s="2732"/>
      <c r="J18" s="2057">
        <v>1.34E-2</v>
      </c>
      <c r="K18" s="2725">
        <f t="shared" ref="K18:K20" si="23">S_2</f>
        <v>38.309988067521367</v>
      </c>
      <c r="L18" s="2726">
        <f t="shared" si="19"/>
        <v>0</v>
      </c>
      <c r="M18" s="2727">
        <f>'Productivity Factor Calc.'!$J$43</f>
        <v>1.085</v>
      </c>
      <c r="N18" s="2728" t="str">
        <f t="shared" si="20"/>
        <v>0</v>
      </c>
      <c r="O18" s="2728">
        <f t="shared" si="2"/>
        <v>0</v>
      </c>
      <c r="P18" s="2729" t="s">
        <v>2308</v>
      </c>
      <c r="Q18" s="2728">
        <f t="shared" si="13"/>
        <v>0</v>
      </c>
      <c r="R18" s="2726">
        <f t="shared" si="4"/>
        <v>0</v>
      </c>
      <c r="S18" s="2726">
        <f t="shared" si="21"/>
        <v>0</v>
      </c>
      <c r="T18" s="2726">
        <f t="shared" si="22"/>
        <v>0</v>
      </c>
      <c r="U18" s="2728" t="str">
        <f t="shared" si="7"/>
        <v>0</v>
      </c>
      <c r="V18" s="2730">
        <f t="shared" si="8"/>
        <v>0</v>
      </c>
      <c r="W18" s="2730"/>
      <c r="X18" s="2734"/>
      <c r="Y18" s="2735"/>
      <c r="AB18" s="2736">
        <v>21000</v>
      </c>
    </row>
    <row r="19" spans="1:33" s="2703" customFormat="1" ht="14.1" hidden="1" customHeight="1">
      <c r="A19" s="2718">
        <f t="shared" si="9"/>
        <v>8</v>
      </c>
      <c r="B19" s="2719"/>
      <c r="C19" s="2720" t="s">
        <v>1122</v>
      </c>
      <c r="D19" s="2721" t="s">
        <v>673</v>
      </c>
      <c r="E19" s="2731"/>
      <c r="F19" s="2722" t="s">
        <v>62</v>
      </c>
      <c r="G19" s="2723" t="s">
        <v>1125</v>
      </c>
      <c r="H19" s="2723" t="s">
        <v>1125</v>
      </c>
      <c r="I19" s="2788">
        <v>10</v>
      </c>
      <c r="J19" s="2057">
        <v>1.7500000000000002E-2</v>
      </c>
      <c r="K19" s="2725">
        <f t="shared" si="23"/>
        <v>38.309988067521367</v>
      </c>
      <c r="L19" s="2726">
        <f t="shared" si="19"/>
        <v>0</v>
      </c>
      <c r="M19" s="2727">
        <f>'Productivity Factor Calc.'!$J$43</f>
        <v>1.085</v>
      </c>
      <c r="N19" s="2728" t="str">
        <f t="shared" si="20"/>
        <v>0</v>
      </c>
      <c r="O19" s="2728">
        <f t="shared" si="2"/>
        <v>0</v>
      </c>
      <c r="P19" s="2729" t="s">
        <v>2308</v>
      </c>
      <c r="Q19" s="2728">
        <f t="shared" si="13"/>
        <v>0</v>
      </c>
      <c r="R19" s="2726">
        <f t="shared" si="4"/>
        <v>0</v>
      </c>
      <c r="S19" s="2726">
        <f t="shared" si="21"/>
        <v>0</v>
      </c>
      <c r="T19" s="2726">
        <f t="shared" si="22"/>
        <v>0</v>
      </c>
      <c r="U19" s="2728" t="str">
        <f t="shared" si="7"/>
        <v>0</v>
      </c>
      <c r="V19" s="2730">
        <f t="shared" si="8"/>
        <v>0</v>
      </c>
      <c r="W19" s="2730"/>
      <c r="X19" s="2734" t="s">
        <v>674</v>
      </c>
      <c r="Y19" s="2735"/>
      <c r="AB19" s="2736">
        <v>9000</v>
      </c>
    </row>
    <row r="20" spans="1:33" s="2703" customFormat="1" ht="14.1" customHeight="1">
      <c r="A20" s="2718">
        <f t="shared" si="9"/>
        <v>9</v>
      </c>
      <c r="B20" s="2719"/>
      <c r="C20" s="2720" t="s">
        <v>1122</v>
      </c>
      <c r="D20" s="2721" t="s">
        <v>2546</v>
      </c>
      <c r="E20" s="2731">
        <v>2000</v>
      </c>
      <c r="F20" s="2722" t="s">
        <v>1126</v>
      </c>
      <c r="G20" s="2723" t="s">
        <v>1125</v>
      </c>
      <c r="H20" s="2723" t="s">
        <v>1125</v>
      </c>
      <c r="I20" s="2787"/>
      <c r="J20" s="2057">
        <v>0.2</v>
      </c>
      <c r="K20" s="2725">
        <f t="shared" si="23"/>
        <v>38.309988067521367</v>
      </c>
      <c r="L20" s="2726">
        <f t="shared" si="19"/>
        <v>400</v>
      </c>
      <c r="M20" s="2727">
        <f>'Productivity Factor Calc.'!$J$43</f>
        <v>1.085</v>
      </c>
      <c r="N20" s="2728" t="str">
        <f t="shared" si="20"/>
        <v>0</v>
      </c>
      <c r="O20" s="2728">
        <f t="shared" si="2"/>
        <v>0</v>
      </c>
      <c r="P20" s="2729" t="s">
        <v>2308</v>
      </c>
      <c r="Q20" s="2728">
        <f t="shared" si="13"/>
        <v>0</v>
      </c>
      <c r="R20" s="2726">
        <f t="shared" si="4"/>
        <v>16626.534821304274</v>
      </c>
      <c r="S20" s="2726">
        <f t="shared" si="21"/>
        <v>400</v>
      </c>
      <c r="T20" s="2726">
        <f t="shared" si="22"/>
        <v>16626.534821304274</v>
      </c>
      <c r="U20" s="2728" t="str">
        <f t="shared" ref="U20:U23" si="24">IF(G20="Sub",+E20*I20,"0")</f>
        <v>0</v>
      </c>
      <c r="V20" s="2730">
        <f t="shared" si="8"/>
        <v>16626.534821304274</v>
      </c>
      <c r="W20" s="2730"/>
      <c r="X20" s="2053" t="s">
        <v>2330</v>
      </c>
      <c r="Y20" s="2735"/>
      <c r="AB20" s="2736">
        <v>7000</v>
      </c>
    </row>
    <row r="21" spans="1:33" s="2703" customFormat="1" ht="14.1" hidden="1" customHeight="1">
      <c r="A21" s="2718">
        <f t="shared" si="9"/>
        <v>10</v>
      </c>
      <c r="B21" s="2719"/>
      <c r="C21" s="2720" t="s">
        <v>1122</v>
      </c>
      <c r="D21" s="2721" t="s">
        <v>2386</v>
      </c>
      <c r="E21" s="2731">
        <v>0</v>
      </c>
      <c r="F21" s="2722" t="s">
        <v>1126</v>
      </c>
      <c r="G21" s="2723" t="s">
        <v>1125</v>
      </c>
      <c r="H21" s="2723" t="s">
        <v>1125</v>
      </c>
      <c r="I21" s="2787"/>
      <c r="J21" s="2057">
        <v>0.2</v>
      </c>
      <c r="K21" s="2725">
        <f>S_1</f>
        <v>43.18423117857143</v>
      </c>
      <c r="L21" s="2726">
        <f t="shared" si="19"/>
        <v>0</v>
      </c>
      <c r="M21" s="2727">
        <f>'Productivity Factor Calc.'!$J$43</f>
        <v>1.085</v>
      </c>
      <c r="N21" s="2728" t="str">
        <f t="shared" si="20"/>
        <v>0</v>
      </c>
      <c r="O21" s="2728">
        <f t="shared" si="2"/>
        <v>0</v>
      </c>
      <c r="P21" s="2729" t="s">
        <v>2308</v>
      </c>
      <c r="Q21" s="2728">
        <f t="shared" si="13"/>
        <v>0</v>
      </c>
      <c r="R21" s="2726">
        <f t="shared" si="4"/>
        <v>0</v>
      </c>
      <c r="S21" s="2726">
        <f t="shared" si="21"/>
        <v>0</v>
      </c>
      <c r="T21" s="2726">
        <f t="shared" si="22"/>
        <v>0</v>
      </c>
      <c r="U21" s="2728" t="str">
        <f t="shared" si="24"/>
        <v>0</v>
      </c>
      <c r="V21" s="2737">
        <f>N21+T21</f>
        <v>0</v>
      </c>
      <c r="W21" s="2730"/>
      <c r="X21" s="2053" t="s">
        <v>2330</v>
      </c>
      <c r="Y21" s="2735"/>
      <c r="AB21" s="2736">
        <v>8500</v>
      </c>
    </row>
    <row r="22" spans="1:33" s="2703" customFormat="1" ht="14.1" hidden="1" customHeight="1">
      <c r="A22" s="2718">
        <f t="shared" si="9"/>
        <v>11</v>
      </c>
      <c r="B22" s="2719"/>
      <c r="C22" s="2720" t="s">
        <v>1122</v>
      </c>
      <c r="D22" s="2721" t="s">
        <v>2387</v>
      </c>
      <c r="E22" s="2731">
        <v>0</v>
      </c>
      <c r="F22" s="2722" t="s">
        <v>1126</v>
      </c>
      <c r="G22" s="2723" t="s">
        <v>1125</v>
      </c>
      <c r="H22" s="2723" t="s">
        <v>1125</v>
      </c>
      <c r="I22" s="2787"/>
      <c r="J22" s="2057">
        <v>0.4</v>
      </c>
      <c r="K22" s="2725">
        <f>S_1</f>
        <v>43.18423117857143</v>
      </c>
      <c r="L22" s="2726">
        <f t="shared" si="19"/>
        <v>0</v>
      </c>
      <c r="M22" s="2727">
        <f>'Productivity Factor Calc.'!$J$43</f>
        <v>1.085</v>
      </c>
      <c r="N22" s="2728" t="str">
        <f t="shared" si="20"/>
        <v>0</v>
      </c>
      <c r="O22" s="2728">
        <f t="shared" si="2"/>
        <v>0</v>
      </c>
      <c r="P22" s="2729" t="s">
        <v>2308</v>
      </c>
      <c r="Q22" s="2728">
        <f t="shared" si="13"/>
        <v>0</v>
      </c>
      <c r="R22" s="2726">
        <f t="shared" si="4"/>
        <v>0</v>
      </c>
      <c r="S22" s="2726">
        <f t="shared" si="21"/>
        <v>0</v>
      </c>
      <c r="T22" s="2726">
        <f t="shared" si="22"/>
        <v>0</v>
      </c>
      <c r="U22" s="2728" t="str">
        <f t="shared" si="24"/>
        <v>0</v>
      </c>
      <c r="V22" s="2737">
        <f>N22+T22</f>
        <v>0</v>
      </c>
      <c r="W22" s="2730"/>
      <c r="X22" s="2053" t="s">
        <v>2330</v>
      </c>
      <c r="Y22" s="2735"/>
      <c r="AB22" s="2736">
        <v>6600</v>
      </c>
    </row>
    <row r="23" spans="1:33" s="2703" customFormat="1" ht="14.1" customHeight="1">
      <c r="A23" s="2718">
        <f t="shared" si="9"/>
        <v>12</v>
      </c>
      <c r="B23" s="2719"/>
      <c r="C23" s="2720" t="s">
        <v>1122</v>
      </c>
      <c r="D23" s="2721" t="s">
        <v>675</v>
      </c>
      <c r="E23" s="2731">
        <v>0</v>
      </c>
      <c r="F23" s="2722" t="s">
        <v>1126</v>
      </c>
      <c r="G23" s="2723" t="s">
        <v>1125</v>
      </c>
      <c r="H23" s="2723" t="s">
        <v>1125</v>
      </c>
      <c r="I23" s="2787"/>
      <c r="J23" s="2057">
        <v>0.1</v>
      </c>
      <c r="K23" s="2725">
        <f>S_1</f>
        <v>43.18423117857143</v>
      </c>
      <c r="L23" s="2726">
        <f t="shared" si="19"/>
        <v>0</v>
      </c>
      <c r="M23" s="2727">
        <f>'Productivity Factor Calc.'!$J$43</f>
        <v>1.085</v>
      </c>
      <c r="N23" s="2728" t="str">
        <f t="shared" si="20"/>
        <v>0</v>
      </c>
      <c r="O23" s="2728">
        <f t="shared" si="2"/>
        <v>0</v>
      </c>
      <c r="P23" s="2729" t="s">
        <v>2308</v>
      </c>
      <c r="Q23" s="2728">
        <f t="shared" si="13"/>
        <v>0</v>
      </c>
      <c r="R23" s="2726">
        <f t="shared" si="4"/>
        <v>0</v>
      </c>
      <c r="S23" s="2726">
        <f>+L23</f>
        <v>0</v>
      </c>
      <c r="T23" s="2726">
        <f>O23+R23</f>
        <v>0</v>
      </c>
      <c r="U23" s="2728" t="str">
        <f t="shared" si="24"/>
        <v>0</v>
      </c>
      <c r="V23" s="2737">
        <f>N23+T23</f>
        <v>0</v>
      </c>
      <c r="W23" s="2730"/>
      <c r="X23" s="2053" t="s">
        <v>2330</v>
      </c>
      <c r="Y23" s="2735"/>
      <c r="AB23" s="2736">
        <v>7500</v>
      </c>
    </row>
    <row r="24" spans="1:33" s="2703" customFormat="1" ht="13.5" customHeight="1">
      <c r="A24" s="2718">
        <f t="shared" si="9"/>
        <v>13</v>
      </c>
      <c r="B24" s="2719"/>
      <c r="C24" s="2720" t="s">
        <v>1122</v>
      </c>
      <c r="D24" s="2721" t="s">
        <v>864</v>
      </c>
      <c r="E24" s="2056">
        <v>45</v>
      </c>
      <c r="F24" s="2722" t="s">
        <v>1144</v>
      </c>
      <c r="G24" s="2723" t="s">
        <v>1125</v>
      </c>
      <c r="H24" s="2723" t="s">
        <v>1125</v>
      </c>
      <c r="I24" s="2724">
        <v>10000</v>
      </c>
      <c r="J24" s="2057">
        <v>0.54</v>
      </c>
      <c r="K24" s="2725">
        <f t="shared" ref="K24:K28" si="25">S_2</f>
        <v>38.309988067521367</v>
      </c>
      <c r="L24" s="2726">
        <f t="shared" si="19"/>
        <v>24.3</v>
      </c>
      <c r="M24" s="2727">
        <f>'Productivity Factor Calc.'!$J$43</f>
        <v>1.085</v>
      </c>
      <c r="N24" s="2728" t="str">
        <f t="shared" ref="N24:N27" si="26">IF(G24="Owner",+I24*E24,"0")</f>
        <v>0</v>
      </c>
      <c r="O24" s="2728">
        <f t="shared" si="2"/>
        <v>450000</v>
      </c>
      <c r="P24" s="2729" t="s">
        <v>2308</v>
      </c>
      <c r="Q24" s="2728">
        <f t="shared" si="13"/>
        <v>27000</v>
      </c>
      <c r="R24" s="2726">
        <f t="shared" si="4"/>
        <v>1010.0619903942346</v>
      </c>
      <c r="S24" s="2726">
        <f t="shared" ref="S24:S27" si="27">L24*M24</f>
        <v>26.365500000000001</v>
      </c>
      <c r="T24" s="2726">
        <f t="shared" ref="T24:T27" si="28">O24+R24</f>
        <v>451010.06199039426</v>
      </c>
      <c r="U24" s="2728" t="str">
        <f t="shared" ref="U24:U27" si="29">IF(G24="Sub",+E24*I24,"0")</f>
        <v>0</v>
      </c>
      <c r="V24" s="2730">
        <f t="shared" ref="V24:V27" si="30">N24+T24+U24</f>
        <v>451010.06199039426</v>
      </c>
      <c r="W24" s="2730"/>
      <c r="X24" s="2053" t="s">
        <v>2330</v>
      </c>
      <c r="Y24" s="2701"/>
      <c r="Z24" s="2702"/>
      <c r="AA24" s="2702"/>
      <c r="AB24" s="2702"/>
      <c r="AC24" s="2702"/>
      <c r="AD24" s="2702"/>
      <c r="AE24" s="2702"/>
      <c r="AF24" s="2702"/>
      <c r="AG24" s="2702"/>
    </row>
    <row r="25" spans="1:33" s="2703" customFormat="1" ht="14.1" customHeight="1">
      <c r="A25" s="2718">
        <f t="shared" si="9"/>
        <v>14</v>
      </c>
      <c r="B25" s="2719"/>
      <c r="C25" s="2720" t="s">
        <v>1122</v>
      </c>
      <c r="D25" s="2721" t="s">
        <v>61</v>
      </c>
      <c r="E25" s="2056">
        <v>0</v>
      </c>
      <c r="F25" s="2722" t="s">
        <v>62</v>
      </c>
      <c r="G25" s="2723" t="s">
        <v>1125</v>
      </c>
      <c r="H25" s="2723" t="s">
        <v>1125</v>
      </c>
      <c r="I25" s="2724"/>
      <c r="J25" s="2057">
        <v>0.02</v>
      </c>
      <c r="K25" s="2725">
        <f t="shared" si="25"/>
        <v>38.309988067521367</v>
      </c>
      <c r="L25" s="2726">
        <f t="shared" si="19"/>
        <v>0</v>
      </c>
      <c r="M25" s="2727">
        <f>'Productivity Factor Calc.'!$J$43</f>
        <v>1.085</v>
      </c>
      <c r="N25" s="2728" t="str">
        <f t="shared" si="26"/>
        <v>0</v>
      </c>
      <c r="O25" s="2728">
        <f t="shared" si="2"/>
        <v>0</v>
      </c>
      <c r="P25" s="2729" t="s">
        <v>2308</v>
      </c>
      <c r="Q25" s="2728">
        <f t="shared" si="13"/>
        <v>0</v>
      </c>
      <c r="R25" s="2726">
        <f t="shared" si="4"/>
        <v>0</v>
      </c>
      <c r="S25" s="2726">
        <f t="shared" si="27"/>
        <v>0</v>
      </c>
      <c r="T25" s="2726">
        <f t="shared" si="28"/>
        <v>0</v>
      </c>
      <c r="U25" s="2728" t="str">
        <f t="shared" si="29"/>
        <v>0</v>
      </c>
      <c r="V25" s="2730">
        <f t="shared" si="30"/>
        <v>0</v>
      </c>
      <c r="W25" s="2730"/>
      <c r="X25" s="2053" t="s">
        <v>2330</v>
      </c>
      <c r="Y25" s="2701"/>
      <c r="Z25" s="2702"/>
      <c r="AA25" s="2702"/>
      <c r="AB25" s="2702"/>
      <c r="AC25" s="2702"/>
      <c r="AD25" s="2702"/>
      <c r="AE25" s="2702"/>
      <c r="AF25" s="2702"/>
      <c r="AG25" s="2702"/>
    </row>
    <row r="26" spans="1:33" s="2703" customFormat="1" ht="14.1" customHeight="1">
      <c r="A26" s="2718">
        <f t="shared" si="9"/>
        <v>15</v>
      </c>
      <c r="B26" s="2719"/>
      <c r="C26" s="2720" t="s">
        <v>1122</v>
      </c>
      <c r="D26" s="2721" t="s">
        <v>133</v>
      </c>
      <c r="E26" s="2056">
        <v>0</v>
      </c>
      <c r="F26" s="2722" t="s">
        <v>62</v>
      </c>
      <c r="G26" s="2723" t="s">
        <v>1125</v>
      </c>
      <c r="H26" s="2723" t="s">
        <v>1125</v>
      </c>
      <c r="I26" s="2724">
        <v>10</v>
      </c>
      <c r="J26" s="2057">
        <v>1.4999999999999999E-2</v>
      </c>
      <c r="K26" s="2725">
        <f t="shared" si="25"/>
        <v>38.309988067521367</v>
      </c>
      <c r="L26" s="2726">
        <f t="shared" si="19"/>
        <v>0</v>
      </c>
      <c r="M26" s="2727">
        <f>'Productivity Factor Calc.'!$J$43</f>
        <v>1.085</v>
      </c>
      <c r="N26" s="2728" t="str">
        <f t="shared" si="26"/>
        <v>0</v>
      </c>
      <c r="O26" s="2728">
        <f t="shared" si="2"/>
        <v>0</v>
      </c>
      <c r="P26" s="2729" t="s">
        <v>2308</v>
      </c>
      <c r="Q26" s="2728">
        <f t="shared" si="13"/>
        <v>0</v>
      </c>
      <c r="R26" s="2726">
        <f t="shared" si="4"/>
        <v>0</v>
      </c>
      <c r="S26" s="2726">
        <f t="shared" si="27"/>
        <v>0</v>
      </c>
      <c r="T26" s="2726">
        <f t="shared" si="28"/>
        <v>0</v>
      </c>
      <c r="U26" s="2728" t="str">
        <f t="shared" si="29"/>
        <v>0</v>
      </c>
      <c r="V26" s="2730">
        <f t="shared" si="30"/>
        <v>0</v>
      </c>
      <c r="W26" s="2730"/>
      <c r="X26" s="2053" t="s">
        <v>2330</v>
      </c>
      <c r="Y26" s="2701"/>
      <c r="Z26" s="2702"/>
      <c r="AA26" s="2702"/>
      <c r="AB26" s="2702"/>
      <c r="AC26" s="2702"/>
      <c r="AD26" s="2702"/>
      <c r="AE26" s="2702"/>
      <c r="AF26" s="2702"/>
      <c r="AG26" s="2702"/>
    </row>
    <row r="27" spans="1:33" s="2703" customFormat="1" ht="14.1" customHeight="1">
      <c r="A27" s="2718">
        <f t="shared" si="9"/>
        <v>16</v>
      </c>
      <c r="B27" s="2719"/>
      <c r="C27" s="2720" t="s">
        <v>1122</v>
      </c>
      <c r="D27" s="2721" t="s">
        <v>132</v>
      </c>
      <c r="E27" s="2056">
        <v>1</v>
      </c>
      <c r="F27" s="2722" t="s">
        <v>1127</v>
      </c>
      <c r="G27" s="2723" t="s">
        <v>1125</v>
      </c>
      <c r="H27" s="2723" t="s">
        <v>1125</v>
      </c>
      <c r="I27" s="2724">
        <v>18750</v>
      </c>
      <c r="J27" s="2057">
        <v>240</v>
      </c>
      <c r="K27" s="2725">
        <f t="shared" si="25"/>
        <v>38.309988067521367</v>
      </c>
      <c r="L27" s="2726">
        <f t="shared" si="19"/>
        <v>240</v>
      </c>
      <c r="M27" s="2727">
        <f>'Productivity Factor Calc.'!$J$43</f>
        <v>1.085</v>
      </c>
      <c r="N27" s="2728" t="str">
        <f t="shared" si="26"/>
        <v>0</v>
      </c>
      <c r="O27" s="2728">
        <f t="shared" si="2"/>
        <v>18750</v>
      </c>
      <c r="P27" s="2729" t="s">
        <v>2308</v>
      </c>
      <c r="Q27" s="2728">
        <f t="shared" si="13"/>
        <v>1125</v>
      </c>
      <c r="R27" s="2726">
        <f t="shared" si="4"/>
        <v>9975.9208927825639</v>
      </c>
      <c r="S27" s="2726">
        <f t="shared" si="27"/>
        <v>260.39999999999998</v>
      </c>
      <c r="T27" s="2726">
        <f t="shared" si="28"/>
        <v>28725.920892782564</v>
      </c>
      <c r="U27" s="2728" t="str">
        <f t="shared" si="29"/>
        <v>0</v>
      </c>
      <c r="V27" s="2730">
        <f t="shared" si="30"/>
        <v>28725.920892782564</v>
      </c>
      <c r="W27" s="2730"/>
      <c r="X27" s="2053" t="s">
        <v>2330</v>
      </c>
      <c r="Y27" s="2701"/>
      <c r="Z27" s="2702"/>
      <c r="AA27" s="2702"/>
      <c r="AB27" s="2702"/>
      <c r="AC27" s="2702"/>
      <c r="AD27" s="2702"/>
      <c r="AE27" s="2702"/>
      <c r="AF27" s="2702"/>
      <c r="AG27" s="2702"/>
    </row>
    <row r="28" spans="1:33" s="2703" customFormat="1" ht="14.1" customHeight="1">
      <c r="A28" s="2718">
        <f t="shared" si="9"/>
        <v>17</v>
      </c>
      <c r="B28" s="2719"/>
      <c r="C28" s="2720" t="s">
        <v>1122</v>
      </c>
      <c r="D28" s="2721" t="s">
        <v>530</v>
      </c>
      <c r="E28" s="2056">
        <v>6000</v>
      </c>
      <c r="F28" s="2722" t="s">
        <v>1123</v>
      </c>
      <c r="G28" s="2723" t="s">
        <v>1125</v>
      </c>
      <c r="H28" s="2723" t="s">
        <v>1125</v>
      </c>
      <c r="I28" s="2055">
        <v>11</v>
      </c>
      <c r="J28" s="2057">
        <v>0.2</v>
      </c>
      <c r="K28" s="2725">
        <f t="shared" si="25"/>
        <v>38.309988067521367</v>
      </c>
      <c r="L28" s="2726">
        <f t="shared" si="19"/>
        <v>1200</v>
      </c>
      <c r="M28" s="2727">
        <f>'Productivity Factor Calc.'!$J$43</f>
        <v>1.085</v>
      </c>
      <c r="N28" s="2728" t="str">
        <f>IF(G28="Owner",+I28*E28,"0")</f>
        <v>0</v>
      </c>
      <c r="O28" s="2728">
        <f t="shared" si="2"/>
        <v>66000</v>
      </c>
      <c r="P28" s="2729" t="s">
        <v>2308</v>
      </c>
      <c r="Q28" s="2728">
        <f t="shared" si="13"/>
        <v>3960</v>
      </c>
      <c r="R28" s="2726">
        <f t="shared" si="4"/>
        <v>49879.604463912816</v>
      </c>
      <c r="S28" s="2726">
        <f>L28*M28</f>
        <v>1302</v>
      </c>
      <c r="T28" s="2726">
        <f>O28+R28</f>
        <v>115879.60446391281</v>
      </c>
      <c r="U28" s="2728" t="str">
        <f>IF(G28="Sub",+E28*I28,"0")</f>
        <v>0</v>
      </c>
      <c r="V28" s="2730">
        <f>N28+T28+U28</f>
        <v>115879.60446391281</v>
      </c>
      <c r="W28" s="2730"/>
      <c r="X28" s="2053" t="s">
        <v>2330</v>
      </c>
      <c r="Y28" s="2701"/>
      <c r="Z28" s="2702"/>
      <c r="AA28" s="2702"/>
      <c r="AB28" s="2702"/>
      <c r="AC28" s="2702"/>
      <c r="AD28" s="2702"/>
      <c r="AE28" s="2702"/>
      <c r="AF28" s="2702"/>
      <c r="AG28" s="2702"/>
    </row>
    <row r="29" spans="1:33" s="2703" customFormat="1" ht="14.1" customHeight="1">
      <c r="A29" s="2718">
        <f t="shared" si="9"/>
        <v>18</v>
      </c>
      <c r="B29" s="2719"/>
      <c r="C29" s="2720" t="s">
        <v>1122</v>
      </c>
      <c r="D29" s="2721" t="s">
        <v>2086</v>
      </c>
      <c r="E29" s="2056">
        <v>1</v>
      </c>
      <c r="F29" s="2722" t="s">
        <v>1037</v>
      </c>
      <c r="G29" s="2723" t="s">
        <v>1124</v>
      </c>
      <c r="H29" s="2723" t="s">
        <v>1125</v>
      </c>
      <c r="I29" s="2055">
        <v>150000</v>
      </c>
      <c r="J29" s="2057">
        <v>0</v>
      </c>
      <c r="K29" s="2725">
        <f>S_1</f>
        <v>43.18423117857143</v>
      </c>
      <c r="L29" s="2726">
        <f t="shared" si="19"/>
        <v>0</v>
      </c>
      <c r="M29" s="2727">
        <f>'Productivity Factor Calc.'!$J$43</f>
        <v>1.085</v>
      </c>
      <c r="N29" s="2728" t="str">
        <f>IF(G29="Owner",+I29*E29,"0")</f>
        <v>0</v>
      </c>
      <c r="O29" s="2728" t="str">
        <f t="shared" si="2"/>
        <v>0</v>
      </c>
      <c r="P29" s="2729" t="s">
        <v>2308</v>
      </c>
      <c r="Q29" s="2728">
        <f>IF(P29="YES",+U29/2*0.06,"0")</f>
        <v>4500</v>
      </c>
      <c r="R29" s="2726">
        <f t="shared" si="4"/>
        <v>0</v>
      </c>
      <c r="S29" s="2726">
        <f>L29*M29</f>
        <v>0</v>
      </c>
      <c r="T29" s="2726">
        <f>O29+R29</f>
        <v>0</v>
      </c>
      <c r="U29" s="2728">
        <f>IF(G29="Sub",+E29*I29,"0")</f>
        <v>150000</v>
      </c>
      <c r="V29" s="2730">
        <f>N29+T29+U29</f>
        <v>150000</v>
      </c>
      <c r="W29" s="2730"/>
      <c r="X29" s="2053" t="s">
        <v>2330</v>
      </c>
      <c r="Y29" s="2701"/>
      <c r="Z29" s="2702"/>
      <c r="AA29" s="2702"/>
      <c r="AB29" s="2702"/>
      <c r="AC29" s="2702"/>
      <c r="AD29" s="2702"/>
      <c r="AE29" s="2702"/>
      <c r="AF29" s="2702"/>
      <c r="AG29" s="2702"/>
    </row>
    <row r="30" spans="1:33" s="2703" customFormat="1" ht="14.1" customHeight="1">
      <c r="A30" s="2718">
        <f t="shared" si="9"/>
        <v>19</v>
      </c>
      <c r="B30" s="3088"/>
      <c r="C30" s="2720" t="s">
        <v>1122</v>
      </c>
      <c r="D30" s="3081" t="s">
        <v>2492</v>
      </c>
      <c r="E30" s="3074">
        <v>5</v>
      </c>
      <c r="F30" s="3082" t="s">
        <v>2493</v>
      </c>
      <c r="G30" s="3083" t="s">
        <v>1124</v>
      </c>
      <c r="H30" s="3083" t="s">
        <v>1125</v>
      </c>
      <c r="I30" s="3094">
        <v>6600</v>
      </c>
      <c r="J30" s="993">
        <v>0</v>
      </c>
      <c r="K30" s="970">
        <f t="shared" ref="K30:K32" si="31">S_2</f>
        <v>38.309988067521367</v>
      </c>
      <c r="L30" s="971">
        <f t="shared" ref="L30:L32" si="32">E30*J30</f>
        <v>0</v>
      </c>
      <c r="M30" s="972">
        <f>'Productivity Factor Calc.'!$J$43</f>
        <v>1.085</v>
      </c>
      <c r="N30" s="3079" t="str">
        <f t="shared" ref="N30:N32" si="33">IF(G30="Owner",+I30*E30,"0")</f>
        <v>0</v>
      </c>
      <c r="O30" s="3079" t="str">
        <f t="shared" ref="O30:O32" si="34">IF(G30="Contr",+I30*E30,"0")</f>
        <v>0</v>
      </c>
      <c r="P30" s="2653" t="s">
        <v>2309</v>
      </c>
      <c r="Q30" s="3079" t="str">
        <f t="shared" ref="Q30:Q32" si="35">IF(P30="YES",+O30*0.06,"0")</f>
        <v>0</v>
      </c>
      <c r="R30" s="971">
        <f t="shared" ref="R30:R32" si="36">K30*L30*M30</f>
        <v>0</v>
      </c>
      <c r="S30" s="971">
        <f t="shared" ref="S30:S32" si="37">L30*M30</f>
        <v>0</v>
      </c>
      <c r="T30" s="971">
        <f t="shared" ref="T30:T32" si="38">O30+R30</f>
        <v>0</v>
      </c>
      <c r="U30" s="3079">
        <f t="shared" ref="U30:U32" si="39">IF(G30="Sub",+E30*I30,"0")</f>
        <v>33000</v>
      </c>
      <c r="V30" s="974">
        <f t="shared" ref="V30:V32" si="40">N30+T30+U30</f>
        <v>33000</v>
      </c>
      <c r="W30" s="3080"/>
      <c r="X30" s="2053" t="s">
        <v>2330</v>
      </c>
      <c r="Y30" s="729"/>
      <c r="Z30" s="716"/>
      <c r="AA30" s="716"/>
      <c r="AB30" s="2702"/>
      <c r="AC30" s="2702"/>
      <c r="AD30" s="2702"/>
      <c r="AE30" s="2702"/>
      <c r="AF30" s="2702"/>
      <c r="AG30" s="2702"/>
    </row>
    <row r="31" spans="1:33" s="2703" customFormat="1" ht="14.1" customHeight="1">
      <c r="A31" s="2718">
        <f t="shared" si="9"/>
        <v>20</v>
      </c>
      <c r="B31" s="3088"/>
      <c r="C31" s="2720" t="s">
        <v>1122</v>
      </c>
      <c r="D31" s="3081" t="s">
        <v>2494</v>
      </c>
      <c r="E31" s="3074">
        <v>5</v>
      </c>
      <c r="F31" s="3082" t="s">
        <v>2493</v>
      </c>
      <c r="G31" s="3083" t="s">
        <v>1124</v>
      </c>
      <c r="H31" s="3083" t="s">
        <v>1125</v>
      </c>
      <c r="I31" s="3094">
        <v>4150</v>
      </c>
      <c r="J31" s="993">
        <v>0</v>
      </c>
      <c r="K31" s="970">
        <f t="shared" si="31"/>
        <v>38.309988067521367</v>
      </c>
      <c r="L31" s="971">
        <f t="shared" si="32"/>
        <v>0</v>
      </c>
      <c r="M31" s="972">
        <f>'Productivity Factor Calc.'!$J$43</f>
        <v>1.085</v>
      </c>
      <c r="N31" s="3079" t="str">
        <f t="shared" si="33"/>
        <v>0</v>
      </c>
      <c r="O31" s="3079" t="str">
        <f t="shared" si="34"/>
        <v>0</v>
      </c>
      <c r="P31" s="2653" t="s">
        <v>2309</v>
      </c>
      <c r="Q31" s="3079" t="str">
        <f t="shared" si="35"/>
        <v>0</v>
      </c>
      <c r="R31" s="971">
        <f t="shared" si="36"/>
        <v>0</v>
      </c>
      <c r="S31" s="971">
        <f t="shared" si="37"/>
        <v>0</v>
      </c>
      <c r="T31" s="971">
        <f t="shared" si="38"/>
        <v>0</v>
      </c>
      <c r="U31" s="3079">
        <f t="shared" si="39"/>
        <v>20750</v>
      </c>
      <c r="V31" s="974">
        <f t="shared" si="40"/>
        <v>20750</v>
      </c>
      <c r="W31" s="3080"/>
      <c r="X31" s="2053" t="s">
        <v>2330</v>
      </c>
      <c r="Y31" s="729"/>
      <c r="Z31" s="716"/>
      <c r="AA31" s="716"/>
      <c r="AB31" s="2702"/>
      <c r="AC31" s="2702"/>
      <c r="AD31" s="2702"/>
      <c r="AE31" s="2702"/>
      <c r="AF31" s="2702"/>
      <c r="AG31" s="2702"/>
    </row>
    <row r="32" spans="1:33" s="2703" customFormat="1" ht="14.1" customHeight="1">
      <c r="A32" s="2718">
        <f t="shared" si="9"/>
        <v>21</v>
      </c>
      <c r="B32" s="3088"/>
      <c r="C32" s="2720" t="s">
        <v>1122</v>
      </c>
      <c r="D32" s="3081" t="s">
        <v>2495</v>
      </c>
      <c r="E32" s="3074">
        <v>30000</v>
      </c>
      <c r="F32" s="3082" t="s">
        <v>1126</v>
      </c>
      <c r="G32" s="3083" t="s">
        <v>1124</v>
      </c>
      <c r="H32" s="3083" t="s">
        <v>1125</v>
      </c>
      <c r="I32" s="3084">
        <v>10</v>
      </c>
      <c r="J32" s="993">
        <v>0</v>
      </c>
      <c r="K32" s="970">
        <f t="shared" si="31"/>
        <v>38.309988067521367</v>
      </c>
      <c r="L32" s="971">
        <f t="shared" si="32"/>
        <v>0</v>
      </c>
      <c r="M32" s="972">
        <f>'Productivity Factor Calc.'!$J$43</f>
        <v>1.085</v>
      </c>
      <c r="N32" s="3079" t="str">
        <f t="shared" si="33"/>
        <v>0</v>
      </c>
      <c r="O32" s="3079" t="str">
        <f t="shared" si="34"/>
        <v>0</v>
      </c>
      <c r="P32" s="2653" t="s">
        <v>2309</v>
      </c>
      <c r="Q32" s="3079" t="str">
        <f t="shared" si="35"/>
        <v>0</v>
      </c>
      <c r="R32" s="971">
        <f t="shared" si="36"/>
        <v>0</v>
      </c>
      <c r="S32" s="971">
        <f t="shared" si="37"/>
        <v>0</v>
      </c>
      <c r="T32" s="971">
        <f t="shared" si="38"/>
        <v>0</v>
      </c>
      <c r="U32" s="3079">
        <f t="shared" si="39"/>
        <v>300000</v>
      </c>
      <c r="V32" s="974">
        <f t="shared" si="40"/>
        <v>300000</v>
      </c>
      <c r="W32" s="3080"/>
      <c r="X32" s="2053" t="s">
        <v>2330</v>
      </c>
      <c r="Y32" s="729"/>
      <c r="Z32" s="716"/>
      <c r="AA32" s="716"/>
      <c r="AB32" s="2702"/>
      <c r="AC32" s="2702"/>
      <c r="AD32" s="2702"/>
      <c r="AE32" s="2702"/>
      <c r="AF32" s="2702"/>
      <c r="AG32" s="2702"/>
    </row>
    <row r="33" spans="1:33" s="2703" customFormat="1" ht="14.1" customHeight="1">
      <c r="A33" s="2718">
        <f t="shared" si="9"/>
        <v>22</v>
      </c>
      <c r="B33" s="2719"/>
      <c r="C33" s="2720" t="s">
        <v>1122</v>
      </c>
      <c r="D33" s="2721" t="s">
        <v>2542</v>
      </c>
      <c r="E33" s="2731">
        <v>300</v>
      </c>
      <c r="F33" s="3078" t="s">
        <v>1126</v>
      </c>
      <c r="G33" s="963" t="s">
        <v>1125</v>
      </c>
      <c r="H33" s="963" t="s">
        <v>1125</v>
      </c>
      <c r="I33" s="3095">
        <v>260</v>
      </c>
      <c r="J33" s="2057">
        <v>5</v>
      </c>
      <c r="K33" s="2725">
        <f t="shared" ref="K33:K34" si="41">Con_1</f>
        <v>38.50813141105413</v>
      </c>
      <c r="L33" s="2726">
        <f t="shared" ref="L33" si="42">E33*J33</f>
        <v>1500</v>
      </c>
      <c r="M33" s="2727">
        <f>'Productivity Factor Calc.'!$J$43</f>
        <v>1.085</v>
      </c>
      <c r="N33" s="2728" t="str">
        <f t="shared" ref="N33" si="43">IF(G33="Owner",+I33*E33,"0")</f>
        <v>0</v>
      </c>
      <c r="O33" s="2728">
        <f t="shared" ref="O33" si="44">IF(G33="Contr",+I33*E33,"0")</f>
        <v>78000</v>
      </c>
      <c r="P33" s="2729" t="s">
        <v>2308</v>
      </c>
      <c r="Q33" s="2728">
        <f t="shared" ref="Q33" si="45">IF(P33="YES",+O33*0.06,"0")</f>
        <v>4680</v>
      </c>
      <c r="R33" s="2726">
        <f t="shared" ref="R33" si="46">K33*L33*M33</f>
        <v>62671.983871490593</v>
      </c>
      <c r="S33" s="2726">
        <f t="shared" ref="S33" si="47">L33*M33</f>
        <v>1627.5</v>
      </c>
      <c r="T33" s="2726">
        <f t="shared" ref="T33" si="48">O33+R33</f>
        <v>140671.98387149058</v>
      </c>
      <c r="U33" s="2728" t="str">
        <f t="shared" ref="U33" si="49">IF(G33="Sub",+E33*I33,"0")</f>
        <v>0</v>
      </c>
      <c r="V33" s="2730">
        <f t="shared" ref="V33" si="50">N33+T33+U33</f>
        <v>140671.98387149058</v>
      </c>
      <c r="W33" s="2730"/>
      <c r="X33" s="2053" t="s">
        <v>2330</v>
      </c>
      <c r="Y33" s="2735"/>
      <c r="AB33" s="2736">
        <v>1500</v>
      </c>
    </row>
    <row r="34" spans="1:33" s="2703" customFormat="1" ht="13.5" customHeight="1" thickBot="1">
      <c r="A34" s="2718">
        <f t="shared" si="9"/>
        <v>23</v>
      </c>
      <c r="B34" s="2719"/>
      <c r="C34" s="2720" t="s">
        <v>1122</v>
      </c>
      <c r="D34" s="2721" t="s">
        <v>2543</v>
      </c>
      <c r="E34" s="2056">
        <v>60</v>
      </c>
      <c r="F34" s="2722" t="s">
        <v>1126</v>
      </c>
      <c r="G34" s="2723" t="s">
        <v>1125</v>
      </c>
      <c r="H34" s="2723" t="s">
        <v>1125</v>
      </c>
      <c r="I34" s="2770">
        <v>260</v>
      </c>
      <c r="J34" s="2057">
        <v>4.5</v>
      </c>
      <c r="K34" s="2725">
        <f t="shared" si="41"/>
        <v>38.50813141105413</v>
      </c>
      <c r="L34" s="2726">
        <f t="shared" ref="L34" si="51">E34*J34</f>
        <v>270</v>
      </c>
      <c r="M34" s="2727">
        <f>'Productivity Factor Calc.'!$J$43</f>
        <v>1.085</v>
      </c>
      <c r="N34" s="2728" t="str">
        <f t="shared" ref="N34" si="52">IF(G34="Owner",+I34*E34,"0")</f>
        <v>0</v>
      </c>
      <c r="O34" s="2728">
        <f t="shared" ref="O34" si="53">IF(G34="Contr",+I34*E34,"0")</f>
        <v>15600</v>
      </c>
      <c r="P34" s="2729" t="s">
        <v>2309</v>
      </c>
      <c r="Q34" s="2728" t="str">
        <f t="shared" ref="Q34" si="54">IF(P34="YES",+O34*0.06,"0")</f>
        <v>0</v>
      </c>
      <c r="R34" s="2726">
        <f t="shared" ref="R34" si="55">K34*L34*M34</f>
        <v>11280.957096868307</v>
      </c>
      <c r="S34" s="2726">
        <f t="shared" ref="S34" si="56">L34*M34</f>
        <v>292.95</v>
      </c>
      <c r="T34" s="2726">
        <f t="shared" ref="T34" si="57">O34+R34</f>
        <v>26880.957096868307</v>
      </c>
      <c r="U34" s="2728" t="str">
        <f t="shared" ref="U34" si="58">IF(G34="Sub",+E34*I34,"0")</f>
        <v>0</v>
      </c>
      <c r="V34" s="2730">
        <f t="shared" ref="V34" si="59">N34+T34+U34</f>
        <v>26880.957096868307</v>
      </c>
      <c r="W34" s="2730"/>
      <c r="X34" s="2053" t="s">
        <v>2330</v>
      </c>
      <c r="Y34" s="2701"/>
      <c r="Z34" s="2702"/>
      <c r="AA34" s="2798"/>
      <c r="AB34" s="2702"/>
      <c r="AC34" s="2702"/>
      <c r="AD34" s="2702"/>
      <c r="AE34" s="2702"/>
      <c r="AF34" s="2702"/>
      <c r="AG34" s="2702"/>
    </row>
    <row r="35" spans="1:33" s="2703" customFormat="1" ht="14.1" customHeight="1">
      <c r="A35" s="2718">
        <f t="shared" si="9"/>
        <v>24</v>
      </c>
      <c r="B35" s="2738"/>
      <c r="C35" s="2739"/>
      <c r="D35" s="2789" t="s">
        <v>2514</v>
      </c>
      <c r="E35" s="2756"/>
      <c r="F35" s="2757"/>
      <c r="G35" s="2757"/>
      <c r="H35" s="2757"/>
      <c r="I35" s="2758"/>
      <c r="J35" s="2800"/>
      <c r="K35" s="2790"/>
      <c r="L35" s="2791">
        <f>SUM(L13:L34)</f>
        <v>19470.3</v>
      </c>
      <c r="M35" s="2801"/>
      <c r="N35" s="2791">
        <f>SUM(N13:N34)</f>
        <v>0</v>
      </c>
      <c r="O35" s="2791">
        <f>SUM(O13:O34)</f>
        <v>831050</v>
      </c>
      <c r="P35" s="2792"/>
      <c r="Q35" s="2791">
        <f t="shared" ref="Q35:V35" si="60">SUM(Q13:Q34)</f>
        <v>53787</v>
      </c>
      <c r="R35" s="2791">
        <f t="shared" si="60"/>
        <v>893439.11430083762</v>
      </c>
      <c r="S35" s="2791">
        <f t="shared" si="60"/>
        <v>19838.715500000002</v>
      </c>
      <c r="T35" s="2791">
        <f t="shared" si="60"/>
        <v>1724489.1143008373</v>
      </c>
      <c r="U35" s="2791">
        <f t="shared" si="60"/>
        <v>515750</v>
      </c>
      <c r="V35" s="2791">
        <f t="shared" si="60"/>
        <v>2240239.1143008373</v>
      </c>
      <c r="W35" s="2793"/>
      <c r="X35" s="2740"/>
      <c r="Y35" s="2741">
        <f>SUM(U35,T35,N35)</f>
        <v>2240239.1143008373</v>
      </c>
      <c r="Z35" s="2702"/>
      <c r="AA35" s="2701"/>
      <c r="AB35" s="2752" t="e">
        <f>+V35/E35</f>
        <v>#DIV/0!</v>
      </c>
      <c r="AC35" s="2702"/>
      <c r="AD35" s="2702"/>
      <c r="AE35" s="2702"/>
      <c r="AF35" s="2702"/>
      <c r="AG35" s="2702"/>
    </row>
    <row r="36" spans="1:33" s="2703" customFormat="1" ht="14.1" customHeight="1">
      <c r="A36" s="2718">
        <f t="shared" si="9"/>
        <v>25</v>
      </c>
      <c r="B36" s="2719"/>
      <c r="C36" s="2723"/>
      <c r="D36" s="2749"/>
      <c r="E36" s="2056"/>
      <c r="F36" s="2729"/>
      <c r="G36" s="2729"/>
      <c r="H36" s="2729"/>
      <c r="I36" s="2055"/>
      <c r="J36" s="2057"/>
      <c r="K36" s="2725"/>
      <c r="L36" s="2726"/>
      <c r="M36" s="2726"/>
      <c r="N36" s="2726"/>
      <c r="O36" s="2726"/>
      <c r="P36" s="2729"/>
      <c r="Q36" s="2726"/>
      <c r="R36" s="2726"/>
      <c r="S36" s="2727"/>
      <c r="T36" s="2726"/>
      <c r="U36" s="2726"/>
      <c r="V36" s="2726"/>
      <c r="W36" s="2726"/>
      <c r="X36" s="2745"/>
      <c r="Y36" s="2701"/>
      <c r="Z36" s="2702"/>
      <c r="AA36" s="2701"/>
      <c r="AB36" s="2702"/>
      <c r="AC36" s="2702"/>
      <c r="AD36" s="2702"/>
      <c r="AE36" s="2702"/>
      <c r="AF36" s="2702"/>
      <c r="AG36" s="2702"/>
    </row>
    <row r="37" spans="1:33" s="2703" customFormat="1">
      <c r="A37" s="2718">
        <f t="shared" si="9"/>
        <v>26</v>
      </c>
      <c r="B37" s="2749" t="s">
        <v>2506</v>
      </c>
      <c r="C37" s="2750"/>
      <c r="D37" s="2719"/>
      <c r="E37" s="2056"/>
      <c r="F37" s="2723"/>
      <c r="G37" s="2723"/>
      <c r="H37" s="2723"/>
      <c r="I37" s="2055"/>
      <c r="J37" s="2057"/>
      <c r="K37" s="2725"/>
      <c r="L37" s="2726"/>
      <c r="M37" s="2726"/>
      <c r="N37" s="2726"/>
      <c r="O37" s="2726"/>
      <c r="P37" s="2729"/>
      <c r="Q37" s="2726"/>
      <c r="R37" s="2726"/>
      <c r="S37" s="2726"/>
      <c r="T37" s="2726"/>
      <c r="U37" s="2726"/>
      <c r="V37" s="2726"/>
      <c r="W37" s="2726"/>
      <c r="X37" s="2745"/>
      <c r="Y37" s="2741"/>
      <c r="Z37" s="2702"/>
      <c r="AA37" s="2702"/>
      <c r="AB37" s="2702"/>
      <c r="AC37" s="2702"/>
      <c r="AD37" s="2702"/>
      <c r="AE37" s="2702"/>
      <c r="AF37" s="2702"/>
      <c r="AG37" s="2702"/>
    </row>
    <row r="38" spans="1:33" s="2703" customFormat="1">
      <c r="A38" s="2718">
        <f t="shared" si="9"/>
        <v>27</v>
      </c>
      <c r="B38" s="2749"/>
      <c r="C38" s="2764"/>
      <c r="D38" s="2719"/>
      <c r="E38" s="2056"/>
      <c r="F38" s="2723"/>
      <c r="G38" s="2723"/>
      <c r="H38" s="2723"/>
      <c r="I38" s="2055"/>
      <c r="J38" s="2057"/>
      <c r="K38" s="2725"/>
      <c r="L38" s="2726"/>
      <c r="M38" s="2726"/>
      <c r="N38" s="2726"/>
      <c r="O38" s="2726"/>
      <c r="P38" s="2729"/>
      <c r="Q38" s="2726"/>
      <c r="R38" s="2726"/>
      <c r="S38" s="2726"/>
      <c r="T38" s="2726"/>
      <c r="U38" s="2726"/>
      <c r="V38" s="2726"/>
      <c r="W38" s="2726"/>
      <c r="X38" s="2745"/>
      <c r="Y38" s="2741"/>
      <c r="Z38" s="2702"/>
      <c r="AA38" s="2702"/>
      <c r="AB38" s="2702"/>
      <c r="AC38" s="2702"/>
      <c r="AD38" s="2702"/>
      <c r="AE38" s="2702"/>
      <c r="AF38" s="2702"/>
      <c r="AG38" s="2702"/>
    </row>
    <row r="39" spans="1:33" s="2703" customFormat="1">
      <c r="A39" s="2718">
        <f t="shared" si="9"/>
        <v>28</v>
      </c>
      <c r="B39" s="2719"/>
      <c r="C39" s="2720" t="s">
        <v>2520</v>
      </c>
      <c r="D39" s="2721" t="s">
        <v>2523</v>
      </c>
      <c r="E39" s="2731">
        <v>39995</v>
      </c>
      <c r="F39" s="2722" t="s">
        <v>1569</v>
      </c>
      <c r="G39" s="2723" t="s">
        <v>1125</v>
      </c>
      <c r="H39" s="2723" t="s">
        <v>1125</v>
      </c>
      <c r="I39" s="997">
        <v>225</v>
      </c>
      <c r="J39" s="993">
        <v>0</v>
      </c>
      <c r="K39" s="2725">
        <f>BM_1</f>
        <v>66.55834868330605</v>
      </c>
      <c r="L39" s="2726">
        <f>E39*J39</f>
        <v>0</v>
      </c>
      <c r="M39" s="2727">
        <f>'Productivity Factor Calc.'!$J$43</f>
        <v>1.085</v>
      </c>
      <c r="N39" s="2728" t="str">
        <f>IF(G39="Owner",+I39*E39,"0")</f>
        <v>0</v>
      </c>
      <c r="O39" s="2728">
        <f>IF(G39="Contr",+I39*E39,"0")</f>
        <v>8998875</v>
      </c>
      <c r="P39" s="2729" t="s">
        <v>2309</v>
      </c>
      <c r="Q39" s="2728" t="str">
        <f t="shared" ref="Q39" si="61">IF(P39="YES",+O39*0.06,"0")</f>
        <v>0</v>
      </c>
      <c r="R39" s="2726">
        <f>K39*L39*M39</f>
        <v>0</v>
      </c>
      <c r="S39" s="2726">
        <f>L39*M39</f>
        <v>0</v>
      </c>
      <c r="T39" s="2726">
        <f>O39+R39</f>
        <v>8998875</v>
      </c>
      <c r="U39" s="2728" t="str">
        <f>IF(G39="Sub",+E39*I39,"0")</f>
        <v>0</v>
      </c>
      <c r="V39" s="2730">
        <f>N39+T39+U39</f>
        <v>8998875</v>
      </c>
      <c r="W39" s="2730"/>
      <c r="X39" s="2765" t="s">
        <v>2534</v>
      </c>
      <c r="Y39" s="2741"/>
      <c r="Z39" s="2702"/>
      <c r="AA39" s="2702"/>
      <c r="AB39" s="2702"/>
      <c r="AC39" s="2702"/>
      <c r="AD39" s="2702"/>
      <c r="AE39" s="2702"/>
      <c r="AF39" s="2702"/>
      <c r="AG39" s="2702"/>
    </row>
    <row r="40" spans="1:33" s="2703" customFormat="1" ht="16.8" thickBot="1">
      <c r="A40" s="2718">
        <f t="shared" si="9"/>
        <v>29</v>
      </c>
      <c r="B40" s="2767"/>
      <c r="C40" s="2768" t="s">
        <v>2521</v>
      </c>
      <c r="D40" s="2769" t="s">
        <v>2524</v>
      </c>
      <c r="E40" s="967">
        <v>1</v>
      </c>
      <c r="F40" s="2722" t="s">
        <v>1569</v>
      </c>
      <c r="G40" s="2723" t="s">
        <v>1124</v>
      </c>
      <c r="H40" s="2723" t="s">
        <v>1125</v>
      </c>
      <c r="I40" s="2807">
        <v>2750000</v>
      </c>
      <c r="J40" s="2057">
        <v>0</v>
      </c>
      <c r="K40" s="2725">
        <f>BM_1</f>
        <v>66.55834868330605</v>
      </c>
      <c r="L40" s="2726">
        <f>E40*J40</f>
        <v>0</v>
      </c>
      <c r="M40" s="2727">
        <f>'Productivity Factor Calc.'!$J$43</f>
        <v>1.085</v>
      </c>
      <c r="N40" s="2728" t="str">
        <f>IF(G40="Owner",+I40*E40,"0")</f>
        <v>0</v>
      </c>
      <c r="O40" s="2728" t="str">
        <f>IF(G40="Contr",+I40*E40,"0")</f>
        <v>0</v>
      </c>
      <c r="P40" s="2729" t="s">
        <v>2309</v>
      </c>
      <c r="Q40" s="2728" t="str">
        <f t="shared" ref="Q40" si="62">IF(P40="YES",+O40*0.06,"0")</f>
        <v>0</v>
      </c>
      <c r="R40" s="2726">
        <f>K40*L40*M40</f>
        <v>0</v>
      </c>
      <c r="S40" s="2726">
        <f>L40*M40</f>
        <v>0</v>
      </c>
      <c r="T40" s="2726">
        <f>O40+R40</f>
        <v>0</v>
      </c>
      <c r="U40" s="2728">
        <f>IF(G40="Sub",+E40*I40,"0")</f>
        <v>2750000</v>
      </c>
      <c r="V40" s="2730">
        <f>N40+T40+U40</f>
        <v>2750000</v>
      </c>
      <c r="W40" s="2730"/>
      <c r="X40" s="2765" t="s">
        <v>2534</v>
      </c>
      <c r="Y40" s="2741"/>
      <c r="Z40" s="2702"/>
      <c r="AA40" s="2702"/>
      <c r="AB40" s="2702"/>
      <c r="AC40" s="2702"/>
      <c r="AD40" s="2702"/>
      <c r="AE40" s="2702"/>
      <c r="AF40" s="2702"/>
      <c r="AG40" s="2702"/>
    </row>
    <row r="41" spans="1:33" s="2703" customFormat="1">
      <c r="A41" s="2718">
        <f t="shared" si="9"/>
        <v>30</v>
      </c>
      <c r="B41" s="2712"/>
      <c r="C41" s="2718"/>
      <c r="D41" s="2789" t="s">
        <v>2515</v>
      </c>
      <c r="E41" s="2756"/>
      <c r="F41" s="2757"/>
      <c r="G41" s="2757"/>
      <c r="H41" s="2757"/>
      <c r="I41" s="2758"/>
      <c r="J41" s="2800"/>
      <c r="K41" s="2790"/>
      <c r="L41" s="2791">
        <f>SUM(L39:L40)</f>
        <v>0</v>
      </c>
      <c r="M41" s="2801"/>
      <c r="N41" s="2791">
        <f>SUM(N39:N40)</f>
        <v>0</v>
      </c>
      <c r="O41" s="2791">
        <f>SUM(O39:O40)</f>
        <v>8998875</v>
      </c>
      <c r="P41" s="2792"/>
      <c r="Q41" s="2791">
        <f t="shared" ref="Q41:V41" si="63">SUM(Q39:Q40)</f>
        <v>0</v>
      </c>
      <c r="R41" s="2791">
        <f t="shared" si="63"/>
        <v>0</v>
      </c>
      <c r="S41" s="2791">
        <f t="shared" si="63"/>
        <v>0</v>
      </c>
      <c r="T41" s="2791">
        <f t="shared" si="63"/>
        <v>8998875</v>
      </c>
      <c r="U41" s="2791">
        <f t="shared" si="63"/>
        <v>2750000</v>
      </c>
      <c r="V41" s="2791">
        <f t="shared" si="63"/>
        <v>11748875</v>
      </c>
      <c r="W41" s="2793"/>
      <c r="X41" s="3092"/>
      <c r="Y41" s="2741"/>
      <c r="Z41" s="2702"/>
      <c r="AA41" s="2702"/>
      <c r="AB41" s="2702"/>
      <c r="AC41" s="2702"/>
      <c r="AD41" s="2702"/>
      <c r="AE41" s="2702"/>
      <c r="AF41" s="2702"/>
      <c r="AG41" s="2702"/>
    </row>
    <row r="42" spans="1:33" s="2703" customFormat="1">
      <c r="A42" s="2718">
        <f t="shared" si="9"/>
        <v>31</v>
      </c>
      <c r="B42" s="2712"/>
      <c r="C42" s="2718"/>
      <c r="D42" s="2754"/>
      <c r="E42" s="2760"/>
      <c r="F42" s="2761"/>
      <c r="G42" s="2761"/>
      <c r="H42" s="2761"/>
      <c r="I42" s="2762"/>
      <c r="J42" s="2763"/>
      <c r="K42" s="2794"/>
      <c r="L42" s="2795"/>
      <c r="M42" s="2795"/>
      <c r="N42" s="2795"/>
      <c r="O42" s="2795"/>
      <c r="P42" s="2796"/>
      <c r="Q42" s="2795"/>
      <c r="R42" s="2795"/>
      <c r="S42" s="2795"/>
      <c r="T42" s="2795"/>
      <c r="U42" s="2795"/>
      <c r="V42" s="2795"/>
      <c r="W42" s="2797"/>
      <c r="X42" s="3092"/>
      <c r="Y42" s="2741"/>
      <c r="Z42" s="2702"/>
      <c r="AA42" s="2702"/>
      <c r="AB42" s="2702"/>
      <c r="AC42" s="2702"/>
      <c r="AD42" s="2702"/>
      <c r="AE42" s="2702"/>
      <c r="AF42" s="2702"/>
      <c r="AG42" s="2702"/>
    </row>
    <row r="43" spans="1:33" s="2703" customFormat="1">
      <c r="A43" s="2718">
        <f t="shared" si="9"/>
        <v>32</v>
      </c>
      <c r="B43" s="2749" t="s">
        <v>2507</v>
      </c>
      <c r="C43" s="2750"/>
      <c r="D43" s="2719"/>
      <c r="E43" s="2056"/>
      <c r="F43" s="2723"/>
      <c r="G43" s="2723"/>
      <c r="H43" s="2723"/>
      <c r="I43" s="2055"/>
      <c r="J43" s="2057"/>
      <c r="K43" s="2725"/>
      <c r="L43" s="2726"/>
      <c r="M43" s="2726"/>
      <c r="N43" s="2726"/>
      <c r="O43" s="2726"/>
      <c r="P43" s="2729"/>
      <c r="Q43" s="2726"/>
      <c r="R43" s="2726"/>
      <c r="S43" s="2726"/>
      <c r="T43" s="2726"/>
      <c r="U43" s="2726"/>
      <c r="V43" s="2726"/>
      <c r="W43" s="2726"/>
      <c r="X43" s="2745"/>
      <c r="Y43" s="2701"/>
      <c r="Z43" s="2702"/>
      <c r="AA43" s="2702"/>
      <c r="AB43" s="2702"/>
      <c r="AC43" s="2702"/>
      <c r="AD43" s="2702"/>
      <c r="AE43" s="2702"/>
      <c r="AF43" s="2702"/>
      <c r="AG43" s="2702"/>
    </row>
    <row r="44" spans="1:33" s="2703" customFormat="1">
      <c r="A44" s="2718">
        <f t="shared" si="9"/>
        <v>33</v>
      </c>
      <c r="B44" s="2749"/>
      <c r="C44" s="2764"/>
      <c r="D44" s="2719"/>
      <c r="E44" s="2056"/>
      <c r="F44" s="2723"/>
      <c r="G44" s="2723"/>
      <c r="H44" s="2723"/>
      <c r="I44" s="2055"/>
      <c r="J44" s="2057"/>
      <c r="K44" s="2725"/>
      <c r="L44" s="2726"/>
      <c r="M44" s="2726"/>
      <c r="N44" s="2726"/>
      <c r="O44" s="2726"/>
      <c r="P44" s="2729"/>
      <c r="Q44" s="2726"/>
      <c r="R44" s="2726"/>
      <c r="S44" s="2726"/>
      <c r="T44" s="2726"/>
      <c r="U44" s="2726"/>
      <c r="V44" s="2726"/>
      <c r="W44" s="2726"/>
      <c r="X44" s="2745"/>
      <c r="Y44" s="2701"/>
      <c r="Z44" s="2702"/>
      <c r="AA44" s="2702"/>
      <c r="AB44" s="2702"/>
      <c r="AC44" s="2702"/>
      <c r="AD44" s="2702"/>
      <c r="AE44" s="2702"/>
      <c r="AF44" s="2702"/>
      <c r="AG44" s="2702"/>
    </row>
    <row r="45" spans="1:33" s="2703" customFormat="1" ht="14.1" customHeight="1" thickBot="1">
      <c r="A45" s="2718">
        <f t="shared" si="9"/>
        <v>34</v>
      </c>
      <c r="B45" s="2767"/>
      <c r="C45" s="2768" t="s">
        <v>2522</v>
      </c>
      <c r="D45" s="2721" t="s">
        <v>2533</v>
      </c>
      <c r="E45" s="2056">
        <v>20</v>
      </c>
      <c r="F45" s="2722" t="s">
        <v>1569</v>
      </c>
      <c r="G45" s="2723" t="s">
        <v>1125</v>
      </c>
      <c r="H45" s="2723" t="s">
        <v>1125</v>
      </c>
      <c r="I45" s="997">
        <v>120000</v>
      </c>
      <c r="J45" s="3085">
        <v>120</v>
      </c>
      <c r="K45" s="2725">
        <f>BM_1</f>
        <v>66.55834868330605</v>
      </c>
      <c r="L45" s="2726">
        <f>E45*J45</f>
        <v>2400</v>
      </c>
      <c r="M45" s="2727">
        <f>'Productivity Factor Calc.'!$J$43</f>
        <v>1.085</v>
      </c>
      <c r="N45" s="2728" t="str">
        <f>IF(G45="Owner",+I45*E45,"0")</f>
        <v>0</v>
      </c>
      <c r="O45" s="2728">
        <f>IF(G45="Contr",+I45*E45,"0")</f>
        <v>2400000</v>
      </c>
      <c r="P45" s="2729" t="s">
        <v>2309</v>
      </c>
      <c r="Q45" s="2728" t="str">
        <f t="shared" ref="Q45" si="64">IF(P45="YES",+O45*0.06,"0")</f>
        <v>0</v>
      </c>
      <c r="R45" s="2726">
        <f>K45*L45*M45</f>
        <v>173317.93997132897</v>
      </c>
      <c r="S45" s="2726">
        <f>L45*M45</f>
        <v>2604</v>
      </c>
      <c r="T45" s="2726">
        <f>O45+R45</f>
        <v>2573317.9399713292</v>
      </c>
      <c r="U45" s="2728" t="str">
        <f>IF(G45="Sub",+E45*I45,"0")</f>
        <v>0</v>
      </c>
      <c r="V45" s="2730">
        <f>N45+T45+U45</f>
        <v>2573317.9399713292</v>
      </c>
      <c r="W45" s="2730"/>
      <c r="X45" s="2765" t="s">
        <v>2534</v>
      </c>
      <c r="Y45" s="2701"/>
      <c r="Z45" s="2702"/>
      <c r="AA45" s="2766"/>
      <c r="AB45" s="2702"/>
      <c r="AC45" s="2702"/>
      <c r="AD45" s="2702"/>
      <c r="AE45" s="2702"/>
      <c r="AF45" s="2702"/>
      <c r="AG45" s="2702"/>
    </row>
    <row r="46" spans="1:33" s="2703" customFormat="1" ht="14.1" customHeight="1">
      <c r="A46" s="2718">
        <f t="shared" si="9"/>
        <v>35</v>
      </c>
      <c r="B46" s="2712"/>
      <c r="C46" s="2718"/>
      <c r="D46" s="2789" t="s">
        <v>2516</v>
      </c>
      <c r="E46" s="2756"/>
      <c r="F46" s="2757"/>
      <c r="G46" s="2757"/>
      <c r="H46" s="2757"/>
      <c r="I46" s="2758"/>
      <c r="J46" s="2800"/>
      <c r="K46" s="2790"/>
      <c r="L46" s="2791">
        <f>SUM(L45:L45)</f>
        <v>2400</v>
      </c>
      <c r="M46" s="2801"/>
      <c r="N46" s="2791">
        <f>SUM(N45:N45)</f>
        <v>0</v>
      </c>
      <c r="O46" s="2791">
        <f>SUM(O45:O45)</f>
        <v>2400000</v>
      </c>
      <c r="P46" s="2792"/>
      <c r="Q46" s="2791">
        <f t="shared" ref="Q46:V46" si="65">SUM(Q45:Q45)</f>
        <v>0</v>
      </c>
      <c r="R46" s="2791">
        <f t="shared" si="65"/>
        <v>173317.93997132897</v>
      </c>
      <c r="S46" s="2791">
        <f t="shared" si="65"/>
        <v>2604</v>
      </c>
      <c r="T46" s="2791">
        <f t="shared" si="65"/>
        <v>2573317.9399713292</v>
      </c>
      <c r="U46" s="2791">
        <f t="shared" si="65"/>
        <v>0</v>
      </c>
      <c r="V46" s="2791">
        <f t="shared" si="65"/>
        <v>2573317.9399713292</v>
      </c>
      <c r="W46" s="2793"/>
      <c r="X46" s="3089"/>
      <c r="Y46" s="2701"/>
      <c r="Z46" s="2702"/>
      <c r="AA46" s="3093"/>
      <c r="AB46" s="2702"/>
      <c r="AC46" s="2702"/>
      <c r="AD46" s="2702"/>
      <c r="AE46" s="2702"/>
      <c r="AF46" s="2702"/>
      <c r="AG46" s="2702"/>
    </row>
    <row r="47" spans="1:33" s="2703" customFormat="1" ht="14.1" customHeight="1">
      <c r="A47" s="2718">
        <f t="shared" si="9"/>
        <v>36</v>
      </c>
      <c r="B47" s="2719"/>
      <c r="C47" s="2720"/>
      <c r="D47" s="2721"/>
      <c r="E47" s="2056"/>
      <c r="F47" s="2722"/>
      <c r="G47" s="2723"/>
      <c r="H47" s="2723"/>
      <c r="I47" s="2055"/>
      <c r="J47" s="2057"/>
      <c r="K47" s="2725"/>
      <c r="L47" s="2726"/>
      <c r="M47" s="2726"/>
      <c r="N47" s="2728"/>
      <c r="O47" s="2728"/>
      <c r="P47" s="2729"/>
      <c r="Q47" s="2728"/>
      <c r="R47" s="2726"/>
      <c r="S47" s="2727"/>
      <c r="T47" s="2726"/>
      <c r="U47" s="2726"/>
      <c r="V47" s="2730"/>
      <c r="W47" s="2730"/>
      <c r="X47" s="2053"/>
      <c r="Y47" s="2701"/>
      <c r="Z47" s="2702"/>
      <c r="AA47" s="2702"/>
      <c r="AB47" s="2702"/>
      <c r="AC47" s="2702"/>
      <c r="AD47" s="2702"/>
      <c r="AE47" s="2702"/>
      <c r="AF47" s="2702"/>
      <c r="AG47" s="2702"/>
    </row>
    <row r="48" spans="1:33" s="2703" customFormat="1">
      <c r="A48" s="2718">
        <f t="shared" si="9"/>
        <v>37</v>
      </c>
      <c r="B48" s="2749" t="s">
        <v>2508</v>
      </c>
      <c r="C48" s="2720"/>
      <c r="D48" s="2721"/>
      <c r="E48" s="2056"/>
      <c r="F48" s="2722"/>
      <c r="G48" s="2723"/>
      <c r="H48" s="2723"/>
      <c r="I48" s="2055"/>
      <c r="J48" s="2057"/>
      <c r="K48" s="2725"/>
      <c r="L48" s="2726"/>
      <c r="M48" s="2726"/>
      <c r="N48" s="2728"/>
      <c r="O48" s="2728"/>
      <c r="P48" s="2729"/>
      <c r="Q48" s="2728"/>
      <c r="R48" s="2726"/>
      <c r="S48" s="2726"/>
      <c r="T48" s="2726"/>
      <c r="U48" s="2726"/>
      <c r="V48" s="2730"/>
      <c r="W48" s="2730"/>
      <c r="X48" s="2053"/>
      <c r="Y48" s="2701"/>
      <c r="Z48" s="2702"/>
      <c r="AA48" s="2702"/>
      <c r="AB48" s="2702"/>
      <c r="AC48" s="2702"/>
      <c r="AD48" s="2702"/>
      <c r="AE48" s="2702"/>
      <c r="AF48" s="2702"/>
      <c r="AG48" s="2702"/>
    </row>
    <row r="49" spans="1:33" s="2703" customFormat="1">
      <c r="A49" s="2718">
        <f t="shared" si="9"/>
        <v>38</v>
      </c>
      <c r="B49" s="2749"/>
      <c r="C49" s="2720"/>
      <c r="D49" s="2721"/>
      <c r="E49" s="2056"/>
      <c r="F49" s="2722"/>
      <c r="G49" s="2723"/>
      <c r="H49" s="2723"/>
      <c r="I49" s="2055"/>
      <c r="J49" s="2057"/>
      <c r="K49" s="2725"/>
      <c r="L49" s="2726"/>
      <c r="M49" s="2726"/>
      <c r="N49" s="2728"/>
      <c r="O49" s="2728"/>
      <c r="P49" s="2729"/>
      <c r="Q49" s="2728"/>
      <c r="R49" s="2726"/>
      <c r="S49" s="2726"/>
      <c r="T49" s="2726"/>
      <c r="U49" s="2726"/>
      <c r="V49" s="2730"/>
      <c r="W49" s="2730"/>
      <c r="X49" s="2053"/>
      <c r="Y49" s="2701"/>
      <c r="Z49" s="2702"/>
      <c r="AA49" s="2702"/>
      <c r="AB49" s="2702"/>
      <c r="AC49" s="2702"/>
      <c r="AD49" s="2702"/>
      <c r="AE49" s="2702"/>
      <c r="AF49" s="2702"/>
      <c r="AG49" s="2702"/>
    </row>
    <row r="50" spans="1:33" s="2703" customFormat="1">
      <c r="A50" s="2718">
        <f t="shared" si="9"/>
        <v>39</v>
      </c>
      <c r="B50" s="2749"/>
      <c r="C50" s="2723" t="s">
        <v>87</v>
      </c>
      <c r="D50" s="2721" t="s">
        <v>2529</v>
      </c>
      <c r="E50" s="2056">
        <v>1</v>
      </c>
      <c r="F50" s="2722" t="s">
        <v>1037</v>
      </c>
      <c r="G50" s="2723" t="s">
        <v>1125</v>
      </c>
      <c r="H50" s="2723" t="s">
        <v>1125</v>
      </c>
      <c r="I50" s="2055">
        <v>400000</v>
      </c>
      <c r="J50" s="2057">
        <v>635</v>
      </c>
      <c r="K50" s="2725">
        <f t="shared" ref="K50:K53" si="66">E_1</f>
        <v>48.810758004242423</v>
      </c>
      <c r="L50" s="2726">
        <f t="shared" ref="L50:L53" si="67">E50*J50</f>
        <v>635</v>
      </c>
      <c r="M50" s="2727">
        <f>'Productivity Factor Calc.'!$J$43</f>
        <v>1.085</v>
      </c>
      <c r="N50" s="2728" t="str">
        <f t="shared" ref="N50:N53" si="68">IF(G50="Owner",+I50*E50,"0")</f>
        <v>0</v>
      </c>
      <c r="O50" s="2728">
        <f t="shared" ref="O50:O53" si="69">IF(G50="Contr",+I50*E50,"0")</f>
        <v>400000</v>
      </c>
      <c r="P50" s="2729" t="s">
        <v>2309</v>
      </c>
      <c r="Q50" s="2728" t="str">
        <f t="shared" ref="Q50:Q53" si="70">IF(P50="YES",+O50*0.06,"0")</f>
        <v>0</v>
      </c>
      <c r="R50" s="2726">
        <f t="shared" ref="R50" si="71">K50*L50*M50</f>
        <v>33629.391995972925</v>
      </c>
      <c r="S50" s="2726">
        <f t="shared" ref="S50" si="72">L50*M50</f>
        <v>688.97500000000002</v>
      </c>
      <c r="T50" s="2726">
        <f t="shared" ref="T50" si="73">O50+R50</f>
        <v>433629.39199597295</v>
      </c>
      <c r="U50" s="2728" t="str">
        <f t="shared" ref="U50:U53" si="74">IF(G50="Sub",+E50*I50,"0")</f>
        <v>0</v>
      </c>
      <c r="V50" s="2730">
        <f t="shared" ref="V50" si="75">N50+T50+U50</f>
        <v>433629.39199597295</v>
      </c>
      <c r="W50" s="2730"/>
      <c r="X50" s="2053" t="s">
        <v>2329</v>
      </c>
      <c r="Y50" s="2701"/>
      <c r="Z50" s="2702"/>
      <c r="AA50" s="2766">
        <v>143600</v>
      </c>
      <c r="AB50" s="2702"/>
      <c r="AC50" s="2702"/>
      <c r="AD50" s="2702"/>
      <c r="AE50" s="2702"/>
      <c r="AF50" s="2702"/>
      <c r="AG50" s="2702"/>
    </row>
    <row r="51" spans="1:33" s="2702" customFormat="1" ht="14.1" customHeight="1">
      <c r="A51" s="2718">
        <f t="shared" si="9"/>
        <v>40</v>
      </c>
      <c r="B51" s="2719"/>
      <c r="C51" s="2723" t="s">
        <v>87</v>
      </c>
      <c r="D51" s="2721" t="s">
        <v>2528</v>
      </c>
      <c r="E51" s="2056">
        <v>10</v>
      </c>
      <c r="F51" s="2722" t="s">
        <v>1569</v>
      </c>
      <c r="G51" s="2723" t="s">
        <v>1125</v>
      </c>
      <c r="H51" s="2723" t="s">
        <v>1125</v>
      </c>
      <c r="I51" s="2055">
        <v>80000</v>
      </c>
      <c r="J51" s="2057">
        <v>210</v>
      </c>
      <c r="K51" s="2725">
        <f t="shared" si="66"/>
        <v>48.810758004242423</v>
      </c>
      <c r="L51" s="2726">
        <f t="shared" si="67"/>
        <v>2100</v>
      </c>
      <c r="M51" s="2727">
        <f>'Productivity Factor Calc.'!$J$43</f>
        <v>1.085</v>
      </c>
      <c r="N51" s="2728" t="str">
        <f t="shared" si="68"/>
        <v>0</v>
      </c>
      <c r="O51" s="2728">
        <f t="shared" si="69"/>
        <v>800000</v>
      </c>
      <c r="P51" s="2729" t="s">
        <v>2309</v>
      </c>
      <c r="Q51" s="2728" t="str">
        <f t="shared" si="70"/>
        <v>0</v>
      </c>
      <c r="R51" s="2726">
        <f t="shared" ref="R51" si="76">K51*L51*M51</f>
        <v>111215.31211266635</v>
      </c>
      <c r="S51" s="2726">
        <f t="shared" ref="S51" si="77">L51*M51</f>
        <v>2278.5</v>
      </c>
      <c r="T51" s="2726">
        <f t="shared" ref="T51" si="78">O51+R51</f>
        <v>911215.31211266632</v>
      </c>
      <c r="U51" s="2728" t="str">
        <f t="shared" si="74"/>
        <v>0</v>
      </c>
      <c r="V51" s="2730">
        <f t="shared" ref="V51" si="79">N51+T51+U51</f>
        <v>911215.31211266632</v>
      </c>
      <c r="W51" s="2730"/>
      <c r="X51" s="2053" t="s">
        <v>2329</v>
      </c>
      <c r="Y51" s="2701"/>
      <c r="AA51" s="2766">
        <v>575000</v>
      </c>
    </row>
    <row r="52" spans="1:33" s="2702" customFormat="1" ht="14.1" customHeight="1">
      <c r="A52" s="2718">
        <f t="shared" si="9"/>
        <v>41</v>
      </c>
      <c r="B52" s="2719"/>
      <c r="C52" s="2723" t="s">
        <v>87</v>
      </c>
      <c r="D52" s="2721" t="s">
        <v>2537</v>
      </c>
      <c r="E52" s="2056">
        <v>1</v>
      </c>
      <c r="F52" s="2722" t="s">
        <v>1569</v>
      </c>
      <c r="G52" s="2723" t="s">
        <v>1125</v>
      </c>
      <c r="H52" s="2723" t="s">
        <v>1125</v>
      </c>
      <c r="I52" s="2055">
        <v>120000</v>
      </c>
      <c r="J52" s="2057">
        <v>160</v>
      </c>
      <c r="K52" s="2725">
        <f t="shared" si="66"/>
        <v>48.810758004242423</v>
      </c>
      <c r="L52" s="2726">
        <f t="shared" si="67"/>
        <v>160</v>
      </c>
      <c r="M52" s="2727">
        <f>'Productivity Factor Calc.'!$J$43</f>
        <v>1.085</v>
      </c>
      <c r="N52" s="2728" t="str">
        <f t="shared" si="68"/>
        <v>0</v>
      </c>
      <c r="O52" s="2728">
        <f t="shared" si="69"/>
        <v>120000</v>
      </c>
      <c r="P52" s="2729" t="s">
        <v>2308</v>
      </c>
      <c r="Q52" s="2728">
        <f t="shared" si="70"/>
        <v>7200</v>
      </c>
      <c r="R52" s="2726">
        <f t="shared" ref="R52:R53" si="80">K52*L52*M52</f>
        <v>8473.5475895364834</v>
      </c>
      <c r="S52" s="2726">
        <f t="shared" ref="S52:S53" si="81">L52*M52</f>
        <v>173.6</v>
      </c>
      <c r="T52" s="2726">
        <f t="shared" ref="T52:T53" si="82">O52+R52</f>
        <v>128473.54758953648</v>
      </c>
      <c r="U52" s="2728" t="str">
        <f t="shared" si="74"/>
        <v>0</v>
      </c>
      <c r="V52" s="2730">
        <f t="shared" ref="V52:V53" si="83">N52+T52+U52</f>
        <v>128473.54758953648</v>
      </c>
      <c r="W52" s="2730"/>
      <c r="X52" s="2053" t="s">
        <v>2329</v>
      </c>
      <c r="Y52" s="2701"/>
      <c r="AA52" s="2766">
        <v>796.75750000000005</v>
      </c>
    </row>
    <row r="53" spans="1:33" s="2702" customFormat="1" ht="14.1" customHeight="1">
      <c r="A53" s="2718">
        <f t="shared" si="9"/>
        <v>42</v>
      </c>
      <c r="B53" s="2719"/>
      <c r="C53" s="2723" t="s">
        <v>87</v>
      </c>
      <c r="D53" s="2721" t="s">
        <v>2530</v>
      </c>
      <c r="E53" s="2056">
        <v>1</v>
      </c>
      <c r="F53" s="2722" t="s">
        <v>1569</v>
      </c>
      <c r="G53" s="2723" t="s">
        <v>1125</v>
      </c>
      <c r="H53" s="2723" t="s">
        <v>1125</v>
      </c>
      <c r="I53" s="2055">
        <v>1200</v>
      </c>
      <c r="J53" s="2806">
        <v>40</v>
      </c>
      <c r="K53" s="2725">
        <f t="shared" si="66"/>
        <v>48.810758004242423</v>
      </c>
      <c r="L53" s="2726">
        <f t="shared" si="67"/>
        <v>40</v>
      </c>
      <c r="M53" s="2727">
        <f>'Productivity Factor Calc.'!$J$43</f>
        <v>1.085</v>
      </c>
      <c r="N53" s="2728" t="str">
        <f t="shared" si="68"/>
        <v>0</v>
      </c>
      <c r="O53" s="2728">
        <f t="shared" si="69"/>
        <v>1200</v>
      </c>
      <c r="P53" s="2729" t="s">
        <v>2308</v>
      </c>
      <c r="Q53" s="2728">
        <f t="shared" si="70"/>
        <v>72</v>
      </c>
      <c r="R53" s="2726">
        <f t="shared" si="80"/>
        <v>2118.3868973841209</v>
      </c>
      <c r="S53" s="2726">
        <f t="shared" si="81"/>
        <v>43.4</v>
      </c>
      <c r="T53" s="2726">
        <f t="shared" si="82"/>
        <v>3318.3868973841209</v>
      </c>
      <c r="U53" s="2728" t="str">
        <f t="shared" si="74"/>
        <v>0</v>
      </c>
      <c r="V53" s="2730">
        <f t="shared" si="83"/>
        <v>3318.3868973841209</v>
      </c>
      <c r="W53" s="2730"/>
      <c r="X53" s="2053" t="s">
        <v>2329</v>
      </c>
      <c r="Y53" s="2701"/>
      <c r="AA53" s="2766">
        <v>832.2</v>
      </c>
    </row>
    <row r="54" spans="1:33" s="2702" customFormat="1">
      <c r="A54" s="2718">
        <f t="shared" si="9"/>
        <v>43</v>
      </c>
      <c r="B54" s="2749"/>
      <c r="C54" s="2723" t="s">
        <v>87</v>
      </c>
      <c r="D54" s="2721" t="s">
        <v>2029</v>
      </c>
      <c r="E54" s="2731">
        <v>2400</v>
      </c>
      <c r="F54" s="2722" t="s">
        <v>1123</v>
      </c>
      <c r="G54" s="2723" t="s">
        <v>1125</v>
      </c>
      <c r="H54" s="2723" t="s">
        <v>1125</v>
      </c>
      <c r="I54" s="2055">
        <v>4.79</v>
      </c>
      <c r="J54" s="2057">
        <v>5.3999999999999999E-2</v>
      </c>
      <c r="K54" s="2725">
        <f t="shared" ref="K54:K65" si="84">E_1</f>
        <v>48.810758004242423</v>
      </c>
      <c r="L54" s="2726">
        <f t="shared" ref="L54:L65" si="85">E54*J54</f>
        <v>129.6</v>
      </c>
      <c r="M54" s="2727">
        <f>'Productivity Factor Calc.'!$J$43</f>
        <v>1.085</v>
      </c>
      <c r="N54" s="2728" t="str">
        <f t="shared" ref="N54:N65" si="86">IF(G54="Owner",+I54*E54,"0")</f>
        <v>0</v>
      </c>
      <c r="O54" s="2728">
        <f t="shared" ref="O54:O65" si="87">IF(G54="Contr",+I54*E54,"0")</f>
        <v>11496</v>
      </c>
      <c r="P54" s="2729" t="s">
        <v>2309</v>
      </c>
      <c r="Q54" s="2728" t="str">
        <f t="shared" ref="Q54:Q64" si="88">IF(P54="YES",+O54*0.06,"0")</f>
        <v>0</v>
      </c>
      <c r="R54" s="2726">
        <f t="shared" ref="R54:R65" si="89">K54*L54*M54</f>
        <v>6863.5735475245519</v>
      </c>
      <c r="S54" s="2726">
        <f t="shared" ref="S54:S65" si="90">L54*M54</f>
        <v>140.61599999999999</v>
      </c>
      <c r="T54" s="2726">
        <f t="shared" ref="T54:T65" si="91">O54+R54</f>
        <v>18359.573547524553</v>
      </c>
      <c r="U54" s="2728" t="str">
        <f t="shared" ref="U54:U65" si="92">IF(G54="Sub",+E54*I54,"0")</f>
        <v>0</v>
      </c>
      <c r="V54" s="2730">
        <f t="shared" ref="V54:V65" si="93">N54+T54+U54</f>
        <v>18359.573547524553</v>
      </c>
      <c r="W54" s="2730"/>
      <c r="X54" s="2053" t="s">
        <v>2331</v>
      </c>
      <c r="Y54" s="2701"/>
      <c r="AA54" s="2056">
        <v>90000</v>
      </c>
    </row>
    <row r="55" spans="1:33" s="2702" customFormat="1">
      <c r="A55" s="2718">
        <f t="shared" si="9"/>
        <v>44</v>
      </c>
      <c r="B55" s="2749"/>
      <c r="C55" s="2723" t="s">
        <v>87</v>
      </c>
      <c r="D55" s="2721" t="s">
        <v>2030</v>
      </c>
      <c r="E55" s="2731">
        <v>40</v>
      </c>
      <c r="F55" s="2722" t="s">
        <v>1569</v>
      </c>
      <c r="G55" s="2723" t="s">
        <v>1125</v>
      </c>
      <c r="H55" s="2723" t="s">
        <v>1125</v>
      </c>
      <c r="I55" s="2055">
        <v>22.954000000000001</v>
      </c>
      <c r="J55" s="2055">
        <v>1.74</v>
      </c>
      <c r="K55" s="2725">
        <f t="shared" si="84"/>
        <v>48.810758004242423</v>
      </c>
      <c r="L55" s="2726">
        <f t="shared" si="85"/>
        <v>69.599999999999994</v>
      </c>
      <c r="M55" s="2727">
        <f>'Productivity Factor Calc.'!$J$43</f>
        <v>1.085</v>
      </c>
      <c r="N55" s="2728" t="str">
        <f t="shared" si="86"/>
        <v>0</v>
      </c>
      <c r="O55" s="2728">
        <f t="shared" si="87"/>
        <v>918.16000000000008</v>
      </c>
      <c r="P55" s="2729" t="s">
        <v>2309</v>
      </c>
      <c r="Q55" s="2728" t="str">
        <f t="shared" si="88"/>
        <v>0</v>
      </c>
      <c r="R55" s="2726">
        <f t="shared" si="89"/>
        <v>3685.9932014483702</v>
      </c>
      <c r="S55" s="2726">
        <f t="shared" si="90"/>
        <v>75.515999999999991</v>
      </c>
      <c r="T55" s="2726">
        <f t="shared" si="91"/>
        <v>4604.1532014483701</v>
      </c>
      <c r="U55" s="2728" t="str">
        <f t="shared" si="92"/>
        <v>0</v>
      </c>
      <c r="V55" s="2730">
        <f t="shared" si="93"/>
        <v>4604.1532014483701</v>
      </c>
      <c r="W55" s="2730"/>
      <c r="X55" s="2053" t="s">
        <v>2331</v>
      </c>
      <c r="Y55" s="2701"/>
      <c r="AA55" s="2056">
        <v>500</v>
      </c>
    </row>
    <row r="56" spans="1:33" s="2702" customFormat="1">
      <c r="A56" s="2718">
        <f t="shared" si="9"/>
        <v>45</v>
      </c>
      <c r="B56" s="2749"/>
      <c r="C56" s="2723" t="s">
        <v>87</v>
      </c>
      <c r="D56" s="2721" t="s">
        <v>2031</v>
      </c>
      <c r="E56" s="2731">
        <v>160</v>
      </c>
      <c r="F56" s="2722" t="s">
        <v>1569</v>
      </c>
      <c r="G56" s="2723" t="s">
        <v>1125</v>
      </c>
      <c r="H56" s="2723" t="s">
        <v>1125</v>
      </c>
      <c r="I56" s="2055">
        <v>9.75</v>
      </c>
      <c r="J56" s="2055">
        <v>1.1399999999999999</v>
      </c>
      <c r="K56" s="2725">
        <f t="shared" si="84"/>
        <v>48.810758004242423</v>
      </c>
      <c r="L56" s="2726">
        <f t="shared" si="85"/>
        <v>182.39999999999998</v>
      </c>
      <c r="M56" s="2727">
        <f>'Productivity Factor Calc.'!$J$43</f>
        <v>1.085</v>
      </c>
      <c r="N56" s="2728" t="str">
        <f t="shared" si="86"/>
        <v>0</v>
      </c>
      <c r="O56" s="2728">
        <f t="shared" si="87"/>
        <v>1560</v>
      </c>
      <c r="P56" s="2729" t="s">
        <v>2309</v>
      </c>
      <c r="Q56" s="2728" t="str">
        <f t="shared" si="88"/>
        <v>0</v>
      </c>
      <c r="R56" s="2726">
        <f t="shared" si="89"/>
        <v>9659.8442520715907</v>
      </c>
      <c r="S56" s="2726">
        <f t="shared" si="90"/>
        <v>197.90399999999997</v>
      </c>
      <c r="T56" s="2726">
        <f t="shared" si="91"/>
        <v>11219.844252071591</v>
      </c>
      <c r="U56" s="2728" t="str">
        <f t="shared" si="92"/>
        <v>0</v>
      </c>
      <c r="V56" s="2730">
        <f t="shared" si="93"/>
        <v>11219.844252071591</v>
      </c>
      <c r="W56" s="2730"/>
      <c r="X56" s="2053" t="s">
        <v>2331</v>
      </c>
      <c r="Y56" s="2701"/>
      <c r="AA56" s="2056">
        <v>3500</v>
      </c>
    </row>
    <row r="57" spans="1:33" s="2702" customFormat="1">
      <c r="A57" s="2718">
        <f t="shared" si="9"/>
        <v>46</v>
      </c>
      <c r="B57" s="2749"/>
      <c r="C57" s="2723" t="s">
        <v>87</v>
      </c>
      <c r="D57" s="2721" t="s">
        <v>2544</v>
      </c>
      <c r="E57" s="2731">
        <v>0</v>
      </c>
      <c r="F57" s="2722" t="s">
        <v>1123</v>
      </c>
      <c r="G57" s="2723" t="s">
        <v>1125</v>
      </c>
      <c r="H57" s="2723" t="s">
        <v>1125</v>
      </c>
      <c r="I57" s="2055">
        <v>8.5</v>
      </c>
      <c r="J57" s="2055">
        <v>0.3</v>
      </c>
      <c r="K57" s="2725">
        <f t="shared" si="84"/>
        <v>48.810758004242423</v>
      </c>
      <c r="L57" s="2726">
        <f t="shared" si="85"/>
        <v>0</v>
      </c>
      <c r="M57" s="2727">
        <f>'Productivity Factor Calc.'!$J$43</f>
        <v>1.085</v>
      </c>
      <c r="N57" s="2728" t="str">
        <f t="shared" si="86"/>
        <v>0</v>
      </c>
      <c r="O57" s="2728">
        <f t="shared" si="87"/>
        <v>0</v>
      </c>
      <c r="P57" s="2729" t="s">
        <v>2309</v>
      </c>
      <c r="Q57" s="2728" t="str">
        <f t="shared" si="88"/>
        <v>0</v>
      </c>
      <c r="R57" s="2726">
        <f t="shared" si="89"/>
        <v>0</v>
      </c>
      <c r="S57" s="2726">
        <f t="shared" si="90"/>
        <v>0</v>
      </c>
      <c r="T57" s="2726">
        <f t="shared" si="91"/>
        <v>0</v>
      </c>
      <c r="U57" s="2728" t="str">
        <f t="shared" si="92"/>
        <v>0</v>
      </c>
      <c r="V57" s="2730">
        <f t="shared" si="93"/>
        <v>0</v>
      </c>
      <c r="W57" s="2730"/>
      <c r="X57" s="2053" t="s">
        <v>2331</v>
      </c>
      <c r="Y57" s="2701"/>
      <c r="AA57" s="2056">
        <v>657476</v>
      </c>
    </row>
    <row r="58" spans="1:33" s="2702" customFormat="1">
      <c r="A58" s="2718">
        <f t="shared" si="9"/>
        <v>47</v>
      </c>
      <c r="B58" s="2749"/>
      <c r="C58" s="2723" t="s">
        <v>87</v>
      </c>
      <c r="D58" s="2721" t="s">
        <v>2531</v>
      </c>
      <c r="E58" s="2731">
        <v>50000</v>
      </c>
      <c r="F58" s="2722" t="s">
        <v>1123</v>
      </c>
      <c r="G58" s="2723" t="s">
        <v>1125</v>
      </c>
      <c r="H58" s="2723" t="s">
        <v>1125</v>
      </c>
      <c r="I58" s="2055">
        <v>19.600000000000001</v>
      </c>
      <c r="J58" s="2808">
        <v>0.2</v>
      </c>
      <c r="K58" s="2725">
        <f t="shared" si="84"/>
        <v>48.810758004242423</v>
      </c>
      <c r="L58" s="2726">
        <f t="shared" si="85"/>
        <v>10000</v>
      </c>
      <c r="M58" s="2727">
        <f>'Productivity Factor Calc.'!$J$43</f>
        <v>1.085</v>
      </c>
      <c r="N58" s="2728" t="str">
        <f t="shared" si="86"/>
        <v>0</v>
      </c>
      <c r="O58" s="2728">
        <f t="shared" si="87"/>
        <v>980000.00000000012</v>
      </c>
      <c r="P58" s="2729" t="s">
        <v>2309</v>
      </c>
      <c r="Q58" s="2728" t="str">
        <f t="shared" si="88"/>
        <v>0</v>
      </c>
      <c r="R58" s="2726">
        <f t="shared" si="89"/>
        <v>529596.72434603027</v>
      </c>
      <c r="S58" s="2726">
        <f t="shared" si="90"/>
        <v>10850</v>
      </c>
      <c r="T58" s="2726">
        <f t="shared" si="91"/>
        <v>1509596.7243460305</v>
      </c>
      <c r="U58" s="2728" t="str">
        <f t="shared" si="92"/>
        <v>0</v>
      </c>
      <c r="V58" s="2730">
        <f t="shared" si="93"/>
        <v>1509596.7243460305</v>
      </c>
      <c r="W58" s="2730"/>
      <c r="X58" s="2053" t="s">
        <v>2331</v>
      </c>
      <c r="Y58" s="2701"/>
      <c r="AA58" s="2056">
        <f>((800+600+250+600)*2+250*2)*4+34*100*4</f>
        <v>33600</v>
      </c>
    </row>
    <row r="59" spans="1:33" s="2702" customFormat="1">
      <c r="A59" s="2718">
        <f t="shared" si="9"/>
        <v>48</v>
      </c>
      <c r="B59" s="2749"/>
      <c r="C59" s="2723" t="s">
        <v>87</v>
      </c>
      <c r="D59" s="2721" t="s">
        <v>2532</v>
      </c>
      <c r="E59" s="2731">
        <v>60</v>
      </c>
      <c r="F59" s="2722" t="s">
        <v>1569</v>
      </c>
      <c r="G59" s="2723" t="s">
        <v>1125</v>
      </c>
      <c r="H59" s="2723" t="s">
        <v>1125</v>
      </c>
      <c r="I59" s="2055">
        <v>195</v>
      </c>
      <c r="J59" s="2055">
        <v>12</v>
      </c>
      <c r="K59" s="2725">
        <f t="shared" si="84"/>
        <v>48.810758004242423</v>
      </c>
      <c r="L59" s="2726">
        <f t="shared" si="85"/>
        <v>720</v>
      </c>
      <c r="M59" s="2727">
        <f>'Productivity Factor Calc.'!$J$43</f>
        <v>1.085</v>
      </c>
      <c r="N59" s="2728" t="str">
        <f t="shared" si="86"/>
        <v>0</v>
      </c>
      <c r="O59" s="2728">
        <f t="shared" si="87"/>
        <v>11700</v>
      </c>
      <c r="P59" s="2729" t="s">
        <v>2309</v>
      </c>
      <c r="Q59" s="2728" t="str">
        <f t="shared" si="88"/>
        <v>0</v>
      </c>
      <c r="R59" s="2726">
        <f t="shared" si="89"/>
        <v>38130.964152914181</v>
      </c>
      <c r="S59" s="2726">
        <f t="shared" si="90"/>
        <v>781.19999999999993</v>
      </c>
      <c r="T59" s="2726">
        <f t="shared" si="91"/>
        <v>49830.964152914181</v>
      </c>
      <c r="U59" s="2728" t="str">
        <f t="shared" si="92"/>
        <v>0</v>
      </c>
      <c r="V59" s="2730">
        <f t="shared" si="93"/>
        <v>49830.964152914181</v>
      </c>
      <c r="W59" s="2730"/>
      <c r="X59" s="2053" t="s">
        <v>2331</v>
      </c>
      <c r="Y59" s="2701"/>
      <c r="AA59" s="2056">
        <f>172*4</f>
        <v>688</v>
      </c>
    </row>
    <row r="60" spans="1:33" s="2702" customFormat="1">
      <c r="A60" s="2718">
        <f t="shared" si="9"/>
        <v>49</v>
      </c>
      <c r="B60" s="2749"/>
      <c r="C60" s="2723" t="s">
        <v>87</v>
      </c>
      <c r="D60" s="2721" t="s">
        <v>2536</v>
      </c>
      <c r="E60" s="2731">
        <v>124000</v>
      </c>
      <c r="F60" s="2722" t="s">
        <v>1123</v>
      </c>
      <c r="G60" s="2723" t="s">
        <v>1125</v>
      </c>
      <c r="H60" s="2723" t="s">
        <v>1125</v>
      </c>
      <c r="I60" s="2055">
        <v>6.55</v>
      </c>
      <c r="J60" s="2733">
        <v>0.15</v>
      </c>
      <c r="K60" s="2725">
        <f t="shared" si="84"/>
        <v>48.810758004242423</v>
      </c>
      <c r="L60" s="2726">
        <f t="shared" si="85"/>
        <v>18600</v>
      </c>
      <c r="M60" s="2727">
        <f>'Productivity Factor Calc.'!$J$43</f>
        <v>1.085</v>
      </c>
      <c r="N60" s="2728" t="str">
        <f t="shared" si="86"/>
        <v>0</v>
      </c>
      <c r="O60" s="2728">
        <f t="shared" si="87"/>
        <v>812200</v>
      </c>
      <c r="P60" s="2729" t="s">
        <v>2309</v>
      </c>
      <c r="Q60" s="2728" t="str">
        <f t="shared" si="88"/>
        <v>0</v>
      </c>
      <c r="R60" s="2726">
        <f t="shared" si="89"/>
        <v>985049.90728361625</v>
      </c>
      <c r="S60" s="2726">
        <f t="shared" si="90"/>
        <v>20181</v>
      </c>
      <c r="T60" s="2726">
        <f t="shared" si="91"/>
        <v>1797249.9072836163</v>
      </c>
      <c r="U60" s="2728" t="str">
        <f t="shared" si="92"/>
        <v>0</v>
      </c>
      <c r="V60" s="2730">
        <f t="shared" si="93"/>
        <v>1797249.9072836163</v>
      </c>
      <c r="W60" s="2730"/>
      <c r="X60" s="2053" t="s">
        <v>2331</v>
      </c>
      <c r="Y60" s="2701"/>
      <c r="AA60" s="2056">
        <v>1600000</v>
      </c>
    </row>
    <row r="61" spans="1:33" s="2702" customFormat="1">
      <c r="A61" s="2718">
        <f t="shared" si="9"/>
        <v>50</v>
      </c>
      <c r="B61" s="2749"/>
      <c r="C61" s="2723" t="s">
        <v>87</v>
      </c>
      <c r="D61" s="2721" t="s">
        <v>2099</v>
      </c>
      <c r="E61" s="2731">
        <v>1000</v>
      </c>
      <c r="F61" s="2722" t="s">
        <v>1123</v>
      </c>
      <c r="G61" s="2723" t="s">
        <v>1125</v>
      </c>
      <c r="H61" s="2723" t="s">
        <v>1125</v>
      </c>
      <c r="I61" s="2055">
        <v>0.27</v>
      </c>
      <c r="J61" s="2809">
        <v>1.8499999999999999E-2</v>
      </c>
      <c r="K61" s="2725">
        <f t="shared" si="84"/>
        <v>48.810758004242423</v>
      </c>
      <c r="L61" s="2726">
        <f t="shared" si="85"/>
        <v>18.5</v>
      </c>
      <c r="M61" s="2727">
        <f>'Productivity Factor Calc.'!$J$43</f>
        <v>1.085</v>
      </c>
      <c r="N61" s="2728" t="str">
        <f t="shared" si="86"/>
        <v>0</v>
      </c>
      <c r="O61" s="2728">
        <f t="shared" si="87"/>
        <v>270</v>
      </c>
      <c r="P61" s="2729" t="s">
        <v>2309</v>
      </c>
      <c r="Q61" s="2728" t="str">
        <f t="shared" si="88"/>
        <v>0</v>
      </c>
      <c r="R61" s="2726">
        <f t="shared" si="89"/>
        <v>979.75394004015595</v>
      </c>
      <c r="S61" s="2726">
        <f t="shared" si="90"/>
        <v>20.072499999999998</v>
      </c>
      <c r="T61" s="2726">
        <f t="shared" si="91"/>
        <v>1249.7539400401561</v>
      </c>
      <c r="U61" s="2728" t="str">
        <f t="shared" si="92"/>
        <v>0</v>
      </c>
      <c r="V61" s="2730">
        <f t="shared" si="93"/>
        <v>1249.7539400401561</v>
      </c>
      <c r="W61" s="2730"/>
      <c r="X61" s="2053" t="s">
        <v>2331</v>
      </c>
      <c r="Y61" s="2701"/>
      <c r="AA61" s="2056">
        <v>1700000</v>
      </c>
    </row>
    <row r="62" spans="1:33" s="2702" customFormat="1">
      <c r="A62" s="2718">
        <f t="shared" si="9"/>
        <v>51</v>
      </c>
      <c r="B62" s="2749"/>
      <c r="C62" s="2723" t="s">
        <v>87</v>
      </c>
      <c r="D62" s="2721" t="s">
        <v>505</v>
      </c>
      <c r="E62" s="2731">
        <v>15000</v>
      </c>
      <c r="F62" s="2720" t="s">
        <v>1569</v>
      </c>
      <c r="G62" s="2723" t="s">
        <v>1125</v>
      </c>
      <c r="H62" s="2723" t="s">
        <v>1125</v>
      </c>
      <c r="I62" s="2055">
        <v>0.85</v>
      </c>
      <c r="J62" s="2733">
        <v>0.3</v>
      </c>
      <c r="K62" s="2725">
        <f t="shared" si="84"/>
        <v>48.810758004242423</v>
      </c>
      <c r="L62" s="2726">
        <f t="shared" si="85"/>
        <v>4500</v>
      </c>
      <c r="M62" s="2727">
        <f>'Productivity Factor Calc.'!$J$43</f>
        <v>1.085</v>
      </c>
      <c r="N62" s="2728" t="str">
        <f t="shared" si="86"/>
        <v>0</v>
      </c>
      <c r="O62" s="2728">
        <f t="shared" si="87"/>
        <v>12750</v>
      </c>
      <c r="P62" s="2729" t="s">
        <v>2309</v>
      </c>
      <c r="Q62" s="2728" t="str">
        <f t="shared" si="88"/>
        <v>0</v>
      </c>
      <c r="R62" s="2726">
        <f t="shared" si="89"/>
        <v>238318.52595571365</v>
      </c>
      <c r="S62" s="2726">
        <f t="shared" si="90"/>
        <v>4882.5</v>
      </c>
      <c r="T62" s="2726">
        <f t="shared" si="91"/>
        <v>251068.52595571365</v>
      </c>
      <c r="U62" s="2728" t="str">
        <f t="shared" si="92"/>
        <v>0</v>
      </c>
      <c r="V62" s="2730">
        <f t="shared" si="93"/>
        <v>251068.52595571365</v>
      </c>
      <c r="W62" s="2730"/>
      <c r="X62" s="2053" t="s">
        <v>2331</v>
      </c>
      <c r="Y62" s="2701"/>
      <c r="AA62" s="2056">
        <v>32308</v>
      </c>
    </row>
    <row r="63" spans="1:33" s="2702" customFormat="1">
      <c r="A63" s="2718">
        <f t="shared" si="9"/>
        <v>52</v>
      </c>
      <c r="B63" s="2749"/>
      <c r="C63" s="2723" t="s">
        <v>87</v>
      </c>
      <c r="D63" s="2721" t="s">
        <v>906</v>
      </c>
      <c r="E63" s="2731">
        <v>4800</v>
      </c>
      <c r="F63" s="2722" t="s">
        <v>1123</v>
      </c>
      <c r="G63" s="2723" t="s">
        <v>1125</v>
      </c>
      <c r="H63" s="2723" t="s">
        <v>1125</v>
      </c>
      <c r="I63" s="2808">
        <v>0.17599999999999999</v>
      </c>
      <c r="J63" s="2733">
        <v>1.7999999999999999E-2</v>
      </c>
      <c r="K63" s="2725">
        <f t="shared" si="84"/>
        <v>48.810758004242423</v>
      </c>
      <c r="L63" s="2726">
        <f t="shared" si="85"/>
        <v>86.399999999999991</v>
      </c>
      <c r="M63" s="2727">
        <f>'Productivity Factor Calc.'!$J$43</f>
        <v>1.085</v>
      </c>
      <c r="N63" s="2728" t="str">
        <f t="shared" si="86"/>
        <v>0</v>
      </c>
      <c r="O63" s="2728">
        <f t="shared" si="87"/>
        <v>844.8</v>
      </c>
      <c r="P63" s="2729" t="s">
        <v>2308</v>
      </c>
      <c r="Q63" s="2728">
        <f t="shared" si="88"/>
        <v>50.687999999999995</v>
      </c>
      <c r="R63" s="2726">
        <f t="shared" si="89"/>
        <v>4575.7156983497007</v>
      </c>
      <c r="S63" s="2726">
        <f t="shared" si="90"/>
        <v>93.743999999999986</v>
      </c>
      <c r="T63" s="2726">
        <f t="shared" si="91"/>
        <v>5420.5156983497009</v>
      </c>
      <c r="U63" s="2728" t="str">
        <f t="shared" si="92"/>
        <v>0</v>
      </c>
      <c r="V63" s="2730">
        <f t="shared" si="93"/>
        <v>5420.5156983497009</v>
      </c>
      <c r="W63" s="2730"/>
      <c r="X63" s="2053" t="s">
        <v>2331</v>
      </c>
      <c r="Y63" s="2701"/>
      <c r="AA63" s="2056">
        <v>226136</v>
      </c>
    </row>
    <row r="64" spans="1:33" s="2702" customFormat="1">
      <c r="A64" s="2718">
        <f t="shared" si="9"/>
        <v>53</v>
      </c>
      <c r="B64" s="2749"/>
      <c r="C64" s="2723" t="s">
        <v>87</v>
      </c>
      <c r="D64" s="2721" t="s">
        <v>506</v>
      </c>
      <c r="E64" s="2731">
        <v>4</v>
      </c>
      <c r="F64" s="2722" t="s">
        <v>1569</v>
      </c>
      <c r="G64" s="2723" t="s">
        <v>1125</v>
      </c>
      <c r="H64" s="2723" t="s">
        <v>1125</v>
      </c>
      <c r="I64" s="2055">
        <v>1600</v>
      </c>
      <c r="J64" s="2806">
        <v>12</v>
      </c>
      <c r="K64" s="2725">
        <f t="shared" si="84"/>
        <v>48.810758004242423</v>
      </c>
      <c r="L64" s="2726">
        <f t="shared" si="85"/>
        <v>48</v>
      </c>
      <c r="M64" s="2727">
        <f>'Productivity Factor Calc.'!$J$43</f>
        <v>1.085</v>
      </c>
      <c r="N64" s="2728" t="str">
        <f t="shared" si="86"/>
        <v>0</v>
      </c>
      <c r="O64" s="2728">
        <f t="shared" si="87"/>
        <v>6400</v>
      </c>
      <c r="P64" s="2729" t="s">
        <v>2308</v>
      </c>
      <c r="Q64" s="2728">
        <f t="shared" si="88"/>
        <v>384</v>
      </c>
      <c r="R64" s="2726">
        <f t="shared" si="89"/>
        <v>2542.0642768609455</v>
      </c>
      <c r="S64" s="2726">
        <f t="shared" si="90"/>
        <v>52.08</v>
      </c>
      <c r="T64" s="2726">
        <f t="shared" si="91"/>
        <v>8942.064276860945</v>
      </c>
      <c r="U64" s="2728" t="str">
        <f t="shared" si="92"/>
        <v>0</v>
      </c>
      <c r="V64" s="2730">
        <f t="shared" si="93"/>
        <v>8942.064276860945</v>
      </c>
      <c r="W64" s="2730"/>
      <c r="X64" s="2053" t="s">
        <v>2331</v>
      </c>
      <c r="Y64" s="2701"/>
      <c r="AA64" s="2056">
        <v>80</v>
      </c>
    </row>
    <row r="65" spans="1:33" s="2702" customFormat="1">
      <c r="A65" s="2718">
        <f t="shared" si="9"/>
        <v>54</v>
      </c>
      <c r="B65" s="2749"/>
      <c r="C65" s="2723" t="s">
        <v>87</v>
      </c>
      <c r="D65" s="2721" t="s">
        <v>1850</v>
      </c>
      <c r="E65" s="2731">
        <v>1500</v>
      </c>
      <c r="F65" s="2722" t="s">
        <v>1569</v>
      </c>
      <c r="G65" s="2723" t="s">
        <v>1125</v>
      </c>
      <c r="H65" s="2723" t="s">
        <v>1125</v>
      </c>
      <c r="I65" s="2055"/>
      <c r="J65" s="2807">
        <v>2</v>
      </c>
      <c r="K65" s="2725">
        <f t="shared" si="84"/>
        <v>48.810758004242423</v>
      </c>
      <c r="L65" s="2726">
        <f t="shared" si="85"/>
        <v>3000</v>
      </c>
      <c r="M65" s="2727">
        <f>'Productivity Factor Calc.'!$J$43</f>
        <v>1.085</v>
      </c>
      <c r="N65" s="2728" t="str">
        <f t="shared" si="86"/>
        <v>0</v>
      </c>
      <c r="O65" s="2728">
        <f t="shared" si="87"/>
        <v>0</v>
      </c>
      <c r="P65" s="2729" t="s">
        <v>2309</v>
      </c>
      <c r="Q65" s="2728" t="str">
        <f t="shared" ref="Q65" si="94">IF(P65="YES",+O65*0.06,"0")</f>
        <v>0</v>
      </c>
      <c r="R65" s="2726">
        <f t="shared" si="89"/>
        <v>158879.01730380906</v>
      </c>
      <c r="S65" s="2726">
        <f t="shared" si="90"/>
        <v>3255</v>
      </c>
      <c r="T65" s="2726">
        <f t="shared" si="91"/>
        <v>158879.01730380906</v>
      </c>
      <c r="U65" s="2728" t="str">
        <f t="shared" si="92"/>
        <v>0</v>
      </c>
      <c r="V65" s="2730">
        <f t="shared" si="93"/>
        <v>158879.01730380906</v>
      </c>
      <c r="W65" s="2730"/>
      <c r="X65" s="2053" t="s">
        <v>2331</v>
      </c>
      <c r="Y65" s="2701"/>
      <c r="AA65" s="2056">
        <f>AA66/250</f>
        <v>0</v>
      </c>
    </row>
    <row r="66" spans="1:33" s="2702" customFormat="1" ht="16.8" thickBot="1">
      <c r="A66" s="2718">
        <f t="shared" si="9"/>
        <v>55</v>
      </c>
      <c r="B66" s="2749"/>
      <c r="C66" s="2723"/>
      <c r="D66" s="2771" t="s">
        <v>1833</v>
      </c>
      <c r="E66" s="2755">
        <f>SUM(E61,E60,E58,)</f>
        <v>175000</v>
      </c>
      <c r="F66" s="2810" t="s">
        <v>1845</v>
      </c>
      <c r="G66" s="2723"/>
      <c r="H66" s="2723"/>
      <c r="I66" s="2055"/>
      <c r="J66" s="2057"/>
      <c r="K66" s="2725"/>
      <c r="L66" s="2726"/>
      <c r="M66" s="2726"/>
      <c r="N66" s="2728"/>
      <c r="O66" s="2728"/>
      <c r="P66" s="2729"/>
      <c r="Q66" s="2728"/>
      <c r="R66" s="2726"/>
      <c r="S66" s="2726"/>
      <c r="T66" s="2726"/>
      <c r="U66" s="2726"/>
      <c r="V66" s="2730"/>
      <c r="W66" s="2730"/>
      <c r="X66" s="2053"/>
      <c r="Y66" s="2701"/>
    </row>
    <row r="67" spans="1:33" s="2703" customFormat="1">
      <c r="A67" s="2718">
        <f t="shared" si="9"/>
        <v>56</v>
      </c>
      <c r="B67" s="2738"/>
      <c r="C67" s="2739"/>
      <c r="D67" s="2789" t="s">
        <v>2517</v>
      </c>
      <c r="E67" s="2756"/>
      <c r="F67" s="2757"/>
      <c r="G67" s="2757"/>
      <c r="H67" s="2757"/>
      <c r="I67" s="2758"/>
      <c r="J67" s="2759"/>
      <c r="K67" s="2790"/>
      <c r="L67" s="2791">
        <f>SUM(L54:L66)</f>
        <v>37354.5</v>
      </c>
      <c r="M67" s="2791"/>
      <c r="N67" s="2791">
        <f>SUM(N54:N66)</f>
        <v>0</v>
      </c>
      <c r="O67" s="2791">
        <f>SUM(O54:O66)</f>
        <v>1838138.9600000002</v>
      </c>
      <c r="P67" s="2792"/>
      <c r="Q67" s="2791">
        <f t="shared" ref="Q67:V67" si="95">SUM(Q54:Q66)</f>
        <v>434.68799999999999</v>
      </c>
      <c r="R67" s="2791">
        <f t="shared" si="95"/>
        <v>1978282.083958379</v>
      </c>
      <c r="S67" s="2791">
        <f t="shared" si="95"/>
        <v>40529.6325</v>
      </c>
      <c r="T67" s="2791">
        <f t="shared" si="95"/>
        <v>3816421.0439583794</v>
      </c>
      <c r="U67" s="2791">
        <f t="shared" si="95"/>
        <v>0</v>
      </c>
      <c r="V67" s="2791">
        <f t="shared" si="95"/>
        <v>3816421.0439583794</v>
      </c>
      <c r="W67" s="2793"/>
      <c r="X67" s="2740"/>
      <c r="Y67" s="2741">
        <f>SUM(U67,T67,N67)</f>
        <v>3816421.0439583794</v>
      </c>
      <c r="Z67" s="2702"/>
      <c r="AA67" s="2702"/>
      <c r="AB67" s="2702"/>
      <c r="AC67" s="2702"/>
      <c r="AD67" s="2702"/>
      <c r="AE67" s="2702"/>
      <c r="AF67" s="2702"/>
      <c r="AG67" s="2702"/>
    </row>
    <row r="68" spans="1:33" s="2703" customFormat="1" ht="14.1" customHeight="1">
      <c r="A68" s="2718">
        <f t="shared" si="9"/>
        <v>57</v>
      </c>
      <c r="B68" s="2749"/>
      <c r="C68" s="2723"/>
      <c r="D68" s="2749"/>
      <c r="E68" s="2056"/>
      <c r="F68" s="2723"/>
      <c r="G68" s="2723"/>
      <c r="H68" s="2723"/>
      <c r="I68" s="2055"/>
      <c r="J68" s="2811"/>
      <c r="K68" s="2805"/>
      <c r="L68" s="2803"/>
      <c r="M68" s="2803"/>
      <c r="N68" s="2803"/>
      <c r="O68" s="2803"/>
      <c r="P68" s="2804"/>
      <c r="Q68" s="2803"/>
      <c r="R68" s="2803"/>
      <c r="S68" s="2727"/>
      <c r="T68" s="2803"/>
      <c r="U68" s="2803"/>
      <c r="V68" s="2773"/>
      <c r="W68" s="2773"/>
      <c r="X68" s="2740"/>
      <c r="Y68" s="2701"/>
      <c r="Z68" s="2702"/>
      <c r="AA68" s="2702"/>
      <c r="AB68" s="2702"/>
      <c r="AC68" s="2702"/>
      <c r="AD68" s="2702"/>
      <c r="AE68" s="2702"/>
      <c r="AF68" s="2702"/>
      <c r="AG68" s="2702"/>
    </row>
    <row r="69" spans="1:33" s="2703" customFormat="1">
      <c r="A69" s="2718">
        <f t="shared" si="9"/>
        <v>58</v>
      </c>
      <c r="B69" s="2749" t="s">
        <v>2505</v>
      </c>
      <c r="C69" s="2750"/>
      <c r="D69" s="2721"/>
      <c r="E69" s="2056"/>
      <c r="F69" s="2722"/>
      <c r="G69" s="2723"/>
      <c r="H69" s="2723"/>
      <c r="I69" s="2055"/>
      <c r="J69" s="2057"/>
      <c r="K69" s="2725"/>
      <c r="L69" s="2726"/>
      <c r="M69" s="2726"/>
      <c r="N69" s="2728"/>
      <c r="O69" s="2728"/>
      <c r="P69" s="2729"/>
      <c r="Q69" s="2728"/>
      <c r="R69" s="2726"/>
      <c r="S69" s="2726"/>
      <c r="T69" s="2726"/>
      <c r="U69" s="2726"/>
      <c r="V69" s="2730"/>
      <c r="W69" s="2730"/>
      <c r="X69" s="2053"/>
      <c r="Y69" s="2701"/>
      <c r="Z69" s="2702"/>
      <c r="AA69" s="2702"/>
      <c r="AB69" s="2702"/>
      <c r="AC69" s="2702"/>
      <c r="AD69" s="2702"/>
      <c r="AE69" s="2702"/>
      <c r="AF69" s="2702"/>
      <c r="AG69" s="2702"/>
    </row>
    <row r="70" spans="1:33" s="2702" customFormat="1" ht="14.1" customHeight="1">
      <c r="A70" s="2718">
        <f t="shared" si="9"/>
        <v>59</v>
      </c>
      <c r="B70" s="2719"/>
      <c r="C70" s="2720"/>
      <c r="D70" s="2772"/>
      <c r="E70" s="2056"/>
      <c r="F70" s="2722"/>
      <c r="G70" s="2723"/>
      <c r="H70" s="2723"/>
      <c r="I70" s="2055"/>
      <c r="J70" s="2787"/>
      <c r="K70" s="2725"/>
      <c r="L70" s="2726"/>
      <c r="M70" s="2727"/>
      <c r="N70" s="2728"/>
      <c r="O70" s="2728"/>
      <c r="P70" s="2729"/>
      <c r="Q70" s="2728"/>
      <c r="R70" s="2726"/>
      <c r="S70" s="2726"/>
      <c r="T70" s="2726"/>
      <c r="U70" s="2728"/>
      <c r="V70" s="2730"/>
      <c r="W70" s="2730"/>
      <c r="X70" s="2053"/>
      <c r="Y70" s="2701"/>
    </row>
    <row r="71" spans="1:33" s="2702" customFormat="1" ht="14.1" customHeight="1">
      <c r="A71" s="2718">
        <f t="shared" si="9"/>
        <v>60</v>
      </c>
      <c r="B71" s="2719"/>
      <c r="C71" s="2720" t="s">
        <v>1834</v>
      </c>
      <c r="D71" s="966" t="s">
        <v>2539</v>
      </c>
      <c r="E71" s="2056">
        <v>1</v>
      </c>
      <c r="F71" s="2722" t="s">
        <v>1037</v>
      </c>
      <c r="G71" s="2723" t="s">
        <v>1125</v>
      </c>
      <c r="H71" s="2723" t="s">
        <v>1125</v>
      </c>
      <c r="I71" s="2055">
        <v>125000</v>
      </c>
      <c r="J71" s="2787">
        <v>200</v>
      </c>
      <c r="K71" s="2725">
        <f>SStl_1</f>
        <v>57.820982666220743</v>
      </c>
      <c r="L71" s="2726">
        <f>E71*J71</f>
        <v>200</v>
      </c>
      <c r="M71" s="2727">
        <f>'Productivity Factor Calc.'!$J$43</f>
        <v>1.085</v>
      </c>
      <c r="N71" s="2728" t="str">
        <f>IF(G71="Owner",+I71*E71,"0")</f>
        <v>0</v>
      </c>
      <c r="O71" s="2728">
        <f>IF(G71="Contr",+I71*E71,"0")</f>
        <v>125000</v>
      </c>
      <c r="P71" s="2729" t="s">
        <v>2309</v>
      </c>
      <c r="Q71" s="2728" t="str">
        <f t="shared" ref="Q71" si="96">IF(P71="YES",+O71*0.06,"0")</f>
        <v>0</v>
      </c>
      <c r="R71" s="2726">
        <f t="shared" ref="R71:R72" si="97">K71*L71*M71</f>
        <v>12547.153238569901</v>
      </c>
      <c r="S71" s="2726">
        <f>L71*M71</f>
        <v>217</v>
      </c>
      <c r="T71" s="2726">
        <f t="shared" ref="T71" si="98">O71+R71</f>
        <v>137547.15323856991</v>
      </c>
      <c r="U71" s="2728"/>
      <c r="V71" s="2730">
        <f t="shared" ref="V71" si="99">N71+T71+U71</f>
        <v>137547.15323856991</v>
      </c>
      <c r="W71" s="2730"/>
      <c r="X71" s="2053" t="s">
        <v>2331</v>
      </c>
      <c r="Y71" s="2701"/>
    </row>
    <row r="72" spans="1:33" s="2702" customFormat="1" ht="14.1" customHeight="1" thickBot="1">
      <c r="A72" s="2718">
        <f t="shared" si="9"/>
        <v>61</v>
      </c>
      <c r="B72" s="2719"/>
      <c r="C72" s="2720" t="s">
        <v>1834</v>
      </c>
      <c r="D72" s="2721" t="s">
        <v>2538</v>
      </c>
      <c r="E72" s="2056">
        <v>1</v>
      </c>
      <c r="F72" s="2722" t="s">
        <v>1037</v>
      </c>
      <c r="G72" s="2723" t="s">
        <v>1125</v>
      </c>
      <c r="H72" s="2723" t="s">
        <v>1125</v>
      </c>
      <c r="I72" s="2055">
        <v>75000</v>
      </c>
      <c r="J72" s="2787">
        <v>3750</v>
      </c>
      <c r="K72" s="2725">
        <f t="shared" ref="K72" si="100">E_2</f>
        <v>49.977874366666676</v>
      </c>
      <c r="L72" s="2726">
        <v>4000</v>
      </c>
      <c r="M72" s="2727">
        <f>'Productivity Factor Calc.'!$J$43</f>
        <v>1.085</v>
      </c>
      <c r="N72" s="2728" t="str">
        <f t="shared" ref="N72" si="101">IF(G72="Owner",+I72*E72,"0")</f>
        <v>0</v>
      </c>
      <c r="O72" s="2728">
        <f t="shared" ref="O72" si="102">IF(G72="Contr",+I72*E72,"0")</f>
        <v>75000</v>
      </c>
      <c r="P72" s="2729" t="s">
        <v>2309</v>
      </c>
      <c r="Q72" s="2728" t="str">
        <f t="shared" ref="Q72" si="103">IF(P72="YES",+O72*0.06,"0")</f>
        <v>0</v>
      </c>
      <c r="R72" s="2726">
        <f t="shared" si="97"/>
        <v>216903.97475133339</v>
      </c>
      <c r="S72" s="2726">
        <f t="shared" ref="S72" si="104">L72*M72</f>
        <v>4340</v>
      </c>
      <c r="T72" s="2726">
        <f t="shared" ref="T72" si="105">O72+R72</f>
        <v>291903.97475133336</v>
      </c>
      <c r="U72" s="2728"/>
      <c r="V72" s="2730">
        <f t="shared" ref="V72" si="106">N72+T72+U72</f>
        <v>291903.97475133336</v>
      </c>
      <c r="W72" s="2730"/>
      <c r="X72" s="2053" t="s">
        <v>2331</v>
      </c>
      <c r="Y72" s="2701"/>
    </row>
    <row r="73" spans="1:33" s="2703" customFormat="1">
      <c r="A73" s="2718">
        <f t="shared" si="9"/>
        <v>62</v>
      </c>
      <c r="B73" s="2738"/>
      <c r="C73" s="2739"/>
      <c r="D73" s="2789" t="s">
        <v>2518</v>
      </c>
      <c r="E73" s="2756"/>
      <c r="F73" s="2757"/>
      <c r="G73" s="2757"/>
      <c r="H73" s="2757"/>
      <c r="I73" s="2758"/>
      <c r="J73" s="2812"/>
      <c r="K73" s="2790"/>
      <c r="L73" s="2791">
        <f>SUM(L69:L72)</f>
        <v>4200</v>
      </c>
      <c r="M73" s="2791"/>
      <c r="N73" s="2791">
        <f>SUM(N69:N72)</f>
        <v>0</v>
      </c>
      <c r="O73" s="2813">
        <f>SUM(O71:O72)</f>
        <v>200000</v>
      </c>
      <c r="P73" s="2814"/>
      <c r="Q73" s="2791">
        <f>SUM(Q72:Q72)</f>
        <v>0</v>
      </c>
      <c r="R73" s="2813">
        <f>SUM(R71:R72)</f>
        <v>229451.1279899033</v>
      </c>
      <c r="S73" s="2813">
        <f>SUM(S71:S72)</f>
        <v>4557</v>
      </c>
      <c r="T73" s="2813">
        <f>SUM(T71:T72)</f>
        <v>429451.12798990327</v>
      </c>
      <c r="U73" s="2813">
        <f>SUM(U71:U72)</f>
        <v>0</v>
      </c>
      <c r="V73" s="2813">
        <f>SUM(V71:V72)</f>
        <v>429451.12798990327</v>
      </c>
      <c r="W73" s="2793"/>
      <c r="X73" s="2740"/>
      <c r="Y73" s="2741">
        <f>SUM(U73,T73,N73)</f>
        <v>429451.12798990327</v>
      </c>
      <c r="Z73" s="2702"/>
      <c r="AA73" s="2702"/>
      <c r="AB73" s="2702"/>
      <c r="AC73" s="2702"/>
      <c r="AD73" s="2702"/>
      <c r="AE73" s="2702"/>
      <c r="AF73" s="2702"/>
      <c r="AG73" s="2702"/>
    </row>
    <row r="74" spans="1:33" s="2703" customFormat="1" ht="14.1" customHeight="1">
      <c r="A74" s="2718">
        <f t="shared" si="9"/>
        <v>63</v>
      </c>
      <c r="B74" s="2749"/>
      <c r="C74" s="2723"/>
      <c r="D74" s="2719"/>
      <c r="E74" s="2056"/>
      <c r="F74" s="2723"/>
      <c r="G74" s="2723"/>
      <c r="H74" s="2723"/>
      <c r="I74" s="2055"/>
      <c r="J74" s="2787"/>
      <c r="K74" s="2725"/>
      <c r="L74" s="2726"/>
      <c r="M74" s="2726"/>
      <c r="N74" s="2726"/>
      <c r="O74" s="2726"/>
      <c r="P74" s="2729"/>
      <c r="Q74" s="2726"/>
      <c r="R74" s="2726"/>
      <c r="S74" s="2727"/>
      <c r="T74" s="2726"/>
      <c r="U74" s="2726"/>
      <c r="V74" s="2726"/>
      <c r="W74" s="2726"/>
      <c r="X74" s="2745"/>
      <c r="Y74" s="2701"/>
      <c r="Z74" s="2702"/>
      <c r="AA74" s="2702"/>
      <c r="AB74" s="2702"/>
      <c r="AC74" s="2702"/>
      <c r="AD74" s="2702"/>
      <c r="AE74" s="2702"/>
      <c r="AF74" s="2702"/>
      <c r="AG74" s="2702"/>
    </row>
    <row r="75" spans="1:33" s="2703" customFormat="1" ht="14.1" customHeight="1">
      <c r="A75" s="2718">
        <f t="shared" si="9"/>
        <v>64</v>
      </c>
      <c r="B75" s="2743"/>
      <c r="C75" s="2744"/>
      <c r="D75" s="2802"/>
      <c r="E75" s="2742">
        <v>0</v>
      </c>
      <c r="F75" s="2744"/>
      <c r="G75" s="2744"/>
      <c r="H75" s="2744"/>
      <c r="I75" s="2751"/>
      <c r="J75" s="2799"/>
      <c r="K75" s="2815"/>
      <c r="L75" s="2816"/>
      <c r="M75" s="2816"/>
      <c r="N75" s="2816"/>
      <c r="O75" s="2816"/>
      <c r="P75" s="2817"/>
      <c r="Q75" s="2816"/>
      <c r="R75" s="2816"/>
      <c r="S75" s="2816"/>
      <c r="T75" s="2816"/>
      <c r="U75" s="2816"/>
      <c r="V75" s="2818"/>
      <c r="W75" s="2818"/>
      <c r="X75" s="2740"/>
      <c r="Y75" s="2701"/>
      <c r="Z75" s="2702"/>
      <c r="AA75" s="2702"/>
      <c r="AB75" s="2702"/>
      <c r="AC75" s="2702"/>
      <c r="AD75" s="2702"/>
      <c r="AE75" s="2702"/>
      <c r="AF75" s="2702"/>
      <c r="AG75" s="2702"/>
    </row>
    <row r="76" spans="1:33" s="2703" customFormat="1">
      <c r="A76" s="2718">
        <f t="shared" ref="A76:A139" si="107">A75+1</f>
        <v>65</v>
      </c>
      <c r="B76" s="2712"/>
      <c r="C76" s="2718"/>
      <c r="D76" s="2819" t="s">
        <v>585</v>
      </c>
      <c r="E76" s="2746"/>
      <c r="F76" s="2718"/>
      <c r="G76" s="2718"/>
      <c r="H76" s="2718"/>
      <c r="I76" s="2753"/>
      <c r="J76" s="2747"/>
      <c r="K76" s="2794"/>
      <c r="L76" s="2795">
        <f>L35+L41+L46+L67+L73</f>
        <v>63424.800000000003</v>
      </c>
      <c r="M76" s="2795"/>
      <c r="N76" s="2795">
        <f>N35+N41+N46+N67+N73</f>
        <v>0</v>
      </c>
      <c r="O76" s="2795">
        <f>O35+O41+O46+O67+O73</f>
        <v>14268063.960000001</v>
      </c>
      <c r="P76" s="2796" t="s">
        <v>305</v>
      </c>
      <c r="Q76" s="2795">
        <f t="shared" ref="Q76:V76" si="108">Q35+Q41+Q46+Q67+Q73</f>
        <v>54221.688000000002</v>
      </c>
      <c r="R76" s="2795">
        <f t="shared" si="108"/>
        <v>3274490.2662204485</v>
      </c>
      <c r="S76" s="2795">
        <f t="shared" si="108"/>
        <v>67529.347999999998</v>
      </c>
      <c r="T76" s="2795">
        <f t="shared" si="108"/>
        <v>17542554.226220451</v>
      </c>
      <c r="U76" s="2795">
        <f t="shared" si="108"/>
        <v>3265750</v>
      </c>
      <c r="V76" s="2795">
        <f t="shared" si="108"/>
        <v>20808304.226220451</v>
      </c>
      <c r="W76" s="2795"/>
      <c r="X76" s="2740"/>
      <c r="Y76" s="2741">
        <f>SUM(U76,T76,N76)</f>
        <v>20808304.226220451</v>
      </c>
      <c r="Z76" s="2702"/>
      <c r="AA76" s="2702"/>
      <c r="AB76" s="2702"/>
      <c r="AC76" s="2702"/>
      <c r="AD76" s="2702"/>
      <c r="AE76" s="2702"/>
      <c r="AF76" s="2702"/>
      <c r="AG76" s="2702"/>
    </row>
    <row r="77" spans="1:33" s="2703" customFormat="1">
      <c r="A77" s="2718">
        <f t="shared" si="107"/>
        <v>66</v>
      </c>
      <c r="B77" s="2772"/>
      <c r="C77" s="2723" t="s">
        <v>2545</v>
      </c>
      <c r="D77" s="2820" t="s">
        <v>2310</v>
      </c>
      <c r="E77" s="2774">
        <v>0.06</v>
      </c>
      <c r="F77" s="2723"/>
      <c r="G77" s="2723"/>
      <c r="H77" s="2723"/>
      <c r="I77" s="2055" t="s">
        <v>305</v>
      </c>
      <c r="J77" s="2057"/>
      <c r="K77" s="2725"/>
      <c r="L77" s="2726"/>
      <c r="M77" s="2726"/>
      <c r="N77" s="2726"/>
      <c r="O77" s="2726" t="s">
        <v>305</v>
      </c>
      <c r="P77" s="2729"/>
      <c r="Q77" s="2795">
        <f>Q35+Q67+Q73</f>
        <v>54221.688000000002</v>
      </c>
      <c r="R77" s="2726"/>
      <c r="S77" s="2726"/>
      <c r="T77" s="2726"/>
      <c r="U77" s="2795">
        <f>+Q77</f>
        <v>54221.688000000002</v>
      </c>
      <c r="V77" s="2795">
        <f>SUM(U77,O77)</f>
        <v>54221.688000000002</v>
      </c>
      <c r="W77" s="2726"/>
      <c r="X77" s="2745" t="s">
        <v>2305</v>
      </c>
      <c r="Y77" s="2701"/>
      <c r="Z77" s="2702"/>
      <c r="AA77" s="2702"/>
      <c r="AB77" s="2702"/>
      <c r="AC77" s="2702"/>
      <c r="AD77" s="2702"/>
      <c r="AE77" s="2702"/>
      <c r="AF77" s="2702"/>
      <c r="AG77" s="2702"/>
    </row>
    <row r="78" spans="1:33" s="2703" customFormat="1" ht="16.8" thickBot="1">
      <c r="A78" s="2718">
        <f t="shared" si="107"/>
        <v>67</v>
      </c>
      <c r="B78" s="2821"/>
      <c r="C78" s="2775" t="s">
        <v>305</v>
      </c>
      <c r="D78" s="2776"/>
      <c r="E78" s="2777"/>
      <c r="F78" s="2822"/>
      <c r="G78" s="2822"/>
      <c r="H78" s="2822"/>
      <c r="I78" s="2778"/>
      <c r="J78" s="2779"/>
      <c r="K78" s="2780"/>
      <c r="L78" s="2781"/>
      <c r="M78" s="2781"/>
      <c r="N78" s="2823"/>
      <c r="O78" s="2823"/>
      <c r="P78" s="2824"/>
      <c r="Q78" s="2823"/>
      <c r="R78" s="2781"/>
      <c r="S78" s="2781"/>
      <c r="T78" s="2781"/>
      <c r="U78" s="2823"/>
      <c r="V78" s="2782"/>
      <c r="W78" s="2782"/>
      <c r="X78" s="2053"/>
      <c r="Y78" s="2701"/>
      <c r="Z78" s="2702"/>
      <c r="AA78" s="2702"/>
      <c r="AB78" s="2702"/>
      <c r="AC78" s="2702"/>
      <c r="AD78" s="2702"/>
      <c r="AE78" s="2702"/>
      <c r="AF78" s="2702"/>
      <c r="AG78" s="2702"/>
    </row>
    <row r="79" spans="1:33" s="2703" customFormat="1" ht="16.8" thickTop="1">
      <c r="A79" s="2718">
        <f>A78+1</f>
        <v>68</v>
      </c>
      <c r="B79" s="2712"/>
      <c r="C79" s="2718"/>
      <c r="D79" s="2754" t="s">
        <v>1558</v>
      </c>
      <c r="E79" s="2746"/>
      <c r="F79" s="2718"/>
      <c r="G79" s="2718"/>
      <c r="H79" s="2718"/>
      <c r="I79" s="2753"/>
      <c r="J79" s="2747"/>
      <c r="K79" s="2794"/>
      <c r="L79" s="2795">
        <f>SUM(L76:L78)</f>
        <v>63424.800000000003</v>
      </c>
      <c r="M79" s="2825"/>
      <c r="N79" s="2795">
        <f>SUM(N76:N78)</f>
        <v>0</v>
      </c>
      <c r="O79" s="2795">
        <f>SUM(O76:O78)</f>
        <v>14268063.960000001</v>
      </c>
      <c r="P79" s="2796"/>
      <c r="Q79" s="2795"/>
      <c r="R79" s="2795">
        <f>SUM(R76:R78)</f>
        <v>3274490.2662204485</v>
      </c>
      <c r="S79" s="2795">
        <f>SUM(S76:S78)</f>
        <v>67529.347999999998</v>
      </c>
      <c r="T79" s="2795">
        <f>SUM(T76:T78)</f>
        <v>17542554.226220451</v>
      </c>
      <c r="U79" s="2795">
        <f>SUM(U76:U78)</f>
        <v>3319971.6880000001</v>
      </c>
      <c r="V79" s="2826">
        <f>SUM(V76:V78)</f>
        <v>20862525.914220452</v>
      </c>
      <c r="W79" s="2797"/>
      <c r="X79" s="2740"/>
      <c r="Y79" s="2783">
        <f>SUM(U79,T79,N79)</f>
        <v>20862525.914220452</v>
      </c>
      <c r="Z79" s="2702"/>
      <c r="AA79" s="2702" t="s">
        <v>2023</v>
      </c>
      <c r="AB79" s="2702"/>
      <c r="AC79" s="2702"/>
      <c r="AD79" s="2702"/>
      <c r="AE79" s="2702"/>
      <c r="AF79" s="2702"/>
      <c r="AG79" s="2702"/>
    </row>
    <row r="80" spans="1:33" s="2703" customFormat="1">
      <c r="A80" s="2718">
        <f t="shared" si="107"/>
        <v>69</v>
      </c>
      <c r="B80" s="2712"/>
      <c r="C80" s="2784"/>
      <c r="D80" s="2827"/>
      <c r="E80" s="2746"/>
      <c r="F80" s="2718"/>
      <c r="G80" s="2718"/>
      <c r="H80" s="2718"/>
      <c r="I80" s="2753"/>
      <c r="J80" s="2747"/>
      <c r="K80" s="2794"/>
      <c r="L80" s="2795"/>
      <c r="M80" s="2825"/>
      <c r="N80" s="2795"/>
      <c r="O80" s="2795"/>
      <c r="P80" s="2796"/>
      <c r="Q80" s="2795"/>
      <c r="R80" s="2795"/>
      <c r="S80" s="2795"/>
      <c r="T80" s="2795"/>
      <c r="U80" s="2795"/>
      <c r="V80" s="2826"/>
      <c r="W80" s="2797"/>
      <c r="X80" s="2740"/>
      <c r="Y80" s="2783"/>
      <c r="Z80" s="2702"/>
      <c r="AA80" s="2702"/>
      <c r="AB80" s="2702"/>
      <c r="AC80" s="2702"/>
      <c r="AD80" s="2702"/>
      <c r="AE80" s="2702"/>
      <c r="AF80" s="2702"/>
      <c r="AG80" s="2702"/>
    </row>
    <row r="81" spans="1:33" s="2703" customFormat="1">
      <c r="A81" s="2718">
        <f t="shared" si="107"/>
        <v>70</v>
      </c>
      <c r="B81" s="2749" t="s">
        <v>2021</v>
      </c>
      <c r="C81" s="2723"/>
      <c r="D81" s="2719"/>
      <c r="E81" s="2056"/>
      <c r="F81" s="2723"/>
      <c r="G81" s="2723"/>
      <c r="H81" s="2723"/>
      <c r="I81" s="2055"/>
      <c r="J81" s="2057"/>
      <c r="K81" s="2725"/>
      <c r="L81" s="2726"/>
      <c r="M81" s="2726"/>
      <c r="N81" s="2726"/>
      <c r="O81" s="2726"/>
      <c r="P81" s="2729"/>
      <c r="Q81" s="2726"/>
      <c r="R81" s="2726"/>
      <c r="S81" s="2726"/>
      <c r="T81" s="2726"/>
      <c r="U81" s="2726"/>
      <c r="V81" s="2726"/>
      <c r="W81" s="2726"/>
      <c r="X81" s="2745"/>
      <c r="Y81" s="2701"/>
      <c r="Z81" s="2702"/>
      <c r="AA81" s="2702"/>
      <c r="AB81" s="2702"/>
      <c r="AC81" s="2702"/>
      <c r="AD81" s="2702"/>
      <c r="AE81" s="2702"/>
      <c r="AF81" s="2702"/>
      <c r="AG81" s="2702"/>
    </row>
    <row r="82" spans="1:33" s="2703" customFormat="1">
      <c r="A82" s="2718">
        <f t="shared" si="107"/>
        <v>71</v>
      </c>
      <c r="B82" s="2749"/>
      <c r="C82" s="2723"/>
      <c r="D82" s="2719"/>
      <c r="E82" s="2056"/>
      <c r="F82" s="2723"/>
      <c r="G82" s="2723"/>
      <c r="H82" s="2723"/>
      <c r="I82" s="2055"/>
      <c r="J82" s="2057"/>
      <c r="K82" s="2725"/>
      <c r="L82" s="2726"/>
      <c r="M82" s="2726"/>
      <c r="N82" s="2726"/>
      <c r="O82" s="2726"/>
      <c r="P82" s="2729"/>
      <c r="Q82" s="2726"/>
      <c r="R82" s="2726"/>
      <c r="S82" s="2726"/>
      <c r="T82" s="2726"/>
      <c r="U82" s="2726"/>
      <c r="V82" s="2726"/>
      <c r="W82" s="2726"/>
      <c r="X82" s="2745"/>
      <c r="Y82" s="2701"/>
      <c r="Z82" s="2702"/>
      <c r="AA82" s="2702"/>
      <c r="AB82" s="2702"/>
      <c r="AC82" s="2702"/>
      <c r="AD82" s="2702"/>
      <c r="AE82" s="2702"/>
      <c r="AF82" s="2702"/>
      <c r="AG82" s="2702"/>
    </row>
    <row r="83" spans="1:33" s="2703" customFormat="1">
      <c r="A83" s="2718">
        <f t="shared" si="107"/>
        <v>72</v>
      </c>
      <c r="B83" s="2749"/>
      <c r="C83" s="2723" t="s">
        <v>1835</v>
      </c>
      <c r="D83" s="2721" t="s">
        <v>2535</v>
      </c>
      <c r="E83" s="3091">
        <v>0.15</v>
      </c>
      <c r="F83" s="2722" t="s">
        <v>1774</v>
      </c>
      <c r="G83" s="2723" t="s">
        <v>1125</v>
      </c>
      <c r="H83" s="2723" t="s">
        <v>1125</v>
      </c>
      <c r="I83" s="2785" t="s">
        <v>305</v>
      </c>
      <c r="J83" s="2785"/>
      <c r="K83" s="2785"/>
      <c r="L83" s="2785" t="s">
        <v>305</v>
      </c>
      <c r="M83" s="2727" t="s">
        <v>305</v>
      </c>
      <c r="N83" s="2828"/>
      <c r="O83" s="2828"/>
      <c r="P83" s="2722"/>
      <c r="Q83" s="2728"/>
      <c r="R83" s="2731" t="s">
        <v>305</v>
      </c>
      <c r="S83" s="2726" t="s">
        <v>305</v>
      </c>
      <c r="T83" s="2731" t="s">
        <v>305</v>
      </c>
      <c r="U83" s="2828">
        <f>V79*E83</f>
        <v>3129378.8871330679</v>
      </c>
      <c r="V83" s="2730">
        <f>V79*E83</f>
        <v>3129378.8871330679</v>
      </c>
      <c r="W83" s="2730"/>
      <c r="X83" s="2053" t="s">
        <v>305</v>
      </c>
      <c r="Y83" s="2701"/>
      <c r="Z83" s="2702"/>
      <c r="AA83" s="2702"/>
      <c r="AB83" s="2702"/>
      <c r="AC83" s="2702"/>
      <c r="AD83" s="2702"/>
      <c r="AE83" s="2702"/>
      <c r="AF83" s="2702"/>
      <c r="AG83" s="2702"/>
    </row>
    <row r="84" spans="1:33" ht="14.1" customHeight="1" thickBot="1">
      <c r="A84" s="2718">
        <f t="shared" si="107"/>
        <v>73</v>
      </c>
      <c r="B84" s="999"/>
      <c r="C84" s="963"/>
      <c r="D84" s="966"/>
      <c r="E84" s="1018"/>
      <c r="F84" s="968"/>
      <c r="G84" s="968"/>
      <c r="H84" s="968"/>
      <c r="I84" s="997"/>
      <c r="J84" s="993"/>
      <c r="K84" s="970"/>
      <c r="L84" s="971"/>
      <c r="M84" s="971"/>
      <c r="N84" s="971"/>
      <c r="O84" s="971"/>
      <c r="P84" s="2653"/>
      <c r="Q84" s="971"/>
      <c r="R84" s="971"/>
      <c r="S84" s="971"/>
      <c r="T84" s="971"/>
      <c r="U84" s="971"/>
      <c r="V84" s="971"/>
      <c r="W84" s="974"/>
      <c r="X84" s="975"/>
      <c r="Y84" s="729"/>
      <c r="Z84" s="716"/>
      <c r="AA84" s="716"/>
      <c r="AB84" s="716"/>
      <c r="AC84" s="716"/>
      <c r="AD84" s="716"/>
      <c r="AE84" s="716"/>
      <c r="AF84" s="716"/>
      <c r="AG84" s="716"/>
    </row>
    <row r="85" spans="1:33">
      <c r="A85" s="2718">
        <f t="shared" si="107"/>
        <v>74</v>
      </c>
      <c r="B85" s="982"/>
      <c r="C85" s="983"/>
      <c r="D85" s="1012" t="s">
        <v>2519</v>
      </c>
      <c r="E85" s="984"/>
      <c r="F85" s="985"/>
      <c r="G85" s="985"/>
      <c r="H85" s="985"/>
      <c r="I85" s="986"/>
      <c r="J85" s="987"/>
      <c r="K85" s="988"/>
      <c r="L85" s="989">
        <f>SUM(L84:L84)</f>
        <v>0</v>
      </c>
      <c r="M85" s="989"/>
      <c r="N85" s="989">
        <f>SUM(N81:N84)</f>
        <v>0</v>
      </c>
      <c r="O85" s="989">
        <f>SUM(O81:O84)</f>
        <v>0</v>
      </c>
      <c r="P85" s="2658"/>
      <c r="Q85" s="989"/>
      <c r="R85" s="989">
        <f>SUM(R81:R84)</f>
        <v>0</v>
      </c>
      <c r="S85" s="989">
        <f>SUM(S81:S84)</f>
        <v>0</v>
      </c>
      <c r="T85" s="989">
        <f>SUM(T81:T84)</f>
        <v>0</v>
      </c>
      <c r="U85" s="989">
        <f>SUM(U81:U84)</f>
        <v>3129378.8871330679</v>
      </c>
      <c r="V85" s="1014">
        <f>SUM(V83:V84)</f>
        <v>3129378.8871330679</v>
      </c>
      <c r="W85" s="990"/>
      <c r="X85" s="991"/>
      <c r="Y85" s="796">
        <f>SUM(U85,T85,N85)</f>
        <v>3129378.8871330679</v>
      </c>
      <c r="Z85" s="716"/>
      <c r="AA85" s="716"/>
      <c r="AB85" s="716"/>
      <c r="AC85" s="716"/>
      <c r="AD85" s="716"/>
      <c r="AE85" s="716"/>
      <c r="AF85" s="716"/>
      <c r="AG85" s="716"/>
    </row>
    <row r="86" spans="1:33" ht="14.1" customHeight="1">
      <c r="A86" s="2718">
        <f t="shared" si="107"/>
        <v>75</v>
      </c>
      <c r="B86" s="999"/>
      <c r="C86" s="963"/>
      <c r="D86" s="1019"/>
      <c r="E86" s="1018"/>
      <c r="F86" s="968"/>
      <c r="G86" s="968"/>
      <c r="H86" s="968"/>
      <c r="I86" s="997"/>
      <c r="J86" s="993"/>
      <c r="K86" s="970"/>
      <c r="L86" s="971"/>
      <c r="M86" s="971"/>
      <c r="N86" s="1005"/>
      <c r="O86" s="1005"/>
      <c r="P86" s="2660"/>
      <c r="Q86" s="1005"/>
      <c r="R86" s="1005"/>
      <c r="S86" s="1005"/>
      <c r="T86" s="1005"/>
      <c r="U86" s="1005"/>
      <c r="V86" s="1006"/>
      <c r="W86" s="1006"/>
      <c r="X86" s="991"/>
      <c r="Y86" s="729"/>
      <c r="Z86" s="716"/>
      <c r="AA86" s="716"/>
      <c r="AB86" s="716"/>
      <c r="AC86" s="716"/>
      <c r="AD86" s="716"/>
      <c r="AE86" s="716"/>
      <c r="AF86" s="716"/>
      <c r="AG86" s="716"/>
    </row>
    <row r="87" spans="1:33" ht="14.1" customHeight="1">
      <c r="A87" s="2718">
        <f t="shared" si="107"/>
        <v>76</v>
      </c>
      <c r="B87" s="999"/>
      <c r="C87" s="963"/>
      <c r="D87" s="1019" t="s">
        <v>1103</v>
      </c>
      <c r="E87" s="1018"/>
      <c r="F87" s="968"/>
      <c r="G87" s="968"/>
      <c r="H87" s="968"/>
      <c r="I87" s="997"/>
      <c r="J87" s="993"/>
      <c r="K87" s="970"/>
      <c r="L87" s="1005">
        <f>SUM(L85,L80,L79)</f>
        <v>63424.800000000003</v>
      </c>
      <c r="M87" s="1005"/>
      <c r="N87" s="1005">
        <f>N85+N79</f>
        <v>0</v>
      </c>
      <c r="O87" s="1005">
        <f>O85+O79</f>
        <v>14268063.960000001</v>
      </c>
      <c r="P87" s="2660"/>
      <c r="Q87" s="1005"/>
      <c r="R87" s="1005">
        <f>R85+R79</f>
        <v>3274490.2662204485</v>
      </c>
      <c r="S87" s="1005">
        <f>SUM(S85,S80,S79)</f>
        <v>67529.347999999998</v>
      </c>
      <c r="T87" s="1005">
        <f>T85+T79</f>
        <v>17542554.226220451</v>
      </c>
      <c r="U87" s="1005">
        <f>U85+U79</f>
        <v>6449350.5751330685</v>
      </c>
      <c r="V87" s="1005">
        <f>V85+V79</f>
        <v>23991904.801353522</v>
      </c>
      <c r="W87" s="1006"/>
      <c r="X87" s="991" t="s">
        <v>305</v>
      </c>
      <c r="Y87" s="796">
        <f>SUM(U87,T87,N87)</f>
        <v>23991904.801353522</v>
      </c>
      <c r="Z87" s="716"/>
      <c r="AA87" s="716"/>
      <c r="AB87" s="716"/>
      <c r="AC87" s="716"/>
      <c r="AD87" s="716"/>
      <c r="AE87" s="716"/>
      <c r="AF87" s="716"/>
      <c r="AG87" s="716"/>
    </row>
    <row r="88" spans="1:33" ht="14.1" customHeight="1">
      <c r="A88" s="2718">
        <f t="shared" si="107"/>
        <v>77</v>
      </c>
      <c r="B88" s="999"/>
      <c r="C88" s="963"/>
      <c r="D88" s="1019" t="s">
        <v>305</v>
      </c>
      <c r="E88" s="1018"/>
      <c r="F88" s="968"/>
      <c r="G88" s="968"/>
      <c r="H88" s="968"/>
      <c r="I88" s="997"/>
      <c r="J88" s="993"/>
      <c r="K88" s="970"/>
      <c r="L88" s="971"/>
      <c r="M88" s="971"/>
      <c r="N88" s="1005"/>
      <c r="O88" s="1005"/>
      <c r="P88" s="2660"/>
      <c r="Q88" s="1005"/>
      <c r="R88" s="1005"/>
      <c r="S88" s="1005"/>
      <c r="T88" s="1005"/>
      <c r="U88" s="1005"/>
      <c r="V88" s="1006"/>
      <c r="W88" s="1006"/>
      <c r="X88" s="991"/>
      <c r="Y88" s="729"/>
      <c r="Z88" s="716"/>
      <c r="AA88" s="716"/>
      <c r="AB88" s="716"/>
      <c r="AC88" s="716"/>
      <c r="AD88" s="716"/>
      <c r="AE88" s="716"/>
      <c r="AF88" s="716"/>
      <c r="AG88" s="716"/>
    </row>
    <row r="89" spans="1:33">
      <c r="A89" s="2718">
        <f t="shared" si="107"/>
        <v>78</v>
      </c>
      <c r="B89" s="999" t="s">
        <v>1416</v>
      </c>
      <c r="C89" s="1020"/>
      <c r="D89" s="1021"/>
      <c r="E89" s="967"/>
      <c r="F89" s="969"/>
      <c r="G89" s="969"/>
      <c r="H89" s="969"/>
      <c r="I89" s="997"/>
      <c r="J89" s="993"/>
      <c r="K89" s="970"/>
      <c r="L89" s="971"/>
      <c r="M89" s="971"/>
      <c r="N89" s="971"/>
      <c r="O89" s="971"/>
      <c r="P89" s="2653"/>
      <c r="Q89" s="971"/>
      <c r="R89" s="971"/>
      <c r="S89" s="971"/>
      <c r="T89" s="971"/>
      <c r="U89" s="971"/>
      <c r="V89" s="971"/>
      <c r="W89" s="971"/>
      <c r="X89" s="981"/>
      <c r="Y89" s="729"/>
      <c r="Z89" s="716"/>
      <c r="AA89" s="716"/>
      <c r="AB89" s="716"/>
      <c r="AC89" s="716"/>
      <c r="AD89" s="716"/>
      <c r="AE89" s="716"/>
      <c r="AF89" s="716"/>
      <c r="AG89" s="716"/>
    </row>
    <row r="90" spans="1:33">
      <c r="A90" s="2718">
        <f t="shared" si="107"/>
        <v>79</v>
      </c>
      <c r="B90" s="999"/>
      <c r="C90" s="1020"/>
      <c r="D90" s="1021"/>
      <c r="E90" s="967"/>
      <c r="F90" s="969"/>
      <c r="G90" s="969"/>
      <c r="H90" s="969"/>
      <c r="I90" s="997"/>
      <c r="J90" s="993"/>
      <c r="K90" s="970"/>
      <c r="L90" s="971"/>
      <c r="M90" s="971"/>
      <c r="N90" s="971"/>
      <c r="O90" s="971"/>
      <c r="P90" s="2653"/>
      <c r="Q90" s="971"/>
      <c r="R90" s="971"/>
      <c r="S90" s="971"/>
      <c r="T90" s="971"/>
      <c r="U90" s="971"/>
      <c r="V90" s="971"/>
      <c r="W90" s="971"/>
      <c r="X90" s="981"/>
      <c r="Y90" s="729"/>
      <c r="Z90" s="716"/>
      <c r="AA90" s="716"/>
      <c r="AB90" s="716"/>
      <c r="AC90" s="716"/>
      <c r="AD90" s="716"/>
      <c r="AE90" s="716"/>
      <c r="AF90" s="716"/>
      <c r="AG90" s="716"/>
    </row>
    <row r="91" spans="1:33" ht="14.1" customHeight="1">
      <c r="A91" s="2718">
        <f t="shared" si="107"/>
        <v>80</v>
      </c>
      <c r="B91" s="999"/>
      <c r="C91" s="964" t="s">
        <v>404</v>
      </c>
      <c r="D91" s="1022" t="s">
        <v>1904</v>
      </c>
      <c r="E91" s="967">
        <v>1</v>
      </c>
      <c r="F91" s="968" t="s">
        <v>1127</v>
      </c>
      <c r="G91" s="969" t="s">
        <v>1125</v>
      </c>
      <c r="H91" s="1023">
        <v>0.09</v>
      </c>
      <c r="I91" s="1015">
        <f>SUM($V$87)*H91</f>
        <v>2159271.432121817</v>
      </c>
      <c r="J91" s="1015"/>
      <c r="K91" s="1017"/>
      <c r="L91" s="1017"/>
      <c r="M91" s="971"/>
      <c r="N91" s="1016"/>
      <c r="O91" s="1016"/>
      <c r="P91" s="968"/>
      <c r="Q91" s="1016"/>
      <c r="R91" s="1017"/>
      <c r="S91" s="1017"/>
      <c r="T91" s="1017">
        <f>O91+R91</f>
        <v>0</v>
      </c>
      <c r="U91" s="1016">
        <f>IF(G91="Contr",+E91*I91,"0")</f>
        <v>2159271.432121817</v>
      </c>
      <c r="V91" s="974">
        <f>N91+T91+U91</f>
        <v>2159271.432121817</v>
      </c>
      <c r="W91" s="974"/>
      <c r="X91" s="2053" t="s">
        <v>2527</v>
      </c>
      <c r="Y91" s="729"/>
      <c r="Z91" s="716"/>
      <c r="AA91" s="716"/>
      <c r="AB91" s="716"/>
      <c r="AC91" s="716"/>
      <c r="AD91" s="716"/>
      <c r="AE91" s="716"/>
      <c r="AF91" s="716"/>
      <c r="AG91" s="716"/>
    </row>
    <row r="92" spans="1:33" ht="14.1" customHeight="1">
      <c r="A92" s="2718">
        <f t="shared" si="107"/>
        <v>81</v>
      </c>
      <c r="B92" s="999"/>
      <c r="C92" s="964" t="s">
        <v>404</v>
      </c>
      <c r="D92" s="1022" t="s">
        <v>2525</v>
      </c>
      <c r="E92" s="967">
        <v>1</v>
      </c>
      <c r="F92" s="968" t="s">
        <v>1127</v>
      </c>
      <c r="G92" s="969" t="s">
        <v>1125</v>
      </c>
      <c r="H92" s="1023" t="s">
        <v>305</v>
      </c>
      <c r="I92" s="1015">
        <v>150000</v>
      </c>
      <c r="J92" s="1015"/>
      <c r="K92" s="1017"/>
      <c r="L92" s="1017"/>
      <c r="M92" s="971"/>
      <c r="N92" s="1016"/>
      <c r="O92" s="1016"/>
      <c r="P92" s="968"/>
      <c r="Q92" s="1016"/>
      <c r="R92" s="1017"/>
      <c r="S92" s="1017"/>
      <c r="T92" s="1017">
        <f>O92+R92</f>
        <v>0</v>
      </c>
      <c r="U92" s="1016">
        <f>IF(G92="Contr",+E92*I92,"0")</f>
        <v>150000</v>
      </c>
      <c r="V92" s="974">
        <f>N92+T92+U92</f>
        <v>150000</v>
      </c>
      <c r="W92" s="974"/>
      <c r="X92" s="975" t="s">
        <v>2526</v>
      </c>
      <c r="Y92" s="729"/>
      <c r="Z92" s="716"/>
      <c r="AA92" s="716"/>
      <c r="AB92" s="716"/>
      <c r="AC92" s="716"/>
      <c r="AD92" s="716"/>
      <c r="AE92" s="716"/>
      <c r="AF92" s="716"/>
      <c r="AG92" s="716"/>
    </row>
    <row r="93" spans="1:33" ht="14.1" customHeight="1">
      <c r="A93" s="2718">
        <f t="shared" si="107"/>
        <v>82</v>
      </c>
      <c r="B93" s="999"/>
      <c r="C93" s="964"/>
      <c r="D93" s="1024"/>
      <c r="E93" s="967"/>
      <c r="F93" s="968"/>
      <c r="G93" s="968"/>
      <c r="H93" s="968"/>
      <c r="I93" s="1015"/>
      <c r="J93" s="1015"/>
      <c r="K93" s="1017"/>
      <c r="L93" s="1017"/>
      <c r="M93" s="971"/>
      <c r="N93" s="1016"/>
      <c r="O93" s="1016"/>
      <c r="P93" s="968"/>
      <c r="Q93" s="1016"/>
      <c r="R93" s="1017"/>
      <c r="S93" s="1017"/>
      <c r="T93" s="1017"/>
      <c r="U93" s="1016"/>
      <c r="V93" s="974"/>
      <c r="W93" s="974"/>
      <c r="X93" s="975"/>
      <c r="Y93" s="729"/>
      <c r="Z93" s="716"/>
      <c r="AA93" s="716"/>
      <c r="AB93" s="716"/>
      <c r="AC93" s="716"/>
      <c r="AD93" s="716"/>
      <c r="AE93" s="716"/>
      <c r="AF93" s="716"/>
      <c r="AG93" s="716"/>
    </row>
    <row r="94" spans="1:33" ht="14.1" customHeight="1" thickBot="1">
      <c r="A94" s="2718">
        <f t="shared" si="107"/>
        <v>83</v>
      </c>
      <c r="B94" s="955"/>
      <c r="C94" s="962"/>
      <c r="D94" s="1025"/>
      <c r="E94" s="994"/>
      <c r="F94" s="995"/>
      <c r="G94" s="995"/>
      <c r="H94" s="995"/>
      <c r="I94" s="998"/>
      <c r="J94" s="996"/>
      <c r="K94" s="958"/>
      <c r="L94" s="959"/>
      <c r="M94" s="959"/>
      <c r="N94" s="960"/>
      <c r="O94" s="960"/>
      <c r="P94" s="2657"/>
      <c r="Q94" s="960"/>
      <c r="R94" s="959"/>
      <c r="S94" s="959"/>
      <c r="T94" s="959"/>
      <c r="U94" s="960"/>
      <c r="V94" s="961"/>
      <c r="W94" s="974"/>
      <c r="X94" s="975"/>
      <c r="Y94" s="729"/>
      <c r="Z94" s="716"/>
      <c r="AA94" s="716"/>
      <c r="AB94" s="716"/>
      <c r="AC94" s="716"/>
      <c r="AD94" s="716"/>
      <c r="AE94" s="716"/>
      <c r="AF94" s="716"/>
      <c r="AG94" s="716"/>
    </row>
    <row r="95" spans="1:33" ht="14.1" customHeight="1">
      <c r="A95" s="2718">
        <f t="shared" si="107"/>
        <v>84</v>
      </c>
      <c r="B95" s="1009"/>
      <c r="C95" s="1026"/>
      <c r="D95" s="1027" t="s">
        <v>1905</v>
      </c>
      <c r="E95" s="1028"/>
      <c r="F95" s="1029"/>
      <c r="G95" s="1029"/>
      <c r="H95" s="1029"/>
      <c r="I95" s="1030"/>
      <c r="J95" s="1031"/>
      <c r="K95" s="1032"/>
      <c r="L95" s="1033"/>
      <c r="M95" s="1033"/>
      <c r="N95" s="1034">
        <f t="shared" ref="N95:V95" si="109">SUM(N91:N93)</f>
        <v>0</v>
      </c>
      <c r="O95" s="1034">
        <f t="shared" si="109"/>
        <v>0</v>
      </c>
      <c r="P95" s="2661"/>
      <c r="Q95" s="1034"/>
      <c r="R95" s="1034">
        <f t="shared" si="109"/>
        <v>0</v>
      </c>
      <c r="S95" s="1034">
        <f t="shared" si="109"/>
        <v>0</v>
      </c>
      <c r="T95" s="1034">
        <f t="shared" si="109"/>
        <v>0</v>
      </c>
      <c r="U95" s="1034">
        <f t="shared" si="109"/>
        <v>2309271.432121817</v>
      </c>
      <c r="V95" s="1035">
        <f t="shared" si="109"/>
        <v>2309271.432121817</v>
      </c>
      <c r="W95" s="974"/>
      <c r="X95" s="975"/>
      <c r="Y95" s="796">
        <f>SUM(U95,T95,N95)</f>
        <v>2309271.432121817</v>
      </c>
      <c r="Z95" s="716"/>
      <c r="AA95" s="716"/>
      <c r="AB95" s="716"/>
      <c r="AC95" s="716"/>
      <c r="AD95" s="716"/>
      <c r="AE95" s="716"/>
      <c r="AF95" s="716"/>
      <c r="AG95" s="716"/>
    </row>
    <row r="96" spans="1:33" ht="14.1" customHeight="1">
      <c r="A96" s="2718">
        <f t="shared" si="107"/>
        <v>85</v>
      </c>
      <c r="B96" s="1010"/>
      <c r="C96" s="962"/>
      <c r="D96" s="1036"/>
      <c r="E96" s="1037"/>
      <c r="F96" s="1038"/>
      <c r="G96" s="1038"/>
      <c r="H96" s="1038"/>
      <c r="I96" s="998"/>
      <c r="J96" s="1039"/>
      <c r="K96" s="958"/>
      <c r="L96" s="959"/>
      <c r="M96" s="959"/>
      <c r="N96" s="1040"/>
      <c r="O96" s="1040"/>
      <c r="P96" s="2662"/>
      <c r="Q96" s="1040"/>
      <c r="R96" s="1040"/>
      <c r="S96" s="1040"/>
      <c r="T96" s="1040"/>
      <c r="U96" s="1040"/>
      <c r="V96" s="1040"/>
      <c r="W96" s="974"/>
      <c r="X96" s="975"/>
      <c r="Y96" s="796"/>
      <c r="Z96" s="716"/>
      <c r="AA96" s="716"/>
      <c r="AB96" s="716"/>
      <c r="AC96" s="716"/>
      <c r="AD96" s="716"/>
      <c r="AE96" s="716"/>
      <c r="AF96" s="716"/>
      <c r="AG96" s="716"/>
    </row>
    <row r="97" spans="1:33" ht="14.1" customHeight="1">
      <c r="A97" s="2718">
        <f t="shared" si="107"/>
        <v>86</v>
      </c>
      <c r="B97" s="1010"/>
      <c r="C97" s="964" t="s">
        <v>405</v>
      </c>
      <c r="D97" s="1022" t="s">
        <v>1479</v>
      </c>
      <c r="E97" s="1041"/>
      <c r="F97" s="1038"/>
      <c r="G97" s="968"/>
      <c r="H97" s="1038"/>
      <c r="I97" s="998"/>
      <c r="J97" s="1039"/>
      <c r="K97" s="958"/>
      <c r="L97" s="959"/>
      <c r="M97" s="959"/>
      <c r="N97" s="1040"/>
      <c r="O97" s="1040"/>
      <c r="P97" s="2662"/>
      <c r="Q97" s="1040"/>
      <c r="R97" s="1040"/>
      <c r="S97" s="1040"/>
      <c r="T97" s="1040"/>
      <c r="U97" s="1040"/>
      <c r="V97" s="1040"/>
      <c r="W97" s="974"/>
      <c r="X97" s="975"/>
      <c r="Y97" s="729"/>
      <c r="Z97" s="716"/>
      <c r="AA97" s="716"/>
      <c r="AB97" s="716"/>
      <c r="AC97" s="716"/>
      <c r="AD97" s="716"/>
      <c r="AE97" s="716"/>
      <c r="AF97" s="716"/>
      <c r="AG97" s="716"/>
    </row>
    <row r="98" spans="1:33" ht="14.1" customHeight="1">
      <c r="A98" s="2718">
        <f t="shared" si="107"/>
        <v>87</v>
      </c>
      <c r="B98" s="1010"/>
      <c r="C98" s="964"/>
      <c r="D98" s="1022"/>
      <c r="E98" s="1041"/>
      <c r="F98" s="1038"/>
      <c r="G98" s="968"/>
      <c r="H98" s="1038"/>
      <c r="I98" s="998"/>
      <c r="J98" s="1039"/>
      <c r="K98" s="958"/>
      <c r="L98" s="959"/>
      <c r="M98" s="959"/>
      <c r="N98" s="1040"/>
      <c r="O98" s="1040"/>
      <c r="P98" s="2662"/>
      <c r="Q98" s="1040"/>
      <c r="R98" s="1040"/>
      <c r="S98" s="1040"/>
      <c r="T98" s="1040"/>
      <c r="U98" s="1040"/>
      <c r="V98" s="1040"/>
      <c r="W98" s="974"/>
      <c r="X98" s="975"/>
      <c r="Y98" s="729"/>
      <c r="Z98" s="716"/>
      <c r="AA98" s="716"/>
      <c r="AB98" s="716"/>
      <c r="AC98" s="716"/>
      <c r="AD98" s="716"/>
      <c r="AE98" s="716"/>
      <c r="AF98" s="716"/>
      <c r="AG98" s="716"/>
    </row>
    <row r="99" spans="1:33" ht="14.1" customHeight="1">
      <c r="A99" s="2718">
        <f t="shared" si="107"/>
        <v>88</v>
      </c>
      <c r="B99" s="999"/>
      <c r="C99" s="964" t="s">
        <v>405</v>
      </c>
      <c r="D99" s="1042" t="s">
        <v>66</v>
      </c>
      <c r="E99" s="1000">
        <v>1</v>
      </c>
      <c r="F99" s="968" t="s">
        <v>1127</v>
      </c>
      <c r="G99" s="969" t="s">
        <v>1125</v>
      </c>
      <c r="H99" s="1043">
        <v>5.0000000000000001E-3</v>
      </c>
      <c r="I99" s="1011">
        <f>SUM($V$87)*H99</f>
        <v>119959.52400676761</v>
      </c>
      <c r="J99" s="1007"/>
      <c r="K99" s="970"/>
      <c r="L99" s="971"/>
      <c r="M99" s="971"/>
      <c r="N99" s="973"/>
      <c r="O99" s="973"/>
      <c r="P99" s="992"/>
      <c r="Q99" s="973"/>
      <c r="R99" s="971"/>
      <c r="S99" s="971"/>
      <c r="T99" s="971"/>
      <c r="U99" s="1016">
        <f>IF(G99="Contr",+E99*I99,"0")</f>
        <v>119959.52400676761</v>
      </c>
      <c r="V99" s="974">
        <f>N99+T99+U99</f>
        <v>119959.52400676761</v>
      </c>
      <c r="W99" s="974"/>
      <c r="X99" s="2053" t="s">
        <v>2477</v>
      </c>
      <c r="Y99" s="729"/>
      <c r="Z99" s="716"/>
      <c r="AA99" s="716"/>
      <c r="AB99" s="716"/>
      <c r="AC99" s="716"/>
      <c r="AD99" s="716"/>
      <c r="AE99" s="716"/>
      <c r="AF99" s="716"/>
      <c r="AG99" s="716"/>
    </row>
    <row r="100" spans="1:33" ht="14.1" customHeight="1">
      <c r="A100" s="2718">
        <f t="shared" si="107"/>
        <v>89</v>
      </c>
      <c r="B100" s="999"/>
      <c r="C100" s="964" t="s">
        <v>405</v>
      </c>
      <c r="D100" s="1022" t="s">
        <v>144</v>
      </c>
      <c r="E100" s="1000">
        <v>1</v>
      </c>
      <c r="F100" s="968" t="s">
        <v>1127</v>
      </c>
      <c r="G100" s="969" t="s">
        <v>1125</v>
      </c>
      <c r="H100" s="1043">
        <v>5.0000000000000001E-3</v>
      </c>
      <c r="I100" s="1011">
        <f>SUM($V$87)*H100</f>
        <v>119959.52400676761</v>
      </c>
      <c r="J100" s="993"/>
      <c r="K100" s="970"/>
      <c r="L100" s="971"/>
      <c r="M100" s="971"/>
      <c r="N100" s="973"/>
      <c r="O100" s="973"/>
      <c r="P100" s="992"/>
      <c r="Q100" s="973"/>
      <c r="R100" s="971"/>
      <c r="S100" s="971"/>
      <c r="T100" s="971">
        <f>O100+R100</f>
        <v>0</v>
      </c>
      <c r="U100" s="1016">
        <f>IF(G100="Contr",+E100*I100,"0")</f>
        <v>119959.52400676761</v>
      </c>
      <c r="V100" s="974">
        <f>N100+T100+U100</f>
        <v>119959.52400676761</v>
      </c>
      <c r="W100" s="974"/>
      <c r="X100" s="975" t="s">
        <v>1870</v>
      </c>
      <c r="Y100" s="729"/>
      <c r="Z100" s="716"/>
      <c r="AA100" s="716"/>
      <c r="AB100" s="716"/>
      <c r="AC100" s="716"/>
      <c r="AD100" s="716"/>
      <c r="AE100" s="716"/>
      <c r="AF100" s="716"/>
      <c r="AG100" s="716"/>
    </row>
    <row r="101" spans="1:33" ht="14.1" customHeight="1">
      <c r="A101" s="2718">
        <f t="shared" si="107"/>
        <v>90</v>
      </c>
      <c r="B101" s="999"/>
      <c r="C101" s="964" t="s">
        <v>405</v>
      </c>
      <c r="D101" s="1022" t="s">
        <v>955</v>
      </c>
      <c r="E101" s="967">
        <v>1</v>
      </c>
      <c r="F101" s="968" t="s">
        <v>1127</v>
      </c>
      <c r="G101" s="969" t="s">
        <v>1125</v>
      </c>
      <c r="H101" s="968"/>
      <c r="I101" s="1011">
        <v>50000</v>
      </c>
      <c r="J101" s="993"/>
      <c r="K101" s="970"/>
      <c r="L101" s="971"/>
      <c r="M101" s="971"/>
      <c r="N101" s="973"/>
      <c r="O101" s="973"/>
      <c r="P101" s="992"/>
      <c r="Q101" s="973"/>
      <c r="R101" s="971"/>
      <c r="S101" s="971"/>
      <c r="T101" s="971">
        <f>O101+R101</f>
        <v>0</v>
      </c>
      <c r="U101" s="1016">
        <f>IF(G101="Contr",+E101*I101,"0")</f>
        <v>50000</v>
      </c>
      <c r="V101" s="974">
        <f>N101+T101+U101</f>
        <v>50000</v>
      </c>
      <c r="W101" s="974"/>
      <c r="X101" s="975" t="s">
        <v>1870</v>
      </c>
      <c r="Y101" s="729"/>
      <c r="Z101" s="716"/>
      <c r="AA101" s="716"/>
      <c r="AB101" s="716"/>
      <c r="AC101" s="716"/>
      <c r="AD101" s="716"/>
      <c r="AE101" s="716"/>
      <c r="AF101" s="716"/>
      <c r="AG101" s="716"/>
    </row>
    <row r="102" spans="1:33" ht="14.1" customHeight="1" thickBot="1">
      <c r="A102" s="2718">
        <f t="shared" si="107"/>
        <v>91</v>
      </c>
      <c r="B102" s="1004"/>
      <c r="C102" s="977"/>
      <c r="D102" s="976"/>
      <c r="E102" s="1044"/>
      <c r="F102" s="1045"/>
      <c r="G102" s="1045"/>
      <c r="H102" s="1045"/>
      <c r="I102" s="1046"/>
      <c r="J102" s="1047"/>
      <c r="K102" s="979"/>
      <c r="L102" s="980"/>
      <c r="M102" s="980"/>
      <c r="N102" s="1002"/>
      <c r="O102" s="1002"/>
      <c r="P102" s="2659"/>
      <c r="Q102" s="1002"/>
      <c r="R102" s="980"/>
      <c r="S102" s="980"/>
      <c r="T102" s="980"/>
      <c r="U102" s="1002"/>
      <c r="V102" s="1003"/>
      <c r="W102" s="974"/>
      <c r="X102" s="975"/>
      <c r="Y102" s="729"/>
      <c r="Z102" s="716"/>
      <c r="AA102" s="716"/>
      <c r="AB102" s="716"/>
      <c r="AC102" s="716"/>
      <c r="AD102" s="716"/>
      <c r="AE102" s="716"/>
      <c r="AF102" s="716"/>
      <c r="AG102" s="716"/>
    </row>
    <row r="103" spans="1:33" ht="14.1" customHeight="1">
      <c r="A103" s="2718">
        <f t="shared" si="107"/>
        <v>92</v>
      </c>
      <c r="B103" s="1012"/>
      <c r="C103" s="983"/>
      <c r="D103" s="1048" t="s">
        <v>516</v>
      </c>
      <c r="E103" s="1049"/>
      <c r="F103" s="1050"/>
      <c r="G103" s="1050"/>
      <c r="H103" s="1050"/>
      <c r="I103" s="1051"/>
      <c r="J103" s="1031"/>
      <c r="K103" s="1032"/>
      <c r="L103" s="1033"/>
      <c r="M103" s="1033"/>
      <c r="N103" s="1052">
        <f>SUM(N100:N102)</f>
        <v>0</v>
      </c>
      <c r="O103" s="1052">
        <f>SUM(O100:O102)</f>
        <v>0</v>
      </c>
      <c r="P103" s="2658"/>
      <c r="Q103" s="1052"/>
      <c r="R103" s="1052">
        <f>SUM(R100:R102)</f>
        <v>0</v>
      </c>
      <c r="S103" s="1052">
        <f>SUM(S100:S102)</f>
        <v>0</v>
      </c>
      <c r="T103" s="1052">
        <f>SUM(T100:T102)</f>
        <v>0</v>
      </c>
      <c r="U103" s="1052">
        <f>SUM(U99:U102)</f>
        <v>289919.04801353521</v>
      </c>
      <c r="V103" s="1053">
        <f>SUM(V99:V102)</f>
        <v>289919.04801353521</v>
      </c>
      <c r="W103" s="974"/>
      <c r="X103" s="975"/>
      <c r="Y103" s="796">
        <f>SUM(U103,T103,N103)</f>
        <v>289919.04801353521</v>
      </c>
      <c r="Z103" s="716"/>
      <c r="AA103" s="716"/>
      <c r="AB103" s="716"/>
      <c r="AC103" s="716"/>
      <c r="AD103" s="716"/>
      <c r="AE103" s="716"/>
      <c r="AF103" s="716"/>
      <c r="AG103" s="716"/>
    </row>
    <row r="104" spans="1:33" ht="14.1" customHeight="1" thickBot="1">
      <c r="A104" s="2718">
        <f t="shared" si="107"/>
        <v>93</v>
      </c>
      <c r="B104" s="999"/>
      <c r="C104" s="963"/>
      <c r="D104" s="976"/>
      <c r="E104" s="1044"/>
      <c r="F104" s="1045"/>
      <c r="G104" s="1045"/>
      <c r="H104" s="1045"/>
      <c r="I104" s="1046"/>
      <c r="J104" s="1047"/>
      <c r="K104" s="979"/>
      <c r="L104" s="980"/>
      <c r="M104" s="980"/>
      <c r="N104" s="1002"/>
      <c r="O104" s="1002"/>
      <c r="P104" s="2659"/>
      <c r="Q104" s="1002"/>
      <c r="R104" s="980"/>
      <c r="S104" s="980"/>
      <c r="T104" s="980"/>
      <c r="U104" s="1002"/>
      <c r="V104" s="1003"/>
      <c r="W104" s="974"/>
      <c r="X104" s="975"/>
      <c r="Y104" s="729"/>
      <c r="Z104" s="716"/>
      <c r="AA104" s="716"/>
      <c r="AB104" s="716"/>
      <c r="AC104" s="716"/>
      <c r="AD104" s="716"/>
      <c r="AE104" s="716"/>
      <c r="AF104" s="716"/>
      <c r="AG104" s="716"/>
    </row>
    <row r="105" spans="1:33" ht="16.8" thickTop="1">
      <c r="A105" s="2718">
        <f t="shared" si="107"/>
        <v>94</v>
      </c>
      <c r="B105" s="999"/>
      <c r="C105" s="963"/>
      <c r="D105" s="1054" t="s">
        <v>515</v>
      </c>
      <c r="E105" s="1055"/>
      <c r="F105" s="1056"/>
      <c r="G105" s="1056"/>
      <c r="H105" s="1056"/>
      <c r="I105" s="1057"/>
      <c r="J105" s="1058"/>
      <c r="K105" s="1059"/>
      <c r="L105" s="1060"/>
      <c r="M105" s="1060"/>
      <c r="N105" s="1061">
        <f t="shared" ref="N105:V105" si="110">SUM(N103,N95)</f>
        <v>0</v>
      </c>
      <c r="O105" s="1061">
        <f t="shared" si="110"/>
        <v>0</v>
      </c>
      <c r="P105" s="2663"/>
      <c r="Q105" s="1061"/>
      <c r="R105" s="1061">
        <f t="shared" si="110"/>
        <v>0</v>
      </c>
      <c r="S105" s="1061">
        <f t="shared" si="110"/>
        <v>0</v>
      </c>
      <c r="T105" s="1061">
        <f t="shared" si="110"/>
        <v>0</v>
      </c>
      <c r="U105" s="1061">
        <f t="shared" si="110"/>
        <v>2599190.4801353524</v>
      </c>
      <c r="V105" s="1061">
        <f t="shared" si="110"/>
        <v>2599190.4801353524</v>
      </c>
      <c r="W105" s="974"/>
      <c r="X105" s="975"/>
      <c r="Y105" s="729"/>
      <c r="Z105" s="716"/>
      <c r="AA105" s="716"/>
      <c r="AB105" s="716"/>
      <c r="AC105" s="716"/>
      <c r="AD105" s="716"/>
      <c r="AE105" s="716"/>
      <c r="AF105" s="716"/>
      <c r="AG105" s="716"/>
    </row>
    <row r="106" spans="1:33" ht="14.1" customHeight="1" thickBot="1">
      <c r="A106" s="2718">
        <f t="shared" si="107"/>
        <v>95</v>
      </c>
      <c r="B106" s="1004"/>
      <c r="C106" s="977"/>
      <c r="D106" s="976"/>
      <c r="E106" s="1044"/>
      <c r="F106" s="1045"/>
      <c r="G106" s="1045"/>
      <c r="H106" s="1045"/>
      <c r="I106" s="1046"/>
      <c r="J106" s="1047"/>
      <c r="K106" s="979"/>
      <c r="L106" s="980"/>
      <c r="M106" s="980"/>
      <c r="N106" s="1002"/>
      <c r="O106" s="1002"/>
      <c r="P106" s="2659"/>
      <c r="Q106" s="1002"/>
      <c r="R106" s="980"/>
      <c r="S106" s="980"/>
      <c r="T106" s="980"/>
      <c r="U106" s="1002"/>
      <c r="V106" s="1003"/>
      <c r="W106" s="974"/>
      <c r="X106" s="975"/>
      <c r="Y106" s="729"/>
      <c r="Z106" s="716"/>
      <c r="AA106" s="716"/>
      <c r="AB106" s="716"/>
      <c r="AC106" s="716"/>
      <c r="AD106" s="716"/>
      <c r="AE106" s="716"/>
      <c r="AF106" s="716"/>
      <c r="AG106" s="716"/>
    </row>
    <row r="107" spans="1:33" ht="14.1" customHeight="1">
      <c r="A107" s="2718">
        <f t="shared" si="107"/>
        <v>96</v>
      </c>
      <c r="B107" s="1012"/>
      <c r="C107" s="1026"/>
      <c r="D107" s="1062" t="s">
        <v>1775</v>
      </c>
      <c r="E107" s="1049"/>
      <c r="F107" s="1050"/>
      <c r="G107" s="1050"/>
      <c r="H107" s="1050"/>
      <c r="I107" s="1051"/>
      <c r="J107" s="1031"/>
      <c r="K107" s="1032"/>
      <c r="L107" s="1033"/>
      <c r="M107" s="1033"/>
      <c r="N107" s="1034">
        <f>SUM(N105,N87)</f>
        <v>0</v>
      </c>
      <c r="O107" s="1034">
        <f>SUM(O105,O87)</f>
        <v>14268063.960000001</v>
      </c>
      <c r="P107" s="2661"/>
      <c r="Q107" s="1034"/>
      <c r="R107" s="1034">
        <f>SUM(R105,R87)</f>
        <v>3274490.2662204485</v>
      </c>
      <c r="S107" s="1034">
        <f>SUM(S87:S88)</f>
        <v>67529.347999999998</v>
      </c>
      <c r="T107" s="1034">
        <f>SUM(T105,T87)</f>
        <v>17542554.226220451</v>
      </c>
      <c r="U107" s="1034">
        <f>SUM(U105,U87)</f>
        <v>9048541.0552684218</v>
      </c>
      <c r="V107" s="1035">
        <f>SUM(N107,O107,R107,U107)</f>
        <v>26591095.281488873</v>
      </c>
      <c r="W107" s="974"/>
      <c r="X107" s="975" t="s">
        <v>305</v>
      </c>
      <c r="Y107" s="796">
        <f>SUM(U107,T107,N107)</f>
        <v>26591095.281488873</v>
      </c>
      <c r="Z107" s="716"/>
      <c r="AA107" s="716"/>
      <c r="AB107" s="716"/>
      <c r="AC107" s="716"/>
      <c r="AD107" s="716"/>
      <c r="AE107" s="716"/>
      <c r="AF107" s="716"/>
      <c r="AG107" s="716"/>
    </row>
    <row r="108" spans="1:33" ht="14.1" customHeight="1">
      <c r="A108" s="2718">
        <f t="shared" si="107"/>
        <v>97</v>
      </c>
      <c r="B108" s="3043"/>
      <c r="C108" s="3044"/>
      <c r="D108" s="3060"/>
      <c r="E108" s="3061"/>
      <c r="F108" s="3062"/>
      <c r="G108" s="3062"/>
      <c r="H108" s="3062"/>
      <c r="I108" s="3063" t="s">
        <v>2496</v>
      </c>
      <c r="J108" s="3064" t="s">
        <v>71</v>
      </c>
      <c r="K108" s="3065" t="s">
        <v>72</v>
      </c>
      <c r="L108" s="3066" t="s">
        <v>73</v>
      </c>
      <c r="M108" s="3067"/>
      <c r="N108" s="3068"/>
      <c r="O108" s="3068"/>
      <c r="P108" s="3069"/>
      <c r="Q108" s="3068"/>
      <c r="R108" s="3068"/>
      <c r="S108" s="3068"/>
      <c r="T108" s="3068"/>
      <c r="U108" s="3068"/>
      <c r="V108" s="3070"/>
      <c r="W108" s="3070"/>
      <c r="X108" s="3071"/>
      <c r="Y108" s="729"/>
      <c r="Z108" s="716"/>
      <c r="AA108" s="716"/>
      <c r="AB108" s="716"/>
      <c r="AC108" s="716"/>
      <c r="AD108" s="716"/>
      <c r="AE108" s="716"/>
      <c r="AF108" s="716"/>
      <c r="AG108" s="716"/>
    </row>
    <row r="109" spans="1:33" ht="14.1" customHeight="1">
      <c r="A109" s="2718">
        <f t="shared" si="107"/>
        <v>98</v>
      </c>
      <c r="B109" s="999"/>
      <c r="C109" s="964" t="s">
        <v>405</v>
      </c>
      <c r="D109" s="1036" t="s">
        <v>2503</v>
      </c>
      <c r="E109" s="3072" t="s">
        <v>68</v>
      </c>
      <c r="F109" s="968" t="s">
        <v>1774</v>
      </c>
      <c r="G109" s="969" t="s">
        <v>1125</v>
      </c>
      <c r="H109" s="968"/>
      <c r="I109" s="1063">
        <v>0.1</v>
      </c>
      <c r="J109" s="1063">
        <v>0.1</v>
      </c>
      <c r="K109" s="1063">
        <v>0.1</v>
      </c>
      <c r="L109" s="1063">
        <v>0.1</v>
      </c>
      <c r="M109" s="971"/>
      <c r="N109" s="973">
        <f>I109*N87</f>
        <v>0</v>
      </c>
      <c r="O109" s="973">
        <f>J109*O87</f>
        <v>1426806.3960000002</v>
      </c>
      <c r="P109" s="992"/>
      <c r="Q109" s="973"/>
      <c r="R109" s="971">
        <f>K109*R87</f>
        <v>327449.02662204485</v>
      </c>
      <c r="S109" s="971"/>
      <c r="T109" s="971">
        <f>SUM(O109:R109)</f>
        <v>1754255.422622045</v>
      </c>
      <c r="U109" s="973">
        <f>L109*U87</f>
        <v>644935.05751330685</v>
      </c>
      <c r="V109" s="1017">
        <f>SUM(T109,N109,U109)</f>
        <v>2399190.4801353519</v>
      </c>
      <c r="W109" s="974"/>
      <c r="X109" s="975" t="s">
        <v>305</v>
      </c>
      <c r="Y109" s="729"/>
      <c r="Z109" s="716"/>
      <c r="AA109" s="716"/>
      <c r="AB109" s="716"/>
      <c r="AC109" s="716"/>
      <c r="AD109" s="716"/>
      <c r="AE109" s="716"/>
      <c r="AF109" s="716"/>
      <c r="AG109" s="716"/>
    </row>
    <row r="110" spans="1:33" ht="14.1" customHeight="1" thickBot="1">
      <c r="A110" s="2718">
        <f t="shared" si="107"/>
        <v>99</v>
      </c>
      <c r="B110" s="1004"/>
      <c r="C110" s="977"/>
      <c r="D110" s="976"/>
      <c r="E110" s="1044"/>
      <c r="F110" s="1045"/>
      <c r="G110" s="1045"/>
      <c r="H110" s="1045"/>
      <c r="I110" s="1046"/>
      <c r="J110" s="1047"/>
      <c r="K110" s="979"/>
      <c r="L110" s="980"/>
      <c r="M110" s="980"/>
      <c r="N110" s="1002"/>
      <c r="O110" s="1002"/>
      <c r="P110" s="2659"/>
      <c r="Q110" s="1002"/>
      <c r="R110" s="980"/>
      <c r="S110" s="980"/>
      <c r="T110" s="980"/>
      <c r="U110" s="1002"/>
      <c r="V110" s="1003"/>
      <c r="W110" s="974"/>
      <c r="X110" s="2053"/>
      <c r="Y110" s="729"/>
      <c r="Z110" s="716"/>
      <c r="AA110" s="716"/>
      <c r="AB110" s="716"/>
      <c r="AC110" s="716"/>
      <c r="AD110" s="716"/>
      <c r="AE110" s="716"/>
      <c r="AF110" s="716"/>
      <c r="AG110" s="716"/>
    </row>
    <row r="111" spans="1:33">
      <c r="A111" s="2718">
        <f t="shared" si="107"/>
        <v>100</v>
      </c>
      <c r="B111" s="1012"/>
      <c r="C111" s="983"/>
      <c r="D111" s="1064" t="s">
        <v>1775</v>
      </c>
      <c r="E111" s="1049"/>
      <c r="F111" s="1050" t="s">
        <v>1127</v>
      </c>
      <c r="G111" s="1050"/>
      <c r="H111" s="1050"/>
      <c r="I111" s="1051"/>
      <c r="J111" s="1031"/>
      <c r="K111" s="1032"/>
      <c r="L111" s="1033"/>
      <c r="M111" s="1033"/>
      <c r="N111" s="1065">
        <f>SUM(N109:N110)</f>
        <v>0</v>
      </c>
      <c r="O111" s="1065">
        <f>SUM(O109:O110)</f>
        <v>1426806.3960000002</v>
      </c>
      <c r="P111" s="2664"/>
      <c r="Q111" s="1065"/>
      <c r="R111" s="1033">
        <f>SUM(R109:R110)</f>
        <v>327449.02662204485</v>
      </c>
      <c r="S111" s="1033">
        <f>SUM(S109:S110)</f>
        <v>0</v>
      </c>
      <c r="T111" s="1033">
        <f>SUM(T109:T110)</f>
        <v>1754255.422622045</v>
      </c>
      <c r="U111" s="1065">
        <f>SUM(U109:U110)</f>
        <v>644935.05751330685</v>
      </c>
      <c r="V111" s="1066">
        <f>SUM(U111,T111,N111)</f>
        <v>2399190.4801353519</v>
      </c>
      <c r="W111" s="974"/>
      <c r="X111" s="975"/>
      <c r="Y111" s="729"/>
      <c r="Z111" s="716"/>
      <c r="AA111" s="716"/>
      <c r="AB111" s="716"/>
      <c r="AC111" s="716"/>
      <c r="AD111" s="716"/>
      <c r="AE111" s="716"/>
      <c r="AF111" s="716"/>
      <c r="AG111" s="716"/>
    </row>
    <row r="112" spans="1:33" ht="16.8" thickBot="1">
      <c r="A112" s="2718">
        <f t="shared" si="107"/>
        <v>101</v>
      </c>
      <c r="B112" s="1004"/>
      <c r="C112" s="977"/>
      <c r="D112" s="976"/>
      <c r="E112" s="1044"/>
      <c r="F112" s="1045"/>
      <c r="G112" s="1045"/>
      <c r="H112" s="1045"/>
      <c r="I112" s="1046"/>
      <c r="J112" s="1047"/>
      <c r="K112" s="979"/>
      <c r="L112" s="980"/>
      <c r="M112" s="980"/>
      <c r="N112" s="1002"/>
      <c r="O112" s="1002"/>
      <c r="P112" s="2659"/>
      <c r="Q112" s="1002"/>
      <c r="R112" s="980"/>
      <c r="S112" s="980"/>
      <c r="T112" s="980"/>
      <c r="U112" s="1002"/>
      <c r="V112" s="1003"/>
      <c r="W112" s="974"/>
      <c r="X112" s="975"/>
      <c r="Y112" s="729"/>
      <c r="Z112" s="716"/>
      <c r="AA112" s="716"/>
      <c r="AB112" s="716"/>
      <c r="AC112" s="716"/>
      <c r="AD112" s="716"/>
      <c r="AE112" s="716"/>
      <c r="AF112" s="716"/>
      <c r="AG112" s="716"/>
    </row>
    <row r="113" spans="1:33" ht="16.8" thickTop="1">
      <c r="A113" s="2718">
        <f t="shared" si="107"/>
        <v>102</v>
      </c>
      <c r="B113" s="1067"/>
      <c r="C113" s="1068"/>
      <c r="D113" s="1069" t="s">
        <v>395</v>
      </c>
      <c r="E113" s="1070"/>
      <c r="F113" s="1071"/>
      <c r="G113" s="1071"/>
      <c r="H113" s="1071"/>
      <c r="I113" s="1072"/>
      <c r="J113" s="1069"/>
      <c r="K113" s="1073"/>
      <c r="L113" s="1070">
        <f>SUM(L107+L111)</f>
        <v>0</v>
      </c>
      <c r="M113" s="1070"/>
      <c r="N113" s="1070">
        <f>SUM(N107+N111)</f>
        <v>0</v>
      </c>
      <c r="O113" s="1070">
        <f>SUM(O107+O111)</f>
        <v>15694870.356000001</v>
      </c>
      <c r="P113" s="2665"/>
      <c r="Q113" s="1070"/>
      <c r="R113" s="1070">
        <f>SUM(R107+R111)</f>
        <v>3601939.2928424934</v>
      </c>
      <c r="S113" s="1070">
        <f>SUM(S107+S111)</f>
        <v>67529.347999999998</v>
      </c>
      <c r="T113" s="1070">
        <f>SUM(T107+T111)</f>
        <v>19296809.648842495</v>
      </c>
      <c r="U113" s="1070">
        <f>SUM(U107+U111)</f>
        <v>9693476.1127817295</v>
      </c>
      <c r="V113" s="1070">
        <f>SUM(V107+V111)</f>
        <v>28990285.761624224</v>
      </c>
      <c r="W113" s="1074"/>
      <c r="X113" s="991"/>
      <c r="Y113" s="796">
        <f>SUM(U113,T113,N113)</f>
        <v>28990285.761624224</v>
      </c>
      <c r="Z113" s="716"/>
      <c r="AA113" s="716"/>
      <c r="AB113" s="716"/>
      <c r="AC113" s="716"/>
      <c r="AD113" s="716"/>
      <c r="AE113" s="716"/>
      <c r="AF113" s="716"/>
      <c r="AG113" s="716"/>
    </row>
    <row r="114" spans="1:33">
      <c r="A114" s="2718">
        <f t="shared" si="107"/>
        <v>103</v>
      </c>
      <c r="B114" s="999"/>
      <c r="C114" s="963"/>
      <c r="D114" s="966"/>
      <c r="E114" s="1015"/>
      <c r="F114" s="968"/>
      <c r="G114" s="968"/>
      <c r="H114" s="968"/>
      <c r="I114" s="997"/>
      <c r="J114" s="993"/>
      <c r="K114" s="970"/>
      <c r="L114" s="971"/>
      <c r="M114" s="971"/>
      <c r="N114" s="973"/>
      <c r="O114" s="973"/>
      <c r="P114" s="992"/>
      <c r="Q114" s="973"/>
      <c r="R114" s="971"/>
      <c r="S114" s="971"/>
      <c r="T114" s="971"/>
      <c r="U114" s="971"/>
      <c r="V114" s="1075"/>
      <c r="W114" s="974"/>
      <c r="X114" s="975"/>
      <c r="Y114" s="716"/>
      <c r="Z114" s="716"/>
      <c r="AA114" s="716"/>
      <c r="AB114" s="716"/>
      <c r="AC114" s="716"/>
      <c r="AD114" s="716"/>
      <c r="AE114" s="716"/>
      <c r="AF114" s="716"/>
      <c r="AG114" s="716"/>
    </row>
    <row r="115" spans="1:33" s="716" customFormat="1">
      <c r="A115" s="2718">
        <f t="shared" si="107"/>
        <v>104</v>
      </c>
      <c r="B115" s="999" t="s">
        <v>1920</v>
      </c>
      <c r="D115" s="999"/>
      <c r="E115" s="1005"/>
      <c r="F115" s="940"/>
      <c r="G115" s="940"/>
      <c r="H115" s="940"/>
      <c r="I115" s="1076"/>
      <c r="J115" s="999"/>
      <c r="K115" s="1008"/>
      <c r="L115" s="1005"/>
      <c r="M115" s="1005"/>
      <c r="N115" s="1005"/>
      <c r="O115" s="1005"/>
      <c r="P115" s="2660"/>
      <c r="Q115" s="1005"/>
      <c r="R115" s="1005"/>
      <c r="S115" s="1005"/>
      <c r="T115" s="1005"/>
      <c r="U115" s="1005"/>
      <c r="V115" s="1005"/>
      <c r="W115" s="1006"/>
      <c r="X115" s="991"/>
    </row>
    <row r="116" spans="1:33" s="716" customFormat="1">
      <c r="A116" s="2718">
        <f t="shared" si="107"/>
        <v>105</v>
      </c>
      <c r="B116" s="999" t="s">
        <v>868</v>
      </c>
      <c r="C116" s="1020"/>
      <c r="D116" s="1021"/>
      <c r="E116" s="967"/>
      <c r="F116" s="969"/>
      <c r="G116" s="969"/>
      <c r="H116" s="969"/>
      <c r="I116" s="997"/>
      <c r="J116" s="993"/>
      <c r="K116" s="970"/>
      <c r="L116" s="971"/>
      <c r="M116" s="971"/>
      <c r="N116" s="971"/>
      <c r="O116" s="971"/>
      <c r="P116" s="2653"/>
      <c r="Q116" s="971"/>
      <c r="R116" s="971"/>
      <c r="S116" s="971"/>
      <c r="T116" s="971"/>
      <c r="U116" s="971"/>
      <c r="V116" s="971"/>
      <c r="W116" s="971"/>
      <c r="X116" s="981"/>
      <c r="Y116" s="729"/>
    </row>
    <row r="117" spans="1:33" s="716" customFormat="1">
      <c r="A117" s="2718">
        <f t="shared" si="107"/>
        <v>106</v>
      </c>
      <c r="B117" s="999"/>
      <c r="C117" s="1020"/>
      <c r="D117" s="1108"/>
      <c r="E117" s="967"/>
      <c r="F117" s="969"/>
      <c r="G117" s="969"/>
      <c r="H117" s="969"/>
      <c r="I117" s="997"/>
      <c r="J117" s="993"/>
      <c r="K117" s="970"/>
      <c r="L117" s="971"/>
      <c r="M117" s="971"/>
      <c r="N117" s="971"/>
      <c r="O117" s="971"/>
      <c r="P117" s="2653"/>
      <c r="Q117" s="971"/>
      <c r="R117" s="971"/>
      <c r="S117" s="971"/>
      <c r="T117" s="971"/>
      <c r="U117" s="971"/>
      <c r="V117" s="971"/>
      <c r="W117" s="971"/>
      <c r="X117" s="981"/>
      <c r="Y117" s="729"/>
    </row>
    <row r="118" spans="1:33" s="716" customFormat="1" ht="14.1" customHeight="1">
      <c r="A118" s="2718">
        <f t="shared" si="107"/>
        <v>107</v>
      </c>
      <c r="B118" s="3043"/>
      <c r="C118" s="3044" t="s">
        <v>868</v>
      </c>
      <c r="D118" s="3058" t="s">
        <v>251</v>
      </c>
      <c r="E118" s="3045">
        <v>1</v>
      </c>
      <c r="F118" s="3046" t="s">
        <v>1127</v>
      </c>
      <c r="G118" s="3046" t="s">
        <v>1922</v>
      </c>
      <c r="H118" s="3046"/>
      <c r="I118" s="3047" t="s">
        <v>305</v>
      </c>
      <c r="J118" s="3047"/>
      <c r="K118" s="3048"/>
      <c r="L118" s="3048"/>
      <c r="M118" s="3049"/>
      <c r="N118" s="3050"/>
      <c r="O118" s="3050"/>
      <c r="P118" s="3046"/>
      <c r="Q118" s="3050"/>
      <c r="R118" s="3048"/>
      <c r="S118" s="3048"/>
      <c r="T118" s="3048"/>
      <c r="U118" s="3047">
        <v>650000</v>
      </c>
      <c r="V118" s="3051">
        <f t="shared" ref="V118:V124" si="111">U118</f>
        <v>650000</v>
      </c>
      <c r="W118" s="3051"/>
      <c r="X118" s="3040" t="s">
        <v>2333</v>
      </c>
      <c r="Y118" s="3052"/>
      <c r="Z118" s="3053"/>
      <c r="AA118" s="3053"/>
      <c r="AB118" s="3047">
        <v>30500000</v>
      </c>
      <c r="AC118" s="3053"/>
      <c r="AD118" s="3053"/>
    </row>
    <row r="119" spans="1:33" s="716" customFormat="1" ht="14.1" customHeight="1">
      <c r="A119" s="2718">
        <f t="shared" si="107"/>
        <v>108</v>
      </c>
      <c r="B119" s="3043"/>
      <c r="C119" s="3044" t="s">
        <v>868</v>
      </c>
      <c r="D119" s="3058" t="s">
        <v>2511</v>
      </c>
      <c r="E119" s="3045">
        <v>1</v>
      </c>
      <c r="F119" s="3046" t="s">
        <v>1127</v>
      </c>
      <c r="G119" s="3046" t="s">
        <v>1922</v>
      </c>
      <c r="H119" s="3046"/>
      <c r="I119" s="3047" t="s">
        <v>305</v>
      </c>
      <c r="J119" s="3047"/>
      <c r="K119" s="3048"/>
      <c r="L119" s="3048"/>
      <c r="M119" s="3049"/>
      <c r="N119" s="3050"/>
      <c r="O119" s="3050"/>
      <c r="P119" s="3046"/>
      <c r="Q119" s="3050"/>
      <c r="R119" s="3048"/>
      <c r="S119" s="3048"/>
      <c r="T119" s="3048"/>
      <c r="U119" s="3047">
        <v>450000</v>
      </c>
      <c r="V119" s="3051">
        <f t="shared" si="111"/>
        <v>450000</v>
      </c>
      <c r="W119" s="3051"/>
      <c r="X119" s="3040" t="s">
        <v>2481</v>
      </c>
      <c r="Y119" s="3052"/>
      <c r="Z119" s="3053"/>
      <c r="AA119" s="3053"/>
      <c r="AB119" s="3047">
        <v>4000000</v>
      </c>
      <c r="AC119" s="3053"/>
      <c r="AD119" s="3053"/>
    </row>
    <row r="120" spans="1:33" s="716" customFormat="1" ht="14.1" customHeight="1">
      <c r="A120" s="2718">
        <f t="shared" si="107"/>
        <v>109</v>
      </c>
      <c r="B120" s="3043"/>
      <c r="C120" s="3044" t="s">
        <v>868</v>
      </c>
      <c r="D120" s="3058" t="s">
        <v>960</v>
      </c>
      <c r="E120" s="3045">
        <v>1</v>
      </c>
      <c r="F120" s="3046" t="s">
        <v>1127</v>
      </c>
      <c r="G120" s="3046" t="s">
        <v>1922</v>
      </c>
      <c r="H120" s="3046"/>
      <c r="I120" s="3047" t="s">
        <v>305</v>
      </c>
      <c r="J120" s="3047"/>
      <c r="K120" s="3048"/>
      <c r="L120" s="3048"/>
      <c r="M120" s="3049"/>
      <c r="N120" s="3050"/>
      <c r="O120" s="3050"/>
      <c r="P120" s="3046"/>
      <c r="Q120" s="3050"/>
      <c r="R120" s="3048"/>
      <c r="S120" s="3048"/>
      <c r="T120" s="3048"/>
      <c r="U120" s="3054">
        <v>50000</v>
      </c>
      <c r="V120" s="3051">
        <f t="shared" si="111"/>
        <v>50000</v>
      </c>
      <c r="W120" s="3051"/>
      <c r="X120" s="3040" t="s">
        <v>2332</v>
      </c>
      <c r="Y120" s="3052"/>
      <c r="Z120" s="3053"/>
      <c r="AA120" s="3053"/>
      <c r="AB120" s="3054">
        <v>6200000</v>
      </c>
      <c r="AC120" s="3053"/>
      <c r="AD120" s="3053"/>
    </row>
    <row r="121" spans="1:33" s="716" customFormat="1" ht="14.1" customHeight="1">
      <c r="A121" s="2718">
        <f t="shared" si="107"/>
        <v>110</v>
      </c>
      <c r="B121" s="3043"/>
      <c r="C121" s="3044" t="s">
        <v>868</v>
      </c>
      <c r="D121" s="3058" t="s">
        <v>2017</v>
      </c>
      <c r="E121" s="3045">
        <v>1</v>
      </c>
      <c r="F121" s="3046" t="s">
        <v>1127</v>
      </c>
      <c r="G121" s="3046" t="s">
        <v>1922</v>
      </c>
      <c r="H121" s="3046"/>
      <c r="I121" s="3047" t="s">
        <v>305</v>
      </c>
      <c r="J121" s="3047"/>
      <c r="K121" s="3048"/>
      <c r="L121" s="3048"/>
      <c r="M121" s="3049"/>
      <c r="N121" s="3050"/>
      <c r="O121" s="3050"/>
      <c r="P121" s="3046"/>
      <c r="Q121" s="3050"/>
      <c r="R121" s="3048"/>
      <c r="S121" s="3048"/>
      <c r="T121" s="3048"/>
      <c r="U121" s="3047">
        <v>500000</v>
      </c>
      <c r="V121" s="3051">
        <f t="shared" si="111"/>
        <v>500000</v>
      </c>
      <c r="W121" s="3051"/>
      <c r="X121" s="3040" t="s">
        <v>2333</v>
      </c>
      <c r="Y121" s="3052"/>
      <c r="Z121" s="3053"/>
      <c r="AA121" s="3053"/>
      <c r="AB121" s="3047">
        <v>28350000</v>
      </c>
      <c r="AC121" s="3053"/>
      <c r="AD121" s="3053"/>
    </row>
    <row r="122" spans="1:33" s="716" customFormat="1" ht="14.1" customHeight="1">
      <c r="A122" s="2718">
        <f t="shared" si="107"/>
        <v>111</v>
      </c>
      <c r="B122" s="3043"/>
      <c r="C122" s="3044" t="s">
        <v>868</v>
      </c>
      <c r="D122" s="3058" t="s">
        <v>1871</v>
      </c>
      <c r="E122" s="3045">
        <v>1</v>
      </c>
      <c r="F122" s="3046" t="s">
        <v>1127</v>
      </c>
      <c r="G122" s="3046" t="s">
        <v>1922</v>
      </c>
      <c r="H122" s="3046"/>
      <c r="I122" s="3047" t="s">
        <v>305</v>
      </c>
      <c r="J122" s="3047"/>
      <c r="K122" s="3048"/>
      <c r="L122" s="3048"/>
      <c r="M122" s="3049"/>
      <c r="N122" s="3050"/>
      <c r="O122" s="3050"/>
      <c r="P122" s="3046"/>
      <c r="Q122" s="3050"/>
      <c r="R122" s="3048"/>
      <c r="S122" s="3048"/>
      <c r="T122" s="3048"/>
      <c r="U122" s="3047">
        <v>170000</v>
      </c>
      <c r="V122" s="3051">
        <f t="shared" si="111"/>
        <v>170000</v>
      </c>
      <c r="W122" s="3051"/>
      <c r="X122" s="3040" t="s">
        <v>2333</v>
      </c>
      <c r="Y122" s="3052"/>
      <c r="Z122" s="3053"/>
      <c r="AA122" s="3053"/>
      <c r="AB122" s="3047">
        <v>15000000</v>
      </c>
      <c r="AC122" s="3053"/>
      <c r="AD122" s="3053"/>
    </row>
    <row r="123" spans="1:33" s="716" customFormat="1" ht="14.1" customHeight="1">
      <c r="A123" s="2718">
        <f t="shared" si="107"/>
        <v>112</v>
      </c>
      <c r="B123" s="3043"/>
      <c r="C123" s="3044" t="s">
        <v>868</v>
      </c>
      <c r="D123" s="3058" t="s">
        <v>2018</v>
      </c>
      <c r="E123" s="3045">
        <v>1</v>
      </c>
      <c r="F123" s="3046" t="s">
        <v>1127</v>
      </c>
      <c r="G123" s="3046" t="s">
        <v>1922</v>
      </c>
      <c r="H123" s="3046"/>
      <c r="I123" s="3047" t="s">
        <v>305</v>
      </c>
      <c r="J123" s="3047"/>
      <c r="K123" s="3048"/>
      <c r="L123" s="3048"/>
      <c r="M123" s="3049"/>
      <c r="N123" s="3050"/>
      <c r="O123" s="3050"/>
      <c r="P123" s="3046"/>
      <c r="Q123" s="3050"/>
      <c r="R123" s="3048"/>
      <c r="S123" s="3048"/>
      <c r="T123" s="3048"/>
      <c r="U123" s="3047">
        <v>250000</v>
      </c>
      <c r="V123" s="3051">
        <f t="shared" si="111"/>
        <v>250000</v>
      </c>
      <c r="W123" s="3051"/>
      <c r="X123" s="3040" t="s">
        <v>2333</v>
      </c>
      <c r="Y123" s="3052"/>
      <c r="Z123" s="3053"/>
      <c r="AA123" s="3053"/>
      <c r="AB123" s="3047">
        <v>1000000</v>
      </c>
      <c r="AC123" s="3053"/>
      <c r="AD123" s="3053"/>
    </row>
    <row r="124" spans="1:33" s="716" customFormat="1">
      <c r="A124" s="2718">
        <f t="shared" si="107"/>
        <v>113</v>
      </c>
      <c r="B124" s="3043"/>
      <c r="C124" s="3044" t="s">
        <v>868</v>
      </c>
      <c r="D124" s="3058" t="s">
        <v>542</v>
      </c>
      <c r="E124" s="3045">
        <v>1</v>
      </c>
      <c r="F124" s="3046" t="s">
        <v>1127</v>
      </c>
      <c r="G124" s="3046" t="s">
        <v>1922</v>
      </c>
      <c r="H124" s="3046"/>
      <c r="I124" s="3047" t="s">
        <v>305</v>
      </c>
      <c r="J124" s="3047"/>
      <c r="K124" s="3048"/>
      <c r="L124" s="3048"/>
      <c r="M124" s="3049"/>
      <c r="N124" s="3050"/>
      <c r="O124" s="3050"/>
      <c r="P124" s="3046"/>
      <c r="Q124" s="3050"/>
      <c r="R124" s="3048"/>
      <c r="S124" s="3048"/>
      <c r="T124" s="3048"/>
      <c r="U124" s="3047">
        <v>500000</v>
      </c>
      <c r="V124" s="3051">
        <f t="shared" si="111"/>
        <v>500000</v>
      </c>
      <c r="W124" s="3051"/>
      <c r="X124" s="3040" t="s">
        <v>2333</v>
      </c>
      <c r="Y124" s="3052"/>
      <c r="Z124" s="3053"/>
      <c r="AA124" s="3053"/>
      <c r="AB124" s="3047">
        <v>13100000</v>
      </c>
      <c r="AC124" s="3053"/>
      <c r="AD124" s="3053"/>
    </row>
    <row r="125" spans="1:33" s="716" customFormat="1" ht="14.1" customHeight="1">
      <c r="A125" s="2718">
        <f t="shared" si="107"/>
        <v>114</v>
      </c>
      <c r="B125" s="3043"/>
      <c r="C125" s="3044" t="s">
        <v>868</v>
      </c>
      <c r="D125" s="3058" t="s">
        <v>2512</v>
      </c>
      <c r="E125" s="3045"/>
      <c r="F125" s="3046"/>
      <c r="G125" s="3046"/>
      <c r="H125" s="3046"/>
      <c r="I125" s="3047" t="s">
        <v>305</v>
      </c>
      <c r="J125" s="3047"/>
      <c r="K125" s="3048"/>
      <c r="L125" s="3048"/>
      <c r="M125" s="3049"/>
      <c r="N125" s="3050"/>
      <c r="O125" s="3050"/>
      <c r="P125" s="3046"/>
      <c r="Q125" s="3050"/>
      <c r="R125" s="3048"/>
      <c r="S125" s="3048"/>
      <c r="T125" s="3048"/>
      <c r="U125" s="3054"/>
      <c r="V125" s="3051"/>
      <c r="W125" s="3051"/>
      <c r="X125" s="3040"/>
      <c r="Y125" s="3052"/>
      <c r="Z125" s="3053"/>
      <c r="AA125" s="3053"/>
      <c r="AB125" s="3054"/>
      <c r="AC125" s="3053"/>
      <c r="AD125" s="3053"/>
    </row>
    <row r="126" spans="1:33" s="716" customFormat="1" ht="14.1" customHeight="1">
      <c r="A126" s="2718">
        <f t="shared" si="107"/>
        <v>115</v>
      </c>
      <c r="B126" s="3043"/>
      <c r="C126" s="3044" t="s">
        <v>868</v>
      </c>
      <c r="D126" s="3058" t="s">
        <v>2482</v>
      </c>
      <c r="E126" s="3045">
        <v>1</v>
      </c>
      <c r="F126" s="3046" t="s">
        <v>1127</v>
      </c>
      <c r="G126" s="3046" t="s">
        <v>1922</v>
      </c>
      <c r="H126" s="3046"/>
      <c r="I126" s="3047" t="s">
        <v>305</v>
      </c>
      <c r="J126" s="3047"/>
      <c r="K126" s="3048"/>
      <c r="L126" s="3048"/>
      <c r="M126" s="3049"/>
      <c r="N126" s="3050"/>
      <c r="O126" s="3050"/>
      <c r="P126" s="3046"/>
      <c r="Q126" s="3050"/>
      <c r="R126" s="3048"/>
      <c r="S126" s="3048"/>
      <c r="T126" s="3048"/>
      <c r="U126" s="3054">
        <v>50000</v>
      </c>
      <c r="V126" s="3051">
        <f t="shared" ref="V126:V129" si="112">U126</f>
        <v>50000</v>
      </c>
      <c r="W126" s="3051"/>
      <c r="X126" s="3040" t="s">
        <v>2333</v>
      </c>
      <c r="Y126" s="3052"/>
      <c r="Z126" s="3053"/>
      <c r="AA126" s="3053"/>
      <c r="AB126" s="3054"/>
      <c r="AC126" s="3053"/>
      <c r="AD126" s="3053"/>
    </row>
    <row r="127" spans="1:33" s="716" customFormat="1" ht="14.1" customHeight="1">
      <c r="A127" s="2718">
        <f t="shared" si="107"/>
        <v>116</v>
      </c>
      <c r="B127" s="3043"/>
      <c r="C127" s="3044" t="s">
        <v>868</v>
      </c>
      <c r="D127" s="3058" t="s">
        <v>782</v>
      </c>
      <c r="E127" s="3045">
        <v>1</v>
      </c>
      <c r="F127" s="3046" t="s">
        <v>1127</v>
      </c>
      <c r="G127" s="3046" t="s">
        <v>1922</v>
      </c>
      <c r="H127" s="3046"/>
      <c r="I127" s="3047" t="s">
        <v>305</v>
      </c>
      <c r="J127" s="3047"/>
      <c r="K127" s="3048"/>
      <c r="L127" s="3048"/>
      <c r="M127" s="3049"/>
      <c r="N127" s="3050"/>
      <c r="O127" s="3050"/>
      <c r="P127" s="3046"/>
      <c r="Q127" s="3050"/>
      <c r="R127" s="3048"/>
      <c r="S127" s="3048"/>
      <c r="T127" s="3048"/>
      <c r="U127" s="3073">
        <v>10000</v>
      </c>
      <c r="V127" s="3075">
        <f t="shared" si="112"/>
        <v>10000</v>
      </c>
      <c r="W127" s="3075"/>
      <c r="X127" s="3076" t="s">
        <v>2485</v>
      </c>
      <c r="Y127" s="3052"/>
      <c r="Z127" s="3053"/>
      <c r="AA127" s="3053"/>
      <c r="AB127" s="3054">
        <v>1200000</v>
      </c>
      <c r="AC127" s="3053"/>
      <c r="AD127" s="3053"/>
    </row>
    <row r="128" spans="1:33" s="716" customFormat="1" ht="14.1" customHeight="1">
      <c r="A128" s="2718">
        <f t="shared" si="107"/>
        <v>117</v>
      </c>
      <c r="B128" s="3043"/>
      <c r="C128" s="3044" t="s">
        <v>868</v>
      </c>
      <c r="D128" s="3058" t="s">
        <v>783</v>
      </c>
      <c r="E128" s="3045">
        <v>1</v>
      </c>
      <c r="F128" s="3046" t="s">
        <v>1127</v>
      </c>
      <c r="G128" s="3046" t="s">
        <v>1922</v>
      </c>
      <c r="H128" s="3046"/>
      <c r="I128" s="3047" t="s">
        <v>305</v>
      </c>
      <c r="J128" s="3047"/>
      <c r="K128" s="3048"/>
      <c r="L128" s="3048"/>
      <c r="M128" s="3049"/>
      <c r="N128" s="3050"/>
      <c r="O128" s="3050"/>
      <c r="P128" s="3046"/>
      <c r="Q128" s="3050"/>
      <c r="R128" s="3048"/>
      <c r="S128" s="3048"/>
      <c r="T128" s="3048"/>
      <c r="U128" s="3073">
        <v>-10000</v>
      </c>
      <c r="V128" s="3075">
        <f t="shared" si="112"/>
        <v>-10000</v>
      </c>
      <c r="W128" s="3075"/>
      <c r="X128" s="3076" t="s">
        <v>2486</v>
      </c>
      <c r="Y128" s="3052"/>
      <c r="Z128" s="3053"/>
      <c r="AA128" s="3053"/>
      <c r="AB128" s="3054">
        <v>-22000000</v>
      </c>
      <c r="AC128" s="3053"/>
      <c r="AD128" s="3053"/>
    </row>
    <row r="129" spans="1:30" s="716" customFormat="1">
      <c r="A129" s="2718">
        <f t="shared" si="107"/>
        <v>118</v>
      </c>
      <c r="B129" s="3043"/>
      <c r="C129" s="3044" t="s">
        <v>868</v>
      </c>
      <c r="D129" s="3058" t="s">
        <v>1550</v>
      </c>
      <c r="E129" s="3045">
        <v>1</v>
      </c>
      <c r="F129" s="3046" t="s">
        <v>1127</v>
      </c>
      <c r="G129" s="3046" t="s">
        <v>1922</v>
      </c>
      <c r="H129" s="3046"/>
      <c r="I129" s="3047" t="s">
        <v>305</v>
      </c>
      <c r="J129" s="3047"/>
      <c r="K129" s="3048"/>
      <c r="L129" s="3048"/>
      <c r="M129" s="3049"/>
      <c r="N129" s="3050"/>
      <c r="O129" s="3050"/>
      <c r="P129" s="3046"/>
      <c r="Q129" s="3050"/>
      <c r="R129" s="3048"/>
      <c r="S129" s="3048"/>
      <c r="T129" s="3048"/>
      <c r="U129" s="3054">
        <v>50000</v>
      </c>
      <c r="V129" s="3051">
        <f t="shared" si="112"/>
        <v>50000</v>
      </c>
      <c r="W129" s="3051"/>
      <c r="X129" s="3040" t="s">
        <v>2332</v>
      </c>
      <c r="Y129" s="3052"/>
      <c r="Z129" s="3053"/>
      <c r="AA129" s="3053"/>
      <c r="AB129" s="3054">
        <v>1100000</v>
      </c>
      <c r="AC129" s="3053"/>
      <c r="AD129" s="3053"/>
    </row>
    <row r="130" spans="1:30" s="716" customFormat="1" ht="14.1" customHeight="1">
      <c r="A130" s="2718">
        <f t="shared" si="107"/>
        <v>119</v>
      </c>
      <c r="B130" s="3043"/>
      <c r="C130" s="3044" t="s">
        <v>868</v>
      </c>
      <c r="D130" s="3058" t="s">
        <v>545</v>
      </c>
      <c r="E130" s="3045">
        <v>1</v>
      </c>
      <c r="F130" s="3046" t="s">
        <v>1127</v>
      </c>
      <c r="G130" s="3046" t="s">
        <v>1922</v>
      </c>
      <c r="H130" s="3046"/>
      <c r="I130" s="3047" t="s">
        <v>305</v>
      </c>
      <c r="J130" s="3047"/>
      <c r="K130" s="3048"/>
      <c r="L130" s="3048"/>
      <c r="M130" s="3049"/>
      <c r="N130" s="3050"/>
      <c r="O130" s="3050"/>
      <c r="P130" s="3046"/>
      <c r="Q130" s="3054"/>
      <c r="R130" s="3048"/>
      <c r="S130" s="3048"/>
      <c r="T130" s="3048"/>
      <c r="U130" s="3047">
        <v>100000</v>
      </c>
      <c r="V130" s="3051">
        <f>SUM(Q130:U130)</f>
        <v>100000</v>
      </c>
      <c r="W130" s="3051"/>
      <c r="X130" s="3040" t="s">
        <v>2332</v>
      </c>
      <c r="Y130" s="3052"/>
      <c r="Z130" s="3053"/>
      <c r="AA130" s="3053"/>
      <c r="AB130" s="3047">
        <v>7000000</v>
      </c>
      <c r="AC130" s="3053"/>
      <c r="AD130" s="3053"/>
    </row>
    <row r="131" spans="1:30" s="716" customFormat="1" ht="14.1" customHeight="1" thickBot="1">
      <c r="A131" s="2718">
        <f t="shared" si="107"/>
        <v>120</v>
      </c>
      <c r="B131" s="3056"/>
      <c r="C131" s="3057" t="s">
        <v>868</v>
      </c>
      <c r="D131" s="3059" t="s">
        <v>138</v>
      </c>
      <c r="E131" s="2832">
        <v>1</v>
      </c>
      <c r="F131" s="2833" t="s">
        <v>1127</v>
      </c>
      <c r="G131" s="2833" t="s">
        <v>1922</v>
      </c>
      <c r="H131" s="2833"/>
      <c r="I131" s="2834" t="s">
        <v>305</v>
      </c>
      <c r="J131" s="2834"/>
      <c r="K131" s="2835"/>
      <c r="L131" s="2835"/>
      <c r="M131" s="2696"/>
      <c r="N131" s="2836"/>
      <c r="O131" s="2836"/>
      <c r="P131" s="2833"/>
      <c r="Q131" s="2836"/>
      <c r="R131" s="2835"/>
      <c r="S131" s="2835"/>
      <c r="T131" s="2835"/>
      <c r="U131" s="2837">
        <v>150000</v>
      </c>
      <c r="V131" s="2838">
        <f t="shared" ref="V131" si="113">U131</f>
        <v>150000</v>
      </c>
      <c r="W131" s="2838"/>
      <c r="X131" s="2829" t="s">
        <v>2483</v>
      </c>
      <c r="Y131" s="3052"/>
      <c r="Z131" s="3053"/>
      <c r="AA131" s="3053"/>
      <c r="AB131" s="3053"/>
      <c r="AC131" s="3053"/>
      <c r="AD131" s="3053"/>
    </row>
    <row r="132" spans="1:30" s="716" customFormat="1" ht="14.1" customHeight="1">
      <c r="A132" s="2718">
        <f t="shared" si="107"/>
        <v>121</v>
      </c>
      <c r="B132" s="955"/>
      <c r="C132" s="962"/>
      <c r="D132" s="1077" t="s">
        <v>126</v>
      </c>
      <c r="E132" s="1078"/>
      <c r="F132" s="1050"/>
      <c r="G132" s="1050"/>
      <c r="H132" s="1050"/>
      <c r="I132" s="1079"/>
      <c r="J132" s="1079"/>
      <c r="K132" s="1080"/>
      <c r="L132" s="1080"/>
      <c r="M132" s="1033"/>
      <c r="N132" s="1081"/>
      <c r="O132" s="1081"/>
      <c r="P132" s="1050"/>
      <c r="Q132" s="1081"/>
      <c r="R132" s="1080"/>
      <c r="S132" s="1080"/>
      <c r="T132" s="1080"/>
      <c r="U132" s="1052">
        <f>SUM(U118:U131)</f>
        <v>2920000</v>
      </c>
      <c r="V132" s="1082">
        <f>SUM(V118:V131)</f>
        <v>2920000</v>
      </c>
      <c r="W132" s="974"/>
      <c r="X132" s="975"/>
      <c r="Y132" s="729"/>
    </row>
    <row r="133" spans="1:30" s="716" customFormat="1" ht="14.1" customHeight="1">
      <c r="A133" s="2718">
        <f t="shared" si="107"/>
        <v>122</v>
      </c>
      <c r="B133" s="999"/>
      <c r="C133" s="964"/>
      <c r="D133" s="1042"/>
      <c r="E133" s="967"/>
      <c r="F133" s="968"/>
      <c r="G133" s="968"/>
      <c r="H133" s="968"/>
      <c r="I133" s="1015"/>
      <c r="J133" s="1015"/>
      <c r="K133" s="1017"/>
      <c r="L133" s="1017"/>
      <c r="M133" s="971"/>
      <c r="N133" s="1016"/>
      <c r="O133" s="1016"/>
      <c r="P133" s="968"/>
      <c r="Q133" s="1016"/>
      <c r="R133" s="1017"/>
      <c r="S133" s="1017"/>
      <c r="T133" s="1017"/>
      <c r="U133" s="973"/>
      <c r="V133" s="974"/>
      <c r="W133" s="974"/>
      <c r="X133" s="975"/>
      <c r="Y133" s="729"/>
    </row>
    <row r="134" spans="1:30" s="716" customFormat="1" ht="14.1" customHeight="1">
      <c r="A134" s="2718">
        <f t="shared" si="107"/>
        <v>123</v>
      </c>
      <c r="B134" s="1083"/>
      <c r="C134" s="999"/>
      <c r="D134" s="1083"/>
      <c r="E134" s="994"/>
      <c r="F134" s="995"/>
      <c r="G134" s="995"/>
      <c r="H134" s="995"/>
      <c r="I134" s="1084"/>
      <c r="J134" s="1084"/>
      <c r="K134" s="1085"/>
      <c r="L134" s="1085"/>
      <c r="M134" s="959"/>
      <c r="N134" s="1086"/>
      <c r="O134" s="1086"/>
      <c r="P134" s="995"/>
      <c r="Q134" s="1086"/>
      <c r="R134" s="1085"/>
      <c r="S134" s="1085"/>
      <c r="T134" s="1085"/>
      <c r="U134" s="1087"/>
      <c r="V134" s="1013"/>
      <c r="W134" s="974"/>
      <c r="X134" s="975"/>
      <c r="Y134" s="729"/>
    </row>
    <row r="135" spans="1:30" s="716" customFormat="1" ht="14.1" customHeight="1">
      <c r="A135" s="2718">
        <f t="shared" si="107"/>
        <v>124</v>
      </c>
      <c r="B135" s="1083"/>
      <c r="C135" s="999"/>
      <c r="D135" s="999" t="s">
        <v>67</v>
      </c>
      <c r="E135" s="3041">
        <v>0.15</v>
      </c>
      <c r="F135" s="995" t="s">
        <v>1774</v>
      </c>
      <c r="G135" s="968" t="s">
        <v>1922</v>
      </c>
      <c r="H135" s="995"/>
      <c r="I135" s="1084"/>
      <c r="J135" s="1084"/>
      <c r="K135" s="1085"/>
      <c r="L135" s="1085"/>
      <c r="M135" s="959"/>
      <c r="N135" s="1086"/>
      <c r="O135" s="1086"/>
      <c r="P135" s="995"/>
      <c r="Q135" s="1086"/>
      <c r="R135" s="1085"/>
      <c r="S135" s="1085"/>
      <c r="T135" s="1085"/>
      <c r="U135" s="1087">
        <f>SUM(V113)*E135</f>
        <v>4348542.8642436331</v>
      </c>
      <c r="V135" s="1013">
        <f>U135</f>
        <v>4348542.8642436331</v>
      </c>
      <c r="W135" s="974"/>
      <c r="X135" s="975" t="s">
        <v>305</v>
      </c>
      <c r="Y135" s="729"/>
    </row>
    <row r="136" spans="1:30" s="716" customFormat="1" ht="14.1" customHeight="1">
      <c r="A136" s="2718">
        <f t="shared" si="107"/>
        <v>125</v>
      </c>
      <c r="B136" s="1083"/>
      <c r="C136" s="2061"/>
      <c r="D136" s="1083"/>
      <c r="E136" s="994"/>
      <c r="F136" s="995"/>
      <c r="G136" s="995"/>
      <c r="H136" s="995"/>
      <c r="I136" s="1084"/>
      <c r="J136" s="1084"/>
      <c r="K136" s="1085"/>
      <c r="L136" s="1085"/>
      <c r="M136" s="959"/>
      <c r="N136" s="1086"/>
      <c r="O136" s="1086"/>
      <c r="P136" s="995"/>
      <c r="Q136" s="1086"/>
      <c r="R136" s="1085"/>
      <c r="S136" s="1085"/>
      <c r="T136" s="1085"/>
      <c r="U136" s="1087"/>
      <c r="V136" s="1013"/>
      <c r="W136" s="974"/>
      <c r="X136" s="975"/>
      <c r="Y136" s="729"/>
    </row>
    <row r="137" spans="1:30" s="716" customFormat="1" ht="14.1" customHeight="1" thickBot="1">
      <c r="A137" s="2718">
        <f t="shared" si="107"/>
        <v>126</v>
      </c>
      <c r="B137" s="1088"/>
      <c r="C137" s="1088"/>
      <c r="D137" s="1088"/>
      <c r="E137" s="994"/>
      <c r="F137" s="995"/>
      <c r="G137" s="995"/>
      <c r="H137" s="995"/>
      <c r="I137" s="998"/>
      <c r="J137" s="996"/>
      <c r="K137" s="958"/>
      <c r="L137" s="959"/>
      <c r="M137" s="959"/>
      <c r="N137" s="960"/>
      <c r="O137" s="960"/>
      <c r="P137" s="2657"/>
      <c r="Q137" s="960"/>
      <c r="R137" s="959"/>
      <c r="S137" s="959"/>
      <c r="T137" s="959"/>
      <c r="U137" s="960"/>
      <c r="V137" s="1089"/>
      <c r="W137" s="974"/>
      <c r="X137" s="975"/>
      <c r="Y137" s="729"/>
    </row>
    <row r="138" spans="1:30" s="716" customFormat="1" ht="14.1" customHeight="1">
      <c r="A138" s="2718">
        <f t="shared" si="107"/>
        <v>127</v>
      </c>
      <c r="B138" s="1001"/>
      <c r="C138" s="999"/>
      <c r="D138" s="1090" t="s">
        <v>126</v>
      </c>
      <c r="E138" s="1028"/>
      <c r="F138" s="1029"/>
      <c r="G138" s="1029"/>
      <c r="H138" s="1029"/>
      <c r="I138" s="1030"/>
      <c r="J138" s="1031"/>
      <c r="K138" s="1032"/>
      <c r="L138" s="1033"/>
      <c r="M138" s="1033"/>
      <c r="N138" s="1034"/>
      <c r="O138" s="1034"/>
      <c r="P138" s="2661"/>
      <c r="Q138" s="1034"/>
      <c r="R138" s="1034"/>
      <c r="S138" s="1034"/>
      <c r="T138" s="1034"/>
      <c r="U138" s="1034">
        <f>SUM(U135:U137,U132)</f>
        <v>7268542.8642436331</v>
      </c>
      <c r="V138" s="1091">
        <f>U138</f>
        <v>7268542.8642436331</v>
      </c>
      <c r="W138" s="974"/>
      <c r="X138" s="975"/>
      <c r="Y138" s="796">
        <f>SUM(U138,T138,N138)</f>
        <v>7268542.8642436331</v>
      </c>
    </row>
    <row r="139" spans="1:30" s="716" customFormat="1" ht="16.8" thickBot="1">
      <c r="A139" s="2718">
        <f t="shared" si="107"/>
        <v>128</v>
      </c>
      <c r="B139" s="978"/>
      <c r="C139" s="978"/>
      <c r="D139" s="978"/>
      <c r="E139" s="978"/>
      <c r="F139" s="978"/>
      <c r="G139" s="978"/>
      <c r="H139" s="978"/>
      <c r="I139" s="1046"/>
      <c r="J139" s="978"/>
      <c r="K139" s="979"/>
      <c r="L139" s="978"/>
      <c r="M139" s="978"/>
      <c r="N139" s="978"/>
      <c r="O139" s="978"/>
      <c r="P139" s="977"/>
      <c r="Q139" s="978"/>
      <c r="R139" s="978"/>
      <c r="S139" s="978"/>
      <c r="T139" s="978"/>
      <c r="U139" s="978"/>
      <c r="V139" s="978"/>
      <c r="W139" s="965"/>
      <c r="X139" s="975"/>
    </row>
    <row r="140" spans="1:30" s="716" customFormat="1" ht="17.399999999999999" thickTop="1" thickBot="1">
      <c r="A140" s="2718">
        <f t="shared" ref="A140" si="114">A139+1</f>
        <v>129</v>
      </c>
      <c r="B140" s="1092"/>
      <c r="C140" s="1092"/>
      <c r="D140" s="1092" t="s">
        <v>127</v>
      </c>
      <c r="E140" s="1067"/>
      <c r="F140" s="1067"/>
      <c r="G140" s="1067"/>
      <c r="H140" s="1067"/>
      <c r="I140" s="1093"/>
      <c r="J140" s="1067"/>
      <c r="K140" s="1094"/>
      <c r="L140" s="1067"/>
      <c r="M140" s="1067"/>
      <c r="N140" s="1095">
        <f>SUM(N113)</f>
        <v>0</v>
      </c>
      <c r="O140" s="1095">
        <f>SUM(O113)</f>
        <v>15694870.356000001</v>
      </c>
      <c r="P140" s="2666"/>
      <c r="Q140" s="1095"/>
      <c r="R140" s="1095">
        <f>SUM(R113)</f>
        <v>3601939.2928424934</v>
      </c>
      <c r="S140" s="1095">
        <f>SUM(S113)</f>
        <v>67529.347999999998</v>
      </c>
      <c r="T140" s="1095">
        <f>SUM(T113)</f>
        <v>19296809.648842495</v>
      </c>
      <c r="U140" s="1096">
        <f>SUM(U138,U113)</f>
        <v>16962018.977025364</v>
      </c>
      <c r="V140" s="1097">
        <f>SUM(V138,V113)</f>
        <v>36258828.625867859</v>
      </c>
      <c r="W140" s="1098"/>
      <c r="X140" s="975"/>
      <c r="Y140" s="796">
        <f>SUM(U140,R140,O140,N140)</f>
        <v>36258828.625867859</v>
      </c>
    </row>
    <row r="141" spans="1:30" s="716" customFormat="1">
      <c r="A141" t="s">
        <v>305</v>
      </c>
      <c r="C141" s="1099"/>
      <c r="I141" s="1100"/>
      <c r="K141" s="1101"/>
      <c r="P141" s="1099"/>
    </row>
    <row r="142" spans="1:30" s="716" customFormat="1">
      <c r="C142" s="1099"/>
      <c r="I142" s="1100"/>
      <c r="K142" s="1101"/>
      <c r="P142" s="1099"/>
      <c r="U142" s="1102" t="s">
        <v>128</v>
      </c>
      <c r="V142" s="1103">
        <f>V140/('Project Summary'!L10*1000)</f>
        <v>3625.8828625867859</v>
      </c>
    </row>
    <row r="143" spans="1:30">
      <c r="A143" t="s">
        <v>305</v>
      </c>
      <c r="B143"/>
      <c r="X143" s="798"/>
    </row>
    <row r="144" spans="1:30">
      <c r="A144" t="s">
        <v>305</v>
      </c>
      <c r="B144"/>
    </row>
    <row r="145" spans="1:24">
      <c r="A145" t="s">
        <v>305</v>
      </c>
      <c r="B145"/>
    </row>
    <row r="146" spans="1:24">
      <c r="A146" t="s">
        <v>305</v>
      </c>
      <c r="B146"/>
    </row>
    <row r="147" spans="1:24">
      <c r="X147" s="1106"/>
    </row>
  </sheetData>
  <customSheetViews>
    <customSheetView guid="{B0DE55D3-31F4-4C5A-BCDA-3DAF0319F50E}" scale="70" showGridLines="0" fitToPage="1" hiddenRows="1" showRuler="0">
      <pane ySplit="13" topLeftCell="A316" activePane="bottomLeft"/>
      <selection pane="bottomLeft" activeCell="H319" sqref="H319"/>
      <rowBreaks count="6" manualBreakCount="6">
        <brk id="86" max="20" man="1"/>
        <brk id="126" max="20" man="1"/>
        <brk id="210" max="20" man="1"/>
        <brk id="255" max="20" man="1"/>
        <brk id="349" max="20" man="1"/>
        <brk id="417" max="20" man="1"/>
      </rowBreaks>
      <pageMargins left="0.47" right="0.25" top="0.5" bottom="0.5" header="0.25" footer="0.25"/>
      <printOptions horizontalCentered="1"/>
      <pageSetup paperSize="17" scale="63" firstPageNumber="3" fitToHeight="30" orientation="landscape" useFirstPageNumber="1" r:id="rId1"/>
      <headerFooter alignWithMargins="0">
        <oddHeader>&amp;C&amp;16&amp;A</oddHeader>
        <oddFooter>&amp;L&amp;"Arial,Bold"&amp;8&amp;D
CUMMINS &amp;&amp; BARNARD, INC&amp;R&amp;"Arial,Bold"&amp;8PAGE  &amp;P</oddFooter>
      </headerFooter>
    </customSheetView>
    <customSheetView guid="{BC3A604D-E901-4D72-B567-A41E3CE4BC9B}" scale="70" showPageBreaks="1" showGridLines="0" fitToPage="1" printArea="1" hiddenRows="1" showRuler="0">
      <pane ySplit="13" topLeftCell="A183" activePane="bottomLeft"/>
      <selection pane="bottomLeft" activeCell="J289" sqref="J289"/>
      <rowBreaks count="19" manualBreakCount="19">
        <brk id="75" max="19" man="1"/>
        <brk id="77" max="19" man="1"/>
        <brk id="84" max="19" man="1"/>
        <brk id="86" max="19" man="1"/>
        <brk id="122" max="19" man="1"/>
        <brk id="138" max="19" man="1"/>
        <brk id="142" max="19" man="1"/>
        <brk id="159" max="19" man="1"/>
        <brk id="200" max="19" man="1"/>
        <brk id="206" max="19" man="1"/>
        <brk id="232" max="19" man="1"/>
        <brk id="251" max="19" man="1"/>
        <brk id="262" max="19" man="1"/>
        <brk id="270" max="19" man="1"/>
        <brk id="334" max="19" man="1"/>
        <brk id="345" max="19" man="1"/>
        <brk id="398" max="19" man="1"/>
        <brk id="413" max="19" man="1"/>
        <brk id="461" max="19" man="1"/>
      </rowBreaks>
      <pageMargins left="0.47" right="0.25" top="0.5" bottom="0.5" header="0.25" footer="0.25"/>
      <printOptions horizontalCentered="1"/>
      <pageSetup paperSize="17" scale="67" firstPageNumber="3" fitToHeight="30" orientation="landscape" useFirstPageNumber="1" r:id="rId2"/>
      <headerFooter alignWithMargins="0">
        <oddHeader>&amp;C&amp;16&amp;A</oddHeader>
        <oddFooter>&amp;L&amp;"Arial,Bold"&amp;8&amp;D
CUMMINS &amp;&amp; BARNARD, INC&amp;R&amp;"Arial,Bold"&amp;8PAGE  &amp;P</oddFooter>
      </headerFooter>
    </customSheetView>
  </customSheetViews>
  <mergeCells count="16">
    <mergeCell ref="K7:K9"/>
    <mergeCell ref="L7:L9"/>
    <mergeCell ref="N7:N9"/>
    <mergeCell ref="I7:I9"/>
    <mergeCell ref="D7:D9"/>
    <mergeCell ref="C7:C9"/>
    <mergeCell ref="J7:J9"/>
    <mergeCell ref="E7:E9"/>
    <mergeCell ref="F7:F9"/>
    <mergeCell ref="G7:G9"/>
    <mergeCell ref="H7:H9"/>
    <mergeCell ref="X7:X9"/>
    <mergeCell ref="O7:U7"/>
    <mergeCell ref="O8:T8"/>
    <mergeCell ref="U8:U9"/>
    <mergeCell ref="V7:V9"/>
  </mergeCells>
  <phoneticPr fontId="0" type="noConversion"/>
  <printOptions horizontalCentered="1"/>
  <pageMargins left="1" right="1" top="0.75" bottom="0.86" header="0.5" footer="0.45"/>
  <pageSetup paperSize="17" scale="41" firstPageNumber="3" fitToHeight="7" orientation="landscape" r:id="rId3"/>
  <headerFooter alignWithMargins="0">
    <oddFooter xml:space="preserve">&amp;C&amp;"Verdana,Bold"&amp;16CONFIDENTIAL&amp;20
</oddFooter>
  </headerFooter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  <pageSetUpPr fitToPage="1"/>
  </sheetPr>
  <dimension ref="A1:AR1241"/>
  <sheetViews>
    <sheetView showGridLines="0" zoomScale="70" workbookViewId="0">
      <pane xSplit="11" ySplit="11" topLeftCell="AB1031" activePane="bottomRight" state="frozen"/>
      <selection activeCell="F41" sqref="F41"/>
      <selection pane="topRight" activeCell="F41" sqref="F41"/>
      <selection pane="bottomLeft" activeCell="F41" sqref="F41"/>
      <selection pane="bottomRight" activeCell="AC1079" sqref="AC1079"/>
    </sheetView>
  </sheetViews>
  <sheetFormatPr defaultRowHeight="15.6"/>
  <cols>
    <col min="1" max="1" width="2" bestFit="1" customWidth="1"/>
    <col min="2" max="3" width="3" bestFit="1" customWidth="1"/>
    <col min="4" max="4" width="2" bestFit="1" customWidth="1"/>
    <col min="5" max="5" width="6.36328125" style="38" bestFit="1" customWidth="1"/>
    <col min="6" max="6" width="2.6328125" customWidth="1"/>
    <col min="7" max="7" width="18.81640625" style="38" hidden="1" customWidth="1"/>
    <col min="8" max="8" width="50.81640625" customWidth="1"/>
    <col min="9" max="9" width="11" bestFit="1" customWidth="1"/>
    <col min="10" max="10" width="3.6328125" bestFit="1" customWidth="1"/>
    <col min="11" max="12" width="6.453125" customWidth="1"/>
    <col min="13" max="13" width="13.453125" style="49" hidden="1" customWidth="1"/>
    <col min="14" max="14" width="11" hidden="1" customWidth="1"/>
    <col min="15" max="15" width="10.453125" style="37" hidden="1" customWidth="1"/>
    <col min="16" max="16" width="12.1796875" hidden="1" customWidth="1"/>
    <col min="17" max="17" width="5.36328125" hidden="1" customWidth="1"/>
    <col min="18" max="18" width="15.1796875" bestFit="1" customWidth="1"/>
    <col min="19" max="19" width="6.453125" style="525" customWidth="1"/>
    <col min="20" max="20" width="12.6328125" bestFit="1" customWidth="1"/>
    <col min="21" max="21" width="6.453125" style="297" customWidth="1"/>
    <col min="22" max="22" width="13.6328125" bestFit="1" customWidth="1"/>
    <col min="23" max="23" width="6.453125" style="297" customWidth="1"/>
    <col min="24" max="24" width="10.90625" hidden="1" customWidth="1"/>
    <col min="25" max="25" width="13.6328125" hidden="1" customWidth="1"/>
    <col min="26" max="26" width="13.08984375" bestFit="1" customWidth="1"/>
    <col min="27" max="27" width="6.453125" style="297" customWidth="1"/>
    <col min="28" max="28" width="15.08984375" bestFit="1" customWidth="1"/>
    <col min="29" max="29" width="6.453125" style="297" customWidth="1"/>
    <col min="30" max="30" width="43.81640625" style="309" customWidth="1"/>
    <col min="31" max="31" width="15.453125" style="19" customWidth="1"/>
    <col min="32" max="32" width="13.90625" style="19" customWidth="1"/>
    <col min="33" max="33" width="16.1796875" style="19" customWidth="1"/>
    <col min="34" max="34" width="11.1796875" style="19" customWidth="1"/>
    <col min="35" max="35" width="11.81640625" style="19" customWidth="1"/>
    <col min="36" max="40" width="8.90625" style="19"/>
    <col min="41" max="41" width="11.453125" style="19" bestFit="1" customWidth="1"/>
    <col min="42" max="44" width="8.90625" style="19"/>
  </cols>
  <sheetData>
    <row r="1" spans="1:38" ht="24.6">
      <c r="A1" s="124"/>
      <c r="B1" s="124"/>
      <c r="C1" s="124"/>
      <c r="D1" s="124"/>
      <c r="E1" s="304"/>
      <c r="F1" s="292" t="str">
        <f>'Project Summary'!B1</f>
        <v>10 MW PV Solar  - Standard Efficiency Crystalline Panels</v>
      </c>
      <c r="G1" s="125"/>
      <c r="J1" s="123"/>
      <c r="K1" s="126"/>
      <c r="L1" s="123"/>
      <c r="M1" s="127"/>
      <c r="N1" s="126"/>
      <c r="O1" s="128"/>
      <c r="P1" s="126"/>
      <c r="Q1" s="126"/>
      <c r="R1" s="126"/>
      <c r="S1" s="502"/>
      <c r="T1" s="126"/>
      <c r="U1" s="482"/>
      <c r="V1" s="126"/>
      <c r="W1" s="482"/>
      <c r="X1" s="120"/>
      <c r="Y1" s="120"/>
      <c r="AA1" s="482"/>
      <c r="AC1" s="482"/>
      <c r="AD1" s="120"/>
      <c r="AE1" s="120"/>
      <c r="AF1" s="156"/>
      <c r="AG1" s="156"/>
      <c r="AH1" s="122"/>
    </row>
    <row r="2" spans="1:38" ht="17.399999999999999">
      <c r="A2" s="129"/>
      <c r="B2" s="129"/>
      <c r="C2" s="129"/>
      <c r="D2" s="129"/>
      <c r="E2" s="305"/>
      <c r="F2" s="131" t="str">
        <f>'Project Summary'!C2</f>
        <v>Kentucky</v>
      </c>
      <c r="K2" s="126"/>
      <c r="L2" s="126"/>
      <c r="M2" s="132"/>
      <c r="N2" s="133"/>
      <c r="O2" s="134"/>
      <c r="P2" s="133"/>
      <c r="Q2" s="133"/>
      <c r="R2" s="133"/>
      <c r="S2" s="503"/>
      <c r="T2" s="133"/>
      <c r="U2" s="483"/>
      <c r="V2" s="126"/>
      <c r="W2" s="483"/>
      <c r="X2" s="123"/>
      <c r="Y2" s="123"/>
      <c r="AA2" s="483"/>
      <c r="AC2" s="566"/>
      <c r="AD2" s="120"/>
      <c r="AE2" s="120"/>
      <c r="AF2" s="156"/>
      <c r="AG2" s="295"/>
      <c r="AH2" s="294"/>
    </row>
    <row r="3" spans="1:38">
      <c r="A3" s="129"/>
      <c r="B3" s="129"/>
      <c r="C3" s="129"/>
      <c r="D3" s="129"/>
      <c r="E3" s="305"/>
      <c r="F3" s="137" t="str">
        <f>'Project Summary'!C4</f>
        <v>Solar PV</v>
      </c>
      <c r="K3" s="138"/>
      <c r="L3" s="138"/>
      <c r="M3" s="136"/>
      <c r="N3" s="138"/>
      <c r="O3" s="139"/>
      <c r="P3" s="138"/>
      <c r="Q3" s="138"/>
      <c r="R3" s="138"/>
      <c r="S3" s="504"/>
      <c r="T3" s="138"/>
      <c r="U3" s="484"/>
      <c r="V3" s="125"/>
      <c r="W3" s="484"/>
      <c r="X3" s="123"/>
      <c r="Y3" s="123"/>
      <c r="AA3" s="293" t="s">
        <v>1575</v>
      </c>
      <c r="AB3" s="135">
        <v>39240</v>
      </c>
      <c r="AC3" s="482"/>
      <c r="AD3" s="308"/>
      <c r="AE3" s="120"/>
      <c r="AF3" s="156"/>
      <c r="AG3" s="156"/>
      <c r="AH3" s="122"/>
    </row>
    <row r="4" spans="1:38" ht="17.399999999999999">
      <c r="A4" s="129"/>
      <c r="B4" s="129"/>
      <c r="C4" s="129"/>
      <c r="D4" s="129"/>
      <c r="E4" s="305"/>
      <c r="F4" s="131" t="str">
        <f>'Project Summary'!C5</f>
        <v>LG&amp;E/KU</v>
      </c>
      <c r="K4" s="126"/>
      <c r="L4" s="126"/>
      <c r="M4" s="132"/>
      <c r="N4" s="133"/>
      <c r="O4" s="134"/>
      <c r="P4" s="133"/>
      <c r="Q4" s="133"/>
      <c r="R4" s="133"/>
      <c r="S4" s="503"/>
      <c r="T4" s="133"/>
      <c r="U4" s="483"/>
      <c r="V4" s="140"/>
      <c r="W4" s="483"/>
      <c r="X4" s="123"/>
      <c r="Y4" s="123"/>
      <c r="AC4" s="565"/>
      <c r="AD4" s="308"/>
      <c r="AE4" s="120"/>
      <c r="AF4" s="156"/>
      <c r="AG4" s="156"/>
      <c r="AH4" s="122"/>
    </row>
    <row r="5" spans="1:38" ht="17.399999999999999">
      <c r="A5" s="129"/>
      <c r="B5" s="129"/>
      <c r="C5" s="129"/>
      <c r="D5" s="129"/>
      <c r="E5" s="305"/>
      <c r="F5" s="137" t="s">
        <v>70</v>
      </c>
      <c r="I5" s="669" t="s">
        <v>1121</v>
      </c>
      <c r="K5" s="120"/>
      <c r="L5" s="120"/>
      <c r="M5" s="141"/>
      <c r="N5" s="120"/>
      <c r="O5" s="142"/>
      <c r="P5" s="120"/>
      <c r="Q5" s="120"/>
      <c r="R5" s="120"/>
      <c r="S5" s="502"/>
      <c r="T5" s="119"/>
      <c r="U5" s="482"/>
      <c r="V5" s="120"/>
      <c r="W5" s="482"/>
      <c r="X5" s="120"/>
      <c r="Y5" s="120"/>
      <c r="Z5" s="120"/>
      <c r="AA5" s="482"/>
      <c r="AB5" s="119"/>
      <c r="AC5" s="483"/>
      <c r="AD5" s="120"/>
      <c r="AE5" s="120"/>
      <c r="AF5" s="156"/>
      <c r="AG5" s="156"/>
      <c r="AH5" s="122"/>
    </row>
    <row r="6" spans="1:38" ht="15.9" customHeight="1">
      <c r="A6" s="129"/>
      <c r="B6" s="129"/>
      <c r="C6" s="129"/>
      <c r="D6" s="129"/>
      <c r="E6" s="305"/>
      <c r="F6" s="131"/>
      <c r="I6" s="668" t="s">
        <v>69</v>
      </c>
      <c r="K6" s="120"/>
      <c r="L6" s="120"/>
      <c r="M6" s="141"/>
      <c r="N6" s="120"/>
      <c r="O6" s="142"/>
      <c r="P6" s="120"/>
      <c r="Q6" s="120"/>
      <c r="R6" s="120"/>
      <c r="S6" s="502"/>
      <c r="T6" s="120"/>
      <c r="U6" s="482"/>
      <c r="V6" s="119"/>
      <c r="W6" s="482"/>
      <c r="X6" s="120"/>
      <c r="Y6" s="120"/>
      <c r="Z6" s="120"/>
      <c r="AA6" s="482"/>
      <c r="AB6" s="119"/>
      <c r="AC6" s="483"/>
      <c r="AD6" s="308"/>
      <c r="AE6" s="120"/>
      <c r="AF6" s="156"/>
      <c r="AG6" s="156"/>
      <c r="AH6" s="122"/>
    </row>
    <row r="7" spans="1:38" ht="14.1" customHeight="1">
      <c r="A7" s="3156" t="s">
        <v>2150</v>
      </c>
      <c r="B7" s="3157"/>
      <c r="C7" s="3157"/>
      <c r="D7" s="3157"/>
      <c r="E7" s="306"/>
      <c r="F7" s="352"/>
      <c r="G7" s="3159" t="s">
        <v>2064</v>
      </c>
      <c r="H7" s="3161" t="s">
        <v>2065</v>
      </c>
      <c r="I7" s="3163" t="s">
        <v>2066</v>
      </c>
      <c r="J7" s="3172" t="s">
        <v>2067</v>
      </c>
      <c r="K7" s="3174" t="s">
        <v>577</v>
      </c>
      <c r="L7" s="3174" t="s">
        <v>578</v>
      </c>
      <c r="M7" s="3176" t="s">
        <v>1662</v>
      </c>
      <c r="N7" s="3165" t="s">
        <v>1663</v>
      </c>
      <c r="O7" s="3168" t="s">
        <v>1664</v>
      </c>
      <c r="P7" s="3165" t="s">
        <v>622</v>
      </c>
      <c r="Q7" s="3169" t="s">
        <v>1358</v>
      </c>
      <c r="R7" s="3181" t="s">
        <v>623</v>
      </c>
      <c r="S7" s="3192" t="s">
        <v>1456</v>
      </c>
      <c r="T7" s="3182" t="s">
        <v>2057</v>
      </c>
      <c r="U7" s="3183"/>
      <c r="V7" s="3184"/>
      <c r="W7" s="3184"/>
      <c r="X7" s="3184"/>
      <c r="Y7" s="3184"/>
      <c r="Z7" s="3185"/>
      <c r="AA7" s="3178" t="s">
        <v>1456</v>
      </c>
      <c r="AB7" s="3186" t="s">
        <v>888</v>
      </c>
      <c r="AC7" s="306"/>
      <c r="AD7" s="3187" t="s">
        <v>1363</v>
      </c>
      <c r="AE7" s="120"/>
      <c r="AF7" s="156"/>
      <c r="AG7" s="156"/>
      <c r="AH7" s="122"/>
    </row>
    <row r="8" spans="1:38" ht="14.1" customHeight="1">
      <c r="A8" s="3157"/>
      <c r="B8" s="3157"/>
      <c r="C8" s="3157"/>
      <c r="D8" s="3157"/>
      <c r="E8" s="306"/>
      <c r="F8" s="352"/>
      <c r="G8" s="3159"/>
      <c r="H8" s="3161"/>
      <c r="I8" s="3163"/>
      <c r="J8" s="3172"/>
      <c r="K8" s="3174"/>
      <c r="L8" s="3174"/>
      <c r="M8" s="3176"/>
      <c r="N8" s="3166"/>
      <c r="O8" s="3166"/>
      <c r="P8" s="3166"/>
      <c r="Q8" s="3170"/>
      <c r="R8" s="3166"/>
      <c r="S8" s="3193"/>
      <c r="T8" s="3182" t="s">
        <v>2063</v>
      </c>
      <c r="U8" s="3183"/>
      <c r="V8" s="3184"/>
      <c r="W8" s="3184"/>
      <c r="X8" s="3184"/>
      <c r="Y8" s="3185"/>
      <c r="Z8" s="3190" t="s">
        <v>887</v>
      </c>
      <c r="AA8" s="3179"/>
      <c r="AB8" s="3166"/>
      <c r="AC8" s="306"/>
      <c r="AD8" s="3188"/>
      <c r="AE8" s="120"/>
      <c r="AF8" s="156"/>
      <c r="AG8" s="156"/>
      <c r="AH8" s="122"/>
    </row>
    <row r="9" spans="1:38" ht="16.2" thickBot="1">
      <c r="A9" s="3158"/>
      <c r="B9" s="3158"/>
      <c r="C9" s="3158"/>
      <c r="D9" s="3158"/>
      <c r="E9" s="143"/>
      <c r="F9" s="353"/>
      <c r="G9" s="3160"/>
      <c r="H9" s="3162"/>
      <c r="I9" s="3164"/>
      <c r="J9" s="3173"/>
      <c r="K9" s="3175"/>
      <c r="L9" s="3175"/>
      <c r="M9" s="3177"/>
      <c r="N9" s="3167"/>
      <c r="O9" s="3167"/>
      <c r="P9" s="3167"/>
      <c r="Q9" s="3171"/>
      <c r="R9" s="3167"/>
      <c r="S9" s="3194"/>
      <c r="T9" s="144" t="s">
        <v>1359</v>
      </c>
      <c r="U9" s="144"/>
      <c r="V9" s="144" t="s">
        <v>1360</v>
      </c>
      <c r="W9" s="144"/>
      <c r="X9" s="145" t="s">
        <v>1361</v>
      </c>
      <c r="Y9" s="144" t="s">
        <v>1362</v>
      </c>
      <c r="Z9" s="3191"/>
      <c r="AA9" s="3180"/>
      <c r="AB9" s="3167"/>
      <c r="AC9" s="143"/>
      <c r="AD9" s="3189"/>
      <c r="AE9" s="120"/>
      <c r="AF9" s="156"/>
      <c r="AG9" s="156"/>
      <c r="AH9" s="122"/>
    </row>
    <row r="10" spans="1:38" ht="16.2" thickTop="1">
      <c r="A10" s="220">
        <v>1</v>
      </c>
      <c r="B10" s="220">
        <v>2</v>
      </c>
      <c r="C10" s="220">
        <v>3</v>
      </c>
      <c r="D10" s="220">
        <v>4</v>
      </c>
      <c r="E10" s="319" t="s">
        <v>1339</v>
      </c>
      <c r="F10" s="146"/>
      <c r="G10" s="147"/>
      <c r="H10" s="148"/>
      <c r="I10" s="149"/>
      <c r="J10" s="149"/>
      <c r="K10" s="147"/>
      <c r="L10" s="147"/>
      <c r="M10" s="150"/>
      <c r="N10" s="149"/>
      <c r="O10" s="151"/>
      <c r="P10" s="152"/>
      <c r="Q10" s="152"/>
      <c r="R10" s="153"/>
      <c r="S10" s="505"/>
      <c r="T10" s="153"/>
      <c r="U10" s="498"/>
      <c r="V10" s="152"/>
      <c r="W10" s="498"/>
      <c r="X10" s="152"/>
      <c r="Y10" s="152"/>
      <c r="Z10" s="152"/>
      <c r="AA10" s="485"/>
      <c r="AB10" s="154"/>
      <c r="AC10" s="567"/>
      <c r="AD10" s="155"/>
      <c r="AE10" s="156"/>
      <c r="AF10" s="156"/>
      <c r="AG10" s="156"/>
      <c r="AH10" s="156"/>
      <c r="AI10" s="29"/>
      <c r="AJ10" s="29"/>
      <c r="AK10" s="29"/>
      <c r="AL10" s="29"/>
    </row>
    <row r="11" spans="1:38">
      <c r="A11" s="232"/>
      <c r="B11" s="233"/>
      <c r="C11" s="233"/>
      <c r="D11" s="350"/>
      <c r="E11" s="320"/>
      <c r="F11" s="321"/>
      <c r="G11" s="158"/>
      <c r="H11" s="159"/>
      <c r="I11" s="160"/>
      <c r="J11" s="160"/>
      <c r="K11" s="158"/>
      <c r="L11" s="158"/>
      <c r="M11" s="161"/>
      <c r="N11" s="160"/>
      <c r="O11" s="162"/>
      <c r="P11" s="163"/>
      <c r="Q11" s="163"/>
      <c r="R11" s="164"/>
      <c r="S11" s="506"/>
      <c r="T11" s="164"/>
      <c r="U11" s="493"/>
      <c r="V11" s="163"/>
      <c r="W11" s="493"/>
      <c r="X11" s="163"/>
      <c r="Y11" s="163"/>
      <c r="Z11" s="163"/>
      <c r="AA11" s="486"/>
      <c r="AB11" s="165"/>
      <c r="AC11" s="568"/>
      <c r="AD11" s="155"/>
      <c r="AE11" s="156"/>
      <c r="AF11" s="156"/>
      <c r="AG11" s="156"/>
      <c r="AH11" s="156"/>
      <c r="AI11" s="29"/>
      <c r="AJ11" s="29"/>
      <c r="AK11" s="29"/>
      <c r="AL11" s="29"/>
    </row>
    <row r="12" spans="1:38">
      <c r="A12" s="209"/>
      <c r="B12" s="210"/>
      <c r="C12" s="210"/>
      <c r="D12" s="347"/>
      <c r="E12" s="158"/>
      <c r="F12" s="157"/>
      <c r="G12" s="158"/>
      <c r="H12" s="159"/>
      <c r="I12" s="160"/>
      <c r="J12" s="160"/>
      <c r="K12" s="158"/>
      <c r="L12" s="158"/>
      <c r="M12" s="161"/>
      <c r="N12" s="160"/>
      <c r="O12" s="162"/>
      <c r="P12" s="163"/>
      <c r="Q12" s="163"/>
      <c r="R12" s="385" t="s">
        <v>265</v>
      </c>
      <c r="S12" s="506" t="s">
        <v>266</v>
      </c>
      <c r="T12" s="385" t="s">
        <v>265</v>
      </c>
      <c r="U12" s="493" t="s">
        <v>266</v>
      </c>
      <c r="V12" s="544" t="s">
        <v>265</v>
      </c>
      <c r="W12" s="493" t="s">
        <v>266</v>
      </c>
      <c r="X12" s="163"/>
      <c r="Y12" s="163"/>
      <c r="Z12" s="544" t="s">
        <v>265</v>
      </c>
      <c r="AA12" s="486" t="s">
        <v>266</v>
      </c>
      <c r="AB12" s="165"/>
      <c r="AC12" s="568"/>
      <c r="AD12" s="155"/>
      <c r="AE12" s="156"/>
      <c r="AF12" s="156"/>
      <c r="AG12" s="156"/>
      <c r="AH12" s="156"/>
      <c r="AI12" s="29"/>
      <c r="AJ12" s="29"/>
      <c r="AK12" s="29"/>
      <c r="AL12" s="29"/>
    </row>
    <row r="13" spans="1:38" ht="14.1" customHeight="1">
      <c r="A13" s="116" t="e">
        <f>+'Estimate Details'!#REF!</f>
        <v>#REF!</v>
      </c>
      <c r="B13" s="116"/>
      <c r="C13" s="116"/>
      <c r="D13" s="166"/>
      <c r="E13" s="158" t="e">
        <f>+'Estimate Details'!#REF!</f>
        <v>#REF!</v>
      </c>
      <c r="F13" s="41"/>
      <c r="G13" s="117" t="e">
        <f>+'Estimate Details'!#REF!</f>
        <v>#REF!</v>
      </c>
      <c r="H13" s="118" t="e">
        <f>+'Estimate Details'!#REF!</f>
        <v>#REF!</v>
      </c>
      <c r="I13" s="108" t="e">
        <f>+'Estimate Details'!#REF!</f>
        <v>#REF!</v>
      </c>
      <c r="J13" s="168" t="e">
        <f>+'Estimate Details'!#REF!</f>
        <v>#REF!</v>
      </c>
      <c r="K13" s="42" t="e">
        <f>+'Estimate Details'!#REF!</f>
        <v>#REF!</v>
      </c>
      <c r="L13" s="42" t="e">
        <f>+'Estimate Details'!#REF!</f>
        <v>#REF!</v>
      </c>
      <c r="M13" s="169" t="e">
        <f>+'Estimate Details'!#REF!</f>
        <v>#REF!</v>
      </c>
      <c r="N13" s="170" t="e">
        <f>+'Estimate Details'!#REF!</f>
        <v>#REF!</v>
      </c>
      <c r="O13" s="171" t="e">
        <f>+'Estimate Details'!#REF!</f>
        <v>#REF!</v>
      </c>
      <c r="P13" s="172" t="e">
        <f>+'Estimate Details'!#REF!</f>
        <v>#REF!</v>
      </c>
      <c r="Q13" s="173" t="e">
        <f>+'Estimate Details'!#REF!</f>
        <v>#REF!</v>
      </c>
      <c r="R13" s="174" t="e">
        <f>+'Estimate Details'!#REF!</f>
        <v>#REF!</v>
      </c>
      <c r="S13" s="507"/>
      <c r="T13" s="174" t="e">
        <f>+'Estimate Details'!#REF!</f>
        <v>#REF!</v>
      </c>
      <c r="U13" s="481"/>
      <c r="V13" s="172" t="e">
        <f>+'Estimate Details'!#REF!</f>
        <v>#REF!</v>
      </c>
      <c r="W13" s="481"/>
      <c r="X13" s="172" t="e">
        <f>+'Estimate Details'!#REF!</f>
        <v>#REF!</v>
      </c>
      <c r="Y13" s="172" t="e">
        <f>+'Estimate Details'!#REF!</f>
        <v>#REF!</v>
      </c>
      <c r="Z13" s="174" t="e">
        <f>+'Estimate Details'!#REF!</f>
        <v>#REF!</v>
      </c>
      <c r="AA13" s="481" t="s">
        <v>1309</v>
      </c>
      <c r="AB13" s="175" t="e">
        <f>+'Estimate Details'!#REF!</f>
        <v>#REF!</v>
      </c>
      <c r="AC13" s="569"/>
      <c r="AD13" s="176" t="e">
        <f>+'Estimate Details'!#REF!</f>
        <v>#REF!</v>
      </c>
      <c r="AE13" s="156"/>
      <c r="AF13" s="156"/>
      <c r="AG13" s="156"/>
      <c r="AH13" s="156"/>
      <c r="AI13" s="29"/>
      <c r="AJ13" s="29"/>
      <c r="AK13" s="29"/>
      <c r="AL13" s="29"/>
    </row>
    <row r="14" spans="1:38" ht="14.1" customHeight="1">
      <c r="A14" s="116" t="e">
        <f>+'Estimate Details'!#REF!</f>
        <v>#REF!</v>
      </c>
      <c r="B14" s="116"/>
      <c r="C14" s="116"/>
      <c r="D14" s="166"/>
      <c r="E14" s="158" t="e">
        <f>+'Estimate Details'!#REF!</f>
        <v>#REF!</v>
      </c>
      <c r="F14" s="41"/>
      <c r="G14" s="117" t="e">
        <f>+'Estimate Details'!#REF!</f>
        <v>#REF!</v>
      </c>
      <c r="H14" s="118" t="e">
        <f>+'Estimate Details'!#REF!</f>
        <v>#REF!</v>
      </c>
      <c r="I14" s="108" t="e">
        <f>+'Estimate Details'!#REF!</f>
        <v>#REF!</v>
      </c>
      <c r="J14" s="168" t="e">
        <f>+'Estimate Details'!#REF!</f>
        <v>#REF!</v>
      </c>
      <c r="K14" s="42" t="e">
        <f>+'Estimate Details'!#REF!</f>
        <v>#REF!</v>
      </c>
      <c r="L14" s="42" t="e">
        <f>+'Estimate Details'!#REF!</f>
        <v>#REF!</v>
      </c>
      <c r="M14" s="177" t="e">
        <f>+'Estimate Details'!#REF!</f>
        <v>#REF!</v>
      </c>
      <c r="N14" s="170" t="e">
        <f>+'Estimate Details'!#REF!</f>
        <v>#REF!</v>
      </c>
      <c r="O14" s="171" t="e">
        <f>+'Estimate Details'!#REF!</f>
        <v>#REF!</v>
      </c>
      <c r="P14" s="172" t="e">
        <f>+'Estimate Details'!#REF!</f>
        <v>#REF!</v>
      </c>
      <c r="Q14" s="173" t="e">
        <f>+'Estimate Details'!#REF!</f>
        <v>#REF!</v>
      </c>
      <c r="R14" s="174" t="e">
        <f>+'Estimate Details'!#REF!</f>
        <v>#REF!</v>
      </c>
      <c r="S14" s="507"/>
      <c r="T14" s="174" t="e">
        <f>+'Estimate Details'!#REF!</f>
        <v>#REF!</v>
      </c>
      <c r="U14" s="481" t="s">
        <v>1309</v>
      </c>
      <c r="V14" s="172" t="e">
        <f>+'Estimate Details'!#REF!</f>
        <v>#REF!</v>
      </c>
      <c r="W14" s="481" t="s">
        <v>1309</v>
      </c>
      <c r="X14" s="172" t="e">
        <f>+'Estimate Details'!#REF!</f>
        <v>#REF!</v>
      </c>
      <c r="Y14" s="172" t="e">
        <f>+'Estimate Details'!#REF!</f>
        <v>#REF!</v>
      </c>
      <c r="Z14" s="174" t="e">
        <f>+'Estimate Details'!#REF!</f>
        <v>#REF!</v>
      </c>
      <c r="AA14" s="481"/>
      <c r="AB14" s="175" t="e">
        <f>+'Estimate Details'!#REF!</f>
        <v>#REF!</v>
      </c>
      <c r="AC14" s="569"/>
      <c r="AD14" s="176" t="e">
        <f>+'Estimate Details'!#REF!</f>
        <v>#REF!</v>
      </c>
      <c r="AE14" s="156"/>
      <c r="AF14" s="156"/>
      <c r="AG14" s="156"/>
      <c r="AH14" s="156"/>
      <c r="AI14" s="29"/>
      <c r="AJ14" s="29"/>
      <c r="AK14" s="29"/>
      <c r="AL14" s="29"/>
    </row>
    <row r="15" spans="1:38" ht="14.1" customHeight="1">
      <c r="A15" s="116" t="e">
        <f>+'Estimate Details'!#REF!</f>
        <v>#REF!</v>
      </c>
      <c r="B15" s="116"/>
      <c r="C15" s="116"/>
      <c r="D15" s="166"/>
      <c r="E15" s="158" t="e">
        <f>+'Estimate Details'!#REF!</f>
        <v>#REF!</v>
      </c>
      <c r="F15" s="41"/>
      <c r="G15" s="117" t="e">
        <f>+'Estimate Details'!#REF!</f>
        <v>#REF!</v>
      </c>
      <c r="H15" s="118" t="e">
        <f>+'Estimate Details'!#REF!</f>
        <v>#REF!</v>
      </c>
      <c r="I15" s="108" t="e">
        <f>+'Estimate Details'!#REF!</f>
        <v>#REF!</v>
      </c>
      <c r="J15" s="168" t="e">
        <f>+'Estimate Details'!#REF!</f>
        <v>#REF!</v>
      </c>
      <c r="K15" s="42" t="e">
        <f>+'Estimate Details'!#REF!</f>
        <v>#REF!</v>
      </c>
      <c r="L15" s="42" t="e">
        <f>+'Estimate Details'!#REF!</f>
        <v>#REF!</v>
      </c>
      <c r="M15" s="177" t="e">
        <f>+'Estimate Details'!#REF!</f>
        <v>#REF!</v>
      </c>
      <c r="N15" s="170" t="e">
        <f>+'Estimate Details'!#REF!</f>
        <v>#REF!</v>
      </c>
      <c r="O15" s="171" t="e">
        <f>+'Estimate Details'!#REF!</f>
        <v>#REF!</v>
      </c>
      <c r="P15" s="172" t="e">
        <f>+'Estimate Details'!#REF!</f>
        <v>#REF!</v>
      </c>
      <c r="Q15" s="173" t="e">
        <f>+'Estimate Details'!#REF!</f>
        <v>#REF!</v>
      </c>
      <c r="R15" s="174" t="e">
        <f>+'Estimate Details'!#REF!</f>
        <v>#REF!</v>
      </c>
      <c r="S15" s="507"/>
      <c r="T15" s="174" t="e">
        <f>+'Estimate Details'!#REF!</f>
        <v>#REF!</v>
      </c>
      <c r="U15" s="481"/>
      <c r="V15" s="172" t="e">
        <f>+'Estimate Details'!#REF!</f>
        <v>#REF!</v>
      </c>
      <c r="W15" s="481" t="s">
        <v>1309</v>
      </c>
      <c r="X15" s="172" t="e">
        <f>+'Estimate Details'!#REF!</f>
        <v>#REF!</v>
      </c>
      <c r="Y15" s="172" t="e">
        <f>+'Estimate Details'!#REF!</f>
        <v>#REF!</v>
      </c>
      <c r="Z15" s="174" t="e">
        <f>+'Estimate Details'!#REF!</f>
        <v>#REF!</v>
      </c>
      <c r="AA15" s="481"/>
      <c r="AB15" s="175" t="e">
        <f>+'Estimate Details'!#REF!</f>
        <v>#REF!</v>
      </c>
      <c r="AC15" s="569"/>
      <c r="AD15" s="176" t="e">
        <f>+'Estimate Details'!#REF!</f>
        <v>#REF!</v>
      </c>
      <c r="AE15" s="156"/>
      <c r="AF15" s="156"/>
      <c r="AG15" s="156"/>
      <c r="AH15" s="156"/>
      <c r="AI15" s="29"/>
      <c r="AJ15" s="29"/>
      <c r="AK15" s="29"/>
      <c r="AL15" s="29"/>
    </row>
    <row r="16" spans="1:38" ht="14.1" customHeight="1">
      <c r="A16" s="116" t="e">
        <f>+'Estimate Details'!#REF!</f>
        <v>#REF!</v>
      </c>
      <c r="B16" s="116"/>
      <c r="C16" s="116"/>
      <c r="D16" s="166"/>
      <c r="E16" s="158" t="e">
        <f>+'Estimate Details'!#REF!</f>
        <v>#REF!</v>
      </c>
      <c r="F16" s="41"/>
      <c r="G16" s="117" t="e">
        <f>+'Estimate Details'!#REF!</f>
        <v>#REF!</v>
      </c>
      <c r="H16" s="118" t="e">
        <f>+'Estimate Details'!#REF!</f>
        <v>#REF!</v>
      </c>
      <c r="I16" s="108" t="e">
        <f>+'Estimate Details'!#REF!</f>
        <v>#REF!</v>
      </c>
      <c r="J16" s="168" t="e">
        <f>+'Estimate Details'!#REF!</f>
        <v>#REF!</v>
      </c>
      <c r="K16" s="42" t="e">
        <f>+'Estimate Details'!#REF!</f>
        <v>#REF!</v>
      </c>
      <c r="L16" s="42" t="e">
        <f>+'Estimate Details'!#REF!</f>
        <v>#REF!</v>
      </c>
      <c r="M16" s="177" t="e">
        <f>+'Estimate Details'!#REF!</f>
        <v>#REF!</v>
      </c>
      <c r="N16" s="170" t="e">
        <f>+'Estimate Details'!#REF!</f>
        <v>#REF!</v>
      </c>
      <c r="O16" s="171" t="e">
        <f>+'Estimate Details'!#REF!</f>
        <v>#REF!</v>
      </c>
      <c r="P16" s="172" t="e">
        <f>+'Estimate Details'!#REF!</f>
        <v>#REF!</v>
      </c>
      <c r="Q16" s="173" t="e">
        <f>+'Estimate Details'!#REF!</f>
        <v>#REF!</v>
      </c>
      <c r="R16" s="174" t="e">
        <f>+'Estimate Details'!#REF!</f>
        <v>#REF!</v>
      </c>
      <c r="S16" s="507"/>
      <c r="T16" s="174" t="e">
        <f>+'Estimate Details'!#REF!</f>
        <v>#REF!</v>
      </c>
      <c r="U16" s="481" t="s">
        <v>1309</v>
      </c>
      <c r="V16" s="172" t="e">
        <f>+'Estimate Details'!#REF!</f>
        <v>#REF!</v>
      </c>
      <c r="W16" s="481" t="s">
        <v>1309</v>
      </c>
      <c r="X16" s="172" t="e">
        <f>+'Estimate Details'!#REF!</f>
        <v>#REF!</v>
      </c>
      <c r="Y16" s="172" t="e">
        <f>+'Estimate Details'!#REF!</f>
        <v>#REF!</v>
      </c>
      <c r="Z16" s="174" t="e">
        <f>+'Estimate Details'!#REF!</f>
        <v>#REF!</v>
      </c>
      <c r="AA16" s="481"/>
      <c r="AB16" s="175" t="e">
        <f>+'Estimate Details'!#REF!</f>
        <v>#REF!</v>
      </c>
      <c r="AC16" s="569"/>
      <c r="AD16" s="176" t="e">
        <f>+'Estimate Details'!#REF!</f>
        <v>#REF!</v>
      </c>
      <c r="AE16" s="156"/>
      <c r="AF16" s="156"/>
      <c r="AG16" s="156"/>
      <c r="AH16" s="156"/>
      <c r="AI16" s="29"/>
      <c r="AJ16" s="29"/>
      <c r="AK16" s="29"/>
      <c r="AL16" s="29"/>
    </row>
    <row r="17" spans="1:44" ht="14.1" customHeight="1">
      <c r="A17" s="116" t="e">
        <f>+'Estimate Details'!#REF!</f>
        <v>#REF!</v>
      </c>
      <c r="B17" s="116"/>
      <c r="C17" s="116"/>
      <c r="D17" s="166"/>
      <c r="E17" s="158" t="e">
        <f>+'Estimate Details'!#REF!</f>
        <v>#REF!</v>
      </c>
      <c r="F17" s="41"/>
      <c r="G17" s="117" t="e">
        <f>+'Estimate Details'!#REF!</f>
        <v>#REF!</v>
      </c>
      <c r="H17" s="118" t="e">
        <f>+'Estimate Details'!#REF!</f>
        <v>#REF!</v>
      </c>
      <c r="I17" s="108" t="e">
        <f>+'Estimate Details'!#REF!</f>
        <v>#REF!</v>
      </c>
      <c r="J17" s="168" t="e">
        <f>+'Estimate Details'!#REF!</f>
        <v>#REF!</v>
      </c>
      <c r="K17" s="42" t="e">
        <f>+'Estimate Details'!#REF!</f>
        <v>#REF!</v>
      </c>
      <c r="L17" s="42" t="e">
        <f>+'Estimate Details'!#REF!</f>
        <v>#REF!</v>
      </c>
      <c r="M17" s="177" t="e">
        <f>+'Estimate Details'!#REF!</f>
        <v>#REF!</v>
      </c>
      <c r="N17" s="170" t="e">
        <f>+'Estimate Details'!#REF!</f>
        <v>#REF!</v>
      </c>
      <c r="O17" s="171" t="e">
        <f>+'Estimate Details'!#REF!</f>
        <v>#REF!</v>
      </c>
      <c r="P17" s="172" t="e">
        <f>+'Estimate Details'!#REF!</f>
        <v>#REF!</v>
      </c>
      <c r="Q17" s="173" t="e">
        <f>+'Estimate Details'!#REF!</f>
        <v>#REF!</v>
      </c>
      <c r="R17" s="174" t="e">
        <f>+'Estimate Details'!#REF!</f>
        <v>#REF!</v>
      </c>
      <c r="S17" s="507"/>
      <c r="T17" s="174" t="e">
        <f>+'Estimate Details'!#REF!</f>
        <v>#REF!</v>
      </c>
      <c r="U17" s="481" t="s">
        <v>1309</v>
      </c>
      <c r="V17" s="172" t="e">
        <f>+'Estimate Details'!#REF!</f>
        <v>#REF!</v>
      </c>
      <c r="W17" s="481" t="s">
        <v>1309</v>
      </c>
      <c r="X17" s="172" t="e">
        <f>+'Estimate Details'!#REF!</f>
        <v>#REF!</v>
      </c>
      <c r="Y17" s="172" t="e">
        <f>+'Estimate Details'!#REF!</f>
        <v>#REF!</v>
      </c>
      <c r="Z17" s="174" t="e">
        <f>+'Estimate Details'!#REF!</f>
        <v>#REF!</v>
      </c>
      <c r="AA17" s="481"/>
      <c r="AB17" s="175" t="e">
        <f>+'Estimate Details'!#REF!</f>
        <v>#REF!</v>
      </c>
      <c r="AC17" s="569"/>
      <c r="AD17" s="176" t="e">
        <f>+'Estimate Details'!#REF!</f>
        <v>#REF!</v>
      </c>
      <c r="AE17" s="156"/>
      <c r="AF17" s="156"/>
      <c r="AG17" s="156"/>
      <c r="AH17" s="156"/>
      <c r="AI17" s="29"/>
      <c r="AJ17" s="29"/>
      <c r="AK17" s="29"/>
      <c r="AL17" s="29"/>
    </row>
    <row r="18" spans="1:44" ht="14.1" customHeight="1">
      <c r="A18" s="116" t="e">
        <f>+'Estimate Details'!#REF!</f>
        <v>#REF!</v>
      </c>
      <c r="B18" s="116"/>
      <c r="C18" s="116"/>
      <c r="D18" s="166"/>
      <c r="E18" s="158" t="e">
        <f>+'Estimate Details'!#REF!</f>
        <v>#REF!</v>
      </c>
      <c r="F18" s="41"/>
      <c r="G18" s="117" t="e">
        <f>+'Estimate Details'!#REF!</f>
        <v>#REF!</v>
      </c>
      <c r="H18" s="118" t="e">
        <f>+'Estimate Details'!#REF!</f>
        <v>#REF!</v>
      </c>
      <c r="I18" s="108" t="e">
        <f>+'Estimate Details'!#REF!</f>
        <v>#REF!</v>
      </c>
      <c r="J18" s="168" t="e">
        <f>+'Estimate Details'!#REF!</f>
        <v>#REF!</v>
      </c>
      <c r="K18" s="42" t="e">
        <f>+'Estimate Details'!#REF!</f>
        <v>#REF!</v>
      </c>
      <c r="L18" s="42" t="e">
        <f>+'Estimate Details'!#REF!</f>
        <v>#REF!</v>
      </c>
      <c r="M18" s="177" t="e">
        <f>+'Estimate Details'!#REF!</f>
        <v>#REF!</v>
      </c>
      <c r="N18" s="170" t="e">
        <f>+'Estimate Details'!#REF!</f>
        <v>#REF!</v>
      </c>
      <c r="O18" s="171" t="e">
        <f>+'Estimate Details'!#REF!</f>
        <v>#REF!</v>
      </c>
      <c r="P18" s="172" t="e">
        <f>+'Estimate Details'!#REF!</f>
        <v>#REF!</v>
      </c>
      <c r="Q18" s="173" t="e">
        <f>+'Estimate Details'!#REF!</f>
        <v>#REF!</v>
      </c>
      <c r="R18" s="174" t="e">
        <f>+'Estimate Details'!#REF!</f>
        <v>#REF!</v>
      </c>
      <c r="S18" s="507"/>
      <c r="T18" s="174" t="e">
        <f>+'Estimate Details'!#REF!</f>
        <v>#REF!</v>
      </c>
      <c r="U18" s="481" t="s">
        <v>1309</v>
      </c>
      <c r="V18" s="172" t="e">
        <f>+'Estimate Details'!#REF!</f>
        <v>#REF!</v>
      </c>
      <c r="W18" s="481" t="s">
        <v>1309</v>
      </c>
      <c r="X18" s="172" t="e">
        <f>+'Estimate Details'!#REF!</f>
        <v>#REF!</v>
      </c>
      <c r="Y18" s="172" t="e">
        <f>+'Estimate Details'!#REF!</f>
        <v>#REF!</v>
      </c>
      <c r="Z18" s="174" t="e">
        <f>+'Estimate Details'!#REF!</f>
        <v>#REF!</v>
      </c>
      <c r="AA18" s="481"/>
      <c r="AB18" s="175" t="e">
        <f>+'Estimate Details'!#REF!</f>
        <v>#REF!</v>
      </c>
      <c r="AC18" s="569"/>
      <c r="AD18" s="176" t="e">
        <f>+'Estimate Details'!#REF!</f>
        <v>#REF!</v>
      </c>
      <c r="AE18" s="178"/>
      <c r="AF18" s="156"/>
      <c r="AG18" s="156"/>
      <c r="AH18" s="156"/>
      <c r="AI18" s="29"/>
      <c r="AJ18" s="29"/>
      <c r="AK18" s="29"/>
      <c r="AL18" s="29"/>
    </row>
    <row r="19" spans="1:44" s="30" customFormat="1" ht="13.5" customHeight="1">
      <c r="A19" s="116" t="e">
        <f>+'Estimate Details'!#REF!</f>
        <v>#REF!</v>
      </c>
      <c r="B19" s="116"/>
      <c r="C19" s="116"/>
      <c r="D19" s="166"/>
      <c r="E19" s="158" t="e">
        <f>+'Estimate Details'!#REF!</f>
        <v>#REF!</v>
      </c>
      <c r="F19" s="41"/>
      <c r="G19" s="117" t="e">
        <f>+'Estimate Details'!#REF!</f>
        <v>#REF!</v>
      </c>
      <c r="H19" s="118" t="e">
        <f>+'Estimate Details'!#REF!</f>
        <v>#REF!</v>
      </c>
      <c r="I19" s="108" t="e">
        <f>+'Estimate Details'!#REF!</f>
        <v>#REF!</v>
      </c>
      <c r="J19" s="168" t="e">
        <f>+'Estimate Details'!#REF!</f>
        <v>#REF!</v>
      </c>
      <c r="K19" s="42" t="e">
        <f>+'Estimate Details'!#REF!</f>
        <v>#REF!</v>
      </c>
      <c r="L19" s="42" t="e">
        <f>+'Estimate Details'!#REF!</f>
        <v>#REF!</v>
      </c>
      <c r="M19" s="177" t="e">
        <f>+'Estimate Details'!#REF!</f>
        <v>#REF!</v>
      </c>
      <c r="N19" s="170" t="e">
        <f>+'Estimate Details'!#REF!</f>
        <v>#REF!</v>
      </c>
      <c r="O19" s="171" t="e">
        <f>+'Estimate Details'!#REF!</f>
        <v>#REF!</v>
      </c>
      <c r="P19" s="172" t="e">
        <f>+'Estimate Details'!#REF!</f>
        <v>#REF!</v>
      </c>
      <c r="Q19" s="173" t="e">
        <f>+'Estimate Details'!#REF!</f>
        <v>#REF!</v>
      </c>
      <c r="R19" s="174" t="e">
        <f>+'Estimate Details'!#REF!</f>
        <v>#REF!</v>
      </c>
      <c r="S19" s="507"/>
      <c r="T19" s="174" t="e">
        <f>+'Estimate Details'!#REF!</f>
        <v>#REF!</v>
      </c>
      <c r="U19" s="481"/>
      <c r="V19" s="172" t="e">
        <f>+'Estimate Details'!#REF!</f>
        <v>#REF!</v>
      </c>
      <c r="W19" s="481" t="s">
        <v>1309</v>
      </c>
      <c r="X19" s="172" t="e">
        <f>+'Estimate Details'!#REF!</f>
        <v>#REF!</v>
      </c>
      <c r="Y19" s="172" t="e">
        <f>+'Estimate Details'!#REF!</f>
        <v>#REF!</v>
      </c>
      <c r="Z19" s="174" t="e">
        <f>+'Estimate Details'!#REF!</f>
        <v>#REF!</v>
      </c>
      <c r="AA19" s="481"/>
      <c r="AB19" s="175" t="e">
        <f>+'Estimate Details'!#REF!</f>
        <v>#REF!</v>
      </c>
      <c r="AC19" s="569"/>
      <c r="AD19" s="176" t="e">
        <f>+'Estimate Details'!#REF!</f>
        <v>#REF!</v>
      </c>
      <c r="AE19" s="156"/>
      <c r="AF19" s="156"/>
      <c r="AG19" s="156"/>
      <c r="AH19" s="156"/>
      <c r="AI19" s="29"/>
      <c r="AJ19" s="29"/>
      <c r="AK19" s="29"/>
      <c r="AL19" s="29"/>
      <c r="AM19" s="29"/>
      <c r="AN19" s="29"/>
      <c r="AO19" s="29"/>
      <c r="AP19" s="29"/>
      <c r="AQ19" s="29"/>
      <c r="AR19" s="29"/>
    </row>
    <row r="20" spans="1:44" s="30" customFormat="1" ht="13.5" customHeight="1">
      <c r="A20" s="116" t="e">
        <f>+'Estimate Details'!#REF!</f>
        <v>#REF!</v>
      </c>
      <c r="B20" s="116"/>
      <c r="C20" s="116"/>
      <c r="D20" s="166"/>
      <c r="E20" s="158" t="e">
        <f>+'Estimate Details'!#REF!</f>
        <v>#REF!</v>
      </c>
      <c r="F20" s="41"/>
      <c r="G20" s="117" t="e">
        <f>+'Estimate Details'!#REF!</f>
        <v>#REF!</v>
      </c>
      <c r="H20" s="118" t="e">
        <f>+'Estimate Details'!#REF!</f>
        <v>#REF!</v>
      </c>
      <c r="I20" s="108" t="e">
        <f>+'Estimate Details'!#REF!</f>
        <v>#REF!</v>
      </c>
      <c r="J20" s="168" t="e">
        <f>+'Estimate Details'!#REF!</f>
        <v>#REF!</v>
      </c>
      <c r="K20" s="42" t="e">
        <f>+'Estimate Details'!#REF!</f>
        <v>#REF!</v>
      </c>
      <c r="L20" s="42" t="e">
        <f>+'Estimate Details'!#REF!</f>
        <v>#REF!</v>
      </c>
      <c r="M20" s="177" t="e">
        <f>+'Estimate Details'!#REF!</f>
        <v>#REF!</v>
      </c>
      <c r="N20" s="170" t="e">
        <f>+'Estimate Details'!#REF!</f>
        <v>#REF!</v>
      </c>
      <c r="O20" s="171" t="e">
        <f>+'Estimate Details'!#REF!</f>
        <v>#REF!</v>
      </c>
      <c r="P20" s="172" t="e">
        <f>+'Estimate Details'!#REF!</f>
        <v>#REF!</v>
      </c>
      <c r="Q20" s="173" t="e">
        <f>+'Estimate Details'!#REF!</f>
        <v>#REF!</v>
      </c>
      <c r="R20" s="174" t="e">
        <f>+'Estimate Details'!#REF!</f>
        <v>#REF!</v>
      </c>
      <c r="S20" s="507"/>
      <c r="T20" s="174" t="e">
        <f>+'Estimate Details'!#REF!</f>
        <v>#REF!</v>
      </c>
      <c r="U20" s="481"/>
      <c r="V20" s="172" t="e">
        <f>+'Estimate Details'!#REF!</f>
        <v>#REF!</v>
      </c>
      <c r="W20" s="481" t="s">
        <v>1309</v>
      </c>
      <c r="X20" s="172" t="e">
        <f>+'Estimate Details'!#REF!</f>
        <v>#REF!</v>
      </c>
      <c r="Y20" s="172" t="e">
        <f>+'Estimate Details'!#REF!</f>
        <v>#REF!</v>
      </c>
      <c r="Z20" s="174" t="e">
        <f>+'Estimate Details'!#REF!</f>
        <v>#REF!</v>
      </c>
      <c r="AA20" s="481"/>
      <c r="AB20" s="175" t="e">
        <f>+'Estimate Details'!#REF!</f>
        <v>#REF!</v>
      </c>
      <c r="AC20" s="569"/>
      <c r="AD20" s="176" t="e">
        <f>+'Estimate Details'!#REF!</f>
        <v>#REF!</v>
      </c>
      <c r="AE20" s="156"/>
      <c r="AF20" s="156"/>
      <c r="AG20" s="156"/>
      <c r="AH20" s="156"/>
      <c r="AI20" s="29"/>
      <c r="AJ20" s="29"/>
      <c r="AK20" s="29"/>
      <c r="AL20" s="29"/>
      <c r="AM20" s="29"/>
      <c r="AN20" s="29"/>
      <c r="AO20" s="29"/>
      <c r="AP20" s="29"/>
      <c r="AQ20" s="29"/>
      <c r="AR20" s="29"/>
    </row>
    <row r="21" spans="1:44" s="30" customFormat="1" ht="13.5" customHeight="1">
      <c r="A21" s="116" t="e">
        <f>+'Estimate Details'!#REF!</f>
        <v>#REF!</v>
      </c>
      <c r="B21" s="116"/>
      <c r="C21" s="116"/>
      <c r="D21" s="166"/>
      <c r="E21" s="158" t="e">
        <f>+'Estimate Details'!#REF!</f>
        <v>#REF!</v>
      </c>
      <c r="F21" s="41"/>
      <c r="G21" s="117" t="e">
        <f>+'Estimate Details'!#REF!</f>
        <v>#REF!</v>
      </c>
      <c r="H21" s="118" t="e">
        <f>+'Estimate Details'!#REF!</f>
        <v>#REF!</v>
      </c>
      <c r="I21" s="108" t="e">
        <f>+'Estimate Details'!#REF!</f>
        <v>#REF!</v>
      </c>
      <c r="J21" s="168" t="e">
        <f>+'Estimate Details'!#REF!</f>
        <v>#REF!</v>
      </c>
      <c r="K21" s="42" t="e">
        <f>+'Estimate Details'!#REF!</f>
        <v>#REF!</v>
      </c>
      <c r="L21" s="42" t="e">
        <f>+'Estimate Details'!#REF!</f>
        <v>#REF!</v>
      </c>
      <c r="M21" s="177" t="e">
        <f>+'Estimate Details'!#REF!</f>
        <v>#REF!</v>
      </c>
      <c r="N21" s="170" t="e">
        <f>+'Estimate Details'!#REF!</f>
        <v>#REF!</v>
      </c>
      <c r="O21" s="171" t="e">
        <f>+'Estimate Details'!#REF!</f>
        <v>#REF!</v>
      </c>
      <c r="P21" s="172" t="e">
        <f>+'Estimate Details'!#REF!</f>
        <v>#REF!</v>
      </c>
      <c r="Q21" s="173" t="e">
        <f>+'Estimate Details'!#REF!</f>
        <v>#REF!</v>
      </c>
      <c r="R21" s="174" t="e">
        <f>+'Estimate Details'!#REF!</f>
        <v>#REF!</v>
      </c>
      <c r="S21" s="507"/>
      <c r="T21" s="174" t="e">
        <f>+'Estimate Details'!#REF!</f>
        <v>#REF!</v>
      </c>
      <c r="U21" s="481" t="s">
        <v>1309</v>
      </c>
      <c r="V21" s="172" t="e">
        <f>+'Estimate Details'!#REF!</f>
        <v>#REF!</v>
      </c>
      <c r="W21" s="481" t="s">
        <v>1309</v>
      </c>
      <c r="X21" s="172" t="e">
        <f>+'Estimate Details'!#REF!</f>
        <v>#REF!</v>
      </c>
      <c r="Y21" s="172" t="e">
        <f>+'Estimate Details'!#REF!</f>
        <v>#REF!</v>
      </c>
      <c r="Z21" s="174" t="e">
        <f>+'Estimate Details'!#REF!</f>
        <v>#REF!</v>
      </c>
      <c r="AA21" s="481"/>
      <c r="AB21" s="175" t="e">
        <f>+'Estimate Details'!#REF!</f>
        <v>#REF!</v>
      </c>
      <c r="AC21" s="569"/>
      <c r="AD21" s="176" t="e">
        <f>+'Estimate Details'!#REF!</f>
        <v>#REF!</v>
      </c>
      <c r="AE21" s="156"/>
      <c r="AF21" s="156"/>
      <c r="AG21" s="156"/>
      <c r="AH21" s="156"/>
      <c r="AI21" s="29"/>
      <c r="AJ21" s="29"/>
      <c r="AK21" s="29"/>
      <c r="AL21" s="29"/>
      <c r="AM21" s="29"/>
      <c r="AN21" s="29"/>
      <c r="AO21" s="29"/>
      <c r="AP21" s="29"/>
      <c r="AQ21" s="29"/>
      <c r="AR21" s="29"/>
    </row>
    <row r="22" spans="1:44" s="30" customFormat="1" ht="13.5" customHeight="1">
      <c r="A22" s="116" t="e">
        <f>+'Estimate Details'!#REF!</f>
        <v>#REF!</v>
      </c>
      <c r="B22" s="116"/>
      <c r="C22" s="116"/>
      <c r="D22" s="166"/>
      <c r="E22" s="158" t="e">
        <f>+'Estimate Details'!#REF!</f>
        <v>#REF!</v>
      </c>
      <c r="F22" s="41"/>
      <c r="G22" s="117" t="e">
        <f>+'Estimate Details'!#REF!</f>
        <v>#REF!</v>
      </c>
      <c r="H22" s="118" t="e">
        <f>+'Estimate Details'!#REF!</f>
        <v>#REF!</v>
      </c>
      <c r="I22" s="108" t="e">
        <f>+'Estimate Details'!#REF!</f>
        <v>#REF!</v>
      </c>
      <c r="J22" s="168" t="e">
        <f>+'Estimate Details'!#REF!</f>
        <v>#REF!</v>
      </c>
      <c r="K22" s="42" t="e">
        <f>+'Estimate Details'!#REF!</f>
        <v>#REF!</v>
      </c>
      <c r="L22" s="42" t="e">
        <f>+'Estimate Details'!#REF!</f>
        <v>#REF!</v>
      </c>
      <c r="M22" s="177" t="e">
        <f>+'Estimate Details'!#REF!</f>
        <v>#REF!</v>
      </c>
      <c r="N22" s="170" t="e">
        <f>+'Estimate Details'!#REF!</f>
        <v>#REF!</v>
      </c>
      <c r="O22" s="171" t="e">
        <f>+'Estimate Details'!#REF!</f>
        <v>#REF!</v>
      </c>
      <c r="P22" s="172" t="e">
        <f>+'Estimate Details'!#REF!</f>
        <v>#REF!</v>
      </c>
      <c r="Q22" s="173" t="e">
        <f>+'Estimate Details'!#REF!</f>
        <v>#REF!</v>
      </c>
      <c r="R22" s="174" t="e">
        <f>+'Estimate Details'!#REF!</f>
        <v>#REF!</v>
      </c>
      <c r="S22" s="507"/>
      <c r="T22" s="174" t="e">
        <f>+'Estimate Details'!#REF!</f>
        <v>#REF!</v>
      </c>
      <c r="U22" s="481" t="s">
        <v>1309</v>
      </c>
      <c r="V22" s="172" t="e">
        <f>+'Estimate Details'!#REF!</f>
        <v>#REF!</v>
      </c>
      <c r="W22" s="481" t="s">
        <v>1309</v>
      </c>
      <c r="X22" s="172" t="e">
        <f>+'Estimate Details'!#REF!</f>
        <v>#REF!</v>
      </c>
      <c r="Y22" s="172" t="e">
        <f>+'Estimate Details'!#REF!</f>
        <v>#REF!</v>
      </c>
      <c r="Z22" s="174" t="e">
        <f>+'Estimate Details'!#REF!</f>
        <v>#REF!</v>
      </c>
      <c r="AA22" s="481"/>
      <c r="AB22" s="175" t="e">
        <f>+'Estimate Details'!#REF!</f>
        <v>#REF!</v>
      </c>
      <c r="AC22" s="569"/>
      <c r="AD22" s="176" t="e">
        <f>+'Estimate Details'!#REF!</f>
        <v>#REF!</v>
      </c>
      <c r="AE22" s="156"/>
      <c r="AF22" s="156"/>
      <c r="AG22" s="156"/>
      <c r="AH22" s="156"/>
      <c r="AI22" s="2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1:44" s="30" customFormat="1" ht="14.1" customHeight="1">
      <c r="A23" s="116" t="e">
        <f>+'Estimate Details'!#REF!</f>
        <v>#REF!</v>
      </c>
      <c r="B23" s="116"/>
      <c r="C23" s="116"/>
      <c r="D23" s="166"/>
      <c r="E23" s="158" t="e">
        <f>+'Estimate Details'!#REF!</f>
        <v>#REF!</v>
      </c>
      <c r="F23" s="41"/>
      <c r="G23" s="117" t="e">
        <f>+'Estimate Details'!#REF!</f>
        <v>#REF!</v>
      </c>
      <c r="H23" s="41" t="e">
        <f>+'Estimate Details'!#REF!</f>
        <v>#REF!</v>
      </c>
      <c r="I23" s="108" t="e">
        <f>+'Estimate Details'!#REF!</f>
        <v>#REF!</v>
      </c>
      <c r="J23" s="179" t="e">
        <f>+'Estimate Details'!#REF!</f>
        <v>#REF!</v>
      </c>
      <c r="K23" s="116" t="e">
        <f>+'Estimate Details'!#REF!</f>
        <v>#REF!</v>
      </c>
      <c r="L23" s="42" t="e">
        <f>+'Estimate Details'!#REF!</f>
        <v>#REF!</v>
      </c>
      <c r="M23" s="48" t="e">
        <f>+'Estimate Details'!#REF!</f>
        <v>#REF!</v>
      </c>
      <c r="N23" s="180" t="e">
        <f>+'Estimate Details'!#REF!</f>
        <v>#REF!</v>
      </c>
      <c r="O23" s="171" t="e">
        <f>+'Estimate Details'!#REF!</f>
        <v>#REF!</v>
      </c>
      <c r="P23" s="172" t="e">
        <f>+'Estimate Details'!#REF!</f>
        <v>#REF!</v>
      </c>
      <c r="Q23" s="173" t="e">
        <f>+'Estimate Details'!#REF!</f>
        <v>#REF!</v>
      </c>
      <c r="R23" s="174" t="e">
        <f>+'Estimate Details'!#REF!</f>
        <v>#REF!</v>
      </c>
      <c r="S23" s="507"/>
      <c r="T23" s="174" t="e">
        <f>+'Estimate Details'!#REF!</f>
        <v>#REF!</v>
      </c>
      <c r="U23" s="481" t="s">
        <v>1309</v>
      </c>
      <c r="V23" s="172" t="e">
        <f>+'Estimate Details'!#REF!</f>
        <v>#REF!</v>
      </c>
      <c r="W23" s="481" t="s">
        <v>1309</v>
      </c>
      <c r="X23" s="172" t="e">
        <f>+'Estimate Details'!#REF!</f>
        <v>#REF!</v>
      </c>
      <c r="Y23" s="172" t="e">
        <f>+'Estimate Details'!#REF!</f>
        <v>#REF!</v>
      </c>
      <c r="Z23" s="174" t="e">
        <f>+'Estimate Details'!#REF!</f>
        <v>#REF!</v>
      </c>
      <c r="AA23" s="481"/>
      <c r="AB23" s="175" t="e">
        <f>+'Estimate Details'!#REF!</f>
        <v>#REF!</v>
      </c>
      <c r="AC23" s="569"/>
      <c r="AD23" s="176" t="e">
        <f>+'Estimate Details'!#REF!</f>
        <v>#REF!</v>
      </c>
      <c r="AE23" s="156"/>
      <c r="AF23" s="156"/>
      <c r="AG23" s="156"/>
      <c r="AH23" s="156"/>
      <c r="AI23" s="29"/>
      <c r="AJ23" s="29"/>
      <c r="AK23" s="29"/>
      <c r="AL23" s="29"/>
      <c r="AM23" s="29"/>
      <c r="AN23" s="29"/>
      <c r="AO23" s="29"/>
      <c r="AP23" s="29"/>
      <c r="AQ23" s="29"/>
      <c r="AR23" s="29"/>
    </row>
    <row r="24" spans="1:44" ht="13.5" customHeight="1">
      <c r="A24" s="116" t="e">
        <f>+'Estimate Details'!#REF!</f>
        <v>#REF!</v>
      </c>
      <c r="B24" s="116"/>
      <c r="C24" s="116"/>
      <c r="D24" s="166"/>
      <c r="E24" s="158" t="e">
        <f>+'Estimate Details'!#REF!</f>
        <v>#REF!</v>
      </c>
      <c r="F24" s="41"/>
      <c r="G24" s="117" t="e">
        <f>+'Estimate Details'!#REF!</f>
        <v>#REF!</v>
      </c>
      <c r="H24" s="118" t="e">
        <f>+'Estimate Details'!#REF!</f>
        <v>#REF!</v>
      </c>
      <c r="I24" s="108" t="e">
        <f>+'Estimate Details'!#REF!</f>
        <v>#REF!</v>
      </c>
      <c r="J24" s="168" t="e">
        <f>+'Estimate Details'!#REF!</f>
        <v>#REF!</v>
      </c>
      <c r="K24" s="42" t="e">
        <f>+'Estimate Details'!#REF!</f>
        <v>#REF!</v>
      </c>
      <c r="L24" s="42" t="e">
        <f>+'Estimate Details'!#REF!</f>
        <v>#REF!</v>
      </c>
      <c r="M24" s="177" t="e">
        <f>+'Estimate Details'!#REF!</f>
        <v>#REF!</v>
      </c>
      <c r="N24" s="170" t="e">
        <f>+'Estimate Details'!#REF!</f>
        <v>#REF!</v>
      </c>
      <c r="O24" s="171" t="e">
        <f>+'Estimate Details'!#REF!</f>
        <v>#REF!</v>
      </c>
      <c r="P24" s="172" t="e">
        <f>+'Estimate Details'!#REF!</f>
        <v>#REF!</v>
      </c>
      <c r="Q24" s="173" t="e">
        <f>+'Estimate Details'!#REF!</f>
        <v>#REF!</v>
      </c>
      <c r="R24" s="174" t="e">
        <f>+'Estimate Details'!#REF!</f>
        <v>#REF!</v>
      </c>
      <c r="S24" s="507"/>
      <c r="T24" s="174" t="e">
        <f>+'Estimate Details'!#REF!</f>
        <v>#REF!</v>
      </c>
      <c r="U24" s="481"/>
      <c r="V24" s="172" t="e">
        <f>+'Estimate Details'!#REF!</f>
        <v>#REF!</v>
      </c>
      <c r="W24" s="481" t="s">
        <v>1309</v>
      </c>
      <c r="X24" s="172" t="e">
        <f>+'Estimate Details'!#REF!</f>
        <v>#REF!</v>
      </c>
      <c r="Y24" s="172" t="e">
        <f>+'Estimate Details'!#REF!</f>
        <v>#REF!</v>
      </c>
      <c r="Z24" s="174" t="e">
        <f>+'Estimate Details'!#REF!</f>
        <v>#REF!</v>
      </c>
      <c r="AA24" s="481"/>
      <c r="AB24" s="175" t="e">
        <f>+'Estimate Details'!#REF!</f>
        <v>#REF!</v>
      </c>
      <c r="AC24" s="569"/>
      <c r="AD24" s="176" t="e">
        <f>+'Estimate Details'!#REF!</f>
        <v>#REF!</v>
      </c>
      <c r="AE24" s="156"/>
      <c r="AF24" s="156"/>
      <c r="AG24" s="156"/>
      <c r="AH24" s="156"/>
      <c r="AI24" s="29"/>
      <c r="AJ24" s="29"/>
      <c r="AK24" s="29"/>
      <c r="AL24" s="29"/>
    </row>
    <row r="25" spans="1:44" s="30" customFormat="1" ht="13.5" customHeight="1">
      <c r="A25" s="116" t="e">
        <f>+'Estimate Details'!#REF!</f>
        <v>#REF!</v>
      </c>
      <c r="B25" s="116"/>
      <c r="C25" s="116"/>
      <c r="D25" s="166"/>
      <c r="E25" s="158" t="e">
        <f>+'Estimate Details'!#REF!</f>
        <v>#REF!</v>
      </c>
      <c r="F25" s="41"/>
      <c r="G25" s="117" t="e">
        <f>+'Estimate Details'!#REF!</f>
        <v>#REF!</v>
      </c>
      <c r="H25" s="118" t="e">
        <f>+'Estimate Details'!#REF!</f>
        <v>#REF!</v>
      </c>
      <c r="I25" s="108" t="e">
        <f>+'Estimate Details'!#REF!</f>
        <v>#REF!</v>
      </c>
      <c r="J25" s="168" t="e">
        <f>+'Estimate Details'!#REF!</f>
        <v>#REF!</v>
      </c>
      <c r="K25" s="42" t="e">
        <f>+'Estimate Details'!#REF!</f>
        <v>#REF!</v>
      </c>
      <c r="L25" s="42" t="e">
        <f>+'Estimate Details'!#REF!</f>
        <v>#REF!</v>
      </c>
      <c r="M25" s="177" t="e">
        <f>+'Estimate Details'!#REF!</f>
        <v>#REF!</v>
      </c>
      <c r="N25" s="170" t="e">
        <f>+'Estimate Details'!#REF!</f>
        <v>#REF!</v>
      </c>
      <c r="O25" s="171" t="e">
        <f>+'Estimate Details'!#REF!</f>
        <v>#REF!</v>
      </c>
      <c r="P25" s="172" t="e">
        <f>+'Estimate Details'!#REF!</f>
        <v>#REF!</v>
      </c>
      <c r="Q25" s="173" t="e">
        <f>+'Estimate Details'!#REF!</f>
        <v>#REF!</v>
      </c>
      <c r="R25" s="174" t="e">
        <f>+'Estimate Details'!#REF!</f>
        <v>#REF!</v>
      </c>
      <c r="S25" s="507"/>
      <c r="T25" s="174" t="e">
        <f>+'Estimate Details'!#REF!</f>
        <v>#REF!</v>
      </c>
      <c r="U25" s="481" t="s">
        <v>1309</v>
      </c>
      <c r="V25" s="172" t="e">
        <f>+'Estimate Details'!#REF!</f>
        <v>#REF!</v>
      </c>
      <c r="W25" s="481" t="s">
        <v>1309</v>
      </c>
      <c r="X25" s="172" t="e">
        <f>+'Estimate Details'!#REF!</f>
        <v>#REF!</v>
      </c>
      <c r="Y25" s="172" t="e">
        <f>+'Estimate Details'!#REF!</f>
        <v>#REF!</v>
      </c>
      <c r="Z25" s="174" t="e">
        <f>+'Estimate Details'!#REF!</f>
        <v>#REF!</v>
      </c>
      <c r="AA25" s="481"/>
      <c r="AB25" s="175" t="e">
        <f>+'Estimate Details'!#REF!</f>
        <v>#REF!</v>
      </c>
      <c r="AC25" s="569"/>
      <c r="AD25" s="176" t="e">
        <f>+'Estimate Details'!#REF!</f>
        <v>#REF!</v>
      </c>
      <c r="AE25" s="156"/>
      <c r="AF25" s="156"/>
      <c r="AG25" s="156"/>
      <c r="AH25" s="156"/>
      <c r="AI25" s="29"/>
      <c r="AJ25" s="29"/>
      <c r="AK25" s="29"/>
      <c r="AL25" s="29"/>
      <c r="AM25" s="29"/>
      <c r="AN25" s="29"/>
      <c r="AO25" s="29"/>
      <c r="AP25" s="29"/>
      <c r="AQ25" s="29"/>
      <c r="AR25" s="29"/>
    </row>
    <row r="26" spans="1:44" ht="13.5" customHeight="1">
      <c r="A26" s="116" t="e">
        <f>+'Estimate Details'!#REF!</f>
        <v>#REF!</v>
      </c>
      <c r="B26" s="116"/>
      <c r="C26" s="116"/>
      <c r="D26" s="166"/>
      <c r="E26" s="158" t="e">
        <f>+'Estimate Details'!#REF!</f>
        <v>#REF!</v>
      </c>
      <c r="F26" s="41"/>
      <c r="G26" s="117" t="e">
        <f>+'Estimate Details'!#REF!</f>
        <v>#REF!</v>
      </c>
      <c r="H26" s="118" t="e">
        <f>+'Estimate Details'!#REF!</f>
        <v>#REF!</v>
      </c>
      <c r="I26" s="108" t="e">
        <f>+'Estimate Details'!#REF!</f>
        <v>#REF!</v>
      </c>
      <c r="J26" s="168" t="e">
        <f>+'Estimate Details'!#REF!</f>
        <v>#REF!</v>
      </c>
      <c r="K26" s="42" t="e">
        <f>+'Estimate Details'!#REF!</f>
        <v>#REF!</v>
      </c>
      <c r="L26" s="42" t="e">
        <f>+'Estimate Details'!#REF!</f>
        <v>#REF!</v>
      </c>
      <c r="M26" s="177" t="e">
        <f>+'Estimate Details'!#REF!</f>
        <v>#REF!</v>
      </c>
      <c r="N26" s="170" t="e">
        <f>+'Estimate Details'!#REF!</f>
        <v>#REF!</v>
      </c>
      <c r="O26" s="171" t="e">
        <f>+'Estimate Details'!#REF!</f>
        <v>#REF!</v>
      </c>
      <c r="P26" s="172" t="e">
        <f>+'Estimate Details'!#REF!</f>
        <v>#REF!</v>
      </c>
      <c r="Q26" s="173" t="e">
        <f>+'Estimate Details'!#REF!</f>
        <v>#REF!</v>
      </c>
      <c r="R26" s="174" t="e">
        <f>+'Estimate Details'!#REF!</f>
        <v>#REF!</v>
      </c>
      <c r="S26" s="507"/>
      <c r="T26" s="174" t="e">
        <f>+'Estimate Details'!#REF!</f>
        <v>#REF!</v>
      </c>
      <c r="U26" s="481" t="s">
        <v>1309</v>
      </c>
      <c r="V26" s="172" t="e">
        <f>+'Estimate Details'!#REF!</f>
        <v>#REF!</v>
      </c>
      <c r="W26" s="481" t="s">
        <v>1309</v>
      </c>
      <c r="X26" s="172" t="e">
        <f>+'Estimate Details'!#REF!</f>
        <v>#REF!</v>
      </c>
      <c r="Y26" s="172" t="e">
        <f>+'Estimate Details'!#REF!</f>
        <v>#REF!</v>
      </c>
      <c r="Z26" s="174" t="e">
        <f>+'Estimate Details'!#REF!</f>
        <v>#REF!</v>
      </c>
      <c r="AA26" s="481"/>
      <c r="AB26" s="175" t="e">
        <f>+'Estimate Details'!#REF!</f>
        <v>#REF!</v>
      </c>
      <c r="AC26" s="569"/>
      <c r="AD26" s="176" t="e">
        <f>+'Estimate Details'!#REF!</f>
        <v>#REF!</v>
      </c>
      <c r="AE26" s="156"/>
      <c r="AF26" s="178"/>
      <c r="AG26" s="156"/>
      <c r="AH26" s="156"/>
      <c r="AI26" s="29"/>
      <c r="AJ26" s="29"/>
      <c r="AK26" s="29"/>
      <c r="AL26" s="29"/>
    </row>
    <row r="27" spans="1:44" ht="13.5" customHeight="1">
      <c r="A27" s="116" t="e">
        <f>+'Estimate Details'!#REF!</f>
        <v>#REF!</v>
      </c>
      <c r="B27" s="116"/>
      <c r="C27" s="116"/>
      <c r="D27" s="166"/>
      <c r="E27" s="158" t="e">
        <f>+'Estimate Details'!#REF!</f>
        <v>#REF!</v>
      </c>
      <c r="F27" s="41"/>
      <c r="G27" s="117" t="e">
        <f>+'Estimate Details'!#REF!</f>
        <v>#REF!</v>
      </c>
      <c r="H27" s="118" t="e">
        <f>+'Estimate Details'!#REF!</f>
        <v>#REF!</v>
      </c>
      <c r="I27" s="108" t="e">
        <f>+'Estimate Details'!#REF!</f>
        <v>#REF!</v>
      </c>
      <c r="J27" s="168" t="e">
        <f>+'Estimate Details'!#REF!</f>
        <v>#REF!</v>
      </c>
      <c r="K27" s="42" t="e">
        <f>+'Estimate Details'!#REF!</f>
        <v>#REF!</v>
      </c>
      <c r="L27" s="42" t="e">
        <f>+'Estimate Details'!#REF!</f>
        <v>#REF!</v>
      </c>
      <c r="M27" s="177" t="e">
        <f>+'Estimate Details'!#REF!</f>
        <v>#REF!</v>
      </c>
      <c r="N27" s="170" t="e">
        <f>+'Estimate Details'!#REF!</f>
        <v>#REF!</v>
      </c>
      <c r="O27" s="171" t="e">
        <f>+'Estimate Details'!#REF!</f>
        <v>#REF!</v>
      </c>
      <c r="P27" s="172" t="e">
        <f>+'Estimate Details'!#REF!</f>
        <v>#REF!</v>
      </c>
      <c r="Q27" s="173" t="e">
        <f>+'Estimate Details'!#REF!</f>
        <v>#REF!</v>
      </c>
      <c r="R27" s="174" t="e">
        <f>+'Estimate Details'!#REF!</f>
        <v>#REF!</v>
      </c>
      <c r="S27" s="507"/>
      <c r="T27" s="174" t="e">
        <f>+'Estimate Details'!#REF!</f>
        <v>#REF!</v>
      </c>
      <c r="U27" s="481"/>
      <c r="V27" s="172" t="e">
        <f>+'Estimate Details'!#REF!</f>
        <v>#REF!</v>
      </c>
      <c r="W27" s="481"/>
      <c r="X27" s="172" t="e">
        <f>+'Estimate Details'!#REF!</f>
        <v>#REF!</v>
      </c>
      <c r="Y27" s="172" t="e">
        <f>+'Estimate Details'!#REF!</f>
        <v>#REF!</v>
      </c>
      <c r="Z27" s="174" t="e">
        <f>+'Estimate Details'!#REF!</f>
        <v>#REF!</v>
      </c>
      <c r="AA27" s="481" t="s">
        <v>1302</v>
      </c>
      <c r="AB27" s="175" t="e">
        <f>+'Estimate Details'!#REF!</f>
        <v>#REF!</v>
      </c>
      <c r="AC27" s="569"/>
      <c r="AD27" s="176" t="e">
        <f>+'Estimate Details'!#REF!</f>
        <v>#REF!</v>
      </c>
      <c r="AE27" s="156"/>
      <c r="AF27" s="156"/>
      <c r="AG27" s="156"/>
      <c r="AH27" s="156"/>
      <c r="AI27" s="29"/>
      <c r="AJ27" s="29"/>
      <c r="AK27" s="29"/>
      <c r="AL27" s="29"/>
    </row>
    <row r="28" spans="1:44" ht="13.5" customHeight="1">
      <c r="A28" s="116" t="e">
        <f>+'Estimate Details'!#REF!</f>
        <v>#REF!</v>
      </c>
      <c r="B28" s="116"/>
      <c r="C28" s="116"/>
      <c r="D28" s="166"/>
      <c r="E28" s="158" t="e">
        <f>+'Estimate Details'!#REF!</f>
        <v>#REF!</v>
      </c>
      <c r="F28" s="41"/>
      <c r="G28" s="117" t="e">
        <f>+'Estimate Details'!#REF!</f>
        <v>#REF!</v>
      </c>
      <c r="H28" s="118" t="e">
        <f>+'Estimate Details'!#REF!</f>
        <v>#REF!</v>
      </c>
      <c r="I28" s="108" t="e">
        <f>+'Estimate Details'!#REF!</f>
        <v>#REF!</v>
      </c>
      <c r="J28" s="168" t="e">
        <f>+'Estimate Details'!#REF!</f>
        <v>#REF!</v>
      </c>
      <c r="K28" s="42" t="e">
        <f>+'Estimate Details'!#REF!</f>
        <v>#REF!</v>
      </c>
      <c r="L28" s="42" t="e">
        <f>+'Estimate Details'!#REF!</f>
        <v>#REF!</v>
      </c>
      <c r="M28" s="177" t="e">
        <f>+'Estimate Details'!#REF!</f>
        <v>#REF!</v>
      </c>
      <c r="N28" s="170" t="e">
        <f>+'Estimate Details'!#REF!</f>
        <v>#REF!</v>
      </c>
      <c r="O28" s="171" t="e">
        <f>+'Estimate Details'!#REF!</f>
        <v>#REF!</v>
      </c>
      <c r="P28" s="172" t="e">
        <f>+'Estimate Details'!#REF!</f>
        <v>#REF!</v>
      </c>
      <c r="Q28" s="173" t="e">
        <f>+'Estimate Details'!#REF!</f>
        <v>#REF!</v>
      </c>
      <c r="R28" s="174" t="e">
        <f>+'Estimate Details'!#REF!</f>
        <v>#REF!</v>
      </c>
      <c r="S28" s="507"/>
      <c r="T28" s="174" t="e">
        <f>+'Estimate Details'!#REF!</f>
        <v>#REF!</v>
      </c>
      <c r="U28" s="481" t="s">
        <v>1309</v>
      </c>
      <c r="V28" s="172" t="e">
        <f>+'Estimate Details'!#REF!</f>
        <v>#REF!</v>
      </c>
      <c r="W28" s="481" t="s">
        <v>1309</v>
      </c>
      <c r="X28" s="172" t="e">
        <f>+'Estimate Details'!#REF!</f>
        <v>#REF!</v>
      </c>
      <c r="Y28" s="172" t="e">
        <f>+'Estimate Details'!#REF!</f>
        <v>#REF!</v>
      </c>
      <c r="Z28" s="174" t="e">
        <f>+'Estimate Details'!#REF!</f>
        <v>#REF!</v>
      </c>
      <c r="AA28" s="481"/>
      <c r="AB28" s="175" t="e">
        <f>+'Estimate Details'!#REF!</f>
        <v>#REF!</v>
      </c>
      <c r="AC28" s="569"/>
      <c r="AD28" s="176" t="e">
        <f>+'Estimate Details'!#REF!</f>
        <v>#REF!</v>
      </c>
      <c r="AE28" s="156"/>
      <c r="AF28" s="156"/>
      <c r="AG28" s="156"/>
      <c r="AH28" s="156"/>
      <c r="AI28" s="29"/>
      <c r="AJ28" s="29"/>
      <c r="AK28" s="29"/>
      <c r="AL28" s="29"/>
    </row>
    <row r="29" spans="1:44" ht="13.5" customHeight="1">
      <c r="A29" s="116" t="e">
        <f>+'Estimate Details'!#REF!</f>
        <v>#REF!</v>
      </c>
      <c r="B29" s="116"/>
      <c r="C29" s="116"/>
      <c r="D29" s="166"/>
      <c r="E29" s="158" t="e">
        <f>+'Estimate Details'!#REF!</f>
        <v>#REF!</v>
      </c>
      <c r="F29" s="41"/>
      <c r="G29" s="117" t="e">
        <f>+'Estimate Details'!#REF!</f>
        <v>#REF!</v>
      </c>
      <c r="H29" s="118" t="e">
        <f>+'Estimate Details'!#REF!</f>
        <v>#REF!</v>
      </c>
      <c r="I29" s="108" t="e">
        <f>+'Estimate Details'!#REF!</f>
        <v>#REF!</v>
      </c>
      <c r="J29" s="168" t="e">
        <f>+'Estimate Details'!#REF!</f>
        <v>#REF!</v>
      </c>
      <c r="K29" s="42" t="e">
        <f>+'Estimate Details'!#REF!</f>
        <v>#REF!</v>
      </c>
      <c r="L29" s="42" t="e">
        <f>+'Estimate Details'!#REF!</f>
        <v>#REF!</v>
      </c>
      <c r="M29" s="177" t="e">
        <f>+'Estimate Details'!#REF!</f>
        <v>#REF!</v>
      </c>
      <c r="N29" s="170" t="e">
        <f>+'Estimate Details'!#REF!</f>
        <v>#REF!</v>
      </c>
      <c r="O29" s="171" t="e">
        <f>+'Estimate Details'!#REF!</f>
        <v>#REF!</v>
      </c>
      <c r="P29" s="172" t="e">
        <f>+'Estimate Details'!#REF!</f>
        <v>#REF!</v>
      </c>
      <c r="Q29" s="173" t="e">
        <f>+'Estimate Details'!#REF!</f>
        <v>#REF!</v>
      </c>
      <c r="R29" s="174" t="e">
        <f>+'Estimate Details'!#REF!</f>
        <v>#REF!</v>
      </c>
      <c r="S29" s="507"/>
      <c r="T29" s="174" t="e">
        <f>+'Estimate Details'!#REF!</f>
        <v>#REF!</v>
      </c>
      <c r="U29" s="481"/>
      <c r="V29" s="172" t="e">
        <f>+'Estimate Details'!#REF!</f>
        <v>#REF!</v>
      </c>
      <c r="W29" s="481" t="s">
        <v>1309</v>
      </c>
      <c r="X29" s="172" t="e">
        <f>+'Estimate Details'!#REF!</f>
        <v>#REF!</v>
      </c>
      <c r="Y29" s="172" t="e">
        <f>+'Estimate Details'!#REF!</f>
        <v>#REF!</v>
      </c>
      <c r="Z29" s="174" t="e">
        <f>+'Estimate Details'!#REF!</f>
        <v>#REF!</v>
      </c>
      <c r="AA29" s="481"/>
      <c r="AB29" s="175" t="e">
        <f>+'Estimate Details'!#REF!</f>
        <v>#REF!</v>
      </c>
      <c r="AC29" s="569"/>
      <c r="AD29" s="176" t="e">
        <f>+'Estimate Details'!#REF!</f>
        <v>#REF!</v>
      </c>
      <c r="AE29" s="156"/>
      <c r="AF29" s="156"/>
      <c r="AG29" s="156"/>
      <c r="AH29" s="156"/>
      <c r="AI29" s="29"/>
      <c r="AJ29" s="29"/>
      <c r="AK29" s="29"/>
      <c r="AL29" s="29"/>
    </row>
    <row r="30" spans="1:44" ht="13.5" customHeight="1">
      <c r="A30" s="116" t="e">
        <f>+'Estimate Details'!#REF!</f>
        <v>#REF!</v>
      </c>
      <c r="B30" s="116"/>
      <c r="C30" s="116"/>
      <c r="D30" s="166"/>
      <c r="E30" s="158" t="e">
        <f>+'Estimate Details'!#REF!</f>
        <v>#REF!</v>
      </c>
      <c r="F30" s="41"/>
      <c r="G30" s="117" t="e">
        <f>+'Estimate Details'!#REF!</f>
        <v>#REF!</v>
      </c>
      <c r="H30" s="118" t="e">
        <f>+'Estimate Details'!#REF!</f>
        <v>#REF!</v>
      </c>
      <c r="I30" s="108" t="e">
        <f>+'Estimate Details'!#REF!</f>
        <v>#REF!</v>
      </c>
      <c r="J30" s="168" t="e">
        <f>+'Estimate Details'!#REF!</f>
        <v>#REF!</v>
      </c>
      <c r="K30" s="42" t="e">
        <f>+'Estimate Details'!#REF!</f>
        <v>#REF!</v>
      </c>
      <c r="L30" s="42" t="e">
        <f>+'Estimate Details'!#REF!</f>
        <v>#REF!</v>
      </c>
      <c r="M30" s="177" t="e">
        <f>+'Estimate Details'!#REF!</f>
        <v>#REF!</v>
      </c>
      <c r="N30" s="170" t="e">
        <f>+'Estimate Details'!#REF!</f>
        <v>#REF!</v>
      </c>
      <c r="O30" s="171" t="e">
        <f>+'Estimate Details'!#REF!</f>
        <v>#REF!</v>
      </c>
      <c r="P30" s="172" t="e">
        <f>+'Estimate Details'!#REF!</f>
        <v>#REF!</v>
      </c>
      <c r="Q30" s="173" t="e">
        <f>+'Estimate Details'!#REF!</f>
        <v>#REF!</v>
      </c>
      <c r="R30" s="174" t="e">
        <f>+'Estimate Details'!#REF!</f>
        <v>#REF!</v>
      </c>
      <c r="S30" s="507"/>
      <c r="T30" s="174" t="e">
        <f>+'Estimate Details'!#REF!</f>
        <v>#REF!</v>
      </c>
      <c r="U30" s="481" t="s">
        <v>1309</v>
      </c>
      <c r="V30" s="172" t="e">
        <f>+'Estimate Details'!#REF!</f>
        <v>#REF!</v>
      </c>
      <c r="W30" s="481" t="s">
        <v>1309</v>
      </c>
      <c r="X30" s="172" t="e">
        <f>+'Estimate Details'!#REF!</f>
        <v>#REF!</v>
      </c>
      <c r="Y30" s="172" t="e">
        <f>+'Estimate Details'!#REF!</f>
        <v>#REF!</v>
      </c>
      <c r="Z30" s="174" t="e">
        <f>+'Estimate Details'!#REF!</f>
        <v>#REF!</v>
      </c>
      <c r="AA30" s="481"/>
      <c r="AB30" s="175" t="e">
        <f>+'Estimate Details'!#REF!</f>
        <v>#REF!</v>
      </c>
      <c r="AC30" s="569"/>
      <c r="AD30" s="176" t="e">
        <f>+'Estimate Details'!#REF!</f>
        <v>#REF!</v>
      </c>
      <c r="AE30" s="156"/>
      <c r="AF30" s="156"/>
      <c r="AG30" s="156"/>
      <c r="AH30" s="156"/>
      <c r="AI30" s="29"/>
      <c r="AJ30" s="29"/>
      <c r="AK30" s="29"/>
      <c r="AL30" s="29"/>
    </row>
    <row r="31" spans="1:44" ht="13.5" customHeight="1">
      <c r="A31" s="116" t="e">
        <f>+'Estimate Details'!#REF!</f>
        <v>#REF!</v>
      </c>
      <c r="B31" s="116"/>
      <c r="C31" s="116"/>
      <c r="D31" s="166"/>
      <c r="E31" s="158" t="e">
        <f>+'Estimate Details'!#REF!</f>
        <v>#REF!</v>
      </c>
      <c r="F31" s="41"/>
      <c r="G31" s="117" t="e">
        <f>+'Estimate Details'!#REF!</f>
        <v>#REF!</v>
      </c>
      <c r="H31" s="118" t="e">
        <f>+'Estimate Details'!#REF!</f>
        <v>#REF!</v>
      </c>
      <c r="I31" s="108" t="e">
        <f>+'Estimate Details'!#REF!</f>
        <v>#REF!</v>
      </c>
      <c r="J31" s="168" t="e">
        <f>+'Estimate Details'!#REF!</f>
        <v>#REF!</v>
      </c>
      <c r="K31" s="42" t="e">
        <f>+'Estimate Details'!#REF!</f>
        <v>#REF!</v>
      </c>
      <c r="L31" s="42" t="e">
        <f>+'Estimate Details'!#REF!</f>
        <v>#REF!</v>
      </c>
      <c r="M31" s="177" t="e">
        <f>+'Estimate Details'!#REF!</f>
        <v>#REF!</v>
      </c>
      <c r="N31" s="170" t="e">
        <f>+'Estimate Details'!#REF!</f>
        <v>#REF!</v>
      </c>
      <c r="O31" s="171" t="e">
        <f>+'Estimate Details'!#REF!</f>
        <v>#REF!</v>
      </c>
      <c r="P31" s="172" t="e">
        <f>+'Estimate Details'!#REF!</f>
        <v>#REF!</v>
      </c>
      <c r="Q31" s="173" t="e">
        <f>+'Estimate Details'!#REF!</f>
        <v>#REF!</v>
      </c>
      <c r="R31" s="174" t="e">
        <f>+'Estimate Details'!#REF!</f>
        <v>#REF!</v>
      </c>
      <c r="S31" s="507"/>
      <c r="T31" s="174" t="e">
        <f>+'Estimate Details'!#REF!</f>
        <v>#REF!</v>
      </c>
      <c r="U31" s="481" t="s">
        <v>1309</v>
      </c>
      <c r="V31" s="172" t="e">
        <f>+'Estimate Details'!#REF!</f>
        <v>#REF!</v>
      </c>
      <c r="W31" s="481" t="s">
        <v>1309</v>
      </c>
      <c r="X31" s="172" t="e">
        <f>+'Estimate Details'!#REF!</f>
        <v>#REF!</v>
      </c>
      <c r="Y31" s="172" t="e">
        <f>+'Estimate Details'!#REF!</f>
        <v>#REF!</v>
      </c>
      <c r="Z31" s="174" t="e">
        <f>+'Estimate Details'!#REF!</f>
        <v>#REF!</v>
      </c>
      <c r="AA31" s="481"/>
      <c r="AB31" s="175" t="e">
        <f>+'Estimate Details'!#REF!</f>
        <v>#REF!</v>
      </c>
      <c r="AC31" s="569"/>
      <c r="AD31" s="176" t="e">
        <f>+'Estimate Details'!#REF!</f>
        <v>#REF!</v>
      </c>
      <c r="AE31" s="156"/>
      <c r="AF31" s="156"/>
      <c r="AG31" s="156"/>
      <c r="AH31" s="156"/>
      <c r="AI31" s="29"/>
      <c r="AJ31" s="29"/>
      <c r="AK31" s="29"/>
      <c r="AL31" s="29"/>
    </row>
    <row r="32" spans="1:44" ht="13.5" customHeight="1">
      <c r="A32" s="116" t="e">
        <f>+'Estimate Details'!#REF!</f>
        <v>#REF!</v>
      </c>
      <c r="B32" s="116"/>
      <c r="C32" s="116"/>
      <c r="D32" s="166"/>
      <c r="E32" s="158" t="e">
        <f>+'Estimate Details'!#REF!</f>
        <v>#REF!</v>
      </c>
      <c r="F32" s="41"/>
      <c r="G32" s="117" t="e">
        <f>+'Estimate Details'!#REF!</f>
        <v>#REF!</v>
      </c>
      <c r="H32" s="118" t="e">
        <f>+'Estimate Details'!#REF!</f>
        <v>#REF!</v>
      </c>
      <c r="I32" s="108" t="e">
        <f>+'Estimate Details'!#REF!</f>
        <v>#REF!</v>
      </c>
      <c r="J32" s="168" t="e">
        <f>+'Estimate Details'!#REF!</f>
        <v>#REF!</v>
      </c>
      <c r="K32" s="42" t="e">
        <f>+'Estimate Details'!#REF!</f>
        <v>#REF!</v>
      </c>
      <c r="L32" s="42" t="e">
        <f>+'Estimate Details'!#REF!</f>
        <v>#REF!</v>
      </c>
      <c r="M32" s="177" t="e">
        <f>+'Estimate Details'!#REF!</f>
        <v>#REF!</v>
      </c>
      <c r="N32" s="170" t="e">
        <f>+'Estimate Details'!#REF!</f>
        <v>#REF!</v>
      </c>
      <c r="O32" s="171" t="e">
        <f>+'Estimate Details'!#REF!</f>
        <v>#REF!</v>
      </c>
      <c r="P32" s="172" t="e">
        <f>+'Estimate Details'!#REF!</f>
        <v>#REF!</v>
      </c>
      <c r="Q32" s="173" t="e">
        <f>+'Estimate Details'!#REF!</f>
        <v>#REF!</v>
      </c>
      <c r="R32" s="174" t="e">
        <f>+'Estimate Details'!#REF!</f>
        <v>#REF!</v>
      </c>
      <c r="S32" s="507"/>
      <c r="T32" s="174" t="e">
        <f>+'Estimate Details'!#REF!</f>
        <v>#REF!</v>
      </c>
      <c r="U32" s="481" t="s">
        <v>1309</v>
      </c>
      <c r="V32" s="172" t="e">
        <f>+'Estimate Details'!#REF!</f>
        <v>#REF!</v>
      </c>
      <c r="W32" s="481" t="s">
        <v>1309</v>
      </c>
      <c r="X32" s="172" t="e">
        <f>+'Estimate Details'!#REF!</f>
        <v>#REF!</v>
      </c>
      <c r="Y32" s="172" t="e">
        <f>+'Estimate Details'!#REF!</f>
        <v>#REF!</v>
      </c>
      <c r="Z32" s="174" t="e">
        <f>+'Estimate Details'!#REF!</f>
        <v>#REF!</v>
      </c>
      <c r="AA32" s="481"/>
      <c r="AB32" s="175" t="e">
        <f>+'Estimate Details'!#REF!</f>
        <v>#REF!</v>
      </c>
      <c r="AC32" s="569"/>
      <c r="AD32" s="176" t="e">
        <f>+'Estimate Details'!#REF!</f>
        <v>#REF!</v>
      </c>
      <c r="AE32" s="156"/>
      <c r="AF32" s="156"/>
      <c r="AG32" s="156"/>
      <c r="AH32" s="156"/>
      <c r="AI32" s="29"/>
      <c r="AJ32" s="29"/>
      <c r="AK32" s="29"/>
      <c r="AL32" s="29"/>
    </row>
    <row r="33" spans="1:44" ht="13.5" customHeight="1">
      <c r="A33" s="116" t="e">
        <f>+'Estimate Details'!#REF!</f>
        <v>#REF!</v>
      </c>
      <c r="B33" s="116"/>
      <c r="C33" s="116"/>
      <c r="D33" s="166"/>
      <c r="E33" s="158" t="e">
        <f>+'Estimate Details'!#REF!</f>
        <v>#REF!</v>
      </c>
      <c r="F33" s="41"/>
      <c r="G33" s="117" t="e">
        <f>+'Estimate Details'!#REF!</f>
        <v>#REF!</v>
      </c>
      <c r="H33" s="118" t="e">
        <f>+'Estimate Details'!#REF!</f>
        <v>#REF!</v>
      </c>
      <c r="I33" s="108" t="e">
        <f>+'Estimate Details'!#REF!</f>
        <v>#REF!</v>
      </c>
      <c r="J33" s="168" t="e">
        <f>+'Estimate Details'!#REF!</f>
        <v>#REF!</v>
      </c>
      <c r="K33" s="42" t="e">
        <f>+'Estimate Details'!#REF!</f>
        <v>#REF!</v>
      </c>
      <c r="L33" s="42" t="e">
        <f>+'Estimate Details'!#REF!</f>
        <v>#REF!</v>
      </c>
      <c r="M33" s="177" t="e">
        <f>+'Estimate Details'!#REF!</f>
        <v>#REF!</v>
      </c>
      <c r="N33" s="170" t="e">
        <f>+'Estimate Details'!#REF!</f>
        <v>#REF!</v>
      </c>
      <c r="O33" s="171" t="e">
        <f>+'Estimate Details'!#REF!</f>
        <v>#REF!</v>
      </c>
      <c r="P33" s="172" t="e">
        <f>+'Estimate Details'!#REF!</f>
        <v>#REF!</v>
      </c>
      <c r="Q33" s="173" t="e">
        <f>+'Estimate Details'!#REF!</f>
        <v>#REF!</v>
      </c>
      <c r="R33" s="174" t="e">
        <f>+'Estimate Details'!#REF!</f>
        <v>#REF!</v>
      </c>
      <c r="S33" s="507"/>
      <c r="T33" s="174" t="e">
        <f>+'Estimate Details'!#REF!</f>
        <v>#REF!</v>
      </c>
      <c r="U33" s="481"/>
      <c r="V33" s="172" t="e">
        <f>+'Estimate Details'!#REF!</f>
        <v>#REF!</v>
      </c>
      <c r="W33" s="481" t="s">
        <v>1309</v>
      </c>
      <c r="X33" s="172" t="e">
        <f>+'Estimate Details'!#REF!</f>
        <v>#REF!</v>
      </c>
      <c r="Y33" s="172" t="e">
        <f>+'Estimate Details'!#REF!</f>
        <v>#REF!</v>
      </c>
      <c r="Z33" s="174" t="e">
        <f>+'Estimate Details'!#REF!</f>
        <v>#REF!</v>
      </c>
      <c r="AA33" s="481"/>
      <c r="AB33" s="175" t="e">
        <f>+'Estimate Details'!#REF!</f>
        <v>#REF!</v>
      </c>
      <c r="AC33" s="569"/>
      <c r="AD33" s="176" t="e">
        <f>+'Estimate Details'!#REF!</f>
        <v>#REF!</v>
      </c>
      <c r="AE33" s="156"/>
      <c r="AF33" s="156"/>
      <c r="AG33" s="156"/>
      <c r="AH33" s="156"/>
      <c r="AI33" s="29"/>
      <c r="AJ33" s="29"/>
      <c r="AK33" s="29"/>
      <c r="AL33" s="29"/>
    </row>
    <row r="34" spans="1:44" ht="13.5" customHeight="1">
      <c r="A34" s="116" t="e">
        <f>+'Estimate Details'!#REF!</f>
        <v>#REF!</v>
      </c>
      <c r="B34" s="116"/>
      <c r="C34" s="116"/>
      <c r="D34" s="166"/>
      <c r="E34" s="158" t="e">
        <f>+'Estimate Details'!#REF!</f>
        <v>#REF!</v>
      </c>
      <c r="F34" s="41"/>
      <c r="G34" s="117" t="e">
        <f>+'Estimate Details'!#REF!</f>
        <v>#REF!</v>
      </c>
      <c r="H34" s="118" t="e">
        <f>+'Estimate Details'!#REF!</f>
        <v>#REF!</v>
      </c>
      <c r="I34" s="108" t="e">
        <f>+'Estimate Details'!#REF!</f>
        <v>#REF!</v>
      </c>
      <c r="J34" s="168" t="e">
        <f>+'Estimate Details'!#REF!</f>
        <v>#REF!</v>
      </c>
      <c r="K34" s="42" t="e">
        <f>+'Estimate Details'!#REF!</f>
        <v>#REF!</v>
      </c>
      <c r="L34" s="42" t="e">
        <f>+'Estimate Details'!#REF!</f>
        <v>#REF!</v>
      </c>
      <c r="M34" s="177" t="e">
        <f>+'Estimate Details'!#REF!</f>
        <v>#REF!</v>
      </c>
      <c r="N34" s="170" t="e">
        <f>+'Estimate Details'!#REF!</f>
        <v>#REF!</v>
      </c>
      <c r="O34" s="171" t="e">
        <f>+'Estimate Details'!#REF!</f>
        <v>#REF!</v>
      </c>
      <c r="P34" s="172" t="e">
        <f>+'Estimate Details'!#REF!</f>
        <v>#REF!</v>
      </c>
      <c r="Q34" s="173" t="e">
        <f>+'Estimate Details'!#REF!</f>
        <v>#REF!</v>
      </c>
      <c r="R34" s="174" t="e">
        <f>+'Estimate Details'!#REF!</f>
        <v>#REF!</v>
      </c>
      <c r="S34" s="507"/>
      <c r="T34" s="174" t="e">
        <f>+'Estimate Details'!#REF!</f>
        <v>#REF!</v>
      </c>
      <c r="U34" s="481"/>
      <c r="V34" s="172" t="e">
        <f>+'Estimate Details'!#REF!</f>
        <v>#REF!</v>
      </c>
      <c r="W34" s="481"/>
      <c r="X34" s="172" t="e">
        <f>+'Estimate Details'!#REF!</f>
        <v>#REF!</v>
      </c>
      <c r="Y34" s="172" t="e">
        <f>+'Estimate Details'!#REF!</f>
        <v>#REF!</v>
      </c>
      <c r="Z34" s="174" t="e">
        <f>+'Estimate Details'!#REF!</f>
        <v>#REF!</v>
      </c>
      <c r="AA34" s="481" t="s">
        <v>1302</v>
      </c>
      <c r="AB34" s="175" t="e">
        <f>+'Estimate Details'!#REF!</f>
        <v>#REF!</v>
      </c>
      <c r="AC34" s="569"/>
      <c r="AD34" s="176" t="e">
        <f>+'Estimate Details'!#REF!</f>
        <v>#REF!</v>
      </c>
      <c r="AE34" s="156"/>
      <c r="AF34" s="156"/>
      <c r="AG34" s="156"/>
      <c r="AH34" s="156"/>
      <c r="AI34" s="29"/>
      <c r="AJ34" s="29"/>
      <c r="AK34" s="29"/>
      <c r="AL34" s="29"/>
    </row>
    <row r="35" spans="1:44" ht="13.5" customHeight="1">
      <c r="A35" s="116" t="e">
        <f>+'Estimate Details'!#REF!</f>
        <v>#REF!</v>
      </c>
      <c r="B35" s="116"/>
      <c r="C35" s="116"/>
      <c r="D35" s="166"/>
      <c r="E35" s="158" t="e">
        <f>+'Estimate Details'!#REF!</f>
        <v>#REF!</v>
      </c>
      <c r="F35" s="41"/>
      <c r="G35" s="117" t="e">
        <f>+'Estimate Details'!#REF!</f>
        <v>#REF!</v>
      </c>
      <c r="H35" s="118" t="e">
        <f>+'Estimate Details'!#REF!</f>
        <v>#REF!</v>
      </c>
      <c r="I35" s="108" t="e">
        <f>+'Estimate Details'!#REF!</f>
        <v>#REF!</v>
      </c>
      <c r="J35" s="168" t="e">
        <f>+'Estimate Details'!#REF!</f>
        <v>#REF!</v>
      </c>
      <c r="K35" s="42" t="e">
        <f>+'Estimate Details'!#REF!</f>
        <v>#REF!</v>
      </c>
      <c r="L35" s="42" t="e">
        <f>+'Estimate Details'!#REF!</f>
        <v>#REF!</v>
      </c>
      <c r="M35" s="177" t="e">
        <f>+'Estimate Details'!#REF!</f>
        <v>#REF!</v>
      </c>
      <c r="N35" s="170" t="e">
        <f>+'Estimate Details'!#REF!</f>
        <v>#REF!</v>
      </c>
      <c r="O35" s="171" t="e">
        <f>+'Estimate Details'!#REF!</f>
        <v>#REF!</v>
      </c>
      <c r="P35" s="172" t="e">
        <f>+'Estimate Details'!#REF!</f>
        <v>#REF!</v>
      </c>
      <c r="Q35" s="173" t="e">
        <f>+'Estimate Details'!#REF!</f>
        <v>#REF!</v>
      </c>
      <c r="R35" s="174" t="e">
        <f>+'Estimate Details'!#REF!</f>
        <v>#REF!</v>
      </c>
      <c r="S35" s="507"/>
      <c r="T35" s="174" t="e">
        <f>+'Estimate Details'!#REF!</f>
        <v>#REF!</v>
      </c>
      <c r="U35" s="481" t="s">
        <v>1309</v>
      </c>
      <c r="V35" s="172" t="e">
        <f>+'Estimate Details'!#REF!</f>
        <v>#REF!</v>
      </c>
      <c r="W35" s="481" t="s">
        <v>1309</v>
      </c>
      <c r="X35" s="172" t="e">
        <f>+'Estimate Details'!#REF!</f>
        <v>#REF!</v>
      </c>
      <c r="Y35" s="172" t="e">
        <f>+'Estimate Details'!#REF!</f>
        <v>#REF!</v>
      </c>
      <c r="Z35" s="174" t="e">
        <f>+'Estimate Details'!#REF!</f>
        <v>#REF!</v>
      </c>
      <c r="AA35" s="481"/>
      <c r="AB35" s="175" t="e">
        <f>+'Estimate Details'!#REF!</f>
        <v>#REF!</v>
      </c>
      <c r="AC35" s="569"/>
      <c r="AD35" s="176" t="e">
        <f>+'Estimate Details'!#REF!</f>
        <v>#REF!</v>
      </c>
      <c r="AE35" s="156"/>
      <c r="AF35" s="156"/>
      <c r="AG35" s="156"/>
      <c r="AH35" s="156"/>
      <c r="AI35" s="29"/>
      <c r="AJ35" s="29"/>
      <c r="AK35" s="29"/>
      <c r="AL35" s="29"/>
    </row>
    <row r="36" spans="1:44" ht="13.5" customHeight="1">
      <c r="A36" s="116" t="e">
        <f>+'Estimate Details'!#REF!</f>
        <v>#REF!</v>
      </c>
      <c r="B36" s="116"/>
      <c r="C36" s="116"/>
      <c r="D36" s="166"/>
      <c r="E36" s="158" t="e">
        <f>+'Estimate Details'!#REF!</f>
        <v>#REF!</v>
      </c>
      <c r="F36" s="41"/>
      <c r="G36" s="117" t="e">
        <f>+'Estimate Details'!#REF!</f>
        <v>#REF!</v>
      </c>
      <c r="H36" s="118" t="e">
        <f>+'Estimate Details'!#REF!</f>
        <v>#REF!</v>
      </c>
      <c r="I36" s="108" t="e">
        <f>+'Estimate Details'!#REF!</f>
        <v>#REF!</v>
      </c>
      <c r="J36" s="168" t="e">
        <f>+'Estimate Details'!#REF!</f>
        <v>#REF!</v>
      </c>
      <c r="K36" s="42" t="e">
        <f>+'Estimate Details'!#REF!</f>
        <v>#REF!</v>
      </c>
      <c r="L36" s="42" t="e">
        <f>+'Estimate Details'!#REF!</f>
        <v>#REF!</v>
      </c>
      <c r="M36" s="177" t="e">
        <f>+'Estimate Details'!#REF!</f>
        <v>#REF!</v>
      </c>
      <c r="N36" s="170" t="e">
        <f>+'Estimate Details'!#REF!</f>
        <v>#REF!</v>
      </c>
      <c r="O36" s="171" t="e">
        <f>+'Estimate Details'!#REF!</f>
        <v>#REF!</v>
      </c>
      <c r="P36" s="172" t="e">
        <f>+'Estimate Details'!#REF!</f>
        <v>#REF!</v>
      </c>
      <c r="Q36" s="173" t="e">
        <f>+'Estimate Details'!#REF!</f>
        <v>#REF!</v>
      </c>
      <c r="R36" s="174" t="e">
        <f>+'Estimate Details'!#REF!</f>
        <v>#REF!</v>
      </c>
      <c r="S36" s="507"/>
      <c r="T36" s="174" t="e">
        <f>+'Estimate Details'!#REF!</f>
        <v>#REF!</v>
      </c>
      <c r="U36" s="481"/>
      <c r="V36" s="172" t="e">
        <f>+'Estimate Details'!#REF!</f>
        <v>#REF!</v>
      </c>
      <c r="W36" s="481" t="s">
        <v>1309</v>
      </c>
      <c r="X36" s="172" t="e">
        <f>+'Estimate Details'!#REF!</f>
        <v>#REF!</v>
      </c>
      <c r="Y36" s="172" t="e">
        <f>+'Estimate Details'!#REF!</f>
        <v>#REF!</v>
      </c>
      <c r="Z36" s="174" t="e">
        <f>+'Estimate Details'!#REF!</f>
        <v>#REF!</v>
      </c>
      <c r="AA36" s="481"/>
      <c r="AB36" s="175" t="e">
        <f>+'Estimate Details'!#REF!</f>
        <v>#REF!</v>
      </c>
      <c r="AC36" s="569"/>
      <c r="AD36" s="176" t="e">
        <f>+'Estimate Details'!#REF!</f>
        <v>#REF!</v>
      </c>
      <c r="AE36" s="156"/>
      <c r="AF36" s="156"/>
      <c r="AG36" s="156"/>
      <c r="AH36" s="156"/>
      <c r="AI36" s="29"/>
      <c r="AJ36" s="29"/>
      <c r="AK36" s="29"/>
      <c r="AL36" s="29"/>
    </row>
    <row r="37" spans="1:44" ht="13.5" customHeight="1">
      <c r="A37" s="116" t="e">
        <f>+'Estimate Details'!#REF!</f>
        <v>#REF!</v>
      </c>
      <c r="B37" s="116"/>
      <c r="C37" s="116"/>
      <c r="D37" s="166"/>
      <c r="E37" s="158" t="e">
        <f>+'Estimate Details'!#REF!</f>
        <v>#REF!</v>
      </c>
      <c r="F37" s="41"/>
      <c r="G37" s="117" t="e">
        <f>+'Estimate Details'!#REF!</f>
        <v>#REF!</v>
      </c>
      <c r="H37" s="118" t="e">
        <f>+'Estimate Details'!#REF!</f>
        <v>#REF!</v>
      </c>
      <c r="I37" s="108" t="e">
        <f>+'Estimate Details'!#REF!</f>
        <v>#REF!</v>
      </c>
      <c r="J37" s="168" t="e">
        <f>+'Estimate Details'!#REF!</f>
        <v>#REF!</v>
      </c>
      <c r="K37" s="42" t="e">
        <f>+'Estimate Details'!#REF!</f>
        <v>#REF!</v>
      </c>
      <c r="L37" s="42" t="e">
        <f>+'Estimate Details'!#REF!</f>
        <v>#REF!</v>
      </c>
      <c r="M37" s="177" t="e">
        <f>+'Estimate Details'!#REF!</f>
        <v>#REF!</v>
      </c>
      <c r="N37" s="170" t="e">
        <f>+'Estimate Details'!#REF!</f>
        <v>#REF!</v>
      </c>
      <c r="O37" s="171" t="e">
        <f>+'Estimate Details'!#REF!</f>
        <v>#REF!</v>
      </c>
      <c r="P37" s="172" t="e">
        <f>+'Estimate Details'!#REF!</f>
        <v>#REF!</v>
      </c>
      <c r="Q37" s="173" t="e">
        <f>+'Estimate Details'!#REF!</f>
        <v>#REF!</v>
      </c>
      <c r="R37" s="174" t="e">
        <f>+'Estimate Details'!#REF!</f>
        <v>#REF!</v>
      </c>
      <c r="S37" s="507"/>
      <c r="T37" s="174" t="e">
        <f>+'Estimate Details'!#REF!</f>
        <v>#REF!</v>
      </c>
      <c r="U37" s="481"/>
      <c r="V37" s="172" t="e">
        <f>+'Estimate Details'!#REF!</f>
        <v>#REF!</v>
      </c>
      <c r="W37" s="481" t="s">
        <v>1309</v>
      </c>
      <c r="X37" s="172" t="e">
        <f>+'Estimate Details'!#REF!</f>
        <v>#REF!</v>
      </c>
      <c r="Y37" s="172" t="e">
        <f>+'Estimate Details'!#REF!</f>
        <v>#REF!</v>
      </c>
      <c r="Z37" s="174" t="e">
        <f>+'Estimate Details'!#REF!</f>
        <v>#REF!</v>
      </c>
      <c r="AA37" s="481"/>
      <c r="AB37" s="175" t="e">
        <f>+'Estimate Details'!#REF!</f>
        <v>#REF!</v>
      </c>
      <c r="AC37" s="569"/>
      <c r="AD37" s="176" t="e">
        <f>+'Estimate Details'!#REF!</f>
        <v>#REF!</v>
      </c>
      <c r="AE37" s="156"/>
      <c r="AF37" s="156"/>
      <c r="AG37" s="156"/>
      <c r="AH37" s="156"/>
      <c r="AI37" s="29"/>
      <c r="AJ37" s="29"/>
      <c r="AK37" s="29"/>
      <c r="AL37" s="29"/>
    </row>
    <row r="38" spans="1:44" ht="13.5" customHeight="1">
      <c r="A38" s="116" t="e">
        <f>+'Estimate Details'!#REF!</f>
        <v>#REF!</v>
      </c>
      <c r="B38" s="116"/>
      <c r="C38" s="116"/>
      <c r="D38" s="166"/>
      <c r="E38" s="158" t="e">
        <f>+'Estimate Details'!#REF!</f>
        <v>#REF!</v>
      </c>
      <c r="F38" s="41"/>
      <c r="G38" s="117" t="e">
        <f>+'Estimate Details'!#REF!</f>
        <v>#REF!</v>
      </c>
      <c r="H38" s="118" t="e">
        <f>+'Estimate Details'!#REF!</f>
        <v>#REF!</v>
      </c>
      <c r="I38" s="108" t="e">
        <f>+'Estimate Details'!#REF!</f>
        <v>#REF!</v>
      </c>
      <c r="J38" s="168" t="e">
        <f>+'Estimate Details'!#REF!</f>
        <v>#REF!</v>
      </c>
      <c r="K38" s="42" t="e">
        <f>+'Estimate Details'!#REF!</f>
        <v>#REF!</v>
      </c>
      <c r="L38" s="42" t="e">
        <f>+'Estimate Details'!#REF!</f>
        <v>#REF!</v>
      </c>
      <c r="M38" s="177" t="e">
        <f>+'Estimate Details'!#REF!</f>
        <v>#REF!</v>
      </c>
      <c r="N38" s="170" t="e">
        <f>+'Estimate Details'!#REF!</f>
        <v>#REF!</v>
      </c>
      <c r="O38" s="171" t="e">
        <f>+'Estimate Details'!#REF!</f>
        <v>#REF!</v>
      </c>
      <c r="P38" s="172" t="e">
        <f>+'Estimate Details'!#REF!</f>
        <v>#REF!</v>
      </c>
      <c r="Q38" s="173" t="e">
        <f>+'Estimate Details'!#REF!</f>
        <v>#REF!</v>
      </c>
      <c r="R38" s="174" t="e">
        <f>+'Estimate Details'!#REF!</f>
        <v>#REF!</v>
      </c>
      <c r="S38" s="507"/>
      <c r="T38" s="174" t="e">
        <f>+'Estimate Details'!#REF!</f>
        <v>#REF!</v>
      </c>
      <c r="U38" s="481" t="s">
        <v>1309</v>
      </c>
      <c r="V38" s="172" t="e">
        <f>+'Estimate Details'!#REF!</f>
        <v>#REF!</v>
      </c>
      <c r="W38" s="481" t="s">
        <v>1309</v>
      </c>
      <c r="X38" s="172" t="e">
        <f>+'Estimate Details'!#REF!</f>
        <v>#REF!</v>
      </c>
      <c r="Y38" s="172" t="e">
        <f>+'Estimate Details'!#REF!</f>
        <v>#REF!</v>
      </c>
      <c r="Z38" s="174" t="e">
        <f>+'Estimate Details'!#REF!</f>
        <v>#REF!</v>
      </c>
      <c r="AA38" s="481"/>
      <c r="AB38" s="175" t="e">
        <f>+'Estimate Details'!#REF!</f>
        <v>#REF!</v>
      </c>
      <c r="AC38" s="569"/>
      <c r="AD38" s="176" t="e">
        <f>+'Estimate Details'!#REF!</f>
        <v>#REF!</v>
      </c>
      <c r="AE38" s="156"/>
      <c r="AF38" s="156"/>
      <c r="AG38" s="156"/>
      <c r="AH38" s="156"/>
      <c r="AI38" s="29"/>
      <c r="AJ38" s="29"/>
      <c r="AK38" s="29"/>
      <c r="AL38" s="29"/>
    </row>
    <row r="39" spans="1:44" ht="13.5" customHeight="1">
      <c r="A39" s="116" t="e">
        <f>+'Estimate Details'!#REF!</f>
        <v>#REF!</v>
      </c>
      <c r="B39" s="116"/>
      <c r="C39" s="116"/>
      <c r="D39" s="166"/>
      <c r="E39" s="158" t="e">
        <f>+'Estimate Details'!#REF!</f>
        <v>#REF!</v>
      </c>
      <c r="F39" s="41"/>
      <c r="G39" s="117" t="e">
        <f>+'Estimate Details'!#REF!</f>
        <v>#REF!</v>
      </c>
      <c r="H39" s="118" t="e">
        <f>+'Estimate Details'!#REF!</f>
        <v>#REF!</v>
      </c>
      <c r="I39" s="108" t="e">
        <f>+'Estimate Details'!#REF!</f>
        <v>#REF!</v>
      </c>
      <c r="J39" s="168" t="e">
        <f>+'Estimate Details'!#REF!</f>
        <v>#REF!</v>
      </c>
      <c r="K39" s="42" t="e">
        <f>+'Estimate Details'!#REF!</f>
        <v>#REF!</v>
      </c>
      <c r="L39" s="42" t="e">
        <f>+'Estimate Details'!#REF!</f>
        <v>#REF!</v>
      </c>
      <c r="M39" s="177" t="e">
        <f>+'Estimate Details'!#REF!</f>
        <v>#REF!</v>
      </c>
      <c r="N39" s="170" t="e">
        <f>+'Estimate Details'!#REF!</f>
        <v>#REF!</v>
      </c>
      <c r="O39" s="171" t="e">
        <f>+'Estimate Details'!#REF!</f>
        <v>#REF!</v>
      </c>
      <c r="P39" s="172" t="e">
        <f>+'Estimate Details'!#REF!</f>
        <v>#REF!</v>
      </c>
      <c r="Q39" s="173" t="e">
        <f>+'Estimate Details'!#REF!</f>
        <v>#REF!</v>
      </c>
      <c r="R39" s="174" t="e">
        <f>+'Estimate Details'!#REF!</f>
        <v>#REF!</v>
      </c>
      <c r="S39" s="507"/>
      <c r="T39" s="174" t="e">
        <f>+'Estimate Details'!#REF!</f>
        <v>#REF!</v>
      </c>
      <c r="U39" s="481" t="s">
        <v>1309</v>
      </c>
      <c r="V39" s="172" t="e">
        <f>+'Estimate Details'!#REF!</f>
        <v>#REF!</v>
      </c>
      <c r="W39" s="481" t="s">
        <v>1309</v>
      </c>
      <c r="X39" s="172" t="e">
        <f>+'Estimate Details'!#REF!</f>
        <v>#REF!</v>
      </c>
      <c r="Y39" s="172" t="e">
        <f>+'Estimate Details'!#REF!</f>
        <v>#REF!</v>
      </c>
      <c r="Z39" s="174" t="e">
        <f>+'Estimate Details'!#REF!</f>
        <v>#REF!</v>
      </c>
      <c r="AA39" s="481"/>
      <c r="AB39" s="175" t="e">
        <f>+'Estimate Details'!#REF!</f>
        <v>#REF!</v>
      </c>
      <c r="AC39" s="569"/>
      <c r="AD39" s="176" t="e">
        <f>+'Estimate Details'!#REF!</f>
        <v>#REF!</v>
      </c>
      <c r="AE39" s="156"/>
      <c r="AF39" s="156"/>
      <c r="AG39" s="156"/>
      <c r="AH39" s="156"/>
      <c r="AI39" s="29"/>
      <c r="AJ39" s="29"/>
      <c r="AK39" s="29"/>
      <c r="AL39" s="29"/>
    </row>
    <row r="40" spans="1:44" ht="13.5" customHeight="1">
      <c r="A40" s="116" t="e">
        <f>+'Estimate Details'!#REF!</f>
        <v>#REF!</v>
      </c>
      <c r="B40" s="116"/>
      <c r="C40" s="116"/>
      <c r="D40" s="166"/>
      <c r="E40" s="158" t="e">
        <f>+'Estimate Details'!#REF!</f>
        <v>#REF!</v>
      </c>
      <c r="F40" s="41"/>
      <c r="G40" s="117" t="e">
        <f>+'Estimate Details'!#REF!</f>
        <v>#REF!</v>
      </c>
      <c r="H40" s="118" t="e">
        <f>+'Estimate Details'!#REF!</f>
        <v>#REF!</v>
      </c>
      <c r="I40" s="108" t="e">
        <f>+'Estimate Details'!#REF!</f>
        <v>#REF!</v>
      </c>
      <c r="J40" s="168" t="e">
        <f>+'Estimate Details'!#REF!</f>
        <v>#REF!</v>
      </c>
      <c r="K40" s="42" t="e">
        <f>+'Estimate Details'!#REF!</f>
        <v>#REF!</v>
      </c>
      <c r="L40" s="42" t="e">
        <f>+'Estimate Details'!#REF!</f>
        <v>#REF!</v>
      </c>
      <c r="M40" s="177" t="e">
        <f>+'Estimate Details'!#REF!</f>
        <v>#REF!</v>
      </c>
      <c r="N40" s="170" t="e">
        <f>+'Estimate Details'!#REF!</f>
        <v>#REF!</v>
      </c>
      <c r="O40" s="171" t="e">
        <f>+'Estimate Details'!#REF!</f>
        <v>#REF!</v>
      </c>
      <c r="P40" s="172" t="e">
        <f>+'Estimate Details'!#REF!</f>
        <v>#REF!</v>
      </c>
      <c r="Q40" s="173" t="e">
        <f>+'Estimate Details'!#REF!</f>
        <v>#REF!</v>
      </c>
      <c r="R40" s="174" t="e">
        <f>+'Estimate Details'!#REF!</f>
        <v>#REF!</v>
      </c>
      <c r="S40" s="507"/>
      <c r="T40" s="174" t="e">
        <f>+'Estimate Details'!#REF!</f>
        <v>#REF!</v>
      </c>
      <c r="U40" s="481"/>
      <c r="V40" s="172" t="e">
        <f>+'Estimate Details'!#REF!</f>
        <v>#REF!</v>
      </c>
      <c r="W40" s="481" t="s">
        <v>1309</v>
      </c>
      <c r="X40" s="172" t="e">
        <f>+'Estimate Details'!#REF!</f>
        <v>#REF!</v>
      </c>
      <c r="Y40" s="172" t="e">
        <f>+'Estimate Details'!#REF!</f>
        <v>#REF!</v>
      </c>
      <c r="Z40" s="174" t="e">
        <f>+'Estimate Details'!#REF!</f>
        <v>#REF!</v>
      </c>
      <c r="AA40" s="481"/>
      <c r="AB40" s="175" t="e">
        <f>+'Estimate Details'!#REF!</f>
        <v>#REF!</v>
      </c>
      <c r="AC40" s="569"/>
      <c r="AD40" s="176" t="e">
        <f>+'Estimate Details'!#REF!</f>
        <v>#REF!</v>
      </c>
      <c r="AE40" s="156"/>
      <c r="AF40" s="156"/>
      <c r="AG40" s="156"/>
      <c r="AH40" s="156"/>
      <c r="AI40" s="29"/>
      <c r="AJ40" s="29"/>
      <c r="AK40" s="29"/>
      <c r="AL40" s="29"/>
    </row>
    <row r="41" spans="1:44" ht="13.5" customHeight="1">
      <c r="A41" s="116" t="e">
        <f>+'Estimate Details'!#REF!</f>
        <v>#REF!</v>
      </c>
      <c r="B41" s="116"/>
      <c r="C41" s="116"/>
      <c r="D41" s="166"/>
      <c r="E41" s="158" t="e">
        <f>+'Estimate Details'!#REF!</f>
        <v>#REF!</v>
      </c>
      <c r="F41" s="41"/>
      <c r="G41" s="117" t="e">
        <f>+'Estimate Details'!#REF!</f>
        <v>#REF!</v>
      </c>
      <c r="H41" s="118" t="e">
        <f>+'Estimate Details'!#REF!</f>
        <v>#REF!</v>
      </c>
      <c r="I41" s="108" t="e">
        <f>+'Estimate Details'!#REF!</f>
        <v>#REF!</v>
      </c>
      <c r="J41" s="168" t="e">
        <f>+'Estimate Details'!#REF!</f>
        <v>#REF!</v>
      </c>
      <c r="K41" s="42" t="e">
        <f>+'Estimate Details'!#REF!</f>
        <v>#REF!</v>
      </c>
      <c r="L41" s="42" t="e">
        <f>+'Estimate Details'!#REF!</f>
        <v>#REF!</v>
      </c>
      <c r="M41" s="177" t="e">
        <f>+'Estimate Details'!#REF!</f>
        <v>#REF!</v>
      </c>
      <c r="N41" s="170" t="e">
        <f>+'Estimate Details'!#REF!</f>
        <v>#REF!</v>
      </c>
      <c r="O41" s="171" t="e">
        <f>+'Estimate Details'!#REF!</f>
        <v>#REF!</v>
      </c>
      <c r="P41" s="172" t="e">
        <f>+'Estimate Details'!#REF!</f>
        <v>#REF!</v>
      </c>
      <c r="Q41" s="173" t="e">
        <f>+'Estimate Details'!#REF!</f>
        <v>#REF!</v>
      </c>
      <c r="R41" s="174" t="e">
        <f>+'Estimate Details'!#REF!</f>
        <v>#REF!</v>
      </c>
      <c r="S41" s="507"/>
      <c r="T41" s="174" t="e">
        <f>+'Estimate Details'!#REF!</f>
        <v>#REF!</v>
      </c>
      <c r="U41" s="481" t="s">
        <v>1309</v>
      </c>
      <c r="V41" s="172" t="e">
        <f>+'Estimate Details'!#REF!</f>
        <v>#REF!</v>
      </c>
      <c r="W41" s="481" t="s">
        <v>1309</v>
      </c>
      <c r="X41" s="172" t="e">
        <f>+'Estimate Details'!#REF!</f>
        <v>#REF!</v>
      </c>
      <c r="Y41" s="172" t="e">
        <f>+'Estimate Details'!#REF!</f>
        <v>#REF!</v>
      </c>
      <c r="Z41" s="174" t="e">
        <f>+'Estimate Details'!#REF!</f>
        <v>#REF!</v>
      </c>
      <c r="AA41" s="481"/>
      <c r="AB41" s="175" t="e">
        <f>+'Estimate Details'!#REF!</f>
        <v>#REF!</v>
      </c>
      <c r="AC41" s="569"/>
      <c r="AD41" s="176" t="e">
        <f>+'Estimate Details'!#REF!</f>
        <v>#REF!</v>
      </c>
      <c r="AE41" s="156"/>
      <c r="AF41" s="156"/>
      <c r="AG41" s="156"/>
      <c r="AH41" s="156"/>
      <c r="AI41" s="29"/>
      <c r="AJ41" s="29"/>
      <c r="AK41" s="29"/>
      <c r="AL41" s="29"/>
    </row>
    <row r="42" spans="1:44" ht="13.5" customHeight="1">
      <c r="A42" s="116" t="e">
        <f>+'Estimate Details'!#REF!</f>
        <v>#REF!</v>
      </c>
      <c r="B42" s="116"/>
      <c r="C42" s="116"/>
      <c r="D42" s="166"/>
      <c r="E42" s="158" t="e">
        <f>+'Estimate Details'!#REF!</f>
        <v>#REF!</v>
      </c>
      <c r="F42" s="41"/>
      <c r="G42" s="117" t="e">
        <f>+'Estimate Details'!#REF!</f>
        <v>#REF!</v>
      </c>
      <c r="H42" s="118" t="e">
        <f>+'Estimate Details'!#REF!</f>
        <v>#REF!</v>
      </c>
      <c r="I42" s="108" t="e">
        <f>+'Estimate Details'!#REF!</f>
        <v>#REF!</v>
      </c>
      <c r="J42" s="168" t="e">
        <f>+'Estimate Details'!#REF!</f>
        <v>#REF!</v>
      </c>
      <c r="K42" s="42" t="e">
        <f>+'Estimate Details'!#REF!</f>
        <v>#REF!</v>
      </c>
      <c r="L42" s="42" t="e">
        <f>+'Estimate Details'!#REF!</f>
        <v>#REF!</v>
      </c>
      <c r="M42" s="177" t="e">
        <f>+'Estimate Details'!#REF!</f>
        <v>#REF!</v>
      </c>
      <c r="N42" s="170" t="e">
        <f>+'Estimate Details'!#REF!</f>
        <v>#REF!</v>
      </c>
      <c r="O42" s="171" t="e">
        <f>+'Estimate Details'!#REF!</f>
        <v>#REF!</v>
      </c>
      <c r="P42" s="172" t="e">
        <f>+'Estimate Details'!#REF!</f>
        <v>#REF!</v>
      </c>
      <c r="Q42" s="173" t="e">
        <f>+'Estimate Details'!#REF!</f>
        <v>#REF!</v>
      </c>
      <c r="R42" s="174" t="e">
        <f>+'Estimate Details'!#REF!</f>
        <v>#REF!</v>
      </c>
      <c r="S42" s="507"/>
      <c r="T42" s="174" t="e">
        <f>+'Estimate Details'!#REF!</f>
        <v>#REF!</v>
      </c>
      <c r="U42" s="481" t="s">
        <v>1310</v>
      </c>
      <c r="V42" s="172" t="e">
        <f>+'Estimate Details'!#REF!</f>
        <v>#REF!</v>
      </c>
      <c r="W42" s="481" t="s">
        <v>1310</v>
      </c>
      <c r="X42" s="172" t="e">
        <f>+'Estimate Details'!#REF!</f>
        <v>#REF!</v>
      </c>
      <c r="Y42" s="172" t="e">
        <f>+'Estimate Details'!#REF!</f>
        <v>#REF!</v>
      </c>
      <c r="Z42" s="174" t="e">
        <f>+'Estimate Details'!#REF!</f>
        <v>#REF!</v>
      </c>
      <c r="AA42" s="481"/>
      <c r="AB42" s="175" t="e">
        <f>+'Estimate Details'!#REF!</f>
        <v>#REF!</v>
      </c>
      <c r="AC42" s="569"/>
      <c r="AD42" s="176" t="e">
        <f>+'Estimate Details'!#REF!</f>
        <v>#REF!</v>
      </c>
      <c r="AE42" s="156"/>
      <c r="AF42" s="156"/>
      <c r="AG42" s="156"/>
      <c r="AH42" s="156"/>
      <c r="AI42" s="29"/>
      <c r="AJ42" s="29"/>
      <c r="AK42" s="29"/>
      <c r="AL42" s="29"/>
    </row>
    <row r="43" spans="1:44" ht="13.5" customHeight="1">
      <c r="A43" s="116" t="e">
        <f>+'Estimate Details'!#REF!</f>
        <v>#REF!</v>
      </c>
      <c r="B43" s="116"/>
      <c r="C43" s="116"/>
      <c r="D43" s="166"/>
      <c r="E43" s="158" t="e">
        <f>+'Estimate Details'!#REF!</f>
        <v>#REF!</v>
      </c>
      <c r="F43" s="41"/>
      <c r="G43" s="117" t="e">
        <f>+'Estimate Details'!#REF!</f>
        <v>#REF!</v>
      </c>
      <c r="H43" s="118" t="e">
        <f>+'Estimate Details'!#REF!</f>
        <v>#REF!</v>
      </c>
      <c r="I43" s="108" t="e">
        <f>+'Estimate Details'!#REF!</f>
        <v>#REF!</v>
      </c>
      <c r="J43" s="168" t="e">
        <f>+'Estimate Details'!#REF!</f>
        <v>#REF!</v>
      </c>
      <c r="K43" s="42" t="e">
        <f>+'Estimate Details'!#REF!</f>
        <v>#REF!</v>
      </c>
      <c r="L43" s="42" t="e">
        <f>+'Estimate Details'!#REF!</f>
        <v>#REF!</v>
      </c>
      <c r="M43" s="177" t="e">
        <f>+'Estimate Details'!#REF!</f>
        <v>#REF!</v>
      </c>
      <c r="N43" s="170" t="e">
        <f>+'Estimate Details'!#REF!</f>
        <v>#REF!</v>
      </c>
      <c r="O43" s="171" t="e">
        <f>+'Estimate Details'!#REF!</f>
        <v>#REF!</v>
      </c>
      <c r="P43" s="172" t="e">
        <f>+'Estimate Details'!#REF!</f>
        <v>#REF!</v>
      </c>
      <c r="Q43" s="173" t="e">
        <f>+'Estimate Details'!#REF!</f>
        <v>#REF!</v>
      </c>
      <c r="R43" s="174" t="e">
        <f>+'Estimate Details'!#REF!</f>
        <v>#REF!</v>
      </c>
      <c r="S43" s="507"/>
      <c r="T43" s="174" t="e">
        <f>+'Estimate Details'!#REF!</f>
        <v>#REF!</v>
      </c>
      <c r="U43" s="481" t="s">
        <v>1310</v>
      </c>
      <c r="V43" s="172" t="e">
        <f>+'Estimate Details'!#REF!</f>
        <v>#REF!</v>
      </c>
      <c r="W43" s="481" t="s">
        <v>1310</v>
      </c>
      <c r="X43" s="172" t="e">
        <f>+'Estimate Details'!#REF!</f>
        <v>#REF!</v>
      </c>
      <c r="Y43" s="172" t="e">
        <f>+'Estimate Details'!#REF!</f>
        <v>#REF!</v>
      </c>
      <c r="Z43" s="174" t="e">
        <f>+'Estimate Details'!#REF!</f>
        <v>#REF!</v>
      </c>
      <c r="AA43" s="481"/>
      <c r="AB43" s="175" t="e">
        <f>+'Estimate Details'!#REF!</f>
        <v>#REF!</v>
      </c>
      <c r="AC43" s="569"/>
      <c r="AD43" s="176" t="e">
        <f>+'Estimate Details'!#REF!</f>
        <v>#REF!</v>
      </c>
      <c r="AE43" s="156"/>
      <c r="AF43" s="156"/>
      <c r="AG43" s="156"/>
      <c r="AH43" s="156"/>
      <c r="AI43" s="29"/>
      <c r="AJ43" s="29"/>
      <c r="AK43" s="29"/>
      <c r="AL43" s="29"/>
    </row>
    <row r="44" spans="1:44" s="30" customFormat="1" ht="14.1" customHeight="1">
      <c r="A44" s="116" t="e">
        <f>+'Estimate Details'!#REF!</f>
        <v>#REF!</v>
      </c>
      <c r="B44" s="116"/>
      <c r="C44" s="116"/>
      <c r="D44" s="166"/>
      <c r="E44" s="158" t="e">
        <f>+'Estimate Details'!#REF!</f>
        <v>#REF!</v>
      </c>
      <c r="F44" s="41"/>
      <c r="G44" s="117" t="e">
        <f>+'Estimate Details'!#REF!</f>
        <v>#REF!</v>
      </c>
      <c r="H44" s="118" t="e">
        <f>+'Estimate Details'!#REF!</f>
        <v>#REF!</v>
      </c>
      <c r="I44" s="108" t="e">
        <f>+'Estimate Details'!#REF!</f>
        <v>#REF!</v>
      </c>
      <c r="J44" s="168" t="e">
        <f>+'Estimate Details'!#REF!</f>
        <v>#REF!</v>
      </c>
      <c r="K44" s="42" t="e">
        <f>+'Estimate Details'!#REF!</f>
        <v>#REF!</v>
      </c>
      <c r="L44" s="42" t="e">
        <f>+'Estimate Details'!#REF!</f>
        <v>#REF!</v>
      </c>
      <c r="M44" s="169" t="e">
        <f>+'Estimate Details'!#REF!</f>
        <v>#REF!</v>
      </c>
      <c r="N44" s="182" t="e">
        <f>+'Estimate Details'!#REF!</f>
        <v>#REF!</v>
      </c>
      <c r="O44" s="171" t="e">
        <f>+'Estimate Details'!#REF!</f>
        <v>#REF!</v>
      </c>
      <c r="P44" s="172" t="e">
        <f>+'Estimate Details'!#REF!</f>
        <v>#REF!</v>
      </c>
      <c r="Q44" s="173" t="e">
        <f>+'Estimate Details'!#REF!</f>
        <v>#REF!</v>
      </c>
      <c r="R44" s="174" t="e">
        <f>+'Estimate Details'!#REF!</f>
        <v>#REF!</v>
      </c>
      <c r="S44" s="507"/>
      <c r="T44" s="174" t="e">
        <f>+'Estimate Details'!#REF!</f>
        <v>#REF!</v>
      </c>
      <c r="U44" s="481"/>
      <c r="V44" s="172" t="e">
        <f>+'Estimate Details'!#REF!</f>
        <v>#REF!</v>
      </c>
      <c r="W44" s="481" t="s">
        <v>1309</v>
      </c>
      <c r="X44" s="172" t="e">
        <f>+'Estimate Details'!#REF!</f>
        <v>#REF!</v>
      </c>
      <c r="Y44" s="172" t="e">
        <f>+'Estimate Details'!#REF!</f>
        <v>#REF!</v>
      </c>
      <c r="Z44" s="174" t="e">
        <f>+'Estimate Details'!#REF!</f>
        <v>#REF!</v>
      </c>
      <c r="AA44" s="481"/>
      <c r="AB44" s="175" t="e">
        <f>+'Estimate Details'!#REF!</f>
        <v>#REF!</v>
      </c>
      <c r="AC44" s="569"/>
      <c r="AD44" s="183" t="e">
        <f>+'Estimate Details'!#REF!</f>
        <v>#REF!</v>
      </c>
      <c r="AE44" s="156"/>
      <c r="AF44" s="156"/>
      <c r="AG44" s="156"/>
      <c r="AH44" s="156"/>
      <c r="AI44" s="29"/>
      <c r="AJ44" s="29"/>
      <c r="AK44" s="29"/>
      <c r="AL44" s="29"/>
      <c r="AM44" s="29"/>
      <c r="AN44" s="29"/>
      <c r="AO44" s="29"/>
      <c r="AP44" s="29"/>
      <c r="AQ44" s="29"/>
      <c r="AR44" s="29"/>
    </row>
    <row r="45" spans="1:44" ht="13.5" customHeight="1">
      <c r="A45" s="116" t="e">
        <f>+'Estimate Details'!#REF!</f>
        <v>#REF!</v>
      </c>
      <c r="B45" s="116"/>
      <c r="C45" s="116"/>
      <c r="D45" s="166"/>
      <c r="E45" s="158" t="e">
        <f>+'Estimate Details'!#REF!</f>
        <v>#REF!</v>
      </c>
      <c r="F45" s="41"/>
      <c r="G45" s="117" t="e">
        <f>+'Estimate Details'!#REF!</f>
        <v>#REF!</v>
      </c>
      <c r="H45" s="118" t="e">
        <f>+'Estimate Details'!#REF!</f>
        <v>#REF!</v>
      </c>
      <c r="I45" s="108" t="e">
        <f>+'Estimate Details'!#REF!</f>
        <v>#REF!</v>
      </c>
      <c r="J45" s="168" t="e">
        <f>+'Estimate Details'!#REF!</f>
        <v>#REF!</v>
      </c>
      <c r="K45" s="42" t="e">
        <f>+'Estimate Details'!#REF!</f>
        <v>#REF!</v>
      </c>
      <c r="L45" s="42" t="e">
        <f>+'Estimate Details'!#REF!</f>
        <v>#REF!</v>
      </c>
      <c r="M45" s="177" t="e">
        <f>+'Estimate Details'!#REF!</f>
        <v>#REF!</v>
      </c>
      <c r="N45" s="170" t="e">
        <f>+'Estimate Details'!#REF!</f>
        <v>#REF!</v>
      </c>
      <c r="O45" s="171" t="e">
        <f>+'Estimate Details'!#REF!</f>
        <v>#REF!</v>
      </c>
      <c r="P45" s="172" t="e">
        <f>+'Estimate Details'!#REF!</f>
        <v>#REF!</v>
      </c>
      <c r="Q45" s="173" t="e">
        <f>+'Estimate Details'!#REF!</f>
        <v>#REF!</v>
      </c>
      <c r="R45" s="174" t="e">
        <f>+'Estimate Details'!#REF!</f>
        <v>#REF!</v>
      </c>
      <c r="S45" s="507"/>
      <c r="T45" s="174" t="e">
        <f>+'Estimate Details'!#REF!</f>
        <v>#REF!</v>
      </c>
      <c r="U45" s="481"/>
      <c r="V45" s="172" t="e">
        <f>+'Estimate Details'!#REF!</f>
        <v>#REF!</v>
      </c>
      <c r="W45" s="481" t="s">
        <v>1309</v>
      </c>
      <c r="X45" s="172" t="e">
        <f>+'Estimate Details'!#REF!</f>
        <v>#REF!</v>
      </c>
      <c r="Y45" s="172" t="e">
        <f>+'Estimate Details'!#REF!</f>
        <v>#REF!</v>
      </c>
      <c r="Z45" s="174" t="e">
        <f>+'Estimate Details'!#REF!</f>
        <v>#REF!</v>
      </c>
      <c r="AA45" s="481"/>
      <c r="AB45" s="175" t="e">
        <f>+'Estimate Details'!#REF!</f>
        <v>#REF!</v>
      </c>
      <c r="AC45" s="569"/>
      <c r="AD45" s="176" t="e">
        <f>+'Estimate Details'!#REF!</f>
        <v>#REF!</v>
      </c>
      <c r="AE45" s="156"/>
      <c r="AF45" s="156"/>
      <c r="AG45" s="156"/>
      <c r="AH45" s="156"/>
      <c r="AI45" s="29"/>
      <c r="AJ45" s="29"/>
      <c r="AK45" s="29"/>
      <c r="AL45" s="29"/>
    </row>
    <row r="46" spans="1:44" ht="13.5" customHeight="1">
      <c r="A46" s="116" t="e">
        <f>+'Estimate Details'!#REF!</f>
        <v>#REF!</v>
      </c>
      <c r="B46" s="116"/>
      <c r="C46" s="116"/>
      <c r="D46" s="166"/>
      <c r="E46" s="158" t="e">
        <f>+'Estimate Details'!#REF!</f>
        <v>#REF!</v>
      </c>
      <c r="F46" s="41"/>
      <c r="G46" s="117" t="e">
        <f>+'Estimate Details'!#REF!</f>
        <v>#REF!</v>
      </c>
      <c r="H46" s="118" t="e">
        <f>+'Estimate Details'!#REF!</f>
        <v>#REF!</v>
      </c>
      <c r="I46" s="108" t="e">
        <f>+'Estimate Details'!#REF!</f>
        <v>#REF!</v>
      </c>
      <c r="J46" s="168" t="e">
        <f>+'Estimate Details'!#REF!</f>
        <v>#REF!</v>
      </c>
      <c r="K46" s="42" t="e">
        <f>+'Estimate Details'!#REF!</f>
        <v>#REF!</v>
      </c>
      <c r="L46" s="42" t="e">
        <f>+'Estimate Details'!#REF!</f>
        <v>#REF!</v>
      </c>
      <c r="M46" s="177" t="e">
        <f>+'Estimate Details'!#REF!</f>
        <v>#REF!</v>
      </c>
      <c r="N46" s="170" t="e">
        <f>+'Estimate Details'!#REF!</f>
        <v>#REF!</v>
      </c>
      <c r="O46" s="171" t="e">
        <f>+'Estimate Details'!#REF!</f>
        <v>#REF!</v>
      </c>
      <c r="P46" s="172" t="e">
        <f>+'Estimate Details'!#REF!</f>
        <v>#REF!</v>
      </c>
      <c r="Q46" s="173" t="e">
        <f>+'Estimate Details'!#REF!</f>
        <v>#REF!</v>
      </c>
      <c r="R46" s="174" t="e">
        <f>+'Estimate Details'!#REF!</f>
        <v>#REF!</v>
      </c>
      <c r="S46" s="507"/>
      <c r="T46" s="174" t="e">
        <f>+'Estimate Details'!#REF!</f>
        <v>#REF!</v>
      </c>
      <c r="U46" s="481"/>
      <c r="V46" s="172" t="e">
        <f>+'Estimate Details'!#REF!</f>
        <v>#REF!</v>
      </c>
      <c r="W46" s="481" t="s">
        <v>1309</v>
      </c>
      <c r="X46" s="172" t="e">
        <f>+'Estimate Details'!#REF!</f>
        <v>#REF!</v>
      </c>
      <c r="Y46" s="172" t="e">
        <f>+'Estimate Details'!#REF!</f>
        <v>#REF!</v>
      </c>
      <c r="Z46" s="174" t="e">
        <f>+'Estimate Details'!#REF!</f>
        <v>#REF!</v>
      </c>
      <c r="AA46" s="481"/>
      <c r="AB46" s="175" t="e">
        <f>+'Estimate Details'!#REF!</f>
        <v>#REF!</v>
      </c>
      <c r="AC46" s="569"/>
      <c r="AD46" s="176" t="e">
        <f>+'Estimate Details'!#REF!</f>
        <v>#REF!</v>
      </c>
      <c r="AE46" s="156"/>
      <c r="AF46" s="156"/>
      <c r="AG46" s="156"/>
      <c r="AH46" s="156"/>
      <c r="AI46" s="29"/>
      <c r="AJ46" s="29"/>
      <c r="AK46" s="29"/>
      <c r="AL46" s="29"/>
    </row>
    <row r="47" spans="1:44" ht="13.5" customHeight="1">
      <c r="A47" s="116" t="e">
        <f>+'Estimate Details'!#REF!</f>
        <v>#REF!</v>
      </c>
      <c r="B47" s="116"/>
      <c r="C47" s="116"/>
      <c r="D47" s="166"/>
      <c r="E47" s="158" t="e">
        <f>+'Estimate Details'!#REF!</f>
        <v>#REF!</v>
      </c>
      <c r="F47" s="41"/>
      <c r="G47" s="117" t="e">
        <f>+'Estimate Details'!#REF!</f>
        <v>#REF!</v>
      </c>
      <c r="H47" s="118" t="e">
        <f>+'Estimate Details'!#REF!</f>
        <v>#REF!</v>
      </c>
      <c r="I47" s="108" t="e">
        <f>+'Estimate Details'!#REF!</f>
        <v>#REF!</v>
      </c>
      <c r="J47" s="168" t="e">
        <f>+'Estimate Details'!#REF!</f>
        <v>#REF!</v>
      </c>
      <c r="K47" s="42" t="e">
        <f>+'Estimate Details'!#REF!</f>
        <v>#REF!</v>
      </c>
      <c r="L47" s="42" t="e">
        <f>+'Estimate Details'!#REF!</f>
        <v>#REF!</v>
      </c>
      <c r="M47" s="177" t="e">
        <f>+'Estimate Details'!#REF!</f>
        <v>#REF!</v>
      </c>
      <c r="N47" s="170" t="e">
        <f>+'Estimate Details'!#REF!</f>
        <v>#REF!</v>
      </c>
      <c r="O47" s="171" t="e">
        <f>+'Estimate Details'!#REF!</f>
        <v>#REF!</v>
      </c>
      <c r="P47" s="172" t="e">
        <f>+'Estimate Details'!#REF!</f>
        <v>#REF!</v>
      </c>
      <c r="Q47" s="173" t="e">
        <f>+'Estimate Details'!#REF!</f>
        <v>#REF!</v>
      </c>
      <c r="R47" s="174" t="e">
        <f>+'Estimate Details'!#REF!</f>
        <v>#REF!</v>
      </c>
      <c r="S47" s="507"/>
      <c r="T47" s="174" t="e">
        <f>+'Estimate Details'!#REF!</f>
        <v>#REF!</v>
      </c>
      <c r="U47" s="481"/>
      <c r="V47" s="172" t="e">
        <f>+'Estimate Details'!#REF!</f>
        <v>#REF!</v>
      </c>
      <c r="W47" s="481"/>
      <c r="X47" s="172" t="e">
        <f>+'Estimate Details'!#REF!</f>
        <v>#REF!</v>
      </c>
      <c r="Y47" s="172" t="e">
        <f>+'Estimate Details'!#REF!</f>
        <v>#REF!</v>
      </c>
      <c r="Z47" s="174" t="e">
        <f>+'Estimate Details'!#REF!</f>
        <v>#REF!</v>
      </c>
      <c r="AA47" s="481" t="s">
        <v>1302</v>
      </c>
      <c r="AB47" s="175" t="e">
        <f>+'Estimate Details'!#REF!</f>
        <v>#REF!</v>
      </c>
      <c r="AC47" s="569"/>
      <c r="AD47" s="176" t="e">
        <f>+'Estimate Details'!#REF!</f>
        <v>#REF!</v>
      </c>
      <c r="AE47" s="156"/>
      <c r="AF47" s="156"/>
      <c r="AG47" s="156"/>
      <c r="AH47" s="156"/>
      <c r="AI47" s="29"/>
      <c r="AJ47" s="29"/>
      <c r="AK47" s="29"/>
      <c r="AL47" s="29"/>
    </row>
    <row r="48" spans="1:44" ht="13.5" customHeight="1">
      <c r="A48" s="116" t="e">
        <f>+'Estimate Details'!#REF!</f>
        <v>#REF!</v>
      </c>
      <c r="B48" s="116"/>
      <c r="C48" s="116"/>
      <c r="D48" s="166"/>
      <c r="E48" s="158" t="e">
        <f>+'Estimate Details'!#REF!</f>
        <v>#REF!</v>
      </c>
      <c r="F48" s="41"/>
      <c r="G48" s="117" t="e">
        <f>+'Estimate Details'!#REF!</f>
        <v>#REF!</v>
      </c>
      <c r="H48" s="118" t="e">
        <f>+'Estimate Details'!#REF!</f>
        <v>#REF!</v>
      </c>
      <c r="I48" s="108" t="e">
        <f>+'Estimate Details'!#REF!</f>
        <v>#REF!</v>
      </c>
      <c r="J48" s="168" t="e">
        <f>+'Estimate Details'!#REF!</f>
        <v>#REF!</v>
      </c>
      <c r="K48" s="42" t="e">
        <f>+'Estimate Details'!#REF!</f>
        <v>#REF!</v>
      </c>
      <c r="L48" s="42" t="e">
        <f>+'Estimate Details'!#REF!</f>
        <v>#REF!</v>
      </c>
      <c r="M48" s="177" t="e">
        <f>+'Estimate Details'!#REF!</f>
        <v>#REF!</v>
      </c>
      <c r="N48" s="170" t="e">
        <f>+'Estimate Details'!#REF!</f>
        <v>#REF!</v>
      </c>
      <c r="O48" s="171" t="e">
        <f>+'Estimate Details'!#REF!</f>
        <v>#REF!</v>
      </c>
      <c r="P48" s="172" t="e">
        <f>+'Estimate Details'!#REF!</f>
        <v>#REF!</v>
      </c>
      <c r="Q48" s="173" t="e">
        <f>+'Estimate Details'!#REF!</f>
        <v>#REF!</v>
      </c>
      <c r="R48" s="174" t="e">
        <f>+'Estimate Details'!#REF!</f>
        <v>#REF!</v>
      </c>
      <c r="S48" s="507"/>
      <c r="T48" s="174" t="e">
        <f>+'Estimate Details'!#REF!</f>
        <v>#REF!</v>
      </c>
      <c r="U48" s="481"/>
      <c r="V48" s="172" t="e">
        <f>+'Estimate Details'!#REF!</f>
        <v>#REF!</v>
      </c>
      <c r="W48" s="481" t="s">
        <v>1309</v>
      </c>
      <c r="X48" s="172" t="e">
        <f>+'Estimate Details'!#REF!</f>
        <v>#REF!</v>
      </c>
      <c r="Y48" s="172" t="e">
        <f>+'Estimate Details'!#REF!</f>
        <v>#REF!</v>
      </c>
      <c r="Z48" s="174" t="e">
        <f>+'Estimate Details'!#REF!</f>
        <v>#REF!</v>
      </c>
      <c r="AA48" s="481"/>
      <c r="AB48" s="175" t="e">
        <f>+'Estimate Details'!#REF!</f>
        <v>#REF!</v>
      </c>
      <c r="AC48" s="569"/>
      <c r="AD48" s="176" t="e">
        <f>+'Estimate Details'!#REF!</f>
        <v>#REF!</v>
      </c>
      <c r="AE48" s="156"/>
      <c r="AF48" s="156"/>
      <c r="AG48" s="156"/>
      <c r="AH48" s="156"/>
      <c r="AI48" s="29"/>
      <c r="AJ48" s="29"/>
      <c r="AK48" s="29"/>
      <c r="AL48" s="29"/>
    </row>
    <row r="49" spans="1:38" ht="13.5" customHeight="1">
      <c r="A49" s="116" t="e">
        <f>+'Estimate Details'!#REF!</f>
        <v>#REF!</v>
      </c>
      <c r="B49" s="116"/>
      <c r="C49" s="116"/>
      <c r="D49" s="166"/>
      <c r="E49" s="158" t="e">
        <f>+'Estimate Details'!#REF!</f>
        <v>#REF!</v>
      </c>
      <c r="F49" s="41"/>
      <c r="G49" s="117" t="e">
        <f>+'Estimate Details'!#REF!</f>
        <v>#REF!</v>
      </c>
      <c r="H49" s="118" t="e">
        <f>+'Estimate Details'!#REF!</f>
        <v>#REF!</v>
      </c>
      <c r="I49" s="108" t="e">
        <f>+'Estimate Details'!#REF!</f>
        <v>#REF!</v>
      </c>
      <c r="J49" s="168" t="e">
        <f>+'Estimate Details'!#REF!</f>
        <v>#REF!</v>
      </c>
      <c r="K49" s="42" t="e">
        <f>+'Estimate Details'!#REF!</f>
        <v>#REF!</v>
      </c>
      <c r="L49" s="42" t="e">
        <f>+'Estimate Details'!#REF!</f>
        <v>#REF!</v>
      </c>
      <c r="M49" s="177" t="e">
        <f>+'Estimate Details'!#REF!</f>
        <v>#REF!</v>
      </c>
      <c r="N49" s="170" t="e">
        <f>+'Estimate Details'!#REF!</f>
        <v>#REF!</v>
      </c>
      <c r="O49" s="171" t="e">
        <f>+'Estimate Details'!#REF!</f>
        <v>#REF!</v>
      </c>
      <c r="P49" s="172" t="e">
        <f>+'Estimate Details'!#REF!</f>
        <v>#REF!</v>
      </c>
      <c r="Q49" s="173" t="e">
        <f>+'Estimate Details'!#REF!</f>
        <v>#REF!</v>
      </c>
      <c r="R49" s="174" t="e">
        <f>+'Estimate Details'!#REF!</f>
        <v>#REF!</v>
      </c>
      <c r="S49" s="507"/>
      <c r="T49" s="174" t="e">
        <f>+'Estimate Details'!#REF!</f>
        <v>#REF!</v>
      </c>
      <c r="U49" s="481" t="s">
        <v>1309</v>
      </c>
      <c r="V49" s="172" t="e">
        <f>+'Estimate Details'!#REF!</f>
        <v>#REF!</v>
      </c>
      <c r="W49" s="481" t="s">
        <v>1309</v>
      </c>
      <c r="X49" s="172" t="e">
        <f>+'Estimate Details'!#REF!</f>
        <v>#REF!</v>
      </c>
      <c r="Y49" s="172" t="e">
        <f>+'Estimate Details'!#REF!</f>
        <v>#REF!</v>
      </c>
      <c r="Z49" s="174" t="e">
        <f>+'Estimate Details'!#REF!</f>
        <v>#REF!</v>
      </c>
      <c r="AA49" s="481"/>
      <c r="AB49" s="175" t="e">
        <f>+'Estimate Details'!#REF!</f>
        <v>#REF!</v>
      </c>
      <c r="AC49" s="569"/>
      <c r="AD49" s="176" t="e">
        <f>+'Estimate Details'!#REF!</f>
        <v>#REF!</v>
      </c>
      <c r="AE49" s="156"/>
      <c r="AF49" s="156"/>
      <c r="AG49" s="156"/>
      <c r="AH49" s="156"/>
      <c r="AI49" s="29"/>
      <c r="AJ49" s="29"/>
      <c r="AK49" s="29"/>
      <c r="AL49" s="29"/>
    </row>
    <row r="50" spans="1:38" ht="13.5" customHeight="1">
      <c r="A50" s="116" t="e">
        <f>+'Estimate Details'!#REF!</f>
        <v>#REF!</v>
      </c>
      <c r="B50" s="116"/>
      <c r="C50" s="116"/>
      <c r="D50" s="166"/>
      <c r="E50" s="158" t="e">
        <f>+'Estimate Details'!#REF!</f>
        <v>#REF!</v>
      </c>
      <c r="F50" s="41"/>
      <c r="G50" s="117" t="e">
        <f>+'Estimate Details'!#REF!</f>
        <v>#REF!</v>
      </c>
      <c r="H50" s="118" t="e">
        <f>+'Estimate Details'!#REF!</f>
        <v>#REF!</v>
      </c>
      <c r="I50" s="108" t="e">
        <f>+'Estimate Details'!#REF!</f>
        <v>#REF!</v>
      </c>
      <c r="J50" s="168" t="e">
        <f>+'Estimate Details'!#REF!</f>
        <v>#REF!</v>
      </c>
      <c r="K50" s="42" t="e">
        <f>+'Estimate Details'!#REF!</f>
        <v>#REF!</v>
      </c>
      <c r="L50" s="42" t="e">
        <f>+'Estimate Details'!#REF!</f>
        <v>#REF!</v>
      </c>
      <c r="M50" s="177" t="e">
        <f>+'Estimate Details'!#REF!</f>
        <v>#REF!</v>
      </c>
      <c r="N50" s="170" t="e">
        <f>+'Estimate Details'!#REF!</f>
        <v>#REF!</v>
      </c>
      <c r="O50" s="171" t="e">
        <f>+'Estimate Details'!#REF!</f>
        <v>#REF!</v>
      </c>
      <c r="P50" s="172" t="e">
        <f>+'Estimate Details'!#REF!</f>
        <v>#REF!</v>
      </c>
      <c r="Q50" s="173" t="e">
        <f>+'Estimate Details'!#REF!</f>
        <v>#REF!</v>
      </c>
      <c r="R50" s="174" t="e">
        <f>+'Estimate Details'!#REF!</f>
        <v>#REF!</v>
      </c>
      <c r="S50" s="507"/>
      <c r="T50" s="174" t="e">
        <f>+'Estimate Details'!#REF!</f>
        <v>#REF!</v>
      </c>
      <c r="U50" s="481" t="s">
        <v>1302</v>
      </c>
      <c r="V50" s="172" t="e">
        <f>+'Estimate Details'!#REF!</f>
        <v>#REF!</v>
      </c>
      <c r="W50" s="481" t="s">
        <v>1310</v>
      </c>
      <c r="X50" s="172" t="e">
        <f>+'Estimate Details'!#REF!</f>
        <v>#REF!</v>
      </c>
      <c r="Y50" s="172" t="e">
        <f>+'Estimate Details'!#REF!</f>
        <v>#REF!</v>
      </c>
      <c r="Z50" s="174" t="e">
        <f>+'Estimate Details'!#REF!</f>
        <v>#REF!</v>
      </c>
      <c r="AA50" s="481"/>
      <c r="AB50" s="175" t="e">
        <f>+'Estimate Details'!#REF!</f>
        <v>#REF!</v>
      </c>
      <c r="AC50" s="569"/>
      <c r="AD50" s="176" t="e">
        <f>+'Estimate Details'!#REF!</f>
        <v>#REF!</v>
      </c>
      <c r="AE50" s="156"/>
      <c r="AF50" s="156"/>
      <c r="AG50" s="156"/>
      <c r="AH50" s="156"/>
      <c r="AI50" s="29"/>
      <c r="AJ50" s="29"/>
      <c r="AK50" s="29"/>
      <c r="AL50" s="29"/>
    </row>
    <row r="51" spans="1:38" ht="13.5" customHeight="1">
      <c r="A51" s="116" t="e">
        <f>+'Estimate Details'!#REF!</f>
        <v>#REF!</v>
      </c>
      <c r="B51" s="116"/>
      <c r="C51" s="116"/>
      <c r="D51" s="166"/>
      <c r="E51" s="158" t="e">
        <f>+'Estimate Details'!#REF!</f>
        <v>#REF!</v>
      </c>
      <c r="F51" s="41"/>
      <c r="G51" s="117" t="e">
        <f>+'Estimate Details'!#REF!</f>
        <v>#REF!</v>
      </c>
      <c r="H51" s="118" t="e">
        <f>+'Estimate Details'!#REF!</f>
        <v>#REF!</v>
      </c>
      <c r="I51" s="108" t="e">
        <f>+'Estimate Details'!#REF!</f>
        <v>#REF!</v>
      </c>
      <c r="J51" s="168" t="e">
        <f>+'Estimate Details'!#REF!</f>
        <v>#REF!</v>
      </c>
      <c r="K51" s="42" t="e">
        <f>+'Estimate Details'!#REF!</f>
        <v>#REF!</v>
      </c>
      <c r="L51" s="42" t="e">
        <f>+'Estimate Details'!#REF!</f>
        <v>#REF!</v>
      </c>
      <c r="M51" s="177" t="e">
        <f>+'Estimate Details'!#REF!</f>
        <v>#REF!</v>
      </c>
      <c r="N51" s="170" t="e">
        <f>+'Estimate Details'!#REF!</f>
        <v>#REF!</v>
      </c>
      <c r="O51" s="171" t="e">
        <f>+'Estimate Details'!#REF!</f>
        <v>#REF!</v>
      </c>
      <c r="P51" s="172" t="e">
        <f>+'Estimate Details'!#REF!</f>
        <v>#REF!</v>
      </c>
      <c r="Q51" s="173" t="e">
        <f>+'Estimate Details'!#REF!</f>
        <v>#REF!</v>
      </c>
      <c r="R51" s="174" t="e">
        <f>+'Estimate Details'!#REF!</f>
        <v>#REF!</v>
      </c>
      <c r="S51" s="507"/>
      <c r="T51" s="174" t="e">
        <f>+'Estimate Details'!#REF!</f>
        <v>#REF!</v>
      </c>
      <c r="U51" s="481" t="s">
        <v>1310</v>
      </c>
      <c r="V51" s="172" t="e">
        <f>+'Estimate Details'!#REF!</f>
        <v>#REF!</v>
      </c>
      <c r="W51" s="481" t="s">
        <v>1310</v>
      </c>
      <c r="X51" s="172" t="e">
        <f>+'Estimate Details'!#REF!</f>
        <v>#REF!</v>
      </c>
      <c r="Y51" s="172" t="e">
        <f>+'Estimate Details'!#REF!</f>
        <v>#REF!</v>
      </c>
      <c r="Z51" s="174" t="e">
        <f>+'Estimate Details'!#REF!</f>
        <v>#REF!</v>
      </c>
      <c r="AA51" s="481"/>
      <c r="AB51" s="175" t="e">
        <f>+'Estimate Details'!#REF!</f>
        <v>#REF!</v>
      </c>
      <c r="AC51" s="569"/>
      <c r="AD51" s="176" t="e">
        <f>+'Estimate Details'!#REF!</f>
        <v>#REF!</v>
      </c>
      <c r="AE51" s="156"/>
      <c r="AF51" s="156"/>
      <c r="AG51" s="156"/>
      <c r="AH51" s="156"/>
      <c r="AI51" s="29"/>
      <c r="AJ51" s="29"/>
      <c r="AK51" s="29"/>
      <c r="AL51" s="29"/>
    </row>
    <row r="52" spans="1:38" ht="13.5" customHeight="1">
      <c r="A52" s="116" t="e">
        <f>+'Estimate Details'!#REF!</f>
        <v>#REF!</v>
      </c>
      <c r="B52" s="116"/>
      <c r="C52" s="116"/>
      <c r="D52" s="166"/>
      <c r="E52" s="158" t="e">
        <f>+'Estimate Details'!#REF!</f>
        <v>#REF!</v>
      </c>
      <c r="F52" s="41"/>
      <c r="G52" s="117" t="e">
        <f>+'Estimate Details'!#REF!</f>
        <v>#REF!</v>
      </c>
      <c r="H52" s="118" t="e">
        <f>+'Estimate Details'!#REF!</f>
        <v>#REF!</v>
      </c>
      <c r="I52" s="108" t="e">
        <f>+'Estimate Details'!#REF!</f>
        <v>#REF!</v>
      </c>
      <c r="J52" s="168" t="e">
        <f>+'Estimate Details'!#REF!</f>
        <v>#REF!</v>
      </c>
      <c r="K52" s="42" t="e">
        <f>+'Estimate Details'!#REF!</f>
        <v>#REF!</v>
      </c>
      <c r="L52" s="42" t="e">
        <f>+'Estimate Details'!#REF!</f>
        <v>#REF!</v>
      </c>
      <c r="M52" s="177" t="e">
        <f>+'Estimate Details'!#REF!</f>
        <v>#REF!</v>
      </c>
      <c r="N52" s="170" t="e">
        <f>+'Estimate Details'!#REF!</f>
        <v>#REF!</v>
      </c>
      <c r="O52" s="171" t="e">
        <f>+'Estimate Details'!#REF!</f>
        <v>#REF!</v>
      </c>
      <c r="P52" s="172" t="e">
        <f>+'Estimate Details'!#REF!</f>
        <v>#REF!</v>
      </c>
      <c r="Q52" s="173" t="e">
        <f>+'Estimate Details'!#REF!</f>
        <v>#REF!</v>
      </c>
      <c r="R52" s="174" t="e">
        <f>+'Estimate Details'!#REF!</f>
        <v>#REF!</v>
      </c>
      <c r="S52" s="507"/>
      <c r="T52" s="174" t="e">
        <f>+'Estimate Details'!#REF!</f>
        <v>#REF!</v>
      </c>
      <c r="U52" s="481"/>
      <c r="V52" s="172" t="e">
        <f>+'Estimate Details'!#REF!</f>
        <v>#REF!</v>
      </c>
      <c r="W52" s="481" t="s">
        <v>1309</v>
      </c>
      <c r="X52" s="172" t="e">
        <f>+'Estimate Details'!#REF!</f>
        <v>#REF!</v>
      </c>
      <c r="Y52" s="172" t="e">
        <f>+'Estimate Details'!#REF!</f>
        <v>#REF!</v>
      </c>
      <c r="Z52" s="174" t="e">
        <f>+'Estimate Details'!#REF!</f>
        <v>#REF!</v>
      </c>
      <c r="AA52" s="481"/>
      <c r="AB52" s="175" t="e">
        <f>+'Estimate Details'!#REF!</f>
        <v>#REF!</v>
      </c>
      <c r="AC52" s="569"/>
      <c r="AD52" s="176" t="e">
        <f>+'Estimate Details'!#REF!</f>
        <v>#REF!</v>
      </c>
      <c r="AE52" s="156"/>
      <c r="AF52" s="156"/>
      <c r="AG52" s="156"/>
      <c r="AH52" s="156"/>
      <c r="AI52" s="29"/>
      <c r="AJ52" s="29"/>
      <c r="AK52" s="29"/>
      <c r="AL52" s="29"/>
    </row>
    <row r="53" spans="1:38" ht="13.5" customHeight="1">
      <c r="A53" s="116" t="e">
        <f>+'Estimate Details'!#REF!</f>
        <v>#REF!</v>
      </c>
      <c r="B53" s="116"/>
      <c r="C53" s="116"/>
      <c r="D53" s="166"/>
      <c r="E53" s="158" t="e">
        <f>+'Estimate Details'!#REF!</f>
        <v>#REF!</v>
      </c>
      <c r="F53" s="41"/>
      <c r="G53" s="117" t="e">
        <f>+'Estimate Details'!#REF!</f>
        <v>#REF!</v>
      </c>
      <c r="H53" s="118" t="e">
        <f>+'Estimate Details'!#REF!</f>
        <v>#REF!</v>
      </c>
      <c r="I53" s="108" t="e">
        <f>+'Estimate Details'!#REF!</f>
        <v>#REF!</v>
      </c>
      <c r="J53" s="168" t="e">
        <f>+'Estimate Details'!#REF!</f>
        <v>#REF!</v>
      </c>
      <c r="K53" s="42" t="e">
        <f>+'Estimate Details'!#REF!</f>
        <v>#REF!</v>
      </c>
      <c r="L53" s="42" t="e">
        <f>+'Estimate Details'!#REF!</f>
        <v>#REF!</v>
      </c>
      <c r="M53" s="177" t="e">
        <f>+'Estimate Details'!#REF!</f>
        <v>#REF!</v>
      </c>
      <c r="N53" s="170" t="e">
        <f>+'Estimate Details'!#REF!</f>
        <v>#REF!</v>
      </c>
      <c r="O53" s="171" t="e">
        <f>+'Estimate Details'!#REF!</f>
        <v>#REF!</v>
      </c>
      <c r="P53" s="172" t="e">
        <f>+'Estimate Details'!#REF!</f>
        <v>#REF!</v>
      </c>
      <c r="Q53" s="173" t="e">
        <f>+'Estimate Details'!#REF!</f>
        <v>#REF!</v>
      </c>
      <c r="R53" s="174" t="e">
        <f>+'Estimate Details'!#REF!</f>
        <v>#REF!</v>
      </c>
      <c r="S53" s="507"/>
      <c r="T53" s="174" t="e">
        <f>+'Estimate Details'!#REF!</f>
        <v>#REF!</v>
      </c>
      <c r="U53" s="481" t="s">
        <v>1309</v>
      </c>
      <c r="V53" s="172" t="e">
        <f>+'Estimate Details'!#REF!</f>
        <v>#REF!</v>
      </c>
      <c r="W53" s="481" t="s">
        <v>1309</v>
      </c>
      <c r="X53" s="172" t="e">
        <f>+'Estimate Details'!#REF!</f>
        <v>#REF!</v>
      </c>
      <c r="Y53" s="172" t="e">
        <f>+'Estimate Details'!#REF!</f>
        <v>#REF!</v>
      </c>
      <c r="Z53" s="174" t="e">
        <f>+'Estimate Details'!#REF!</f>
        <v>#REF!</v>
      </c>
      <c r="AA53" s="481"/>
      <c r="AB53" s="175" t="e">
        <f>+'Estimate Details'!#REF!</f>
        <v>#REF!</v>
      </c>
      <c r="AC53" s="569"/>
      <c r="AD53" s="176" t="e">
        <f>+'Estimate Details'!#REF!</f>
        <v>#REF!</v>
      </c>
      <c r="AE53" s="156"/>
      <c r="AF53" s="156"/>
      <c r="AG53" s="156"/>
      <c r="AH53" s="156"/>
      <c r="AI53" s="29"/>
      <c r="AJ53" s="29"/>
      <c r="AK53" s="29"/>
      <c r="AL53" s="29"/>
    </row>
    <row r="54" spans="1:38" ht="13.5" customHeight="1">
      <c r="A54" s="116" t="e">
        <f>+'Estimate Details'!#REF!</f>
        <v>#REF!</v>
      </c>
      <c r="B54" s="116"/>
      <c r="C54" s="116"/>
      <c r="D54" s="166"/>
      <c r="E54" s="158" t="e">
        <f>+'Estimate Details'!#REF!</f>
        <v>#REF!</v>
      </c>
      <c r="F54" s="41"/>
      <c r="G54" s="117" t="e">
        <f>+'Estimate Details'!#REF!</f>
        <v>#REF!</v>
      </c>
      <c r="H54" s="118" t="e">
        <f>+'Estimate Details'!#REF!</f>
        <v>#REF!</v>
      </c>
      <c r="I54" s="108" t="e">
        <f>+'Estimate Details'!#REF!</f>
        <v>#REF!</v>
      </c>
      <c r="J54" s="168" t="e">
        <f>+'Estimate Details'!#REF!</f>
        <v>#REF!</v>
      </c>
      <c r="K54" s="42" t="e">
        <f>+'Estimate Details'!#REF!</f>
        <v>#REF!</v>
      </c>
      <c r="L54" s="42" t="e">
        <f>+'Estimate Details'!#REF!</f>
        <v>#REF!</v>
      </c>
      <c r="M54" s="177" t="e">
        <f>+'Estimate Details'!#REF!</f>
        <v>#REF!</v>
      </c>
      <c r="N54" s="170" t="e">
        <f>+'Estimate Details'!#REF!</f>
        <v>#REF!</v>
      </c>
      <c r="O54" s="171" t="e">
        <f>+'Estimate Details'!#REF!</f>
        <v>#REF!</v>
      </c>
      <c r="P54" s="172" t="e">
        <f>+'Estimate Details'!#REF!</f>
        <v>#REF!</v>
      </c>
      <c r="Q54" s="173" t="e">
        <f>+'Estimate Details'!#REF!</f>
        <v>#REF!</v>
      </c>
      <c r="R54" s="174" t="e">
        <f>+'Estimate Details'!#REF!</f>
        <v>#REF!</v>
      </c>
      <c r="S54" s="507"/>
      <c r="T54" s="174" t="e">
        <f>+'Estimate Details'!#REF!</f>
        <v>#REF!</v>
      </c>
      <c r="U54" s="481" t="s">
        <v>1307</v>
      </c>
      <c r="V54" s="172" t="e">
        <f>+'Estimate Details'!#REF!</f>
        <v>#REF!</v>
      </c>
      <c r="W54" s="481" t="s">
        <v>1307</v>
      </c>
      <c r="X54" s="172" t="e">
        <f>+'Estimate Details'!#REF!</f>
        <v>#REF!</v>
      </c>
      <c r="Y54" s="172" t="e">
        <f>+'Estimate Details'!#REF!</f>
        <v>#REF!</v>
      </c>
      <c r="Z54" s="174" t="e">
        <f>+'Estimate Details'!#REF!</f>
        <v>#REF!</v>
      </c>
      <c r="AA54" s="481"/>
      <c r="AB54" s="175" t="e">
        <f>+'Estimate Details'!#REF!</f>
        <v>#REF!</v>
      </c>
      <c r="AC54" s="569"/>
      <c r="AD54" s="176" t="e">
        <f>+'Estimate Details'!#REF!</f>
        <v>#REF!</v>
      </c>
      <c r="AE54" s="156"/>
      <c r="AF54" s="156"/>
      <c r="AG54" s="156"/>
      <c r="AH54" s="156"/>
      <c r="AI54" s="29"/>
      <c r="AJ54" s="29"/>
      <c r="AK54" s="29"/>
      <c r="AL54" s="29"/>
    </row>
    <row r="55" spans="1:38" ht="13.5" customHeight="1">
      <c r="A55" s="116" t="e">
        <f>+'Estimate Details'!#REF!</f>
        <v>#REF!</v>
      </c>
      <c r="B55" s="116"/>
      <c r="C55" s="116"/>
      <c r="D55" s="166"/>
      <c r="E55" s="158" t="e">
        <f>+'Estimate Details'!#REF!</f>
        <v>#REF!</v>
      </c>
      <c r="F55" s="41"/>
      <c r="G55" s="117" t="e">
        <f>+'Estimate Details'!#REF!</f>
        <v>#REF!</v>
      </c>
      <c r="H55" s="118" t="e">
        <f>+'Estimate Details'!#REF!</f>
        <v>#REF!</v>
      </c>
      <c r="I55" s="108" t="e">
        <f>+'Estimate Details'!#REF!</f>
        <v>#REF!</v>
      </c>
      <c r="J55" s="168" t="e">
        <f>+'Estimate Details'!#REF!</f>
        <v>#REF!</v>
      </c>
      <c r="K55" s="42" t="e">
        <f>+'Estimate Details'!#REF!</f>
        <v>#REF!</v>
      </c>
      <c r="L55" s="42" t="e">
        <f>+'Estimate Details'!#REF!</f>
        <v>#REF!</v>
      </c>
      <c r="M55" s="177" t="e">
        <f>+'Estimate Details'!#REF!</f>
        <v>#REF!</v>
      </c>
      <c r="N55" s="170" t="e">
        <f>+'Estimate Details'!#REF!</f>
        <v>#REF!</v>
      </c>
      <c r="O55" s="171" t="e">
        <f>+'Estimate Details'!#REF!</f>
        <v>#REF!</v>
      </c>
      <c r="P55" s="172" t="e">
        <f>+'Estimate Details'!#REF!</f>
        <v>#REF!</v>
      </c>
      <c r="Q55" s="173" t="e">
        <f>+'Estimate Details'!#REF!</f>
        <v>#REF!</v>
      </c>
      <c r="R55" s="174" t="e">
        <f>+'Estimate Details'!#REF!</f>
        <v>#REF!</v>
      </c>
      <c r="S55" s="507"/>
      <c r="T55" s="174" t="e">
        <f>+'Estimate Details'!#REF!</f>
        <v>#REF!</v>
      </c>
      <c r="U55" s="481" t="s">
        <v>1308</v>
      </c>
      <c r="V55" s="172" t="e">
        <f>+'Estimate Details'!#REF!</f>
        <v>#REF!</v>
      </c>
      <c r="W55" s="481" t="s">
        <v>1308</v>
      </c>
      <c r="X55" s="172" t="e">
        <f>+'Estimate Details'!#REF!</f>
        <v>#REF!</v>
      </c>
      <c r="Y55" s="172" t="e">
        <f>+'Estimate Details'!#REF!</f>
        <v>#REF!</v>
      </c>
      <c r="Z55" s="174" t="e">
        <f>+'Estimate Details'!#REF!</f>
        <v>#REF!</v>
      </c>
      <c r="AA55" s="481"/>
      <c r="AB55" s="175" t="e">
        <f>+'Estimate Details'!#REF!</f>
        <v>#REF!</v>
      </c>
      <c r="AC55" s="569"/>
      <c r="AD55" s="176" t="e">
        <f>+'Estimate Details'!#REF!</f>
        <v>#REF!</v>
      </c>
      <c r="AE55" s="156"/>
      <c r="AF55" s="156"/>
      <c r="AG55" s="156"/>
      <c r="AH55" s="156"/>
      <c r="AI55" s="29"/>
      <c r="AJ55" s="29"/>
      <c r="AK55" s="29"/>
      <c r="AL55" s="29"/>
    </row>
    <row r="56" spans="1:38" ht="13.5" customHeight="1">
      <c r="A56" s="116" t="e">
        <f>+'Estimate Details'!#REF!</f>
        <v>#REF!</v>
      </c>
      <c r="B56" s="116"/>
      <c r="C56" s="116"/>
      <c r="D56" s="166"/>
      <c r="E56" s="158" t="e">
        <f>+'Estimate Details'!#REF!</f>
        <v>#REF!</v>
      </c>
      <c r="F56" s="41"/>
      <c r="G56" s="117" t="e">
        <f>+'Estimate Details'!#REF!</f>
        <v>#REF!</v>
      </c>
      <c r="H56" s="118" t="e">
        <f>+'Estimate Details'!#REF!</f>
        <v>#REF!</v>
      </c>
      <c r="I56" s="108" t="e">
        <f>+'Estimate Details'!#REF!</f>
        <v>#REF!</v>
      </c>
      <c r="J56" s="168" t="e">
        <f>+'Estimate Details'!#REF!</f>
        <v>#REF!</v>
      </c>
      <c r="K56" s="42" t="e">
        <f>+'Estimate Details'!#REF!</f>
        <v>#REF!</v>
      </c>
      <c r="L56" s="42" t="e">
        <f>+'Estimate Details'!#REF!</f>
        <v>#REF!</v>
      </c>
      <c r="M56" s="177" t="e">
        <f>+'Estimate Details'!#REF!</f>
        <v>#REF!</v>
      </c>
      <c r="N56" s="170" t="e">
        <f>+'Estimate Details'!#REF!</f>
        <v>#REF!</v>
      </c>
      <c r="O56" s="171" t="e">
        <f>+'Estimate Details'!#REF!</f>
        <v>#REF!</v>
      </c>
      <c r="P56" s="172" t="e">
        <f>+'Estimate Details'!#REF!</f>
        <v>#REF!</v>
      </c>
      <c r="Q56" s="173" t="e">
        <f>+'Estimate Details'!#REF!</f>
        <v>#REF!</v>
      </c>
      <c r="R56" s="174" t="e">
        <f>+'Estimate Details'!#REF!</f>
        <v>#REF!</v>
      </c>
      <c r="S56" s="507"/>
      <c r="T56" s="174" t="e">
        <f>+'Estimate Details'!#REF!</f>
        <v>#REF!</v>
      </c>
      <c r="U56" s="481"/>
      <c r="V56" s="172" t="e">
        <f>+'Estimate Details'!#REF!</f>
        <v>#REF!</v>
      </c>
      <c r="W56" s="481"/>
      <c r="X56" s="172" t="e">
        <f>+'Estimate Details'!#REF!</f>
        <v>#REF!</v>
      </c>
      <c r="Y56" s="172" t="e">
        <f>+'Estimate Details'!#REF!</f>
        <v>#REF!</v>
      </c>
      <c r="Z56" s="174" t="e">
        <f>+'Estimate Details'!#REF!</f>
        <v>#REF!</v>
      </c>
      <c r="AA56" s="481" t="s">
        <v>1307</v>
      </c>
      <c r="AB56" s="175" t="e">
        <f>+'Estimate Details'!#REF!</f>
        <v>#REF!</v>
      </c>
      <c r="AC56" s="569"/>
      <c r="AD56" s="176" t="e">
        <f>+'Estimate Details'!#REF!</f>
        <v>#REF!</v>
      </c>
      <c r="AE56" s="156"/>
      <c r="AF56" s="156"/>
      <c r="AG56" s="156"/>
      <c r="AH56" s="156"/>
      <c r="AI56" s="29"/>
      <c r="AJ56" s="29"/>
      <c r="AK56" s="29"/>
      <c r="AL56" s="29"/>
    </row>
    <row r="57" spans="1:38" ht="13.5" customHeight="1">
      <c r="A57" s="116" t="e">
        <f>+'Estimate Details'!#REF!</f>
        <v>#REF!</v>
      </c>
      <c r="B57" s="116"/>
      <c r="C57" s="116"/>
      <c r="D57" s="166"/>
      <c r="E57" s="158" t="e">
        <f>+'Estimate Details'!#REF!</f>
        <v>#REF!</v>
      </c>
      <c r="F57" s="41"/>
      <c r="G57" s="117" t="e">
        <f>+'Estimate Details'!#REF!</f>
        <v>#REF!</v>
      </c>
      <c r="H57" s="118" t="e">
        <f>+'Estimate Details'!#REF!</f>
        <v>#REF!</v>
      </c>
      <c r="I57" s="108" t="e">
        <f>+'Estimate Details'!#REF!</f>
        <v>#REF!</v>
      </c>
      <c r="J57" s="168" t="e">
        <f>+'Estimate Details'!#REF!</f>
        <v>#REF!</v>
      </c>
      <c r="K57" s="42" t="e">
        <f>+'Estimate Details'!#REF!</f>
        <v>#REF!</v>
      </c>
      <c r="L57" s="42" t="e">
        <f>+'Estimate Details'!#REF!</f>
        <v>#REF!</v>
      </c>
      <c r="M57" s="177" t="e">
        <f>+'Estimate Details'!#REF!</f>
        <v>#REF!</v>
      </c>
      <c r="N57" s="170" t="e">
        <f>+'Estimate Details'!#REF!</f>
        <v>#REF!</v>
      </c>
      <c r="O57" s="171" t="e">
        <f>+'Estimate Details'!#REF!</f>
        <v>#REF!</v>
      </c>
      <c r="P57" s="172" t="e">
        <f>+'Estimate Details'!#REF!</f>
        <v>#REF!</v>
      </c>
      <c r="Q57" s="173" t="e">
        <f>+'Estimate Details'!#REF!</f>
        <v>#REF!</v>
      </c>
      <c r="R57" s="174" t="e">
        <f>+'Estimate Details'!#REF!</f>
        <v>#REF!</v>
      </c>
      <c r="S57" s="507"/>
      <c r="T57" s="174" t="e">
        <f>+'Estimate Details'!#REF!</f>
        <v>#REF!</v>
      </c>
      <c r="U57" s="481" t="s">
        <v>1307</v>
      </c>
      <c r="V57" s="172" t="e">
        <f>+'Estimate Details'!#REF!</f>
        <v>#REF!</v>
      </c>
      <c r="W57" s="481" t="s">
        <v>1307</v>
      </c>
      <c r="X57" s="172" t="e">
        <f>+'Estimate Details'!#REF!</f>
        <v>#REF!</v>
      </c>
      <c r="Y57" s="172" t="e">
        <f>+'Estimate Details'!#REF!</f>
        <v>#REF!</v>
      </c>
      <c r="Z57" s="174" t="e">
        <f>+'Estimate Details'!#REF!</f>
        <v>#REF!</v>
      </c>
      <c r="AA57" s="481"/>
      <c r="AB57" s="175" t="e">
        <f>+'Estimate Details'!#REF!</f>
        <v>#REF!</v>
      </c>
      <c r="AC57" s="569"/>
      <c r="AD57" s="176" t="e">
        <f>+'Estimate Details'!#REF!</f>
        <v>#REF!</v>
      </c>
      <c r="AE57" s="156"/>
      <c r="AF57" s="156"/>
      <c r="AG57" s="156"/>
      <c r="AH57" s="156"/>
      <c r="AI57" s="29"/>
      <c r="AJ57" s="29"/>
      <c r="AK57" s="29"/>
      <c r="AL57" s="29"/>
    </row>
    <row r="58" spans="1:38" ht="13.5" customHeight="1">
      <c r="A58" s="116" t="e">
        <f>+'Estimate Details'!#REF!</f>
        <v>#REF!</v>
      </c>
      <c r="B58" s="116"/>
      <c r="C58" s="116"/>
      <c r="D58" s="166"/>
      <c r="E58" s="158" t="e">
        <f>+'Estimate Details'!#REF!</f>
        <v>#REF!</v>
      </c>
      <c r="F58" s="41"/>
      <c r="G58" s="117" t="e">
        <f>+'Estimate Details'!#REF!</f>
        <v>#REF!</v>
      </c>
      <c r="H58" s="118" t="e">
        <f>+'Estimate Details'!#REF!</f>
        <v>#REF!</v>
      </c>
      <c r="I58" s="108" t="e">
        <f>+'Estimate Details'!#REF!</f>
        <v>#REF!</v>
      </c>
      <c r="J58" s="168" t="e">
        <f>+'Estimate Details'!#REF!</f>
        <v>#REF!</v>
      </c>
      <c r="K58" s="42" t="e">
        <f>+'Estimate Details'!#REF!</f>
        <v>#REF!</v>
      </c>
      <c r="L58" s="42" t="e">
        <f>+'Estimate Details'!#REF!</f>
        <v>#REF!</v>
      </c>
      <c r="M58" s="177" t="e">
        <f>+'Estimate Details'!#REF!</f>
        <v>#REF!</v>
      </c>
      <c r="N58" s="170" t="e">
        <f>+'Estimate Details'!#REF!</f>
        <v>#REF!</v>
      </c>
      <c r="O58" s="171" t="e">
        <f>+'Estimate Details'!#REF!</f>
        <v>#REF!</v>
      </c>
      <c r="P58" s="172" t="e">
        <f>+'Estimate Details'!#REF!</f>
        <v>#REF!</v>
      </c>
      <c r="Q58" s="173" t="e">
        <f>+'Estimate Details'!#REF!</f>
        <v>#REF!</v>
      </c>
      <c r="R58" s="174" t="e">
        <f>+'Estimate Details'!#REF!</f>
        <v>#REF!</v>
      </c>
      <c r="S58" s="507"/>
      <c r="T58" s="174" t="e">
        <f>+'Estimate Details'!#REF!</f>
        <v>#REF!</v>
      </c>
      <c r="U58" s="481" t="s">
        <v>1307</v>
      </c>
      <c r="V58" s="172" t="e">
        <f>+'Estimate Details'!#REF!</f>
        <v>#REF!</v>
      </c>
      <c r="W58" s="481" t="s">
        <v>1307</v>
      </c>
      <c r="X58" s="172" t="e">
        <f>+'Estimate Details'!#REF!</f>
        <v>#REF!</v>
      </c>
      <c r="Y58" s="172" t="e">
        <f>+'Estimate Details'!#REF!</f>
        <v>#REF!</v>
      </c>
      <c r="Z58" s="174" t="e">
        <f>+'Estimate Details'!#REF!</f>
        <v>#REF!</v>
      </c>
      <c r="AA58" s="481"/>
      <c r="AB58" s="175" t="e">
        <f>+'Estimate Details'!#REF!</f>
        <v>#REF!</v>
      </c>
      <c r="AC58" s="569"/>
      <c r="AD58" s="176" t="e">
        <f>+'Estimate Details'!#REF!</f>
        <v>#REF!</v>
      </c>
      <c r="AE58" s="156"/>
      <c r="AF58" s="156"/>
      <c r="AG58" s="156"/>
      <c r="AH58" s="156"/>
      <c r="AI58" s="29"/>
      <c r="AJ58" s="29"/>
      <c r="AK58" s="29"/>
      <c r="AL58" s="29"/>
    </row>
    <row r="59" spans="1:38" ht="13.5" customHeight="1">
      <c r="A59" s="116" t="e">
        <f>+'Estimate Details'!#REF!</f>
        <v>#REF!</v>
      </c>
      <c r="B59" s="116"/>
      <c r="C59" s="116"/>
      <c r="D59" s="166"/>
      <c r="E59" s="158" t="e">
        <f>+'Estimate Details'!#REF!</f>
        <v>#REF!</v>
      </c>
      <c r="F59" s="41"/>
      <c r="G59" s="117" t="e">
        <f>+'Estimate Details'!#REF!</f>
        <v>#REF!</v>
      </c>
      <c r="H59" s="118" t="e">
        <f>+'Estimate Details'!#REF!</f>
        <v>#REF!</v>
      </c>
      <c r="I59" s="108" t="e">
        <f>+'Estimate Details'!#REF!</f>
        <v>#REF!</v>
      </c>
      <c r="J59" s="168" t="e">
        <f>+'Estimate Details'!#REF!</f>
        <v>#REF!</v>
      </c>
      <c r="K59" s="42" t="e">
        <f>+'Estimate Details'!#REF!</f>
        <v>#REF!</v>
      </c>
      <c r="L59" s="42" t="e">
        <f>+'Estimate Details'!#REF!</f>
        <v>#REF!</v>
      </c>
      <c r="M59" s="177" t="e">
        <f>+'Estimate Details'!#REF!</f>
        <v>#REF!</v>
      </c>
      <c r="N59" s="170" t="e">
        <f>+'Estimate Details'!#REF!</f>
        <v>#REF!</v>
      </c>
      <c r="O59" s="171" t="e">
        <f>+'Estimate Details'!#REF!</f>
        <v>#REF!</v>
      </c>
      <c r="P59" s="172" t="e">
        <f>+'Estimate Details'!#REF!</f>
        <v>#REF!</v>
      </c>
      <c r="Q59" s="173" t="e">
        <f>+'Estimate Details'!#REF!</f>
        <v>#REF!</v>
      </c>
      <c r="R59" s="174" t="e">
        <f>+'Estimate Details'!#REF!</f>
        <v>#REF!</v>
      </c>
      <c r="S59" s="507"/>
      <c r="T59" s="174" t="e">
        <f>+'Estimate Details'!#REF!</f>
        <v>#REF!</v>
      </c>
      <c r="U59" s="481" t="s">
        <v>1307</v>
      </c>
      <c r="V59" s="172" t="e">
        <f>+'Estimate Details'!#REF!</f>
        <v>#REF!</v>
      </c>
      <c r="W59" s="481" t="s">
        <v>1307</v>
      </c>
      <c r="X59" s="172" t="e">
        <f>+'Estimate Details'!#REF!</f>
        <v>#REF!</v>
      </c>
      <c r="Y59" s="172" t="e">
        <f>+'Estimate Details'!#REF!</f>
        <v>#REF!</v>
      </c>
      <c r="Z59" s="174" t="e">
        <f>+'Estimate Details'!#REF!</f>
        <v>#REF!</v>
      </c>
      <c r="AA59" s="481"/>
      <c r="AB59" s="175" t="e">
        <f>+'Estimate Details'!#REF!</f>
        <v>#REF!</v>
      </c>
      <c r="AC59" s="569"/>
      <c r="AD59" s="176" t="e">
        <f>+'Estimate Details'!#REF!</f>
        <v>#REF!</v>
      </c>
      <c r="AE59" s="156"/>
      <c r="AF59" s="156"/>
      <c r="AG59" s="156"/>
      <c r="AH59" s="156"/>
      <c r="AI59" s="29"/>
      <c r="AJ59" s="29"/>
      <c r="AK59" s="29"/>
      <c r="AL59" s="29"/>
    </row>
    <row r="60" spans="1:38" ht="13.5" customHeight="1">
      <c r="A60" s="116" t="e">
        <f>+'Estimate Details'!#REF!</f>
        <v>#REF!</v>
      </c>
      <c r="B60" s="116"/>
      <c r="C60" s="116"/>
      <c r="D60" s="166"/>
      <c r="E60" s="158" t="e">
        <f>+'Estimate Details'!#REF!</f>
        <v>#REF!</v>
      </c>
      <c r="F60" s="41"/>
      <c r="G60" s="117" t="e">
        <f>+'Estimate Details'!#REF!</f>
        <v>#REF!</v>
      </c>
      <c r="H60" s="118" t="e">
        <f>+'Estimate Details'!#REF!</f>
        <v>#REF!</v>
      </c>
      <c r="I60" s="108" t="e">
        <f>+'Estimate Details'!#REF!</f>
        <v>#REF!</v>
      </c>
      <c r="J60" s="168" t="e">
        <f>+'Estimate Details'!#REF!</f>
        <v>#REF!</v>
      </c>
      <c r="K60" s="42" t="e">
        <f>+'Estimate Details'!#REF!</f>
        <v>#REF!</v>
      </c>
      <c r="L60" s="42" t="e">
        <f>+'Estimate Details'!#REF!</f>
        <v>#REF!</v>
      </c>
      <c r="M60" s="177" t="e">
        <f>+'Estimate Details'!#REF!</f>
        <v>#REF!</v>
      </c>
      <c r="N60" s="170" t="e">
        <f>+'Estimate Details'!#REF!</f>
        <v>#REF!</v>
      </c>
      <c r="O60" s="171" t="e">
        <f>+'Estimate Details'!#REF!</f>
        <v>#REF!</v>
      </c>
      <c r="P60" s="172" t="e">
        <f>+'Estimate Details'!#REF!</f>
        <v>#REF!</v>
      </c>
      <c r="Q60" s="173" t="e">
        <f>+'Estimate Details'!#REF!</f>
        <v>#REF!</v>
      </c>
      <c r="R60" s="174" t="e">
        <f>+'Estimate Details'!#REF!</f>
        <v>#REF!</v>
      </c>
      <c r="S60" s="507"/>
      <c r="T60" s="174" t="e">
        <f>+'Estimate Details'!#REF!</f>
        <v>#REF!</v>
      </c>
      <c r="U60" s="481" t="s">
        <v>1307</v>
      </c>
      <c r="V60" s="172" t="e">
        <f>+'Estimate Details'!#REF!</f>
        <v>#REF!</v>
      </c>
      <c r="W60" s="481" t="s">
        <v>1307</v>
      </c>
      <c r="X60" s="172" t="e">
        <f>+'Estimate Details'!#REF!</f>
        <v>#REF!</v>
      </c>
      <c r="Y60" s="172" t="e">
        <f>+'Estimate Details'!#REF!</f>
        <v>#REF!</v>
      </c>
      <c r="Z60" s="174" t="e">
        <f>+'Estimate Details'!#REF!</f>
        <v>#REF!</v>
      </c>
      <c r="AA60" s="481"/>
      <c r="AB60" s="175" t="e">
        <f>+'Estimate Details'!#REF!</f>
        <v>#REF!</v>
      </c>
      <c r="AC60" s="569"/>
      <c r="AD60" s="176" t="e">
        <f>+'Estimate Details'!#REF!</f>
        <v>#REF!</v>
      </c>
      <c r="AE60" s="156"/>
      <c r="AF60" s="156"/>
      <c r="AG60" s="156"/>
      <c r="AH60" s="156"/>
      <c r="AI60" s="29"/>
      <c r="AJ60" s="29"/>
      <c r="AK60" s="29"/>
      <c r="AL60" s="29"/>
    </row>
    <row r="61" spans="1:38" ht="13.5" customHeight="1">
      <c r="A61" s="116" t="e">
        <f>+'Estimate Details'!#REF!</f>
        <v>#REF!</v>
      </c>
      <c r="B61" s="116"/>
      <c r="C61" s="116"/>
      <c r="D61" s="166"/>
      <c r="E61" s="158" t="e">
        <f>+'Estimate Details'!#REF!</f>
        <v>#REF!</v>
      </c>
      <c r="F61" s="41"/>
      <c r="G61" s="117" t="e">
        <f>+'Estimate Details'!#REF!</f>
        <v>#REF!</v>
      </c>
      <c r="H61" s="118" t="e">
        <f>+'Estimate Details'!#REF!</f>
        <v>#REF!</v>
      </c>
      <c r="I61" s="108" t="e">
        <f>+'Estimate Details'!#REF!</f>
        <v>#REF!</v>
      </c>
      <c r="J61" s="168" t="e">
        <f>+'Estimate Details'!#REF!</f>
        <v>#REF!</v>
      </c>
      <c r="K61" s="42" t="e">
        <f>+'Estimate Details'!#REF!</f>
        <v>#REF!</v>
      </c>
      <c r="L61" s="42" t="e">
        <f>+'Estimate Details'!#REF!</f>
        <v>#REF!</v>
      </c>
      <c r="M61" s="177" t="e">
        <f>+'Estimate Details'!#REF!</f>
        <v>#REF!</v>
      </c>
      <c r="N61" s="170" t="e">
        <f>+'Estimate Details'!#REF!</f>
        <v>#REF!</v>
      </c>
      <c r="O61" s="171" t="e">
        <f>+'Estimate Details'!#REF!</f>
        <v>#REF!</v>
      </c>
      <c r="P61" s="172" t="e">
        <f>+'Estimate Details'!#REF!</f>
        <v>#REF!</v>
      </c>
      <c r="Q61" s="173" t="e">
        <f>+'Estimate Details'!#REF!</f>
        <v>#REF!</v>
      </c>
      <c r="R61" s="174" t="e">
        <f>+'Estimate Details'!#REF!</f>
        <v>#REF!</v>
      </c>
      <c r="S61" s="507"/>
      <c r="T61" s="174" t="e">
        <f>+'Estimate Details'!#REF!</f>
        <v>#REF!</v>
      </c>
      <c r="U61" s="481" t="s">
        <v>1307</v>
      </c>
      <c r="V61" s="172" t="e">
        <f>+'Estimate Details'!#REF!</f>
        <v>#REF!</v>
      </c>
      <c r="W61" s="481" t="s">
        <v>1307</v>
      </c>
      <c r="X61" s="172" t="e">
        <f>+'Estimate Details'!#REF!</f>
        <v>#REF!</v>
      </c>
      <c r="Y61" s="172" t="e">
        <f>+'Estimate Details'!#REF!</f>
        <v>#REF!</v>
      </c>
      <c r="Z61" s="174" t="e">
        <f>+'Estimate Details'!#REF!</f>
        <v>#REF!</v>
      </c>
      <c r="AA61" s="481"/>
      <c r="AB61" s="175" t="e">
        <f>+'Estimate Details'!#REF!</f>
        <v>#REF!</v>
      </c>
      <c r="AC61" s="569"/>
      <c r="AD61" s="176" t="e">
        <f>+'Estimate Details'!#REF!</f>
        <v>#REF!</v>
      </c>
      <c r="AE61" s="156"/>
      <c r="AF61" s="156"/>
      <c r="AG61" s="156"/>
      <c r="AH61" s="156"/>
      <c r="AI61" s="29"/>
      <c r="AJ61" s="29"/>
      <c r="AK61" s="29"/>
      <c r="AL61" s="29"/>
    </row>
    <row r="62" spans="1:38" ht="13.5" customHeight="1">
      <c r="A62" s="116" t="e">
        <f>+'Estimate Details'!#REF!</f>
        <v>#REF!</v>
      </c>
      <c r="B62" s="116"/>
      <c r="C62" s="116"/>
      <c r="D62" s="166"/>
      <c r="E62" s="158" t="e">
        <f>+'Estimate Details'!#REF!</f>
        <v>#REF!</v>
      </c>
      <c r="F62" s="41"/>
      <c r="G62" s="117" t="e">
        <f>+'Estimate Details'!#REF!</f>
        <v>#REF!</v>
      </c>
      <c r="H62" s="118" t="e">
        <f>+'Estimate Details'!#REF!</f>
        <v>#REF!</v>
      </c>
      <c r="I62" s="108" t="e">
        <f>+'Estimate Details'!#REF!</f>
        <v>#REF!</v>
      </c>
      <c r="J62" s="168" t="e">
        <f>+'Estimate Details'!#REF!</f>
        <v>#REF!</v>
      </c>
      <c r="K62" s="42" t="e">
        <f>+'Estimate Details'!#REF!</f>
        <v>#REF!</v>
      </c>
      <c r="L62" s="42" t="e">
        <f>+'Estimate Details'!#REF!</f>
        <v>#REF!</v>
      </c>
      <c r="M62" s="177" t="e">
        <f>+'Estimate Details'!#REF!</f>
        <v>#REF!</v>
      </c>
      <c r="N62" s="170" t="e">
        <f>+'Estimate Details'!#REF!</f>
        <v>#REF!</v>
      </c>
      <c r="O62" s="171" t="e">
        <f>+'Estimate Details'!#REF!</f>
        <v>#REF!</v>
      </c>
      <c r="P62" s="172" t="e">
        <f>+'Estimate Details'!#REF!</f>
        <v>#REF!</v>
      </c>
      <c r="Q62" s="173" t="e">
        <f>+'Estimate Details'!#REF!</f>
        <v>#REF!</v>
      </c>
      <c r="R62" s="174" t="e">
        <f>+'Estimate Details'!#REF!</f>
        <v>#REF!</v>
      </c>
      <c r="S62" s="507"/>
      <c r="T62" s="174" t="e">
        <f>+'Estimate Details'!#REF!</f>
        <v>#REF!</v>
      </c>
      <c r="U62" s="481" t="s">
        <v>1307</v>
      </c>
      <c r="V62" s="172" t="e">
        <f>+'Estimate Details'!#REF!</f>
        <v>#REF!</v>
      </c>
      <c r="W62" s="481" t="s">
        <v>1307</v>
      </c>
      <c r="X62" s="172" t="e">
        <f>+'Estimate Details'!#REF!</f>
        <v>#REF!</v>
      </c>
      <c r="Y62" s="172" t="e">
        <f>+'Estimate Details'!#REF!</f>
        <v>#REF!</v>
      </c>
      <c r="Z62" s="174" t="e">
        <f>+'Estimate Details'!#REF!</f>
        <v>#REF!</v>
      </c>
      <c r="AA62" s="481"/>
      <c r="AB62" s="175" t="e">
        <f>+'Estimate Details'!#REF!</f>
        <v>#REF!</v>
      </c>
      <c r="AC62" s="569"/>
      <c r="AD62" s="176" t="e">
        <f>+'Estimate Details'!#REF!</f>
        <v>#REF!</v>
      </c>
      <c r="AE62" s="156"/>
      <c r="AF62" s="156"/>
      <c r="AG62" s="156"/>
      <c r="AH62" s="156"/>
      <c r="AI62" s="29"/>
      <c r="AJ62" s="29"/>
      <c r="AK62" s="29"/>
      <c r="AL62" s="29"/>
    </row>
    <row r="63" spans="1:38" ht="13.5" customHeight="1">
      <c r="A63" s="116" t="e">
        <f>+'Estimate Details'!#REF!</f>
        <v>#REF!</v>
      </c>
      <c r="B63" s="116"/>
      <c r="C63" s="116"/>
      <c r="D63" s="166"/>
      <c r="E63" s="158" t="e">
        <f>+'Estimate Details'!#REF!</f>
        <v>#REF!</v>
      </c>
      <c r="F63" s="41"/>
      <c r="G63" s="117" t="e">
        <f>+'Estimate Details'!#REF!</f>
        <v>#REF!</v>
      </c>
      <c r="H63" s="184" t="e">
        <f>+'Estimate Details'!#REF!</f>
        <v>#REF!</v>
      </c>
      <c r="I63" s="108" t="e">
        <f>+'Estimate Details'!#REF!</f>
        <v>#REF!</v>
      </c>
      <c r="J63" s="168" t="e">
        <f>+'Estimate Details'!#REF!</f>
        <v>#REF!</v>
      </c>
      <c r="K63" s="42" t="e">
        <f>+'Estimate Details'!#REF!</f>
        <v>#REF!</v>
      </c>
      <c r="L63" s="42" t="e">
        <f>+'Estimate Details'!#REF!</f>
        <v>#REF!</v>
      </c>
      <c r="M63" s="177" t="e">
        <f>+'Estimate Details'!#REF!</f>
        <v>#REF!</v>
      </c>
      <c r="N63" s="170" t="e">
        <f>+'Estimate Details'!#REF!</f>
        <v>#REF!</v>
      </c>
      <c r="O63" s="171" t="e">
        <f>+'Estimate Details'!#REF!</f>
        <v>#REF!</v>
      </c>
      <c r="P63" s="172" t="e">
        <f>+'Estimate Details'!#REF!</f>
        <v>#REF!</v>
      </c>
      <c r="Q63" s="173" t="e">
        <f>+'Estimate Details'!#REF!</f>
        <v>#REF!</v>
      </c>
      <c r="R63" s="174" t="e">
        <f>+'Estimate Details'!#REF!</f>
        <v>#REF!</v>
      </c>
      <c r="S63" s="507"/>
      <c r="T63" s="174" t="e">
        <f>+'Estimate Details'!#REF!</f>
        <v>#REF!</v>
      </c>
      <c r="U63" s="481" t="s">
        <v>1309</v>
      </c>
      <c r="V63" s="172" t="e">
        <f>+'Estimate Details'!#REF!</f>
        <v>#REF!</v>
      </c>
      <c r="W63" s="481" t="s">
        <v>1309</v>
      </c>
      <c r="X63" s="172" t="e">
        <f>+'Estimate Details'!#REF!</f>
        <v>#REF!</v>
      </c>
      <c r="Y63" s="172" t="e">
        <f>+'Estimate Details'!#REF!</f>
        <v>#REF!</v>
      </c>
      <c r="Z63" s="174" t="e">
        <f>+'Estimate Details'!#REF!</f>
        <v>#REF!</v>
      </c>
      <c r="AA63" s="481"/>
      <c r="AB63" s="175" t="e">
        <f>+'Estimate Details'!#REF!</f>
        <v>#REF!</v>
      </c>
      <c r="AC63" s="569"/>
      <c r="AD63" s="176" t="e">
        <f>+'Estimate Details'!#REF!</f>
        <v>#REF!</v>
      </c>
      <c r="AE63" s="156"/>
      <c r="AF63" s="156"/>
      <c r="AG63" s="156"/>
      <c r="AH63" s="156"/>
      <c r="AI63" s="29"/>
      <c r="AJ63" s="29"/>
      <c r="AK63" s="29"/>
      <c r="AL63" s="29"/>
    </row>
    <row r="64" spans="1:38" ht="13.5" customHeight="1">
      <c r="A64" s="116" t="e">
        <f>+'Estimate Details'!#REF!</f>
        <v>#REF!</v>
      </c>
      <c r="B64" s="116"/>
      <c r="C64" s="116"/>
      <c r="D64" s="166"/>
      <c r="E64" s="158" t="e">
        <f>+'Estimate Details'!#REF!</f>
        <v>#REF!</v>
      </c>
      <c r="F64" s="41"/>
      <c r="G64" s="117" t="e">
        <f>+'Estimate Details'!#REF!</f>
        <v>#REF!</v>
      </c>
      <c r="H64" s="118" t="e">
        <f>+'Estimate Details'!#REF!</f>
        <v>#REF!</v>
      </c>
      <c r="I64" s="108" t="e">
        <f>+'Estimate Details'!#REF!</f>
        <v>#REF!</v>
      </c>
      <c r="J64" s="168" t="e">
        <f>+'Estimate Details'!#REF!</f>
        <v>#REF!</v>
      </c>
      <c r="K64" s="42" t="e">
        <f>+'Estimate Details'!#REF!</f>
        <v>#REF!</v>
      </c>
      <c r="L64" s="42" t="e">
        <f>+'Estimate Details'!#REF!</f>
        <v>#REF!</v>
      </c>
      <c r="M64" s="177" t="e">
        <f>+'Estimate Details'!#REF!</f>
        <v>#REF!</v>
      </c>
      <c r="N64" s="170" t="e">
        <f>+'Estimate Details'!#REF!</f>
        <v>#REF!</v>
      </c>
      <c r="O64" s="171" t="e">
        <f>+'Estimate Details'!#REF!</f>
        <v>#REF!</v>
      </c>
      <c r="P64" s="172" t="e">
        <f>+'Estimate Details'!#REF!</f>
        <v>#REF!</v>
      </c>
      <c r="Q64" s="173" t="e">
        <f>+'Estimate Details'!#REF!</f>
        <v>#REF!</v>
      </c>
      <c r="R64" s="174" t="e">
        <f>+'Estimate Details'!#REF!</f>
        <v>#REF!</v>
      </c>
      <c r="S64" s="507"/>
      <c r="T64" s="174" t="e">
        <f>+'Estimate Details'!#REF!</f>
        <v>#REF!</v>
      </c>
      <c r="U64" s="481" t="s">
        <v>1309</v>
      </c>
      <c r="V64" s="172" t="e">
        <f>+'Estimate Details'!#REF!</f>
        <v>#REF!</v>
      </c>
      <c r="W64" s="481" t="s">
        <v>1309</v>
      </c>
      <c r="X64" s="172" t="e">
        <f>+'Estimate Details'!#REF!</f>
        <v>#REF!</v>
      </c>
      <c r="Y64" s="172" t="e">
        <f>+'Estimate Details'!#REF!</f>
        <v>#REF!</v>
      </c>
      <c r="Z64" s="174" t="e">
        <f>+'Estimate Details'!#REF!</f>
        <v>#REF!</v>
      </c>
      <c r="AA64" s="481"/>
      <c r="AB64" s="175" t="e">
        <f>+'Estimate Details'!#REF!</f>
        <v>#REF!</v>
      </c>
      <c r="AC64" s="569"/>
      <c r="AD64" s="176" t="e">
        <f>+'Estimate Details'!#REF!</f>
        <v>#REF!</v>
      </c>
      <c r="AE64" s="156"/>
      <c r="AF64" s="156"/>
      <c r="AG64" s="156"/>
      <c r="AH64" s="156"/>
      <c r="AI64" s="29"/>
      <c r="AJ64" s="29"/>
      <c r="AK64" s="29"/>
      <c r="AL64" s="29"/>
    </row>
    <row r="65" spans="1:44" ht="13.5" customHeight="1">
      <c r="A65" s="116" t="e">
        <f>+'Estimate Details'!#REF!</f>
        <v>#REF!</v>
      </c>
      <c r="B65" s="116"/>
      <c r="C65" s="116"/>
      <c r="D65" s="166"/>
      <c r="E65" s="158" t="e">
        <f>+'Estimate Details'!#REF!</f>
        <v>#REF!</v>
      </c>
      <c r="F65" s="41"/>
      <c r="G65" s="117" t="e">
        <f>+'Estimate Details'!#REF!</f>
        <v>#REF!</v>
      </c>
      <c r="H65" s="118" t="e">
        <f>+'Estimate Details'!#REF!</f>
        <v>#REF!</v>
      </c>
      <c r="I65" s="108" t="e">
        <f>+'Estimate Details'!#REF!</f>
        <v>#REF!</v>
      </c>
      <c r="J65" s="168" t="e">
        <f>+'Estimate Details'!#REF!</f>
        <v>#REF!</v>
      </c>
      <c r="K65" s="42" t="e">
        <f>+'Estimate Details'!#REF!</f>
        <v>#REF!</v>
      </c>
      <c r="L65" s="42" t="e">
        <f>+'Estimate Details'!#REF!</f>
        <v>#REF!</v>
      </c>
      <c r="M65" s="177" t="e">
        <f>+'Estimate Details'!#REF!</f>
        <v>#REF!</v>
      </c>
      <c r="N65" s="170" t="e">
        <f>+'Estimate Details'!#REF!</f>
        <v>#REF!</v>
      </c>
      <c r="O65" s="171" t="e">
        <f>+'Estimate Details'!#REF!</f>
        <v>#REF!</v>
      </c>
      <c r="P65" s="172" t="e">
        <f>+'Estimate Details'!#REF!</f>
        <v>#REF!</v>
      </c>
      <c r="Q65" s="173" t="e">
        <f>+'Estimate Details'!#REF!</f>
        <v>#REF!</v>
      </c>
      <c r="R65" s="174" t="e">
        <f>+'Estimate Details'!#REF!</f>
        <v>#REF!</v>
      </c>
      <c r="S65" s="507"/>
      <c r="T65" s="174" t="e">
        <f>+'Estimate Details'!#REF!</f>
        <v>#REF!</v>
      </c>
      <c r="U65" s="481" t="s">
        <v>1309</v>
      </c>
      <c r="V65" s="172" t="e">
        <f>+'Estimate Details'!#REF!</f>
        <v>#REF!</v>
      </c>
      <c r="W65" s="481" t="s">
        <v>1309</v>
      </c>
      <c r="X65" s="172" t="e">
        <f>+'Estimate Details'!#REF!</f>
        <v>#REF!</v>
      </c>
      <c r="Y65" s="172" t="e">
        <f>+'Estimate Details'!#REF!</f>
        <v>#REF!</v>
      </c>
      <c r="Z65" s="174" t="e">
        <f>+'Estimate Details'!#REF!</f>
        <v>#REF!</v>
      </c>
      <c r="AA65" s="481"/>
      <c r="AB65" s="175" t="e">
        <f>+'Estimate Details'!#REF!</f>
        <v>#REF!</v>
      </c>
      <c r="AC65" s="569"/>
      <c r="AD65" s="176" t="e">
        <f>+'Estimate Details'!#REF!</f>
        <v>#REF!</v>
      </c>
      <c r="AE65" s="156"/>
      <c r="AF65" s="156"/>
      <c r="AG65" s="156"/>
      <c r="AH65" s="156"/>
      <c r="AI65" s="29"/>
      <c r="AJ65" s="29"/>
      <c r="AK65" s="29"/>
      <c r="AL65" s="29"/>
    </row>
    <row r="66" spans="1:44" ht="13.5" customHeight="1">
      <c r="A66" s="116" t="e">
        <f>+'Estimate Details'!#REF!</f>
        <v>#REF!</v>
      </c>
      <c r="B66" s="116"/>
      <c r="C66" s="116"/>
      <c r="D66" s="166"/>
      <c r="E66" s="158" t="e">
        <f>+'Estimate Details'!#REF!</f>
        <v>#REF!</v>
      </c>
      <c r="F66" s="41"/>
      <c r="G66" s="117" t="e">
        <f>+'Estimate Details'!#REF!</f>
        <v>#REF!</v>
      </c>
      <c r="H66" s="118" t="e">
        <f>+'Estimate Details'!#REF!</f>
        <v>#REF!</v>
      </c>
      <c r="I66" s="108" t="e">
        <f>+'Estimate Details'!#REF!</f>
        <v>#REF!</v>
      </c>
      <c r="J66" s="168" t="e">
        <f>+'Estimate Details'!#REF!</f>
        <v>#REF!</v>
      </c>
      <c r="K66" s="42" t="e">
        <f>+'Estimate Details'!#REF!</f>
        <v>#REF!</v>
      </c>
      <c r="L66" s="42" t="e">
        <f>+'Estimate Details'!#REF!</f>
        <v>#REF!</v>
      </c>
      <c r="M66" s="177" t="e">
        <f>+'Estimate Details'!#REF!</f>
        <v>#REF!</v>
      </c>
      <c r="N66" s="170" t="e">
        <f>+'Estimate Details'!#REF!</f>
        <v>#REF!</v>
      </c>
      <c r="O66" s="171" t="e">
        <f>+'Estimate Details'!#REF!</f>
        <v>#REF!</v>
      </c>
      <c r="P66" s="172" t="e">
        <f>+'Estimate Details'!#REF!</f>
        <v>#REF!</v>
      </c>
      <c r="Q66" s="173" t="e">
        <f>+'Estimate Details'!#REF!</f>
        <v>#REF!</v>
      </c>
      <c r="R66" s="174" t="e">
        <f>+'Estimate Details'!#REF!</f>
        <v>#REF!</v>
      </c>
      <c r="S66" s="507"/>
      <c r="T66" s="174" t="e">
        <f>+'Estimate Details'!#REF!</f>
        <v>#REF!</v>
      </c>
      <c r="U66" s="481" t="s">
        <v>1309</v>
      </c>
      <c r="V66" s="172" t="e">
        <f>+'Estimate Details'!#REF!</f>
        <v>#REF!</v>
      </c>
      <c r="W66" s="481" t="s">
        <v>1309</v>
      </c>
      <c r="X66" s="172" t="e">
        <f>+'Estimate Details'!#REF!</f>
        <v>#REF!</v>
      </c>
      <c r="Y66" s="172" t="e">
        <f>+'Estimate Details'!#REF!</f>
        <v>#REF!</v>
      </c>
      <c r="Z66" s="174" t="e">
        <f>+'Estimate Details'!#REF!</f>
        <v>#REF!</v>
      </c>
      <c r="AA66" s="481"/>
      <c r="AB66" s="175" t="e">
        <f>+'Estimate Details'!#REF!</f>
        <v>#REF!</v>
      </c>
      <c r="AC66" s="569"/>
      <c r="AD66" s="176" t="e">
        <f>+'Estimate Details'!#REF!</f>
        <v>#REF!</v>
      </c>
      <c r="AE66" s="156"/>
      <c r="AF66" s="156"/>
      <c r="AG66" s="156"/>
      <c r="AH66" s="156"/>
      <c r="AI66" s="29"/>
      <c r="AJ66" s="29"/>
      <c r="AK66" s="29"/>
      <c r="AL66" s="29"/>
    </row>
    <row r="67" spans="1:44" ht="13.5" customHeight="1">
      <c r="A67" s="116" t="e">
        <f>+'Estimate Details'!#REF!</f>
        <v>#REF!</v>
      </c>
      <c r="B67" s="116"/>
      <c r="C67" s="116"/>
      <c r="D67" s="166"/>
      <c r="E67" s="158" t="e">
        <f>+'Estimate Details'!#REF!</f>
        <v>#REF!</v>
      </c>
      <c r="F67" s="41"/>
      <c r="G67" s="117" t="e">
        <f>+'Estimate Details'!#REF!</f>
        <v>#REF!</v>
      </c>
      <c r="H67" s="118" t="e">
        <f>+'Estimate Details'!#REF!</f>
        <v>#REF!</v>
      </c>
      <c r="I67" s="108" t="e">
        <f>+'Estimate Details'!#REF!</f>
        <v>#REF!</v>
      </c>
      <c r="J67" s="168" t="e">
        <f>+'Estimate Details'!#REF!</f>
        <v>#REF!</v>
      </c>
      <c r="K67" s="42" t="e">
        <f>+'Estimate Details'!#REF!</f>
        <v>#REF!</v>
      </c>
      <c r="L67" s="42" t="e">
        <f>+'Estimate Details'!#REF!</f>
        <v>#REF!</v>
      </c>
      <c r="M67" s="177" t="e">
        <f>+'Estimate Details'!#REF!</f>
        <v>#REF!</v>
      </c>
      <c r="N67" s="170" t="e">
        <f>+'Estimate Details'!#REF!</f>
        <v>#REF!</v>
      </c>
      <c r="O67" s="171" t="e">
        <f>+'Estimate Details'!#REF!</f>
        <v>#REF!</v>
      </c>
      <c r="P67" s="172" t="e">
        <f>+'Estimate Details'!#REF!</f>
        <v>#REF!</v>
      </c>
      <c r="Q67" s="173" t="e">
        <f>+'Estimate Details'!#REF!</f>
        <v>#REF!</v>
      </c>
      <c r="R67" s="174" t="e">
        <f>+'Estimate Details'!#REF!</f>
        <v>#REF!</v>
      </c>
      <c r="S67" s="507"/>
      <c r="T67" s="174" t="e">
        <f>+'Estimate Details'!#REF!</f>
        <v>#REF!</v>
      </c>
      <c r="U67" s="481" t="s">
        <v>1309</v>
      </c>
      <c r="V67" s="172" t="e">
        <f>+'Estimate Details'!#REF!</f>
        <v>#REF!</v>
      </c>
      <c r="W67" s="481" t="s">
        <v>1309</v>
      </c>
      <c r="X67" s="172" t="e">
        <f>+'Estimate Details'!#REF!</f>
        <v>#REF!</v>
      </c>
      <c r="Y67" s="172" t="e">
        <f>+'Estimate Details'!#REF!</f>
        <v>#REF!</v>
      </c>
      <c r="Z67" s="174" t="e">
        <f>+'Estimate Details'!#REF!</f>
        <v>#REF!</v>
      </c>
      <c r="AA67" s="481"/>
      <c r="AB67" s="175" t="e">
        <f>+'Estimate Details'!#REF!</f>
        <v>#REF!</v>
      </c>
      <c r="AC67" s="569"/>
      <c r="AD67" s="176" t="e">
        <f>+'Estimate Details'!#REF!</f>
        <v>#REF!</v>
      </c>
      <c r="AE67" s="156"/>
      <c r="AF67" s="156"/>
      <c r="AG67" s="156"/>
      <c r="AH67" s="156"/>
      <c r="AI67" s="29"/>
      <c r="AJ67" s="29"/>
      <c r="AK67" s="29"/>
      <c r="AL67" s="29"/>
    </row>
    <row r="68" spans="1:44" ht="13.5" customHeight="1">
      <c r="A68" s="116" t="e">
        <f>+'Estimate Details'!#REF!</f>
        <v>#REF!</v>
      </c>
      <c r="B68" s="116"/>
      <c r="C68" s="116"/>
      <c r="D68" s="166"/>
      <c r="E68" s="158" t="e">
        <f>+'Estimate Details'!#REF!</f>
        <v>#REF!</v>
      </c>
      <c r="F68" s="41"/>
      <c r="G68" s="117" t="e">
        <f>+'Estimate Details'!#REF!</f>
        <v>#REF!</v>
      </c>
      <c r="H68" s="118" t="e">
        <f>+'Estimate Details'!#REF!</f>
        <v>#REF!</v>
      </c>
      <c r="I68" s="108" t="e">
        <f>+'Estimate Details'!#REF!</f>
        <v>#REF!</v>
      </c>
      <c r="J68" s="168" t="e">
        <f>+'Estimate Details'!#REF!</f>
        <v>#REF!</v>
      </c>
      <c r="K68" s="42" t="e">
        <f>+'Estimate Details'!#REF!</f>
        <v>#REF!</v>
      </c>
      <c r="L68" s="42" t="e">
        <f>+'Estimate Details'!#REF!</f>
        <v>#REF!</v>
      </c>
      <c r="M68" s="177" t="e">
        <f>+'Estimate Details'!#REF!</f>
        <v>#REF!</v>
      </c>
      <c r="N68" s="170" t="e">
        <f>+'Estimate Details'!#REF!</f>
        <v>#REF!</v>
      </c>
      <c r="O68" s="171" t="e">
        <f>+'Estimate Details'!#REF!</f>
        <v>#REF!</v>
      </c>
      <c r="P68" s="172" t="e">
        <f>+'Estimate Details'!#REF!</f>
        <v>#REF!</v>
      </c>
      <c r="Q68" s="173" t="e">
        <f>+'Estimate Details'!#REF!</f>
        <v>#REF!</v>
      </c>
      <c r="R68" s="174" t="e">
        <f>+'Estimate Details'!#REF!</f>
        <v>#REF!</v>
      </c>
      <c r="S68" s="507"/>
      <c r="T68" s="174" t="e">
        <f>+'Estimate Details'!#REF!</f>
        <v>#REF!</v>
      </c>
      <c r="U68" s="481" t="s">
        <v>1309</v>
      </c>
      <c r="V68" s="172" t="e">
        <f>+'Estimate Details'!#REF!</f>
        <v>#REF!</v>
      </c>
      <c r="W68" s="481" t="s">
        <v>1309</v>
      </c>
      <c r="X68" s="172" t="e">
        <f>+'Estimate Details'!#REF!</f>
        <v>#REF!</v>
      </c>
      <c r="Y68" s="172" t="e">
        <f>+'Estimate Details'!#REF!</f>
        <v>#REF!</v>
      </c>
      <c r="Z68" s="174" t="e">
        <f>+'Estimate Details'!#REF!</f>
        <v>#REF!</v>
      </c>
      <c r="AA68" s="481"/>
      <c r="AB68" s="175" t="e">
        <f>+'Estimate Details'!#REF!</f>
        <v>#REF!</v>
      </c>
      <c r="AC68" s="569"/>
      <c r="AD68" s="176" t="e">
        <f>+'Estimate Details'!#REF!</f>
        <v>#REF!</v>
      </c>
      <c r="AE68" s="156"/>
      <c r="AF68" s="156"/>
      <c r="AG68" s="156"/>
      <c r="AH68" s="156"/>
      <c r="AI68" s="29"/>
      <c r="AJ68" s="29"/>
      <c r="AK68" s="29"/>
      <c r="AL68" s="29"/>
    </row>
    <row r="69" spans="1:44" ht="13.5" customHeight="1">
      <c r="A69" s="116" t="e">
        <f>+'Estimate Details'!#REF!</f>
        <v>#REF!</v>
      </c>
      <c r="B69" s="116"/>
      <c r="C69" s="116"/>
      <c r="D69" s="166"/>
      <c r="E69" s="158" t="e">
        <f>+'Estimate Details'!#REF!</f>
        <v>#REF!</v>
      </c>
      <c r="F69" s="41"/>
      <c r="G69" s="117" t="e">
        <f>+'Estimate Details'!#REF!</f>
        <v>#REF!</v>
      </c>
      <c r="H69" s="118" t="e">
        <f>+'Estimate Details'!#REF!</f>
        <v>#REF!</v>
      </c>
      <c r="I69" s="108" t="e">
        <f>+'Estimate Details'!#REF!</f>
        <v>#REF!</v>
      </c>
      <c r="J69" s="168" t="e">
        <f>+'Estimate Details'!#REF!</f>
        <v>#REF!</v>
      </c>
      <c r="K69" s="42" t="e">
        <f>+'Estimate Details'!#REF!</f>
        <v>#REF!</v>
      </c>
      <c r="L69" s="42" t="e">
        <f>+'Estimate Details'!#REF!</f>
        <v>#REF!</v>
      </c>
      <c r="M69" s="177" t="e">
        <f>+'Estimate Details'!#REF!</f>
        <v>#REF!</v>
      </c>
      <c r="N69" s="170" t="e">
        <f>+'Estimate Details'!#REF!</f>
        <v>#REF!</v>
      </c>
      <c r="O69" s="171" t="e">
        <f>+'Estimate Details'!#REF!</f>
        <v>#REF!</v>
      </c>
      <c r="P69" s="172" t="e">
        <f>+'Estimate Details'!#REF!</f>
        <v>#REF!</v>
      </c>
      <c r="Q69" s="173" t="e">
        <f>+'Estimate Details'!#REF!</f>
        <v>#REF!</v>
      </c>
      <c r="R69" s="174" t="e">
        <f>+'Estimate Details'!#REF!</f>
        <v>#REF!</v>
      </c>
      <c r="S69" s="507"/>
      <c r="T69" s="174" t="e">
        <f>+'Estimate Details'!#REF!</f>
        <v>#REF!</v>
      </c>
      <c r="U69" s="481"/>
      <c r="V69" s="172" t="e">
        <f>+'Estimate Details'!#REF!</f>
        <v>#REF!</v>
      </c>
      <c r="W69" s="481" t="s">
        <v>1309</v>
      </c>
      <c r="X69" s="172" t="e">
        <f>+'Estimate Details'!#REF!</f>
        <v>#REF!</v>
      </c>
      <c r="Y69" s="172" t="e">
        <f>+'Estimate Details'!#REF!</f>
        <v>#REF!</v>
      </c>
      <c r="Z69" s="174" t="e">
        <f>+'Estimate Details'!#REF!</f>
        <v>#REF!</v>
      </c>
      <c r="AA69" s="481"/>
      <c r="AB69" s="175" t="e">
        <f>+'Estimate Details'!#REF!</f>
        <v>#REF!</v>
      </c>
      <c r="AC69" s="569"/>
      <c r="AD69" s="176" t="e">
        <f>+'Estimate Details'!#REF!</f>
        <v>#REF!</v>
      </c>
      <c r="AE69" s="156"/>
      <c r="AF69" s="156"/>
      <c r="AG69" s="156"/>
      <c r="AH69" s="156"/>
      <c r="AI69" s="29"/>
      <c r="AJ69" s="29"/>
      <c r="AK69" s="29"/>
      <c r="AL69" s="29"/>
    </row>
    <row r="70" spans="1:44" ht="13.5" customHeight="1">
      <c r="A70" s="116" t="e">
        <f>+'Estimate Details'!#REF!</f>
        <v>#REF!</v>
      </c>
      <c r="B70" s="116"/>
      <c r="C70" s="116"/>
      <c r="D70" s="166"/>
      <c r="E70" s="158" t="e">
        <f>+'Estimate Details'!#REF!</f>
        <v>#REF!</v>
      </c>
      <c r="F70" s="41"/>
      <c r="G70" s="117" t="e">
        <f>+'Estimate Details'!#REF!</f>
        <v>#REF!</v>
      </c>
      <c r="H70" s="118" t="e">
        <f>+'Estimate Details'!#REF!</f>
        <v>#REF!</v>
      </c>
      <c r="I70" s="108" t="e">
        <f>+'Estimate Details'!#REF!</f>
        <v>#REF!</v>
      </c>
      <c r="J70" s="168" t="e">
        <f>+'Estimate Details'!#REF!</f>
        <v>#REF!</v>
      </c>
      <c r="K70" s="42" t="e">
        <f>+'Estimate Details'!#REF!</f>
        <v>#REF!</v>
      </c>
      <c r="L70" s="42" t="e">
        <f>+'Estimate Details'!#REF!</f>
        <v>#REF!</v>
      </c>
      <c r="M70" s="177" t="e">
        <f>+'Estimate Details'!#REF!</f>
        <v>#REF!</v>
      </c>
      <c r="N70" s="170" t="e">
        <f>+'Estimate Details'!#REF!</f>
        <v>#REF!</v>
      </c>
      <c r="O70" s="171" t="e">
        <f>+'Estimate Details'!#REF!</f>
        <v>#REF!</v>
      </c>
      <c r="P70" s="172" t="e">
        <f>+'Estimate Details'!#REF!</f>
        <v>#REF!</v>
      </c>
      <c r="Q70" s="173" t="e">
        <f>+'Estimate Details'!#REF!</f>
        <v>#REF!</v>
      </c>
      <c r="R70" s="174" t="e">
        <f>+'Estimate Details'!#REF!</f>
        <v>#REF!</v>
      </c>
      <c r="S70" s="507"/>
      <c r="T70" s="174" t="e">
        <f>+'Estimate Details'!#REF!</f>
        <v>#REF!</v>
      </c>
      <c r="U70" s="481"/>
      <c r="V70" s="172" t="e">
        <f>+'Estimate Details'!#REF!</f>
        <v>#REF!</v>
      </c>
      <c r="W70" s="481" t="s">
        <v>1309</v>
      </c>
      <c r="X70" s="172" t="e">
        <f>+'Estimate Details'!#REF!</f>
        <v>#REF!</v>
      </c>
      <c r="Y70" s="172" t="e">
        <f>+'Estimate Details'!#REF!</f>
        <v>#REF!</v>
      </c>
      <c r="Z70" s="174" t="e">
        <f>+'Estimate Details'!#REF!</f>
        <v>#REF!</v>
      </c>
      <c r="AA70" s="481"/>
      <c r="AB70" s="175" t="e">
        <f>+'Estimate Details'!#REF!</f>
        <v>#REF!</v>
      </c>
      <c r="AC70" s="569"/>
      <c r="AD70" s="176" t="e">
        <f>+'Estimate Details'!#REF!</f>
        <v>#REF!</v>
      </c>
      <c r="AE70" s="156"/>
      <c r="AF70" s="178"/>
      <c r="AG70" s="156"/>
      <c r="AH70" s="156"/>
      <c r="AI70" s="29"/>
      <c r="AJ70" s="29"/>
      <c r="AK70" s="29"/>
      <c r="AL70" s="29"/>
    </row>
    <row r="71" spans="1:44" s="30" customFormat="1" ht="13.5" customHeight="1">
      <c r="A71" s="116" t="e">
        <f>+'Estimate Details'!#REF!</f>
        <v>#REF!</v>
      </c>
      <c r="B71" s="116"/>
      <c r="C71" s="116"/>
      <c r="D71" s="166"/>
      <c r="E71" s="158" t="e">
        <f>+'Estimate Details'!#REF!</f>
        <v>#REF!</v>
      </c>
      <c r="F71" s="41"/>
      <c r="G71" s="117" t="e">
        <f>+'Estimate Details'!#REF!</f>
        <v>#REF!</v>
      </c>
      <c r="H71" s="118" t="e">
        <f>+'Estimate Details'!#REF!</f>
        <v>#REF!</v>
      </c>
      <c r="I71" s="108" t="e">
        <f>+'Estimate Details'!#REF!</f>
        <v>#REF!</v>
      </c>
      <c r="J71" s="168" t="e">
        <f>+'Estimate Details'!#REF!</f>
        <v>#REF!</v>
      </c>
      <c r="K71" s="42" t="e">
        <f>+'Estimate Details'!#REF!</f>
        <v>#REF!</v>
      </c>
      <c r="L71" s="42" t="e">
        <f>+'Estimate Details'!#REF!</f>
        <v>#REF!</v>
      </c>
      <c r="M71" s="177" t="e">
        <f>+'Estimate Details'!#REF!</f>
        <v>#REF!</v>
      </c>
      <c r="N71" s="170" t="e">
        <f>+'Estimate Details'!#REF!</f>
        <v>#REF!</v>
      </c>
      <c r="O71" s="171" t="e">
        <f>+'Estimate Details'!#REF!</f>
        <v>#REF!</v>
      </c>
      <c r="P71" s="172" t="e">
        <f>+'Estimate Details'!#REF!</f>
        <v>#REF!</v>
      </c>
      <c r="Q71" s="173" t="e">
        <f>+'Estimate Details'!#REF!</f>
        <v>#REF!</v>
      </c>
      <c r="R71" s="174" t="e">
        <f>+'Estimate Details'!#REF!</f>
        <v>#REF!</v>
      </c>
      <c r="S71" s="507"/>
      <c r="T71" s="174" t="e">
        <f>+'Estimate Details'!#REF!</f>
        <v>#REF!</v>
      </c>
      <c r="U71" s="481"/>
      <c r="V71" s="172" t="e">
        <f>+'Estimate Details'!#REF!</f>
        <v>#REF!</v>
      </c>
      <c r="W71" s="481" t="s">
        <v>1309</v>
      </c>
      <c r="X71" s="172" t="e">
        <f>+'Estimate Details'!#REF!</f>
        <v>#REF!</v>
      </c>
      <c r="Y71" s="172" t="e">
        <f>+'Estimate Details'!#REF!</f>
        <v>#REF!</v>
      </c>
      <c r="Z71" s="174" t="e">
        <f>+'Estimate Details'!#REF!</f>
        <v>#REF!</v>
      </c>
      <c r="AA71" s="481"/>
      <c r="AB71" s="175" t="e">
        <f>+'Estimate Details'!#REF!</f>
        <v>#REF!</v>
      </c>
      <c r="AC71" s="569"/>
      <c r="AD71" s="176" t="e">
        <f>+'Estimate Details'!#REF!</f>
        <v>#REF!</v>
      </c>
      <c r="AE71" s="156"/>
      <c r="AF71" s="156"/>
      <c r="AG71" s="156"/>
      <c r="AH71" s="156"/>
      <c r="AI71" s="29"/>
      <c r="AJ71" s="29"/>
      <c r="AK71" s="29"/>
      <c r="AL71" s="29"/>
      <c r="AM71" s="29"/>
      <c r="AN71" s="29"/>
      <c r="AO71" s="29"/>
      <c r="AP71" s="29"/>
      <c r="AQ71" s="29"/>
      <c r="AR71" s="29"/>
    </row>
    <row r="72" spans="1:44" s="30" customFormat="1" ht="13.5" customHeight="1">
      <c r="A72" s="116" t="e">
        <f>+'Estimate Details'!#REF!</f>
        <v>#REF!</v>
      </c>
      <c r="B72" s="116"/>
      <c r="C72" s="116"/>
      <c r="D72" s="166"/>
      <c r="E72" s="158" t="e">
        <f>+'Estimate Details'!#REF!</f>
        <v>#REF!</v>
      </c>
      <c r="F72" s="41"/>
      <c r="G72" s="117" t="e">
        <f>+'Estimate Details'!#REF!</f>
        <v>#REF!</v>
      </c>
      <c r="H72" s="118" t="e">
        <f>+'Estimate Details'!#REF!</f>
        <v>#REF!</v>
      </c>
      <c r="I72" s="108" t="e">
        <f>+'Estimate Details'!#REF!</f>
        <v>#REF!</v>
      </c>
      <c r="J72" s="168" t="e">
        <f>+'Estimate Details'!#REF!</f>
        <v>#REF!</v>
      </c>
      <c r="K72" s="42" t="e">
        <f>+'Estimate Details'!#REF!</f>
        <v>#REF!</v>
      </c>
      <c r="L72" s="42" t="e">
        <f>+'Estimate Details'!#REF!</f>
        <v>#REF!</v>
      </c>
      <c r="M72" s="169" t="e">
        <f>+'Estimate Details'!#REF!</f>
        <v>#REF!</v>
      </c>
      <c r="N72" s="170" t="e">
        <f>+'Estimate Details'!#REF!</f>
        <v>#REF!</v>
      </c>
      <c r="O72" s="171" t="e">
        <f>+'Estimate Details'!#REF!</f>
        <v>#REF!</v>
      </c>
      <c r="P72" s="172" t="e">
        <f>+'Estimate Details'!#REF!</f>
        <v>#REF!</v>
      </c>
      <c r="Q72" s="173" t="e">
        <f>+'Estimate Details'!#REF!</f>
        <v>#REF!</v>
      </c>
      <c r="R72" s="174" t="e">
        <f>+'Estimate Details'!#REF!</f>
        <v>#REF!</v>
      </c>
      <c r="S72" s="507"/>
      <c r="T72" s="174" t="e">
        <f>+'Estimate Details'!#REF!</f>
        <v>#REF!</v>
      </c>
      <c r="U72" s="481" t="s">
        <v>1309</v>
      </c>
      <c r="V72" s="172" t="e">
        <f>+'Estimate Details'!#REF!</f>
        <v>#REF!</v>
      </c>
      <c r="W72" s="481" t="s">
        <v>1309</v>
      </c>
      <c r="X72" s="172" t="e">
        <f>+'Estimate Details'!#REF!</f>
        <v>#REF!</v>
      </c>
      <c r="Y72" s="172" t="e">
        <f>+'Estimate Details'!#REF!</f>
        <v>#REF!</v>
      </c>
      <c r="Z72" s="174" t="e">
        <f>+'Estimate Details'!#REF!</f>
        <v>#REF!</v>
      </c>
      <c r="AA72" s="481"/>
      <c r="AB72" s="175" t="e">
        <f>+'Estimate Details'!#REF!</f>
        <v>#REF!</v>
      </c>
      <c r="AC72" s="569"/>
      <c r="AD72" s="176" t="e">
        <f>+'Estimate Details'!#REF!</f>
        <v>#REF!</v>
      </c>
      <c r="AE72" s="156"/>
      <c r="AF72" s="178"/>
      <c r="AG72" s="156"/>
      <c r="AH72" s="156"/>
      <c r="AI72" s="29"/>
      <c r="AJ72" s="29"/>
      <c r="AK72" s="29"/>
      <c r="AL72" s="29"/>
      <c r="AM72" s="29"/>
      <c r="AN72" s="29"/>
      <c r="AO72" s="29"/>
      <c r="AP72" s="29"/>
      <c r="AQ72" s="29"/>
      <c r="AR72" s="29"/>
    </row>
    <row r="73" spans="1:44" s="30" customFormat="1" ht="13.5" customHeight="1">
      <c r="A73" s="116" t="e">
        <f>+'Estimate Details'!#REF!</f>
        <v>#REF!</v>
      </c>
      <c r="B73" s="116"/>
      <c r="C73" s="116"/>
      <c r="D73" s="166"/>
      <c r="E73" s="158" t="e">
        <f>+'Estimate Details'!#REF!</f>
        <v>#REF!</v>
      </c>
      <c r="F73" s="41"/>
      <c r="G73" s="117" t="e">
        <f>+'Estimate Details'!#REF!</f>
        <v>#REF!</v>
      </c>
      <c r="H73" s="118" t="e">
        <f>+'Estimate Details'!#REF!</f>
        <v>#REF!</v>
      </c>
      <c r="I73" s="108" t="e">
        <f>+'Estimate Details'!#REF!</f>
        <v>#REF!</v>
      </c>
      <c r="J73" s="168" t="e">
        <f>+'Estimate Details'!#REF!</f>
        <v>#REF!</v>
      </c>
      <c r="K73" s="42" t="e">
        <f>+'Estimate Details'!#REF!</f>
        <v>#REF!</v>
      </c>
      <c r="L73" s="42" t="e">
        <f>+'Estimate Details'!#REF!</f>
        <v>#REF!</v>
      </c>
      <c r="M73" s="169" t="e">
        <f>+'Estimate Details'!#REF!</f>
        <v>#REF!</v>
      </c>
      <c r="N73" s="170" t="e">
        <f>+'Estimate Details'!#REF!</f>
        <v>#REF!</v>
      </c>
      <c r="O73" s="171" t="e">
        <f>+'Estimate Details'!#REF!</f>
        <v>#REF!</v>
      </c>
      <c r="P73" s="172" t="e">
        <f>+'Estimate Details'!#REF!</f>
        <v>#REF!</v>
      </c>
      <c r="Q73" s="173" t="e">
        <f>+'Estimate Details'!#REF!</f>
        <v>#REF!</v>
      </c>
      <c r="R73" s="174" t="e">
        <f>+'Estimate Details'!#REF!</f>
        <v>#REF!</v>
      </c>
      <c r="S73" s="507"/>
      <c r="T73" s="174" t="e">
        <f>+'Estimate Details'!#REF!</f>
        <v>#REF!</v>
      </c>
      <c r="U73" s="481"/>
      <c r="V73" s="172" t="e">
        <f>+'Estimate Details'!#REF!</f>
        <v>#REF!</v>
      </c>
      <c r="W73" s="481" t="s">
        <v>1309</v>
      </c>
      <c r="X73" s="172" t="e">
        <f>+'Estimate Details'!#REF!</f>
        <v>#REF!</v>
      </c>
      <c r="Y73" s="172" t="e">
        <f>+'Estimate Details'!#REF!</f>
        <v>#REF!</v>
      </c>
      <c r="Z73" s="174" t="e">
        <f>+'Estimate Details'!#REF!</f>
        <v>#REF!</v>
      </c>
      <c r="AA73" s="481"/>
      <c r="AB73" s="175" t="e">
        <f>+'Estimate Details'!#REF!</f>
        <v>#REF!</v>
      </c>
      <c r="AC73" s="569"/>
      <c r="AD73" s="176" t="e">
        <f>+'Estimate Details'!#REF!</f>
        <v>#REF!</v>
      </c>
      <c r="AE73" s="156"/>
      <c r="AF73" s="178"/>
      <c r="AG73" s="156"/>
      <c r="AH73" s="156"/>
      <c r="AI73" s="29"/>
      <c r="AJ73" s="29"/>
      <c r="AK73" s="29"/>
      <c r="AL73" s="29"/>
      <c r="AM73" s="29"/>
      <c r="AN73" s="29"/>
      <c r="AO73" s="29"/>
      <c r="AP73" s="29"/>
      <c r="AQ73" s="29"/>
      <c r="AR73" s="29"/>
    </row>
    <row r="74" spans="1:44" ht="14.1" customHeight="1">
      <c r="A74" s="116" t="e">
        <f>+'Estimate Details'!#REF!</f>
        <v>#REF!</v>
      </c>
      <c r="B74" s="116"/>
      <c r="C74" s="116"/>
      <c r="D74" s="166"/>
      <c r="E74" s="158" t="e">
        <f>+'Estimate Details'!#REF!</f>
        <v>#REF!</v>
      </c>
      <c r="F74" s="41"/>
      <c r="G74" s="117" t="e">
        <f>+'Estimate Details'!#REF!</f>
        <v>#REF!</v>
      </c>
      <c r="H74" s="118" t="e">
        <f>+'Estimate Details'!#REF!</f>
        <v>#REF!</v>
      </c>
      <c r="I74" s="108" t="e">
        <f>+'Estimate Details'!#REF!</f>
        <v>#REF!</v>
      </c>
      <c r="J74" s="168" t="e">
        <f>+'Estimate Details'!#REF!</f>
        <v>#REF!</v>
      </c>
      <c r="K74" s="42" t="e">
        <f>+'Estimate Details'!#REF!</f>
        <v>#REF!</v>
      </c>
      <c r="L74" s="42" t="e">
        <f>+'Estimate Details'!#REF!</f>
        <v>#REF!</v>
      </c>
      <c r="M74" s="169" t="e">
        <f>+'Estimate Details'!#REF!</f>
        <v>#REF!</v>
      </c>
      <c r="N74" s="170" t="e">
        <f>+'Estimate Details'!#REF!</f>
        <v>#REF!</v>
      </c>
      <c r="O74" s="171" t="e">
        <f>+'Estimate Details'!#REF!</f>
        <v>#REF!</v>
      </c>
      <c r="P74" s="172" t="e">
        <f>+'Estimate Details'!#REF!</f>
        <v>#REF!</v>
      </c>
      <c r="Q74" s="173" t="e">
        <f>+'Estimate Details'!#REF!</f>
        <v>#REF!</v>
      </c>
      <c r="R74" s="174" t="e">
        <f>+'Estimate Details'!#REF!</f>
        <v>#REF!</v>
      </c>
      <c r="S74" s="507"/>
      <c r="T74" s="174" t="e">
        <f>+'Estimate Details'!#REF!</f>
        <v>#REF!</v>
      </c>
      <c r="U74" s="481" t="s">
        <v>1309</v>
      </c>
      <c r="V74" s="172" t="e">
        <f>+'Estimate Details'!#REF!</f>
        <v>#REF!</v>
      </c>
      <c r="W74" s="481" t="s">
        <v>1309</v>
      </c>
      <c r="X74" s="172" t="e">
        <f>+'Estimate Details'!#REF!</f>
        <v>#REF!</v>
      </c>
      <c r="Y74" s="172" t="e">
        <f>+'Estimate Details'!#REF!</f>
        <v>#REF!</v>
      </c>
      <c r="Z74" s="174" t="e">
        <f>+'Estimate Details'!#REF!</f>
        <v>#REF!</v>
      </c>
      <c r="AA74" s="481"/>
      <c r="AB74" s="175" t="e">
        <f>+'Estimate Details'!#REF!</f>
        <v>#REF!</v>
      </c>
      <c r="AC74" s="569"/>
      <c r="AD74" s="176" t="e">
        <f>+'Estimate Details'!#REF!</f>
        <v>#REF!</v>
      </c>
      <c r="AE74" s="156"/>
      <c r="AF74" s="156"/>
      <c r="AG74" s="156"/>
      <c r="AH74" s="156"/>
      <c r="AI74" s="29"/>
      <c r="AJ74" s="29"/>
      <c r="AK74" s="29"/>
      <c r="AL74" s="29"/>
    </row>
    <row r="75" spans="1:44" ht="14.1" customHeight="1">
      <c r="A75" s="116" t="e">
        <f>+'Estimate Details'!#REF!</f>
        <v>#REF!</v>
      </c>
      <c r="B75" s="116"/>
      <c r="C75" s="116"/>
      <c r="D75" s="166"/>
      <c r="E75" s="158" t="e">
        <f>+'Estimate Details'!#REF!</f>
        <v>#REF!</v>
      </c>
      <c r="F75" s="41"/>
      <c r="G75" s="117" t="e">
        <f>+'Estimate Details'!#REF!</f>
        <v>#REF!</v>
      </c>
      <c r="H75" s="118" t="e">
        <f>+'Estimate Details'!#REF!</f>
        <v>#REF!</v>
      </c>
      <c r="I75" s="108" t="e">
        <f>+'Estimate Details'!#REF!</f>
        <v>#REF!</v>
      </c>
      <c r="J75" s="168" t="e">
        <f>+'Estimate Details'!#REF!</f>
        <v>#REF!</v>
      </c>
      <c r="K75" s="42" t="e">
        <f>+'Estimate Details'!#REF!</f>
        <v>#REF!</v>
      </c>
      <c r="L75" s="42" t="e">
        <f>+'Estimate Details'!#REF!</f>
        <v>#REF!</v>
      </c>
      <c r="M75" s="169" t="e">
        <f>+'Estimate Details'!#REF!</f>
        <v>#REF!</v>
      </c>
      <c r="N75" s="170" t="e">
        <f>+'Estimate Details'!#REF!</f>
        <v>#REF!</v>
      </c>
      <c r="O75" s="171" t="e">
        <f>+'Estimate Details'!#REF!</f>
        <v>#REF!</v>
      </c>
      <c r="P75" s="172" t="e">
        <f>+'Estimate Details'!#REF!</f>
        <v>#REF!</v>
      </c>
      <c r="Q75" s="173" t="e">
        <f>+'Estimate Details'!#REF!</f>
        <v>#REF!</v>
      </c>
      <c r="R75" s="174" t="e">
        <f>+'Estimate Details'!#REF!</f>
        <v>#REF!</v>
      </c>
      <c r="S75" s="507"/>
      <c r="T75" s="174" t="e">
        <f>+'Estimate Details'!#REF!</f>
        <v>#REF!</v>
      </c>
      <c r="U75" s="481" t="s">
        <v>1309</v>
      </c>
      <c r="V75" s="172" t="e">
        <f>+'Estimate Details'!#REF!</f>
        <v>#REF!</v>
      </c>
      <c r="W75" s="481" t="s">
        <v>1309</v>
      </c>
      <c r="X75" s="172" t="e">
        <f>+'Estimate Details'!#REF!</f>
        <v>#REF!</v>
      </c>
      <c r="Y75" s="172" t="e">
        <f>+'Estimate Details'!#REF!</f>
        <v>#REF!</v>
      </c>
      <c r="Z75" s="174" t="e">
        <f>+'Estimate Details'!#REF!</f>
        <v>#REF!</v>
      </c>
      <c r="AA75" s="481"/>
      <c r="AB75" s="175" t="e">
        <f>+'Estimate Details'!#REF!</f>
        <v>#REF!</v>
      </c>
      <c r="AC75" s="569"/>
      <c r="AD75" s="176" t="e">
        <f>+'Estimate Details'!#REF!</f>
        <v>#REF!</v>
      </c>
      <c r="AE75" s="156"/>
      <c r="AF75" s="156"/>
      <c r="AG75" s="156"/>
      <c r="AH75" s="156"/>
      <c r="AI75" s="29"/>
      <c r="AJ75" s="29"/>
      <c r="AK75" s="29"/>
      <c r="AL75" s="29"/>
    </row>
    <row r="76" spans="1:44" ht="14.1" customHeight="1">
      <c r="A76" s="116" t="e">
        <f>+'Estimate Details'!#REF!</f>
        <v>#REF!</v>
      </c>
      <c r="B76" s="116"/>
      <c r="C76" s="116"/>
      <c r="D76" s="166"/>
      <c r="E76" s="158" t="e">
        <f>+'Estimate Details'!#REF!</f>
        <v>#REF!</v>
      </c>
      <c r="F76" s="41"/>
      <c r="G76" s="117" t="e">
        <f>+'Estimate Details'!#REF!</f>
        <v>#REF!</v>
      </c>
      <c r="H76" s="118" t="e">
        <f>+'Estimate Details'!#REF!</f>
        <v>#REF!</v>
      </c>
      <c r="I76" s="108" t="e">
        <f>+'Estimate Details'!#REF!</f>
        <v>#REF!</v>
      </c>
      <c r="J76" s="168" t="e">
        <f>+'Estimate Details'!#REF!</f>
        <v>#REF!</v>
      </c>
      <c r="K76" s="42" t="e">
        <f>+'Estimate Details'!#REF!</f>
        <v>#REF!</v>
      </c>
      <c r="L76" s="42" t="e">
        <f>+'Estimate Details'!#REF!</f>
        <v>#REF!</v>
      </c>
      <c r="M76" s="177" t="e">
        <f>+'Estimate Details'!#REF!</f>
        <v>#REF!</v>
      </c>
      <c r="N76" s="170" t="e">
        <f>+'Estimate Details'!#REF!</f>
        <v>#REF!</v>
      </c>
      <c r="O76" s="171" t="e">
        <f>+'Estimate Details'!#REF!</f>
        <v>#REF!</v>
      </c>
      <c r="P76" s="172" t="e">
        <f>+'Estimate Details'!#REF!</f>
        <v>#REF!</v>
      </c>
      <c r="Q76" s="173" t="e">
        <f>+'Estimate Details'!#REF!</f>
        <v>#REF!</v>
      </c>
      <c r="R76" s="174" t="e">
        <f>+'Estimate Details'!#REF!</f>
        <v>#REF!</v>
      </c>
      <c r="S76" s="507"/>
      <c r="T76" s="174" t="e">
        <f>+'Estimate Details'!#REF!</f>
        <v>#REF!</v>
      </c>
      <c r="U76" s="481" t="s">
        <v>1309</v>
      </c>
      <c r="V76" s="172" t="e">
        <f>+'Estimate Details'!#REF!</f>
        <v>#REF!</v>
      </c>
      <c r="W76" s="481" t="s">
        <v>1309</v>
      </c>
      <c r="X76" s="172" t="e">
        <f>+'Estimate Details'!#REF!</f>
        <v>#REF!</v>
      </c>
      <c r="Y76" s="172" t="e">
        <f>+'Estimate Details'!#REF!</f>
        <v>#REF!</v>
      </c>
      <c r="Z76" s="174" t="e">
        <f>+'Estimate Details'!#REF!</f>
        <v>#REF!</v>
      </c>
      <c r="AA76" s="481"/>
      <c r="AB76" s="175" t="e">
        <f>+'Estimate Details'!#REF!</f>
        <v>#REF!</v>
      </c>
      <c r="AC76" s="569"/>
      <c r="AD76" s="176" t="e">
        <f>+'Estimate Details'!#REF!</f>
        <v>#REF!</v>
      </c>
      <c r="AE76" s="156"/>
      <c r="AF76" s="156"/>
      <c r="AG76" s="156"/>
      <c r="AH76" s="156"/>
      <c r="AI76" s="29"/>
      <c r="AJ76" s="29"/>
      <c r="AK76" s="29"/>
      <c r="AL76" s="29"/>
    </row>
    <row r="77" spans="1:44" ht="14.1" customHeight="1">
      <c r="A77" s="116" t="e">
        <f>+'Estimate Details'!#REF!</f>
        <v>#REF!</v>
      </c>
      <c r="B77" s="116"/>
      <c r="C77" s="116"/>
      <c r="D77" s="166"/>
      <c r="E77" s="158" t="e">
        <f>+'Estimate Details'!#REF!</f>
        <v>#REF!</v>
      </c>
      <c r="F77" s="41"/>
      <c r="G77" s="117" t="e">
        <f>+'Estimate Details'!#REF!</f>
        <v>#REF!</v>
      </c>
      <c r="H77" s="118" t="e">
        <f>+'Estimate Details'!#REF!</f>
        <v>#REF!</v>
      </c>
      <c r="I77" s="108" t="e">
        <f>+'Estimate Details'!#REF!</f>
        <v>#REF!</v>
      </c>
      <c r="J77" s="168" t="e">
        <f>+'Estimate Details'!#REF!</f>
        <v>#REF!</v>
      </c>
      <c r="K77" s="42" t="e">
        <f>+'Estimate Details'!#REF!</f>
        <v>#REF!</v>
      </c>
      <c r="L77" s="42" t="e">
        <f>+'Estimate Details'!#REF!</f>
        <v>#REF!</v>
      </c>
      <c r="M77" s="177" t="e">
        <f>+'Estimate Details'!#REF!</f>
        <v>#REF!</v>
      </c>
      <c r="N77" s="170" t="e">
        <f>+'Estimate Details'!#REF!</f>
        <v>#REF!</v>
      </c>
      <c r="O77" s="171" t="e">
        <f>+'Estimate Details'!#REF!</f>
        <v>#REF!</v>
      </c>
      <c r="P77" s="172" t="e">
        <f>+'Estimate Details'!#REF!</f>
        <v>#REF!</v>
      </c>
      <c r="Q77" s="173" t="e">
        <f>+'Estimate Details'!#REF!</f>
        <v>#REF!</v>
      </c>
      <c r="R77" s="174" t="e">
        <f>+'Estimate Details'!#REF!</f>
        <v>#REF!</v>
      </c>
      <c r="S77" s="507"/>
      <c r="T77" s="174" t="e">
        <f>+'Estimate Details'!#REF!</f>
        <v>#REF!</v>
      </c>
      <c r="U77" s="481" t="s">
        <v>1309</v>
      </c>
      <c r="V77" s="172" t="e">
        <f>+'Estimate Details'!#REF!</f>
        <v>#REF!</v>
      </c>
      <c r="W77" s="481" t="s">
        <v>1309</v>
      </c>
      <c r="X77" s="172" t="e">
        <f>+'Estimate Details'!#REF!</f>
        <v>#REF!</v>
      </c>
      <c r="Y77" s="172" t="e">
        <f>+'Estimate Details'!#REF!</f>
        <v>#REF!</v>
      </c>
      <c r="Z77" s="174" t="e">
        <f>+'Estimate Details'!#REF!</f>
        <v>#REF!</v>
      </c>
      <c r="AA77" s="481"/>
      <c r="AB77" s="175" t="e">
        <f>+'Estimate Details'!#REF!</f>
        <v>#REF!</v>
      </c>
      <c r="AC77" s="569"/>
      <c r="AD77" s="176" t="e">
        <f>+'Estimate Details'!#REF!</f>
        <v>#REF!</v>
      </c>
      <c r="AE77" s="156"/>
      <c r="AF77" s="156"/>
      <c r="AG77" s="156"/>
      <c r="AH77" s="156"/>
      <c r="AI77" s="29"/>
      <c r="AJ77" s="29"/>
      <c r="AK77" s="29"/>
      <c r="AL77" s="29"/>
    </row>
    <row r="78" spans="1:44" ht="14.1" customHeight="1">
      <c r="A78" s="116" t="e">
        <f>+'Estimate Details'!#REF!</f>
        <v>#REF!</v>
      </c>
      <c r="B78" s="116"/>
      <c r="C78" s="116"/>
      <c r="D78" s="166"/>
      <c r="E78" s="158" t="e">
        <f>+'Estimate Details'!#REF!</f>
        <v>#REF!</v>
      </c>
      <c r="F78" s="41"/>
      <c r="G78" s="117" t="e">
        <f>+'Estimate Details'!#REF!</f>
        <v>#REF!</v>
      </c>
      <c r="H78" s="118" t="e">
        <f>+'Estimate Details'!#REF!</f>
        <v>#REF!</v>
      </c>
      <c r="I78" s="108" t="e">
        <f>+'Estimate Details'!#REF!</f>
        <v>#REF!</v>
      </c>
      <c r="J78" s="168" t="e">
        <f>+'Estimate Details'!#REF!</f>
        <v>#REF!</v>
      </c>
      <c r="K78" s="42" t="e">
        <f>+'Estimate Details'!#REF!</f>
        <v>#REF!</v>
      </c>
      <c r="L78" s="42" t="e">
        <f>+'Estimate Details'!#REF!</f>
        <v>#REF!</v>
      </c>
      <c r="M78" s="169" t="e">
        <f>+'Estimate Details'!#REF!</f>
        <v>#REF!</v>
      </c>
      <c r="N78" s="170" t="e">
        <f>+'Estimate Details'!#REF!</f>
        <v>#REF!</v>
      </c>
      <c r="O78" s="171" t="e">
        <f>+'Estimate Details'!#REF!</f>
        <v>#REF!</v>
      </c>
      <c r="P78" s="172" t="e">
        <f>+'Estimate Details'!#REF!</f>
        <v>#REF!</v>
      </c>
      <c r="Q78" s="173" t="e">
        <f>+'Estimate Details'!#REF!</f>
        <v>#REF!</v>
      </c>
      <c r="R78" s="174" t="e">
        <f>+'Estimate Details'!#REF!</f>
        <v>#REF!</v>
      </c>
      <c r="S78" s="507"/>
      <c r="T78" s="174" t="e">
        <f>+'Estimate Details'!#REF!</f>
        <v>#REF!</v>
      </c>
      <c r="U78" s="481" t="s">
        <v>1309</v>
      </c>
      <c r="V78" s="172" t="e">
        <f>+'Estimate Details'!#REF!</f>
        <v>#REF!</v>
      </c>
      <c r="W78" s="481" t="s">
        <v>1309</v>
      </c>
      <c r="X78" s="172" t="e">
        <f>+'Estimate Details'!#REF!</f>
        <v>#REF!</v>
      </c>
      <c r="Y78" s="172" t="e">
        <f>+'Estimate Details'!#REF!</f>
        <v>#REF!</v>
      </c>
      <c r="Z78" s="174" t="e">
        <f>+'Estimate Details'!#REF!</f>
        <v>#REF!</v>
      </c>
      <c r="AA78" s="481"/>
      <c r="AB78" s="175" t="e">
        <f>+'Estimate Details'!#REF!</f>
        <v>#REF!</v>
      </c>
      <c r="AC78" s="569"/>
      <c r="AD78" s="176" t="e">
        <f>+'Estimate Details'!#REF!</f>
        <v>#REF!</v>
      </c>
      <c r="AE78" s="156"/>
      <c r="AF78" s="366"/>
      <c r="AG78" s="156"/>
      <c r="AH78" s="156"/>
      <c r="AI78" s="29"/>
      <c r="AJ78" s="29"/>
      <c r="AK78" s="29"/>
      <c r="AL78" s="29"/>
    </row>
    <row r="79" spans="1:44" ht="14.1" customHeight="1">
      <c r="A79" s="116" t="e">
        <f>+'Estimate Details'!#REF!</f>
        <v>#REF!</v>
      </c>
      <c r="B79" s="116"/>
      <c r="C79" s="116"/>
      <c r="D79" s="166"/>
      <c r="E79" s="158" t="e">
        <f>+'Estimate Details'!#REF!</f>
        <v>#REF!</v>
      </c>
      <c r="F79" s="41"/>
      <c r="G79" s="117" t="e">
        <f>+'Estimate Details'!#REF!</f>
        <v>#REF!</v>
      </c>
      <c r="H79" s="118" t="e">
        <f>+'Estimate Details'!#REF!</f>
        <v>#REF!</v>
      </c>
      <c r="I79" s="108" t="e">
        <f>+'Estimate Details'!#REF!</f>
        <v>#REF!</v>
      </c>
      <c r="J79" s="168" t="e">
        <f>+'Estimate Details'!#REF!</f>
        <v>#REF!</v>
      </c>
      <c r="K79" s="42" t="e">
        <f>+'Estimate Details'!#REF!</f>
        <v>#REF!</v>
      </c>
      <c r="L79" s="42" t="e">
        <f>+'Estimate Details'!#REF!</f>
        <v>#REF!</v>
      </c>
      <c r="M79" s="177" t="e">
        <f>+'Estimate Details'!#REF!</f>
        <v>#REF!</v>
      </c>
      <c r="N79" s="170" t="e">
        <f>+'Estimate Details'!#REF!</f>
        <v>#REF!</v>
      </c>
      <c r="O79" s="171" t="e">
        <f>+'Estimate Details'!#REF!</f>
        <v>#REF!</v>
      </c>
      <c r="P79" s="172" t="e">
        <f>+'Estimate Details'!#REF!</f>
        <v>#REF!</v>
      </c>
      <c r="Q79" s="173" t="e">
        <f>+'Estimate Details'!#REF!</f>
        <v>#REF!</v>
      </c>
      <c r="R79" s="174" t="e">
        <f>+'Estimate Details'!#REF!</f>
        <v>#REF!</v>
      </c>
      <c r="S79" s="507"/>
      <c r="T79" s="174" t="e">
        <f>+'Estimate Details'!#REF!</f>
        <v>#REF!</v>
      </c>
      <c r="U79" s="481" t="s">
        <v>1309</v>
      </c>
      <c r="V79" s="172" t="e">
        <f>+'Estimate Details'!#REF!</f>
        <v>#REF!</v>
      </c>
      <c r="W79" s="481" t="s">
        <v>1309</v>
      </c>
      <c r="X79" s="172" t="e">
        <f>+'Estimate Details'!#REF!</f>
        <v>#REF!</v>
      </c>
      <c r="Y79" s="172" t="e">
        <f>+'Estimate Details'!#REF!</f>
        <v>#REF!</v>
      </c>
      <c r="Z79" s="174" t="e">
        <f>+'Estimate Details'!#REF!</f>
        <v>#REF!</v>
      </c>
      <c r="AA79" s="481"/>
      <c r="AB79" s="175" t="e">
        <f>+'Estimate Details'!#REF!</f>
        <v>#REF!</v>
      </c>
      <c r="AC79" s="569"/>
      <c r="AD79" s="176" t="e">
        <f>+'Estimate Details'!#REF!</f>
        <v>#REF!</v>
      </c>
      <c r="AE79" s="156"/>
      <c r="AF79" s="156"/>
      <c r="AG79" s="156"/>
      <c r="AH79" s="156"/>
      <c r="AI79" s="29"/>
      <c r="AJ79" s="29"/>
      <c r="AK79" s="29"/>
      <c r="AL79" s="29"/>
    </row>
    <row r="80" spans="1:44" ht="14.1" customHeight="1">
      <c r="A80" s="116" t="e">
        <f>+'Estimate Details'!#REF!</f>
        <v>#REF!</v>
      </c>
      <c r="B80" s="116"/>
      <c r="C80" s="116"/>
      <c r="D80" s="166"/>
      <c r="E80" s="158" t="e">
        <f>+'Estimate Details'!#REF!</f>
        <v>#REF!</v>
      </c>
      <c r="F80" s="41"/>
      <c r="G80" s="117" t="e">
        <f>+'Estimate Details'!#REF!</f>
        <v>#REF!</v>
      </c>
      <c r="H80" s="118" t="e">
        <f>+'Estimate Details'!#REF!</f>
        <v>#REF!</v>
      </c>
      <c r="I80" s="108" t="e">
        <f>+'Estimate Details'!#REF!</f>
        <v>#REF!</v>
      </c>
      <c r="J80" s="168" t="e">
        <f>+'Estimate Details'!#REF!</f>
        <v>#REF!</v>
      </c>
      <c r="K80" s="42" t="e">
        <f>+'Estimate Details'!#REF!</f>
        <v>#REF!</v>
      </c>
      <c r="L80" s="42" t="e">
        <f>+'Estimate Details'!#REF!</f>
        <v>#REF!</v>
      </c>
      <c r="M80" s="177" t="e">
        <f>+'Estimate Details'!#REF!</f>
        <v>#REF!</v>
      </c>
      <c r="N80" s="170" t="e">
        <f>+'Estimate Details'!#REF!</f>
        <v>#REF!</v>
      </c>
      <c r="O80" s="171" t="e">
        <f>+'Estimate Details'!#REF!</f>
        <v>#REF!</v>
      </c>
      <c r="P80" s="172" t="e">
        <f>+'Estimate Details'!#REF!</f>
        <v>#REF!</v>
      </c>
      <c r="Q80" s="173" t="e">
        <f>+'Estimate Details'!#REF!</f>
        <v>#REF!</v>
      </c>
      <c r="R80" s="174" t="e">
        <f>+'Estimate Details'!#REF!</f>
        <v>#REF!</v>
      </c>
      <c r="S80" s="507"/>
      <c r="T80" s="174" t="e">
        <f>+'Estimate Details'!#REF!</f>
        <v>#REF!</v>
      </c>
      <c r="U80" s="481"/>
      <c r="V80" s="172" t="e">
        <f>+'Estimate Details'!#REF!</f>
        <v>#REF!</v>
      </c>
      <c r="W80" s="481"/>
      <c r="X80" s="172" t="e">
        <f>+'Estimate Details'!#REF!</f>
        <v>#REF!</v>
      </c>
      <c r="Y80" s="172" t="e">
        <f>+'Estimate Details'!#REF!</f>
        <v>#REF!</v>
      </c>
      <c r="Z80" s="174" t="e">
        <f>+'Estimate Details'!#REF!</f>
        <v>#REF!</v>
      </c>
      <c r="AA80" s="481" t="s">
        <v>1309</v>
      </c>
      <c r="AB80" s="175" t="e">
        <f>+'Estimate Details'!#REF!</f>
        <v>#REF!</v>
      </c>
      <c r="AC80" s="569"/>
      <c r="AD80" s="176" t="e">
        <f>+'Estimate Details'!#REF!</f>
        <v>#REF!</v>
      </c>
      <c r="AE80" s="156"/>
      <c r="AF80" s="156"/>
      <c r="AG80" s="156"/>
      <c r="AH80" s="156"/>
      <c r="AI80" s="29"/>
      <c r="AJ80" s="29"/>
      <c r="AK80" s="29"/>
      <c r="AL80" s="29"/>
    </row>
    <row r="81" spans="1:38" ht="14.1" customHeight="1">
      <c r="A81" s="116" t="e">
        <f>+'Estimate Details'!#REF!</f>
        <v>#REF!</v>
      </c>
      <c r="B81" s="116"/>
      <c r="C81" s="116"/>
      <c r="D81" s="166"/>
      <c r="E81" s="158" t="e">
        <f>+'Estimate Details'!#REF!</f>
        <v>#REF!</v>
      </c>
      <c r="F81" s="41"/>
      <c r="G81" s="117" t="e">
        <f>+'Estimate Details'!#REF!</f>
        <v>#REF!</v>
      </c>
      <c r="H81" s="118" t="e">
        <f>+'Estimate Details'!#REF!</f>
        <v>#REF!</v>
      </c>
      <c r="I81" s="108" t="e">
        <f>+'Estimate Details'!#REF!</f>
        <v>#REF!</v>
      </c>
      <c r="J81" s="168" t="e">
        <f>+'Estimate Details'!#REF!</f>
        <v>#REF!</v>
      </c>
      <c r="K81" s="42" t="e">
        <f>+'Estimate Details'!#REF!</f>
        <v>#REF!</v>
      </c>
      <c r="L81" s="42" t="e">
        <f>+'Estimate Details'!#REF!</f>
        <v>#REF!</v>
      </c>
      <c r="M81" s="169" t="e">
        <f>+'Estimate Details'!#REF!</f>
        <v>#REF!</v>
      </c>
      <c r="N81" s="182" t="e">
        <f>+'Estimate Details'!#REF!</f>
        <v>#REF!</v>
      </c>
      <c r="O81" s="171" t="e">
        <f>+'Estimate Details'!#REF!</f>
        <v>#REF!</v>
      </c>
      <c r="P81" s="172" t="e">
        <f>+'Estimate Details'!#REF!</f>
        <v>#REF!</v>
      </c>
      <c r="Q81" s="173" t="e">
        <f>+'Estimate Details'!#REF!</f>
        <v>#REF!</v>
      </c>
      <c r="R81" s="174" t="e">
        <f>+'Estimate Details'!#REF!</f>
        <v>#REF!</v>
      </c>
      <c r="S81" s="507"/>
      <c r="T81" s="174" t="e">
        <f>+'Estimate Details'!#REF!</f>
        <v>#REF!</v>
      </c>
      <c r="U81" s="481" t="s">
        <v>1309</v>
      </c>
      <c r="V81" s="172" t="e">
        <f>+'Estimate Details'!#REF!</f>
        <v>#REF!</v>
      </c>
      <c r="W81" s="481" t="s">
        <v>1309</v>
      </c>
      <c r="X81" s="172" t="e">
        <f>+'Estimate Details'!#REF!</f>
        <v>#REF!</v>
      </c>
      <c r="Y81" s="172" t="e">
        <f>+'Estimate Details'!#REF!</f>
        <v>#REF!</v>
      </c>
      <c r="Z81" s="174" t="e">
        <f>+'Estimate Details'!#REF!</f>
        <v>#REF!</v>
      </c>
      <c r="AA81" s="481"/>
      <c r="AB81" s="175" t="e">
        <f>+'Estimate Details'!#REF!</f>
        <v>#REF!</v>
      </c>
      <c r="AC81" s="569"/>
      <c r="AD81" s="186" t="e">
        <f>+'Estimate Details'!#REF!</f>
        <v>#REF!</v>
      </c>
      <c r="AE81" s="156"/>
      <c r="AF81" s="156"/>
      <c r="AG81" s="156"/>
      <c r="AH81" s="156"/>
      <c r="AI81" s="29"/>
      <c r="AJ81" s="29"/>
      <c r="AK81" s="29"/>
      <c r="AL81" s="29"/>
    </row>
    <row r="82" spans="1:38" ht="14.1" customHeight="1">
      <c r="A82" s="116" t="e">
        <f>+'Estimate Details'!#REF!</f>
        <v>#REF!</v>
      </c>
      <c r="B82" s="116"/>
      <c r="C82" s="116"/>
      <c r="D82" s="166"/>
      <c r="E82" s="158" t="e">
        <f>+'Estimate Details'!#REF!</f>
        <v>#REF!</v>
      </c>
      <c r="F82" s="41"/>
      <c r="G82" s="117" t="e">
        <f>+'Estimate Details'!#REF!</f>
        <v>#REF!</v>
      </c>
      <c r="H82" s="118" t="e">
        <f>+'Estimate Details'!#REF!</f>
        <v>#REF!</v>
      </c>
      <c r="I82" s="108" t="e">
        <f>+'Estimate Details'!#REF!</f>
        <v>#REF!</v>
      </c>
      <c r="J82" s="168" t="e">
        <f>+'Estimate Details'!#REF!</f>
        <v>#REF!</v>
      </c>
      <c r="K82" s="42" t="e">
        <f>+'Estimate Details'!#REF!</f>
        <v>#REF!</v>
      </c>
      <c r="L82" s="42" t="e">
        <f>+'Estimate Details'!#REF!</f>
        <v>#REF!</v>
      </c>
      <c r="M82" s="177" t="e">
        <f>+'Estimate Details'!#REF!</f>
        <v>#REF!</v>
      </c>
      <c r="N82" s="194" t="e">
        <f>+'Estimate Details'!#REF!</f>
        <v>#REF!</v>
      </c>
      <c r="O82" s="171" t="e">
        <f>+'Estimate Details'!#REF!</f>
        <v>#REF!</v>
      </c>
      <c r="P82" s="172" t="e">
        <f>+'Estimate Details'!#REF!</f>
        <v>#REF!</v>
      </c>
      <c r="Q82" s="173" t="e">
        <f>+'Estimate Details'!#REF!</f>
        <v>#REF!</v>
      </c>
      <c r="R82" s="174" t="e">
        <f>+'Estimate Details'!#REF!</f>
        <v>#REF!</v>
      </c>
      <c r="S82" s="507"/>
      <c r="T82" s="174" t="e">
        <f>+'Estimate Details'!#REF!</f>
        <v>#REF!</v>
      </c>
      <c r="U82" s="481"/>
      <c r="V82" s="172" t="e">
        <f>+'Estimate Details'!#REF!</f>
        <v>#REF!</v>
      </c>
      <c r="W82" s="481" t="s">
        <v>1309</v>
      </c>
      <c r="X82" s="172" t="e">
        <f>+'Estimate Details'!#REF!</f>
        <v>#REF!</v>
      </c>
      <c r="Y82" s="172" t="e">
        <f>+'Estimate Details'!#REF!</f>
        <v>#REF!</v>
      </c>
      <c r="Z82" s="174" t="e">
        <f>+'Estimate Details'!#REF!</f>
        <v>#REF!</v>
      </c>
      <c r="AA82" s="481"/>
      <c r="AB82" s="175" t="e">
        <f>+'Estimate Details'!#REF!</f>
        <v>#REF!</v>
      </c>
      <c r="AC82" s="569"/>
      <c r="AD82" s="176" t="e">
        <f>+'Estimate Details'!#REF!</f>
        <v>#REF!</v>
      </c>
      <c r="AE82" s="156"/>
      <c r="AF82" s="156"/>
      <c r="AG82" s="156"/>
      <c r="AH82" s="156"/>
      <c r="AI82" s="29"/>
      <c r="AJ82" s="29"/>
      <c r="AK82" s="29"/>
      <c r="AL82" s="29"/>
    </row>
    <row r="83" spans="1:38" ht="14.1" customHeight="1">
      <c r="A83" s="116" t="e">
        <f>+'Estimate Details'!#REF!</f>
        <v>#REF!</v>
      </c>
      <c r="B83" s="116"/>
      <c r="C83" s="116"/>
      <c r="D83" s="187"/>
      <c r="E83" s="158" t="e">
        <f>+'Estimate Details'!#REF!</f>
        <v>#REF!</v>
      </c>
      <c r="F83" s="185"/>
      <c r="G83" s="117" t="e">
        <f>+'Estimate Details'!#REF!</f>
        <v>#REF!</v>
      </c>
      <c r="H83" s="118" t="e">
        <f>+'Estimate Details'!#REF!</f>
        <v>#REF!</v>
      </c>
      <c r="I83" s="108" t="e">
        <f>+'Estimate Details'!#REF!</f>
        <v>#REF!</v>
      </c>
      <c r="J83" s="168" t="e">
        <f>+'Estimate Details'!#REF!</f>
        <v>#REF!</v>
      </c>
      <c r="K83" s="42" t="e">
        <f>+'Estimate Details'!#REF!</f>
        <v>#REF!</v>
      </c>
      <c r="L83" s="42" t="e">
        <f>+'Estimate Details'!#REF!</f>
        <v>#REF!</v>
      </c>
      <c r="M83" s="177" t="e">
        <f>+'Estimate Details'!#REF!</f>
        <v>#REF!</v>
      </c>
      <c r="N83" s="194" t="e">
        <f>+'Estimate Details'!#REF!</f>
        <v>#REF!</v>
      </c>
      <c r="O83" s="171" t="e">
        <f>+'Estimate Details'!#REF!</f>
        <v>#REF!</v>
      </c>
      <c r="P83" s="172" t="e">
        <f>+'Estimate Details'!#REF!</f>
        <v>#REF!</v>
      </c>
      <c r="Q83" s="173" t="e">
        <f>+'Estimate Details'!#REF!</f>
        <v>#REF!</v>
      </c>
      <c r="R83" s="174" t="e">
        <f>+'Estimate Details'!#REF!</f>
        <v>#REF!</v>
      </c>
      <c r="S83" s="507"/>
      <c r="T83" s="174" t="e">
        <f>+'Estimate Details'!#REF!</f>
        <v>#REF!</v>
      </c>
      <c r="U83" s="481"/>
      <c r="V83" s="172" t="e">
        <f>+'Estimate Details'!#REF!</f>
        <v>#REF!</v>
      </c>
      <c r="W83" s="481" t="s">
        <v>1309</v>
      </c>
      <c r="X83" s="172" t="e">
        <f>+'Estimate Details'!#REF!</f>
        <v>#REF!</v>
      </c>
      <c r="Y83" s="172" t="e">
        <f>+'Estimate Details'!#REF!</f>
        <v>#REF!</v>
      </c>
      <c r="Z83" s="174" t="e">
        <f>+'Estimate Details'!#REF!</f>
        <v>#REF!</v>
      </c>
      <c r="AA83" s="481"/>
      <c r="AB83" s="175" t="e">
        <f>+'Estimate Details'!#REF!</f>
        <v>#REF!</v>
      </c>
      <c r="AC83" s="569"/>
      <c r="AD83" s="176" t="e">
        <f>+'Estimate Details'!#REF!</f>
        <v>#REF!</v>
      </c>
      <c r="AE83" s="156"/>
      <c r="AF83" s="156"/>
      <c r="AG83" s="156"/>
      <c r="AH83" s="156"/>
      <c r="AI83" s="29"/>
      <c r="AJ83" s="29"/>
      <c r="AK83" s="29"/>
      <c r="AL83" s="29"/>
    </row>
    <row r="84" spans="1:38" ht="14.1" customHeight="1">
      <c r="A84" s="116" t="e">
        <f>+'Estimate Details'!#REF!</f>
        <v>#REF!</v>
      </c>
      <c r="B84" s="116"/>
      <c r="C84" s="116"/>
      <c r="D84" s="166"/>
      <c r="E84" s="42" t="e">
        <f>+'Estimate Details'!#REF!</f>
        <v>#REF!</v>
      </c>
      <c r="F84" s="41"/>
      <c r="G84" s="117" t="e">
        <f>+'Estimate Details'!#REF!</f>
        <v>#REF!</v>
      </c>
      <c r="H84" s="118" t="e">
        <f>+'Estimate Details'!#REF!</f>
        <v>#REF!</v>
      </c>
      <c r="I84" s="108" t="e">
        <f>+'Estimate Details'!#REF!</f>
        <v>#REF!</v>
      </c>
      <c r="J84" s="168" t="e">
        <f>+'Estimate Details'!#REF!</f>
        <v>#REF!</v>
      </c>
      <c r="K84" s="42" t="e">
        <f>+'Estimate Details'!#REF!</f>
        <v>#REF!</v>
      </c>
      <c r="L84" s="42" t="e">
        <f>+'Estimate Details'!#REF!</f>
        <v>#REF!</v>
      </c>
      <c r="M84" s="177" t="e">
        <f>+'Estimate Details'!#REF!</f>
        <v>#REF!</v>
      </c>
      <c r="N84" s="194" t="e">
        <f>+'Estimate Details'!#REF!</f>
        <v>#REF!</v>
      </c>
      <c r="O84" s="171" t="e">
        <f>+'Estimate Details'!#REF!</f>
        <v>#REF!</v>
      </c>
      <c r="P84" s="172" t="e">
        <f>+'Estimate Details'!#REF!</f>
        <v>#REF!</v>
      </c>
      <c r="Q84" s="173" t="e">
        <f>+'Estimate Details'!#REF!</f>
        <v>#REF!</v>
      </c>
      <c r="R84" s="174" t="e">
        <f>+'Estimate Details'!#REF!</f>
        <v>#REF!</v>
      </c>
      <c r="S84" s="507"/>
      <c r="T84" s="174" t="e">
        <f>+'Estimate Details'!#REF!</f>
        <v>#REF!</v>
      </c>
      <c r="U84" s="481"/>
      <c r="V84" s="172" t="e">
        <f>+'Estimate Details'!#REF!</f>
        <v>#REF!</v>
      </c>
      <c r="W84" s="481" t="s">
        <v>1309</v>
      </c>
      <c r="X84" s="172" t="e">
        <f>+'Estimate Details'!#REF!</f>
        <v>#REF!</v>
      </c>
      <c r="Y84" s="172" t="e">
        <f>+'Estimate Details'!#REF!</f>
        <v>#REF!</v>
      </c>
      <c r="Z84" s="174" t="e">
        <f>+'Estimate Details'!#REF!</f>
        <v>#REF!</v>
      </c>
      <c r="AA84" s="481"/>
      <c r="AB84" s="175" t="e">
        <f>+'Estimate Details'!#REF!</f>
        <v>#REF!</v>
      </c>
      <c r="AC84" s="569"/>
      <c r="AD84" s="176" t="e">
        <f>+'Estimate Details'!#REF!</f>
        <v>#REF!</v>
      </c>
      <c r="AE84" s="156"/>
      <c r="AF84" s="156"/>
      <c r="AG84" s="156"/>
      <c r="AH84" s="156"/>
      <c r="AI84" s="29"/>
      <c r="AJ84" s="29"/>
      <c r="AK84" s="29"/>
      <c r="AL84" s="29"/>
    </row>
    <row r="85" spans="1:38">
      <c r="A85" s="116" t="e">
        <f>+'Estimate Details'!#REF!</f>
        <v>#REF!</v>
      </c>
      <c r="B85" s="116"/>
      <c r="C85" s="116"/>
      <c r="D85" s="346"/>
      <c r="E85" s="158" t="e">
        <f>+'Estimate Details'!#REF!</f>
        <v>#REF!</v>
      </c>
      <c r="F85" s="160"/>
      <c r="G85" s="197" t="e">
        <f>+'Estimate Details'!#REF!</f>
        <v>#REF!</v>
      </c>
      <c r="H85" s="198" t="e">
        <f>+'Estimate Details'!#REF!</f>
        <v>#REF!</v>
      </c>
      <c r="I85" s="199" t="e">
        <f>+'Estimate Details'!#REF!</f>
        <v>#REF!</v>
      </c>
      <c r="J85" s="200" t="e">
        <f>+'Estimate Details'!#REF!</f>
        <v>#REF!</v>
      </c>
      <c r="K85" s="158" t="e">
        <f>+'Estimate Details'!#REF!</f>
        <v>#REF!</v>
      </c>
      <c r="L85" s="158" t="e">
        <f>+'Estimate Details'!#REF!</f>
        <v>#REF!</v>
      </c>
      <c r="M85" s="212" t="e">
        <f>+'Estimate Details'!#REF!</f>
        <v>#REF!</v>
      </c>
      <c r="N85" s="213" t="e">
        <f>+'Estimate Details'!#REF!</f>
        <v>#REF!</v>
      </c>
      <c r="O85" s="162" t="e">
        <f>+'Estimate Details'!#REF!</f>
        <v>#REF!</v>
      </c>
      <c r="P85" s="163" t="e">
        <f>+'Estimate Details'!#REF!</f>
        <v>#REF!</v>
      </c>
      <c r="Q85" s="203" t="e">
        <f>+'Estimate Details'!#REF!</f>
        <v>#REF!</v>
      </c>
      <c r="R85" s="164" t="e">
        <f>+'Estimate Details'!#REF!</f>
        <v>#REF!</v>
      </c>
      <c r="S85" s="506"/>
      <c r="T85" s="164" t="e">
        <f>+'Estimate Details'!#REF!</f>
        <v>#REF!</v>
      </c>
      <c r="U85" s="486" t="s">
        <v>1309</v>
      </c>
      <c r="V85" s="163" t="e">
        <f>+'Estimate Details'!#REF!</f>
        <v>#REF!</v>
      </c>
      <c r="W85" s="486" t="s">
        <v>1309</v>
      </c>
      <c r="X85" s="163" t="e">
        <f>+'Estimate Details'!#REF!</f>
        <v>#REF!</v>
      </c>
      <c r="Y85" s="163" t="e">
        <f>+'Estimate Details'!#REF!</f>
        <v>#REF!</v>
      </c>
      <c r="Z85" s="164" t="e">
        <f>+'Estimate Details'!#REF!</f>
        <v>#REF!</v>
      </c>
      <c r="AA85" s="486"/>
      <c r="AB85" s="165" t="e">
        <f>+'Estimate Details'!#REF!</f>
        <v>#REF!</v>
      </c>
      <c r="AC85" s="568"/>
      <c r="AD85" s="176" t="e">
        <f>+'Estimate Details'!#REF!</f>
        <v>#REF!</v>
      </c>
      <c r="AE85" s="244"/>
      <c r="AF85" s="156"/>
      <c r="AG85" s="156"/>
      <c r="AH85" s="156"/>
      <c r="AI85" s="29"/>
      <c r="AJ85" s="29"/>
      <c r="AK85" s="29"/>
      <c r="AL85" s="29"/>
    </row>
    <row r="86" spans="1:38" ht="14.1" customHeight="1">
      <c r="A86" s="116" t="e">
        <f>+'Estimate Details'!#REF!</f>
        <v>#REF!</v>
      </c>
      <c r="B86" s="116"/>
      <c r="C86" s="116"/>
      <c r="D86" s="346"/>
      <c r="E86" s="158" t="e">
        <f>+'Estimate Details'!#REF!</f>
        <v>#REF!</v>
      </c>
      <c r="F86" s="41"/>
      <c r="G86" s="117" t="e">
        <f>+'Estimate Details'!#REF!</f>
        <v>#REF!</v>
      </c>
      <c r="H86" s="118" t="e">
        <f>+'Estimate Details'!#REF!</f>
        <v>#REF!</v>
      </c>
      <c r="I86" s="108" t="e">
        <f>+'Estimate Details'!#REF!</f>
        <v>#REF!</v>
      </c>
      <c r="J86" s="168" t="e">
        <f>+'Estimate Details'!#REF!</f>
        <v>#REF!</v>
      </c>
      <c r="K86" s="42" t="e">
        <f>+'Estimate Details'!#REF!</f>
        <v>#REF!</v>
      </c>
      <c r="L86" s="42" t="e">
        <f>+'Estimate Details'!#REF!</f>
        <v>#REF!</v>
      </c>
      <c r="M86" s="204" t="e">
        <f>+'Estimate Details'!#REF!</f>
        <v>#REF!</v>
      </c>
      <c r="N86" s="170" t="e">
        <f>+'Estimate Details'!#REF!</f>
        <v>#REF!</v>
      </c>
      <c r="O86" s="171" t="e">
        <f>+'Estimate Details'!#REF!</f>
        <v>#REF!</v>
      </c>
      <c r="P86" s="172" t="e">
        <f>+'Estimate Details'!#REF!</f>
        <v>#REF!</v>
      </c>
      <c r="Q86" s="173" t="e">
        <f>+'Estimate Details'!#REF!</f>
        <v>#REF!</v>
      </c>
      <c r="R86" s="174" t="e">
        <f>+'Estimate Details'!#REF!</f>
        <v>#REF!</v>
      </c>
      <c r="S86" s="507"/>
      <c r="T86" s="174" t="e">
        <f>+'Estimate Details'!#REF!</f>
        <v>#REF!</v>
      </c>
      <c r="U86" s="486" t="s">
        <v>1309</v>
      </c>
      <c r="V86" s="172" t="e">
        <f>+'Estimate Details'!#REF!</f>
        <v>#REF!</v>
      </c>
      <c r="W86" s="481" t="s">
        <v>1309</v>
      </c>
      <c r="X86" s="172" t="e">
        <f>+'Estimate Details'!#REF!</f>
        <v>#REF!</v>
      </c>
      <c r="Y86" s="172" t="e">
        <f>+'Estimate Details'!#REF!</f>
        <v>#REF!</v>
      </c>
      <c r="Z86" s="174" t="e">
        <f>+'Estimate Details'!#REF!</f>
        <v>#REF!</v>
      </c>
      <c r="AA86" s="481"/>
      <c r="AB86" s="175" t="e">
        <f>+'Estimate Details'!#REF!</f>
        <v>#REF!</v>
      </c>
      <c r="AC86" s="569"/>
      <c r="AD86" s="176" t="e">
        <f>+'Estimate Details'!#REF!</f>
        <v>#REF!</v>
      </c>
      <c r="AE86" s="156"/>
      <c r="AF86" s="156"/>
      <c r="AG86" s="156"/>
      <c r="AH86" s="156"/>
      <c r="AI86" s="29"/>
      <c r="AJ86" s="29"/>
      <c r="AK86" s="29"/>
      <c r="AL86" s="29"/>
    </row>
    <row r="87" spans="1:38">
      <c r="A87" s="116" t="e">
        <f>+'Estimate Details'!#REF!</f>
        <v>#REF!</v>
      </c>
      <c r="B87" s="116"/>
      <c r="C87" s="116"/>
      <c r="D87" s="346"/>
      <c r="E87" s="158" t="e">
        <f>+'Estimate Details'!#REF!</f>
        <v>#REF!</v>
      </c>
      <c r="F87" s="41"/>
      <c r="G87" s="117" t="e">
        <f>+'Estimate Details'!#REF!</f>
        <v>#REF!</v>
      </c>
      <c r="H87" s="206" t="e">
        <f>+'Estimate Details'!#REF!</f>
        <v>#REF!</v>
      </c>
      <c r="I87" s="108" t="e">
        <f>+'Estimate Details'!#REF!</f>
        <v>#REF!</v>
      </c>
      <c r="J87" s="168" t="e">
        <f>+'Estimate Details'!#REF!</f>
        <v>#REF!</v>
      </c>
      <c r="K87" s="42" t="e">
        <f>+'Estimate Details'!#REF!</f>
        <v>#REF!</v>
      </c>
      <c r="L87" s="42" t="e">
        <f>+'Estimate Details'!#REF!</f>
        <v>#REF!</v>
      </c>
      <c r="M87" s="204" t="e">
        <f>+'Estimate Details'!#REF!</f>
        <v>#REF!</v>
      </c>
      <c r="N87" s="170" t="e">
        <f>+'Estimate Details'!#REF!</f>
        <v>#REF!</v>
      </c>
      <c r="O87" s="171" t="e">
        <f>+'Estimate Details'!#REF!</f>
        <v>#REF!</v>
      </c>
      <c r="P87" s="172" t="e">
        <f>+'Estimate Details'!#REF!</f>
        <v>#REF!</v>
      </c>
      <c r="Q87" s="173" t="e">
        <f>+'Estimate Details'!#REF!</f>
        <v>#REF!</v>
      </c>
      <c r="R87" s="174" t="e">
        <f>+'Estimate Details'!#REF!</f>
        <v>#REF!</v>
      </c>
      <c r="S87" s="507"/>
      <c r="T87" s="174" t="e">
        <f>+'Estimate Details'!#REF!</f>
        <v>#REF!</v>
      </c>
      <c r="U87" s="486" t="s">
        <v>1309</v>
      </c>
      <c r="V87" s="172" t="e">
        <f>+'Estimate Details'!#REF!</f>
        <v>#REF!</v>
      </c>
      <c r="W87" s="481" t="s">
        <v>1309</v>
      </c>
      <c r="X87" s="172" t="e">
        <f>+'Estimate Details'!#REF!</f>
        <v>#REF!</v>
      </c>
      <c r="Y87" s="172" t="e">
        <f>+'Estimate Details'!#REF!</f>
        <v>#REF!</v>
      </c>
      <c r="Z87" s="174" t="e">
        <f>+'Estimate Details'!#REF!</f>
        <v>#REF!</v>
      </c>
      <c r="AA87" s="481"/>
      <c r="AB87" s="175" t="e">
        <f>+'Estimate Details'!#REF!</f>
        <v>#REF!</v>
      </c>
      <c r="AC87" s="569"/>
      <c r="AD87" s="176" t="e">
        <f>+'Estimate Details'!#REF!</f>
        <v>#REF!</v>
      </c>
      <c r="AE87" s="156"/>
      <c r="AF87" s="156"/>
      <c r="AG87" s="156"/>
      <c r="AH87" s="156"/>
      <c r="AI87" s="29"/>
      <c r="AJ87" s="29"/>
      <c r="AK87" s="29"/>
      <c r="AL87" s="29"/>
    </row>
    <row r="88" spans="1:38">
      <c r="A88" s="116" t="e">
        <f>+'Estimate Details'!#REF!</f>
        <v>#REF!</v>
      </c>
      <c r="B88" s="116"/>
      <c r="C88" s="116"/>
      <c r="D88" s="346"/>
      <c r="E88" s="158" t="e">
        <f>+'Estimate Details'!#REF!</f>
        <v>#REF!</v>
      </c>
      <c r="F88" s="41"/>
      <c r="G88" s="117" t="e">
        <f>+'Estimate Details'!#REF!</f>
        <v>#REF!</v>
      </c>
      <c r="H88" s="206" t="e">
        <f>+'Estimate Details'!#REF!</f>
        <v>#REF!</v>
      </c>
      <c r="I88" s="108" t="e">
        <f>+'Estimate Details'!#REF!</f>
        <v>#REF!</v>
      </c>
      <c r="J88" s="168" t="e">
        <f>+'Estimate Details'!#REF!</f>
        <v>#REF!</v>
      </c>
      <c r="K88" s="42" t="e">
        <f>+'Estimate Details'!#REF!</f>
        <v>#REF!</v>
      </c>
      <c r="L88" s="42" t="e">
        <f>+'Estimate Details'!#REF!</f>
        <v>#REF!</v>
      </c>
      <c r="M88" s="204" t="e">
        <f>+'Estimate Details'!#REF!</f>
        <v>#REF!</v>
      </c>
      <c r="N88" s="170" t="e">
        <f>+'Estimate Details'!#REF!</f>
        <v>#REF!</v>
      </c>
      <c r="O88" s="171" t="e">
        <f>+'Estimate Details'!#REF!</f>
        <v>#REF!</v>
      </c>
      <c r="P88" s="172" t="e">
        <f>+'Estimate Details'!#REF!</f>
        <v>#REF!</v>
      </c>
      <c r="Q88" s="173" t="e">
        <f>+'Estimate Details'!#REF!</f>
        <v>#REF!</v>
      </c>
      <c r="R88" s="174" t="e">
        <f>+'Estimate Details'!#REF!</f>
        <v>#REF!</v>
      </c>
      <c r="S88" s="507"/>
      <c r="T88" s="174" t="e">
        <f>+'Estimate Details'!#REF!</f>
        <v>#REF!</v>
      </c>
      <c r="U88" s="486" t="s">
        <v>1309</v>
      </c>
      <c r="V88" s="172" t="e">
        <f>+'Estimate Details'!#REF!</f>
        <v>#REF!</v>
      </c>
      <c r="W88" s="481" t="s">
        <v>1309</v>
      </c>
      <c r="X88" s="172" t="e">
        <f>+'Estimate Details'!#REF!</f>
        <v>#REF!</v>
      </c>
      <c r="Y88" s="172" t="e">
        <f>+'Estimate Details'!#REF!</f>
        <v>#REF!</v>
      </c>
      <c r="Z88" s="174" t="e">
        <f>+'Estimate Details'!#REF!</f>
        <v>#REF!</v>
      </c>
      <c r="AA88" s="481"/>
      <c r="AB88" s="175" t="e">
        <f>+'Estimate Details'!#REF!</f>
        <v>#REF!</v>
      </c>
      <c r="AC88" s="569"/>
      <c r="AD88" s="176" t="e">
        <f>+'Estimate Details'!#REF!</f>
        <v>#REF!</v>
      </c>
      <c r="AE88" s="156"/>
      <c r="AF88" s="156"/>
      <c r="AG88" s="156"/>
      <c r="AH88" s="156"/>
      <c r="AI88" s="29"/>
      <c r="AJ88" s="29"/>
      <c r="AK88" s="29"/>
      <c r="AL88" s="29"/>
    </row>
    <row r="89" spans="1:38" ht="14.1" customHeight="1">
      <c r="A89" s="116" t="e">
        <f>+'Estimate Details'!#REF!</f>
        <v>#REF!</v>
      </c>
      <c r="B89" s="116"/>
      <c r="C89" s="116"/>
      <c r="D89" s="347"/>
      <c r="E89" s="158" t="e">
        <f>+'Estimate Details'!#REF!</f>
        <v>#REF!</v>
      </c>
      <c r="F89" s="41"/>
      <c r="G89" s="117" t="e">
        <f>+'Estimate Details'!#REF!</f>
        <v>#REF!</v>
      </c>
      <c r="H89" s="206" t="e">
        <f>+'Estimate Details'!#REF!</f>
        <v>#REF!</v>
      </c>
      <c r="I89" s="108" t="e">
        <f>+'Estimate Details'!#REF!</f>
        <v>#REF!</v>
      </c>
      <c r="J89" s="168" t="e">
        <f>+'Estimate Details'!#REF!</f>
        <v>#REF!</v>
      </c>
      <c r="K89" s="42" t="e">
        <f>+'Estimate Details'!#REF!</f>
        <v>#REF!</v>
      </c>
      <c r="L89" s="42" t="e">
        <f>+'Estimate Details'!#REF!</f>
        <v>#REF!</v>
      </c>
      <c r="M89" s="204" t="e">
        <f>+'Estimate Details'!#REF!</f>
        <v>#REF!</v>
      </c>
      <c r="N89" s="170" t="e">
        <f>+'Estimate Details'!#REF!</f>
        <v>#REF!</v>
      </c>
      <c r="O89" s="171" t="e">
        <f>+'Estimate Details'!#REF!</f>
        <v>#REF!</v>
      </c>
      <c r="P89" s="172" t="e">
        <f>+'Estimate Details'!#REF!</f>
        <v>#REF!</v>
      </c>
      <c r="Q89" s="173" t="e">
        <f>+'Estimate Details'!#REF!</f>
        <v>#REF!</v>
      </c>
      <c r="R89" s="174" t="e">
        <f>+'Estimate Details'!#REF!</f>
        <v>#REF!</v>
      </c>
      <c r="S89" s="507"/>
      <c r="T89" s="174" t="e">
        <f>+'Estimate Details'!#REF!</f>
        <v>#REF!</v>
      </c>
      <c r="U89" s="486" t="s">
        <v>1309</v>
      </c>
      <c r="V89" s="172" t="e">
        <f>+'Estimate Details'!#REF!</f>
        <v>#REF!</v>
      </c>
      <c r="W89" s="481" t="s">
        <v>1309</v>
      </c>
      <c r="X89" s="172" t="e">
        <f>+'Estimate Details'!#REF!</f>
        <v>#REF!</v>
      </c>
      <c r="Y89" s="172" t="e">
        <f>+'Estimate Details'!#REF!</f>
        <v>#REF!</v>
      </c>
      <c r="Z89" s="174" t="e">
        <f>+'Estimate Details'!#REF!</f>
        <v>#REF!</v>
      </c>
      <c r="AA89" s="481"/>
      <c r="AB89" s="175" t="e">
        <f>+'Estimate Details'!#REF!</f>
        <v>#REF!</v>
      </c>
      <c r="AC89" s="569"/>
      <c r="AD89" s="176" t="e">
        <f>+'Estimate Details'!#REF!</f>
        <v>#REF!</v>
      </c>
      <c r="AE89" s="156"/>
      <c r="AF89" s="156"/>
      <c r="AG89" s="156"/>
      <c r="AH89" s="156"/>
      <c r="AI89" s="29"/>
      <c r="AJ89" s="29"/>
      <c r="AK89" s="29"/>
      <c r="AL89" s="29"/>
    </row>
    <row r="90" spans="1:38" ht="14.1" customHeight="1">
      <c r="A90" s="116" t="e">
        <f>+'Estimate Details'!#REF!</f>
        <v>#REF!</v>
      </c>
      <c r="B90" s="116"/>
      <c r="C90" s="116"/>
      <c r="D90" s="166"/>
      <c r="E90" s="158" t="e">
        <f>+'Estimate Details'!#REF!</f>
        <v>#REF!</v>
      </c>
      <c r="F90" s="41"/>
      <c r="G90" s="117" t="e">
        <f>+'Estimate Details'!#REF!</f>
        <v>#REF!</v>
      </c>
      <c r="H90" s="118" t="e">
        <f>+'Estimate Details'!#REF!</f>
        <v>#REF!</v>
      </c>
      <c r="I90" s="108" t="e">
        <f>+'Estimate Details'!#REF!</f>
        <v>#REF!</v>
      </c>
      <c r="J90" s="168" t="e">
        <f>+'Estimate Details'!#REF!</f>
        <v>#REF!</v>
      </c>
      <c r="K90" s="42" t="e">
        <f>+'Estimate Details'!#REF!</f>
        <v>#REF!</v>
      </c>
      <c r="L90" s="42" t="e">
        <f>+'Estimate Details'!#REF!</f>
        <v>#REF!</v>
      </c>
      <c r="M90" s="204" t="e">
        <f>+'Estimate Details'!#REF!</f>
        <v>#REF!</v>
      </c>
      <c r="N90" s="170" t="e">
        <f>+'Estimate Details'!#REF!</f>
        <v>#REF!</v>
      </c>
      <c r="O90" s="171" t="e">
        <f>+'Estimate Details'!#REF!</f>
        <v>#REF!</v>
      </c>
      <c r="P90" s="172" t="e">
        <f>+'Estimate Details'!#REF!</f>
        <v>#REF!</v>
      </c>
      <c r="Q90" s="173" t="e">
        <f>+'Estimate Details'!#REF!</f>
        <v>#REF!</v>
      </c>
      <c r="R90" s="174" t="e">
        <f>+'Estimate Details'!#REF!</f>
        <v>#REF!</v>
      </c>
      <c r="S90" s="507"/>
      <c r="T90" s="174" t="e">
        <f>+'Estimate Details'!#REF!</f>
        <v>#REF!</v>
      </c>
      <c r="U90" s="486" t="s">
        <v>1309</v>
      </c>
      <c r="V90" s="172" t="e">
        <f>+'Estimate Details'!#REF!</f>
        <v>#REF!</v>
      </c>
      <c r="W90" s="481" t="s">
        <v>1309</v>
      </c>
      <c r="X90" s="172" t="e">
        <f>+'Estimate Details'!#REF!</f>
        <v>#REF!</v>
      </c>
      <c r="Y90" s="172" t="e">
        <f>+'Estimate Details'!#REF!</f>
        <v>#REF!</v>
      </c>
      <c r="Z90" s="174" t="e">
        <f>+'Estimate Details'!#REF!</f>
        <v>#REF!</v>
      </c>
      <c r="AA90" s="481"/>
      <c r="AB90" s="175" t="e">
        <f>+'Estimate Details'!#REF!</f>
        <v>#REF!</v>
      </c>
      <c r="AC90" s="569"/>
      <c r="AD90" s="176" t="e">
        <f>+'Estimate Details'!#REF!</f>
        <v>#REF!</v>
      </c>
      <c r="AE90" s="156"/>
      <c r="AF90" s="156"/>
      <c r="AG90" s="156"/>
      <c r="AH90" s="156"/>
      <c r="AI90" s="29"/>
      <c r="AJ90" s="29"/>
      <c r="AK90" s="29"/>
      <c r="AL90" s="29"/>
    </row>
    <row r="91" spans="1:38" ht="14.1" customHeight="1">
      <c r="A91" s="116" t="e">
        <f>+'Estimate Details'!#REF!</f>
        <v>#REF!</v>
      </c>
      <c r="B91" s="116"/>
      <c r="C91" s="116"/>
      <c r="D91" s="166"/>
      <c r="E91" s="158" t="e">
        <f>+'Estimate Details'!#REF!</f>
        <v>#REF!</v>
      </c>
      <c r="F91" s="41"/>
      <c r="G91" s="117" t="e">
        <f>+'Estimate Details'!#REF!</f>
        <v>#REF!</v>
      </c>
      <c r="H91" s="118" t="e">
        <f>+'Estimate Details'!#REF!</f>
        <v>#REF!</v>
      </c>
      <c r="I91" s="108" t="e">
        <f>+'Estimate Details'!#REF!</f>
        <v>#REF!</v>
      </c>
      <c r="J91" s="168" t="e">
        <f>+'Estimate Details'!#REF!</f>
        <v>#REF!</v>
      </c>
      <c r="K91" s="42" t="e">
        <f>+'Estimate Details'!#REF!</f>
        <v>#REF!</v>
      </c>
      <c r="L91" s="42" t="e">
        <f>+'Estimate Details'!#REF!</f>
        <v>#REF!</v>
      </c>
      <c r="M91" s="204" t="e">
        <f>+'Estimate Details'!#REF!</f>
        <v>#REF!</v>
      </c>
      <c r="N91" s="170" t="e">
        <f>+'Estimate Details'!#REF!</f>
        <v>#REF!</v>
      </c>
      <c r="O91" s="171" t="e">
        <f>+'Estimate Details'!#REF!</f>
        <v>#REF!</v>
      </c>
      <c r="P91" s="172" t="e">
        <f>+'Estimate Details'!#REF!</f>
        <v>#REF!</v>
      </c>
      <c r="Q91" s="173" t="e">
        <f>+'Estimate Details'!#REF!</f>
        <v>#REF!</v>
      </c>
      <c r="R91" s="174" t="e">
        <f>+'Estimate Details'!#REF!</f>
        <v>#REF!</v>
      </c>
      <c r="S91" s="507"/>
      <c r="T91" s="174" t="e">
        <f>+'Estimate Details'!#REF!</f>
        <v>#REF!</v>
      </c>
      <c r="U91" s="486" t="s">
        <v>1309</v>
      </c>
      <c r="V91" s="172" t="e">
        <f>+'Estimate Details'!#REF!</f>
        <v>#REF!</v>
      </c>
      <c r="W91" s="481" t="s">
        <v>1309</v>
      </c>
      <c r="X91" s="172" t="e">
        <f>+'Estimate Details'!#REF!</f>
        <v>#REF!</v>
      </c>
      <c r="Y91" s="172" t="e">
        <f>+'Estimate Details'!#REF!</f>
        <v>#REF!</v>
      </c>
      <c r="Z91" s="174" t="e">
        <f>+'Estimate Details'!#REF!</f>
        <v>#REF!</v>
      </c>
      <c r="AA91" s="481"/>
      <c r="AB91" s="175" t="e">
        <f>+'Estimate Details'!#REF!</f>
        <v>#REF!</v>
      </c>
      <c r="AC91" s="569"/>
      <c r="AD91" s="176" t="e">
        <f>+'Estimate Details'!#REF!</f>
        <v>#REF!</v>
      </c>
      <c r="AE91" s="156"/>
      <c r="AF91" s="156"/>
      <c r="AG91" s="156"/>
      <c r="AH91" s="156"/>
      <c r="AI91" s="29"/>
      <c r="AJ91" s="29"/>
      <c r="AK91" s="29"/>
      <c r="AL91" s="29"/>
    </row>
    <row r="92" spans="1:38" ht="14.1" customHeight="1">
      <c r="A92" s="116" t="e">
        <f>+'Estimate Details'!#REF!</f>
        <v>#REF!</v>
      </c>
      <c r="B92" s="116"/>
      <c r="C92" s="116"/>
      <c r="D92" s="166"/>
      <c r="E92" s="158" t="e">
        <f>+'Estimate Details'!#REF!</f>
        <v>#REF!</v>
      </c>
      <c r="F92" s="41"/>
      <c r="G92" s="117" t="e">
        <f>+'Estimate Details'!#REF!</f>
        <v>#REF!</v>
      </c>
      <c r="H92" s="206" t="e">
        <f>+'Estimate Details'!#REF!</f>
        <v>#REF!</v>
      </c>
      <c r="I92" s="108" t="e">
        <f>+'Estimate Details'!#REF!</f>
        <v>#REF!</v>
      </c>
      <c r="J92" s="168" t="e">
        <f>+'Estimate Details'!#REF!</f>
        <v>#REF!</v>
      </c>
      <c r="K92" s="42" t="e">
        <f>+'Estimate Details'!#REF!</f>
        <v>#REF!</v>
      </c>
      <c r="L92" s="42" t="e">
        <f>+'Estimate Details'!#REF!</f>
        <v>#REF!</v>
      </c>
      <c r="M92" s="204" t="e">
        <f>+'Estimate Details'!#REF!</f>
        <v>#REF!</v>
      </c>
      <c r="N92" s="170" t="e">
        <f>+'Estimate Details'!#REF!</f>
        <v>#REF!</v>
      </c>
      <c r="O92" s="171" t="e">
        <f>+'Estimate Details'!#REF!</f>
        <v>#REF!</v>
      </c>
      <c r="P92" s="172" t="e">
        <f>+'Estimate Details'!#REF!</f>
        <v>#REF!</v>
      </c>
      <c r="Q92" s="173" t="e">
        <f>+'Estimate Details'!#REF!</f>
        <v>#REF!</v>
      </c>
      <c r="R92" s="174" t="e">
        <f>+'Estimate Details'!#REF!</f>
        <v>#REF!</v>
      </c>
      <c r="S92" s="507"/>
      <c r="T92" s="174" t="e">
        <f>+'Estimate Details'!#REF!</f>
        <v>#REF!</v>
      </c>
      <c r="U92" s="486" t="s">
        <v>1309</v>
      </c>
      <c r="V92" s="172" t="e">
        <f>+'Estimate Details'!#REF!</f>
        <v>#REF!</v>
      </c>
      <c r="W92" s="481" t="s">
        <v>1309</v>
      </c>
      <c r="X92" s="172" t="e">
        <f>+'Estimate Details'!#REF!</f>
        <v>#REF!</v>
      </c>
      <c r="Y92" s="172" t="e">
        <f>+'Estimate Details'!#REF!</f>
        <v>#REF!</v>
      </c>
      <c r="Z92" s="174" t="e">
        <f>+'Estimate Details'!#REF!</f>
        <v>#REF!</v>
      </c>
      <c r="AA92" s="481"/>
      <c r="AB92" s="175" t="e">
        <f>+'Estimate Details'!#REF!</f>
        <v>#REF!</v>
      </c>
      <c r="AC92" s="569"/>
      <c r="AD92" s="176" t="e">
        <f>+'Estimate Details'!#REF!</f>
        <v>#REF!</v>
      </c>
      <c r="AE92" s="156"/>
      <c r="AF92" s="156"/>
      <c r="AG92" s="156"/>
      <c r="AH92" s="156"/>
      <c r="AI92" s="29"/>
      <c r="AJ92" s="29"/>
      <c r="AK92" s="29"/>
      <c r="AL92" s="29"/>
    </row>
    <row r="93" spans="1:38" ht="14.1" customHeight="1">
      <c r="A93" s="116" t="e">
        <f>+'Estimate Details'!#REF!</f>
        <v>#REF!</v>
      </c>
      <c r="B93" s="116"/>
      <c r="C93" s="116"/>
      <c r="D93" s="166"/>
      <c r="E93" s="158" t="e">
        <f>+'Estimate Details'!#REF!</f>
        <v>#REF!</v>
      </c>
      <c r="F93" s="41"/>
      <c r="G93" s="117" t="e">
        <f>+'Estimate Details'!#REF!</f>
        <v>#REF!</v>
      </c>
      <c r="H93" s="206" t="e">
        <f>+'Estimate Details'!#REF!</f>
        <v>#REF!</v>
      </c>
      <c r="I93" s="108" t="e">
        <f>+'Estimate Details'!#REF!</f>
        <v>#REF!</v>
      </c>
      <c r="J93" s="168" t="e">
        <f>+'Estimate Details'!#REF!</f>
        <v>#REF!</v>
      </c>
      <c r="K93" s="42" t="e">
        <f>+'Estimate Details'!#REF!</f>
        <v>#REF!</v>
      </c>
      <c r="L93" s="42" t="e">
        <f>+'Estimate Details'!#REF!</f>
        <v>#REF!</v>
      </c>
      <c r="M93" s="204" t="e">
        <f>+'Estimate Details'!#REF!</f>
        <v>#REF!</v>
      </c>
      <c r="N93" s="170" t="e">
        <f>+'Estimate Details'!#REF!</f>
        <v>#REF!</v>
      </c>
      <c r="O93" s="171" t="e">
        <f>+'Estimate Details'!#REF!</f>
        <v>#REF!</v>
      </c>
      <c r="P93" s="172" t="e">
        <f>+'Estimate Details'!#REF!</f>
        <v>#REF!</v>
      </c>
      <c r="Q93" s="173" t="e">
        <f>+'Estimate Details'!#REF!</f>
        <v>#REF!</v>
      </c>
      <c r="R93" s="174" t="e">
        <f>+'Estimate Details'!#REF!</f>
        <v>#REF!</v>
      </c>
      <c r="S93" s="507"/>
      <c r="T93" s="174" t="e">
        <f>+'Estimate Details'!#REF!</f>
        <v>#REF!</v>
      </c>
      <c r="U93" s="486" t="s">
        <v>1309</v>
      </c>
      <c r="V93" s="172" t="e">
        <f>+'Estimate Details'!#REF!</f>
        <v>#REF!</v>
      </c>
      <c r="W93" s="481" t="s">
        <v>1309</v>
      </c>
      <c r="X93" s="172" t="e">
        <f>+'Estimate Details'!#REF!</f>
        <v>#REF!</v>
      </c>
      <c r="Y93" s="172" t="e">
        <f>+'Estimate Details'!#REF!</f>
        <v>#REF!</v>
      </c>
      <c r="Z93" s="174" t="e">
        <f>+'Estimate Details'!#REF!</f>
        <v>#REF!</v>
      </c>
      <c r="AA93" s="481"/>
      <c r="AB93" s="175" t="e">
        <f>+'Estimate Details'!#REF!</f>
        <v>#REF!</v>
      </c>
      <c r="AC93" s="569"/>
      <c r="AD93" s="176" t="e">
        <f>+'Estimate Details'!#REF!</f>
        <v>#REF!</v>
      </c>
      <c r="AE93" s="156"/>
      <c r="AF93" s="156"/>
      <c r="AG93" s="156"/>
      <c r="AH93" s="156"/>
      <c r="AI93" s="29"/>
      <c r="AJ93" s="29"/>
      <c r="AK93" s="29"/>
      <c r="AL93" s="29"/>
    </row>
    <row r="94" spans="1:38" ht="14.1" customHeight="1">
      <c r="A94" s="116" t="e">
        <f>+'Estimate Details'!#REF!</f>
        <v>#REF!</v>
      </c>
      <c r="B94" s="116"/>
      <c r="C94" s="116"/>
      <c r="D94" s="166"/>
      <c r="E94" s="158" t="e">
        <f>+'Estimate Details'!#REF!</f>
        <v>#REF!</v>
      </c>
      <c r="F94" s="41"/>
      <c r="G94" s="117" t="e">
        <f>+'Estimate Details'!#REF!</f>
        <v>#REF!</v>
      </c>
      <c r="H94" s="206" t="e">
        <f>+'Estimate Details'!#REF!</f>
        <v>#REF!</v>
      </c>
      <c r="I94" s="108" t="e">
        <f>+'Estimate Details'!#REF!</f>
        <v>#REF!</v>
      </c>
      <c r="J94" s="168" t="e">
        <f>+'Estimate Details'!#REF!</f>
        <v>#REF!</v>
      </c>
      <c r="K94" s="42" t="e">
        <f>+'Estimate Details'!#REF!</f>
        <v>#REF!</v>
      </c>
      <c r="L94" s="42" t="e">
        <f>+'Estimate Details'!#REF!</f>
        <v>#REF!</v>
      </c>
      <c r="M94" s="204" t="e">
        <f>+'Estimate Details'!#REF!</f>
        <v>#REF!</v>
      </c>
      <c r="N94" s="170" t="e">
        <f>+'Estimate Details'!#REF!</f>
        <v>#REF!</v>
      </c>
      <c r="O94" s="171" t="e">
        <f>+'Estimate Details'!#REF!</f>
        <v>#REF!</v>
      </c>
      <c r="P94" s="172" t="e">
        <f>+'Estimate Details'!#REF!</f>
        <v>#REF!</v>
      </c>
      <c r="Q94" s="173" t="e">
        <f>+'Estimate Details'!#REF!</f>
        <v>#REF!</v>
      </c>
      <c r="R94" s="174" t="e">
        <f>+'Estimate Details'!#REF!</f>
        <v>#REF!</v>
      </c>
      <c r="S94" s="507"/>
      <c r="T94" s="174" t="e">
        <f>+'Estimate Details'!#REF!</f>
        <v>#REF!</v>
      </c>
      <c r="U94" s="486" t="s">
        <v>1309</v>
      </c>
      <c r="V94" s="172" t="e">
        <f>+'Estimate Details'!#REF!</f>
        <v>#REF!</v>
      </c>
      <c r="W94" s="481" t="s">
        <v>1309</v>
      </c>
      <c r="X94" s="172" t="e">
        <f>+'Estimate Details'!#REF!</f>
        <v>#REF!</v>
      </c>
      <c r="Y94" s="172" t="e">
        <f>+'Estimate Details'!#REF!</f>
        <v>#REF!</v>
      </c>
      <c r="Z94" s="174" t="e">
        <f>+'Estimate Details'!#REF!</f>
        <v>#REF!</v>
      </c>
      <c r="AA94" s="481"/>
      <c r="AB94" s="175" t="e">
        <f>+'Estimate Details'!#REF!</f>
        <v>#REF!</v>
      </c>
      <c r="AC94" s="569"/>
      <c r="AD94" s="176" t="e">
        <f>+'Estimate Details'!#REF!</f>
        <v>#REF!</v>
      </c>
      <c r="AE94" s="156"/>
      <c r="AF94" s="156"/>
      <c r="AG94" s="156"/>
      <c r="AH94" s="156"/>
      <c r="AI94" s="29"/>
      <c r="AJ94" s="29"/>
      <c r="AK94" s="29"/>
      <c r="AL94" s="29"/>
    </row>
    <row r="95" spans="1:38" ht="13.5" customHeight="1">
      <c r="A95" s="116" t="e">
        <f>+'Estimate Details'!#REF!</f>
        <v>#REF!</v>
      </c>
      <c r="B95" s="116"/>
      <c r="C95" s="116"/>
      <c r="D95" s="166"/>
      <c r="E95" s="158" t="e">
        <f>+'Estimate Details'!#REF!</f>
        <v>#REF!</v>
      </c>
      <c r="F95" s="41"/>
      <c r="G95" s="117" t="e">
        <f>+'Estimate Details'!#REF!</f>
        <v>#REF!</v>
      </c>
      <c r="H95" s="206" t="e">
        <f>+'Estimate Details'!#REF!</f>
        <v>#REF!</v>
      </c>
      <c r="I95" s="108" t="e">
        <f>+'Estimate Details'!#REF!</f>
        <v>#REF!</v>
      </c>
      <c r="J95" s="168" t="e">
        <f>+'Estimate Details'!#REF!</f>
        <v>#REF!</v>
      </c>
      <c r="K95" s="42" t="e">
        <f>+'Estimate Details'!#REF!</f>
        <v>#REF!</v>
      </c>
      <c r="L95" s="42" t="e">
        <f>+'Estimate Details'!#REF!</f>
        <v>#REF!</v>
      </c>
      <c r="M95" s="204" t="e">
        <f>+'Estimate Details'!#REF!</f>
        <v>#REF!</v>
      </c>
      <c r="N95" s="170" t="e">
        <f>+'Estimate Details'!#REF!</f>
        <v>#REF!</v>
      </c>
      <c r="O95" s="171" t="e">
        <f>+'Estimate Details'!#REF!</f>
        <v>#REF!</v>
      </c>
      <c r="P95" s="172" t="e">
        <f>+'Estimate Details'!#REF!</f>
        <v>#REF!</v>
      </c>
      <c r="Q95" s="173" t="e">
        <f>+'Estimate Details'!#REF!</f>
        <v>#REF!</v>
      </c>
      <c r="R95" s="174" t="e">
        <f>+'Estimate Details'!#REF!</f>
        <v>#REF!</v>
      </c>
      <c r="S95" s="507"/>
      <c r="T95" s="174" t="e">
        <f>+'Estimate Details'!#REF!</f>
        <v>#REF!</v>
      </c>
      <c r="U95" s="486" t="s">
        <v>1309</v>
      </c>
      <c r="V95" s="172" t="e">
        <f>+'Estimate Details'!#REF!</f>
        <v>#REF!</v>
      </c>
      <c r="W95" s="481" t="s">
        <v>1309</v>
      </c>
      <c r="X95" s="172" t="e">
        <f>+'Estimate Details'!#REF!</f>
        <v>#REF!</v>
      </c>
      <c r="Y95" s="172" t="e">
        <f>+'Estimate Details'!#REF!</f>
        <v>#REF!</v>
      </c>
      <c r="Z95" s="174" t="e">
        <f>+'Estimate Details'!#REF!</f>
        <v>#REF!</v>
      </c>
      <c r="AA95" s="481"/>
      <c r="AB95" s="175" t="e">
        <f>+'Estimate Details'!#REF!</f>
        <v>#REF!</v>
      </c>
      <c r="AC95" s="569"/>
      <c r="AD95" s="176" t="e">
        <f>+'Estimate Details'!#REF!</f>
        <v>#REF!</v>
      </c>
      <c r="AE95" s="156"/>
      <c r="AF95" s="156"/>
      <c r="AG95" s="156"/>
      <c r="AH95" s="156"/>
      <c r="AI95" s="29"/>
      <c r="AJ95" s="29"/>
      <c r="AK95" s="29"/>
      <c r="AL95" s="29"/>
    </row>
    <row r="96" spans="1:38" ht="13.5" customHeight="1">
      <c r="A96" s="116" t="e">
        <f>+'Estimate Details'!#REF!</f>
        <v>#REF!</v>
      </c>
      <c r="B96" s="116"/>
      <c r="C96" s="116"/>
      <c r="D96" s="166"/>
      <c r="E96" s="158" t="e">
        <f>+'Estimate Details'!#REF!</f>
        <v>#REF!</v>
      </c>
      <c r="F96" s="41"/>
      <c r="G96" s="117" t="e">
        <f>+'Estimate Details'!#REF!</f>
        <v>#REF!</v>
      </c>
      <c r="H96" s="206" t="e">
        <f>+'Estimate Details'!#REF!</f>
        <v>#REF!</v>
      </c>
      <c r="I96" s="108" t="e">
        <f>+'Estimate Details'!#REF!</f>
        <v>#REF!</v>
      </c>
      <c r="J96" s="168" t="e">
        <f>+'Estimate Details'!#REF!</f>
        <v>#REF!</v>
      </c>
      <c r="K96" s="42" t="e">
        <f>+'Estimate Details'!#REF!</f>
        <v>#REF!</v>
      </c>
      <c r="L96" s="42" t="e">
        <f>+'Estimate Details'!#REF!</f>
        <v>#REF!</v>
      </c>
      <c r="M96" s="204" t="e">
        <f>+'Estimate Details'!#REF!</f>
        <v>#REF!</v>
      </c>
      <c r="N96" s="170" t="e">
        <f>+'Estimate Details'!#REF!</f>
        <v>#REF!</v>
      </c>
      <c r="O96" s="171" t="e">
        <f>+'Estimate Details'!#REF!</f>
        <v>#REF!</v>
      </c>
      <c r="P96" s="172" t="e">
        <f>+'Estimate Details'!#REF!</f>
        <v>#REF!</v>
      </c>
      <c r="Q96" s="173" t="e">
        <f>+'Estimate Details'!#REF!</f>
        <v>#REF!</v>
      </c>
      <c r="R96" s="174" t="e">
        <f>+'Estimate Details'!#REF!</f>
        <v>#REF!</v>
      </c>
      <c r="S96" s="507"/>
      <c r="T96" s="174" t="e">
        <f>+'Estimate Details'!#REF!</f>
        <v>#REF!</v>
      </c>
      <c r="U96" s="486" t="s">
        <v>1309</v>
      </c>
      <c r="V96" s="172" t="e">
        <f>+'Estimate Details'!#REF!</f>
        <v>#REF!</v>
      </c>
      <c r="W96" s="481" t="s">
        <v>1309</v>
      </c>
      <c r="X96" s="172" t="e">
        <f>+'Estimate Details'!#REF!</f>
        <v>#REF!</v>
      </c>
      <c r="Y96" s="172" t="e">
        <f>+'Estimate Details'!#REF!</f>
        <v>#REF!</v>
      </c>
      <c r="Z96" s="174" t="e">
        <f>+'Estimate Details'!#REF!</f>
        <v>#REF!</v>
      </c>
      <c r="AA96" s="481"/>
      <c r="AB96" s="175" t="e">
        <f>+'Estimate Details'!#REF!</f>
        <v>#REF!</v>
      </c>
      <c r="AC96" s="569"/>
      <c r="AD96" s="176" t="e">
        <f>+'Estimate Details'!#REF!</f>
        <v>#REF!</v>
      </c>
      <c r="AE96" s="156"/>
      <c r="AF96" s="156"/>
      <c r="AG96" s="156"/>
      <c r="AH96" s="156"/>
      <c r="AI96" s="29"/>
      <c r="AJ96" s="29"/>
      <c r="AK96" s="29"/>
      <c r="AL96" s="29"/>
    </row>
    <row r="97" spans="1:38" ht="14.1" customHeight="1">
      <c r="A97" s="116" t="e">
        <f>+'Estimate Details'!#REF!</f>
        <v>#REF!</v>
      </c>
      <c r="B97" s="116"/>
      <c r="C97" s="116"/>
      <c r="D97" s="166"/>
      <c r="E97" s="158" t="e">
        <f>+'Estimate Details'!#REF!</f>
        <v>#REF!</v>
      </c>
      <c r="F97" s="41"/>
      <c r="G97" s="117" t="e">
        <f>+'Estimate Details'!#REF!</f>
        <v>#REF!</v>
      </c>
      <c r="H97" s="206" t="e">
        <f>+'Estimate Details'!#REF!</f>
        <v>#REF!</v>
      </c>
      <c r="I97" s="108" t="e">
        <f>+'Estimate Details'!#REF!</f>
        <v>#REF!</v>
      </c>
      <c r="J97" s="168" t="e">
        <f>+'Estimate Details'!#REF!</f>
        <v>#REF!</v>
      </c>
      <c r="K97" s="42" t="e">
        <f>+'Estimate Details'!#REF!</f>
        <v>#REF!</v>
      </c>
      <c r="L97" s="42" t="e">
        <f>+'Estimate Details'!#REF!</f>
        <v>#REF!</v>
      </c>
      <c r="M97" s="204" t="e">
        <f>+'Estimate Details'!#REF!</f>
        <v>#REF!</v>
      </c>
      <c r="N97" s="170" t="e">
        <f>+'Estimate Details'!#REF!</f>
        <v>#REF!</v>
      </c>
      <c r="O97" s="171" t="e">
        <f>+'Estimate Details'!#REF!</f>
        <v>#REF!</v>
      </c>
      <c r="P97" s="172" t="e">
        <f>+'Estimate Details'!#REF!</f>
        <v>#REF!</v>
      </c>
      <c r="Q97" s="173" t="e">
        <f>+'Estimate Details'!#REF!</f>
        <v>#REF!</v>
      </c>
      <c r="R97" s="174" t="e">
        <f>+'Estimate Details'!#REF!</f>
        <v>#REF!</v>
      </c>
      <c r="S97" s="507"/>
      <c r="T97" s="174" t="e">
        <f>+'Estimate Details'!#REF!</f>
        <v>#REF!</v>
      </c>
      <c r="U97" s="486" t="s">
        <v>1309</v>
      </c>
      <c r="V97" s="172" t="e">
        <f>+'Estimate Details'!#REF!</f>
        <v>#REF!</v>
      </c>
      <c r="W97" s="481" t="s">
        <v>1309</v>
      </c>
      <c r="X97" s="172" t="e">
        <f>+'Estimate Details'!#REF!</f>
        <v>#REF!</v>
      </c>
      <c r="Y97" s="172" t="e">
        <f>+'Estimate Details'!#REF!</f>
        <v>#REF!</v>
      </c>
      <c r="Z97" s="174" t="e">
        <f>+'Estimate Details'!#REF!</f>
        <v>#REF!</v>
      </c>
      <c r="AA97" s="481"/>
      <c r="AB97" s="175" t="e">
        <f>+'Estimate Details'!#REF!</f>
        <v>#REF!</v>
      </c>
      <c r="AC97" s="569"/>
      <c r="AD97" s="176" t="e">
        <f>+'Estimate Details'!#REF!</f>
        <v>#REF!</v>
      </c>
      <c r="AE97" s="156"/>
      <c r="AF97" s="156"/>
      <c r="AG97" s="156"/>
      <c r="AH97" s="156"/>
      <c r="AI97" s="29"/>
      <c r="AJ97" s="29"/>
      <c r="AK97" s="29"/>
      <c r="AL97" s="29"/>
    </row>
    <row r="98" spans="1:38" ht="14.1" customHeight="1">
      <c r="A98" s="116" t="e">
        <f>+'Estimate Details'!#REF!</f>
        <v>#REF!</v>
      </c>
      <c r="B98" s="116"/>
      <c r="C98" s="116"/>
      <c r="D98" s="166"/>
      <c r="E98" s="158" t="e">
        <f>+'Estimate Details'!#REF!</f>
        <v>#REF!</v>
      </c>
      <c r="F98" s="41"/>
      <c r="G98" s="117" t="e">
        <f>+'Estimate Details'!#REF!</f>
        <v>#REF!</v>
      </c>
      <c r="H98" s="206" t="e">
        <f>+'Estimate Details'!#REF!</f>
        <v>#REF!</v>
      </c>
      <c r="I98" s="108" t="e">
        <f>+'Estimate Details'!#REF!</f>
        <v>#REF!</v>
      </c>
      <c r="J98" s="168" t="e">
        <f>+'Estimate Details'!#REF!</f>
        <v>#REF!</v>
      </c>
      <c r="K98" s="42" t="e">
        <f>+'Estimate Details'!#REF!</f>
        <v>#REF!</v>
      </c>
      <c r="L98" s="42" t="e">
        <f>+'Estimate Details'!#REF!</f>
        <v>#REF!</v>
      </c>
      <c r="M98" s="204" t="e">
        <f>+'Estimate Details'!#REF!</f>
        <v>#REF!</v>
      </c>
      <c r="N98" s="170" t="e">
        <f>+'Estimate Details'!#REF!</f>
        <v>#REF!</v>
      </c>
      <c r="O98" s="171" t="e">
        <f>+'Estimate Details'!#REF!</f>
        <v>#REF!</v>
      </c>
      <c r="P98" s="172" t="e">
        <f>+'Estimate Details'!#REF!</f>
        <v>#REF!</v>
      </c>
      <c r="Q98" s="173" t="e">
        <f>+'Estimate Details'!#REF!</f>
        <v>#REF!</v>
      </c>
      <c r="R98" s="174" t="e">
        <f>+'Estimate Details'!#REF!</f>
        <v>#REF!</v>
      </c>
      <c r="S98" s="507"/>
      <c r="T98" s="174" t="e">
        <f>+'Estimate Details'!#REF!</f>
        <v>#REF!</v>
      </c>
      <c r="U98" s="486" t="s">
        <v>1309</v>
      </c>
      <c r="V98" s="172" t="e">
        <f>+'Estimate Details'!#REF!</f>
        <v>#REF!</v>
      </c>
      <c r="W98" s="481" t="s">
        <v>1309</v>
      </c>
      <c r="X98" s="172" t="e">
        <f>+'Estimate Details'!#REF!</f>
        <v>#REF!</v>
      </c>
      <c r="Y98" s="172" t="e">
        <f>+'Estimate Details'!#REF!</f>
        <v>#REF!</v>
      </c>
      <c r="Z98" s="174" t="e">
        <f>+'Estimate Details'!#REF!</f>
        <v>#REF!</v>
      </c>
      <c r="AA98" s="481"/>
      <c r="AB98" s="175" t="e">
        <f>+'Estimate Details'!#REF!</f>
        <v>#REF!</v>
      </c>
      <c r="AC98" s="569"/>
      <c r="AD98" s="176" t="e">
        <f>+'Estimate Details'!#REF!</f>
        <v>#REF!</v>
      </c>
      <c r="AE98" s="156"/>
      <c r="AF98" s="156"/>
      <c r="AG98" s="156"/>
      <c r="AH98" s="156"/>
      <c r="AI98" s="29"/>
      <c r="AJ98" s="29"/>
      <c r="AK98" s="29"/>
      <c r="AL98" s="29"/>
    </row>
    <row r="99" spans="1:38" ht="14.1" customHeight="1">
      <c r="A99" s="116" t="e">
        <f>+'Estimate Details'!#REF!</f>
        <v>#REF!</v>
      </c>
      <c r="B99" s="116"/>
      <c r="C99" s="116"/>
      <c r="D99" s="167"/>
      <c r="E99" s="158" t="e">
        <f>+'Estimate Details'!#REF!</f>
        <v>#REF!</v>
      </c>
      <c r="F99" s="41"/>
      <c r="G99" s="117" t="e">
        <f>+'Estimate Details'!#REF!</f>
        <v>#REF!</v>
      </c>
      <c r="H99" s="206" t="e">
        <f>+'Estimate Details'!#REF!</f>
        <v>#REF!</v>
      </c>
      <c r="I99" s="108" t="e">
        <f>+'Estimate Details'!#REF!</f>
        <v>#REF!</v>
      </c>
      <c r="J99" s="168" t="e">
        <f>+'Estimate Details'!#REF!</f>
        <v>#REF!</v>
      </c>
      <c r="K99" s="42" t="e">
        <f>+'Estimate Details'!#REF!</f>
        <v>#REF!</v>
      </c>
      <c r="L99" s="42" t="e">
        <f>+'Estimate Details'!#REF!</f>
        <v>#REF!</v>
      </c>
      <c r="M99" s="204" t="e">
        <f>+'Estimate Details'!#REF!</f>
        <v>#REF!</v>
      </c>
      <c r="N99" s="170" t="e">
        <f>+'Estimate Details'!#REF!</f>
        <v>#REF!</v>
      </c>
      <c r="O99" s="171" t="e">
        <f>+'Estimate Details'!#REF!</f>
        <v>#REF!</v>
      </c>
      <c r="P99" s="172" t="e">
        <f>+'Estimate Details'!#REF!</f>
        <v>#REF!</v>
      </c>
      <c r="Q99" s="173" t="e">
        <f>+'Estimate Details'!#REF!</f>
        <v>#REF!</v>
      </c>
      <c r="R99" s="174" t="e">
        <f>+'Estimate Details'!#REF!</f>
        <v>#REF!</v>
      </c>
      <c r="S99" s="507"/>
      <c r="T99" s="174" t="e">
        <f>+'Estimate Details'!#REF!</f>
        <v>#REF!</v>
      </c>
      <c r="U99" s="486" t="s">
        <v>1309</v>
      </c>
      <c r="V99" s="172" t="e">
        <f>+'Estimate Details'!#REF!</f>
        <v>#REF!</v>
      </c>
      <c r="W99" s="481" t="s">
        <v>1309</v>
      </c>
      <c r="X99" s="172" t="e">
        <f>+'Estimate Details'!#REF!</f>
        <v>#REF!</v>
      </c>
      <c r="Y99" s="172" t="e">
        <f>+'Estimate Details'!#REF!</f>
        <v>#REF!</v>
      </c>
      <c r="Z99" s="174" t="e">
        <f>+'Estimate Details'!#REF!</f>
        <v>#REF!</v>
      </c>
      <c r="AA99" s="481"/>
      <c r="AB99" s="175" t="e">
        <f>+'Estimate Details'!#REF!</f>
        <v>#REF!</v>
      </c>
      <c r="AC99" s="569"/>
      <c r="AD99" s="176" t="e">
        <f>+'Estimate Details'!#REF!</f>
        <v>#REF!</v>
      </c>
      <c r="AE99" s="156"/>
      <c r="AF99" s="156"/>
      <c r="AG99" s="156"/>
      <c r="AH99" s="156"/>
      <c r="AI99" s="29"/>
      <c r="AJ99" s="29"/>
      <c r="AK99" s="29"/>
      <c r="AL99" s="29"/>
    </row>
    <row r="100" spans="1:38" ht="14.1" customHeight="1">
      <c r="A100" s="116" t="e">
        <f>+'Estimate Details'!#REF!</f>
        <v>#REF!</v>
      </c>
      <c r="B100" s="116"/>
      <c r="C100" s="116"/>
      <c r="D100" s="166"/>
      <c r="E100" s="158" t="e">
        <f>+'Estimate Details'!#REF!</f>
        <v>#REF!</v>
      </c>
      <c r="F100" s="41"/>
      <c r="G100" s="117" t="e">
        <f>+'Estimate Details'!#REF!</f>
        <v>#REF!</v>
      </c>
      <c r="H100" s="206" t="e">
        <f>+'Estimate Details'!#REF!</f>
        <v>#REF!</v>
      </c>
      <c r="I100" s="108" t="e">
        <f>+'Estimate Details'!#REF!</f>
        <v>#REF!</v>
      </c>
      <c r="J100" s="168" t="e">
        <f>+'Estimate Details'!#REF!</f>
        <v>#REF!</v>
      </c>
      <c r="K100" s="42" t="e">
        <f>+'Estimate Details'!#REF!</f>
        <v>#REF!</v>
      </c>
      <c r="L100" s="42" t="e">
        <f>+'Estimate Details'!#REF!</f>
        <v>#REF!</v>
      </c>
      <c r="M100" s="204" t="e">
        <f>+'Estimate Details'!#REF!</f>
        <v>#REF!</v>
      </c>
      <c r="N100" s="170" t="e">
        <f>+'Estimate Details'!#REF!</f>
        <v>#REF!</v>
      </c>
      <c r="O100" s="171" t="e">
        <f>+'Estimate Details'!#REF!</f>
        <v>#REF!</v>
      </c>
      <c r="P100" s="172" t="e">
        <f>+'Estimate Details'!#REF!</f>
        <v>#REF!</v>
      </c>
      <c r="Q100" s="173" t="e">
        <f>+'Estimate Details'!#REF!</f>
        <v>#REF!</v>
      </c>
      <c r="R100" s="174" t="e">
        <f>+'Estimate Details'!#REF!</f>
        <v>#REF!</v>
      </c>
      <c r="S100" s="507"/>
      <c r="T100" s="174" t="e">
        <f>+'Estimate Details'!#REF!</f>
        <v>#REF!</v>
      </c>
      <c r="U100" s="486" t="s">
        <v>1309</v>
      </c>
      <c r="V100" s="172" t="e">
        <f>+'Estimate Details'!#REF!</f>
        <v>#REF!</v>
      </c>
      <c r="W100" s="481" t="s">
        <v>1309</v>
      </c>
      <c r="X100" s="172" t="e">
        <f>+'Estimate Details'!#REF!</f>
        <v>#REF!</v>
      </c>
      <c r="Y100" s="172" t="e">
        <f>+'Estimate Details'!#REF!</f>
        <v>#REF!</v>
      </c>
      <c r="Z100" s="174" t="e">
        <f>+'Estimate Details'!#REF!</f>
        <v>#REF!</v>
      </c>
      <c r="AA100" s="481"/>
      <c r="AB100" s="175" t="e">
        <f>+'Estimate Details'!#REF!</f>
        <v>#REF!</v>
      </c>
      <c r="AC100" s="569"/>
      <c r="AD100" s="176" t="e">
        <f>+'Estimate Details'!#REF!</f>
        <v>#REF!</v>
      </c>
      <c r="AE100" s="156"/>
      <c r="AF100" s="156"/>
      <c r="AG100" s="156"/>
      <c r="AH100" s="156"/>
      <c r="AI100" s="29"/>
      <c r="AJ100" s="29"/>
      <c r="AK100" s="29"/>
      <c r="AL100" s="29"/>
    </row>
    <row r="101" spans="1:38" ht="14.1" customHeight="1">
      <c r="A101" s="116" t="e">
        <f>+'Estimate Details'!#REF!</f>
        <v>#REF!</v>
      </c>
      <c r="B101" s="116"/>
      <c r="C101" s="116"/>
      <c r="D101" s="166"/>
      <c r="E101" s="158" t="e">
        <f>+'Estimate Details'!#REF!</f>
        <v>#REF!</v>
      </c>
      <c r="F101" s="41"/>
      <c r="G101" s="117" t="e">
        <f>+'Estimate Details'!#REF!</f>
        <v>#REF!</v>
      </c>
      <c r="H101" s="206" t="e">
        <f>+'Estimate Details'!#REF!</f>
        <v>#REF!</v>
      </c>
      <c r="I101" s="108" t="e">
        <f>+'Estimate Details'!#REF!</f>
        <v>#REF!</v>
      </c>
      <c r="J101" s="168" t="e">
        <f>+'Estimate Details'!#REF!</f>
        <v>#REF!</v>
      </c>
      <c r="K101" s="42" t="e">
        <f>+'Estimate Details'!#REF!</f>
        <v>#REF!</v>
      </c>
      <c r="L101" s="42" t="e">
        <f>+'Estimate Details'!#REF!</f>
        <v>#REF!</v>
      </c>
      <c r="M101" s="204" t="e">
        <f>+'Estimate Details'!#REF!</f>
        <v>#REF!</v>
      </c>
      <c r="N101" s="170" t="e">
        <f>+'Estimate Details'!#REF!</f>
        <v>#REF!</v>
      </c>
      <c r="O101" s="171" t="e">
        <f>+'Estimate Details'!#REF!</f>
        <v>#REF!</v>
      </c>
      <c r="P101" s="172" t="e">
        <f>+'Estimate Details'!#REF!</f>
        <v>#REF!</v>
      </c>
      <c r="Q101" s="173" t="e">
        <f>+'Estimate Details'!#REF!</f>
        <v>#REF!</v>
      </c>
      <c r="R101" s="174" t="e">
        <f>+'Estimate Details'!#REF!</f>
        <v>#REF!</v>
      </c>
      <c r="S101" s="507"/>
      <c r="T101" s="174" t="e">
        <f>+'Estimate Details'!#REF!</f>
        <v>#REF!</v>
      </c>
      <c r="U101" s="486" t="s">
        <v>1309</v>
      </c>
      <c r="V101" s="172" t="e">
        <f>+'Estimate Details'!#REF!</f>
        <v>#REF!</v>
      </c>
      <c r="W101" s="481" t="s">
        <v>1309</v>
      </c>
      <c r="X101" s="172" t="e">
        <f>+'Estimate Details'!#REF!</f>
        <v>#REF!</v>
      </c>
      <c r="Y101" s="172" t="e">
        <f>+'Estimate Details'!#REF!</f>
        <v>#REF!</v>
      </c>
      <c r="Z101" s="174" t="e">
        <f>+'Estimate Details'!#REF!</f>
        <v>#REF!</v>
      </c>
      <c r="AA101" s="481"/>
      <c r="AB101" s="175" t="e">
        <f>+'Estimate Details'!#REF!</f>
        <v>#REF!</v>
      </c>
      <c r="AC101" s="569"/>
      <c r="AD101" s="176" t="e">
        <f>+'Estimate Details'!#REF!</f>
        <v>#REF!</v>
      </c>
      <c r="AE101" s="156"/>
      <c r="AF101" s="156"/>
      <c r="AG101" s="156"/>
      <c r="AH101" s="156"/>
      <c r="AI101" s="29"/>
      <c r="AJ101" s="29"/>
      <c r="AK101" s="29"/>
      <c r="AL101" s="29"/>
    </row>
    <row r="102" spans="1:38" ht="14.1" customHeight="1">
      <c r="A102" s="116" t="e">
        <f>+'Estimate Details'!#REF!</f>
        <v>#REF!</v>
      </c>
      <c r="B102" s="116"/>
      <c r="C102" s="116"/>
      <c r="D102" s="166"/>
      <c r="E102" s="158" t="e">
        <f>+'Estimate Details'!#REF!</f>
        <v>#REF!</v>
      </c>
      <c r="F102" s="41"/>
      <c r="G102" s="117" t="e">
        <f>+'Estimate Details'!#REF!</f>
        <v>#REF!</v>
      </c>
      <c r="H102" s="206" t="e">
        <f>+'Estimate Details'!#REF!</f>
        <v>#REF!</v>
      </c>
      <c r="I102" s="108" t="e">
        <f>+'Estimate Details'!#REF!</f>
        <v>#REF!</v>
      </c>
      <c r="J102" s="168" t="e">
        <f>+'Estimate Details'!#REF!</f>
        <v>#REF!</v>
      </c>
      <c r="K102" s="42" t="e">
        <f>+'Estimate Details'!#REF!</f>
        <v>#REF!</v>
      </c>
      <c r="L102" s="42" t="e">
        <f>+'Estimate Details'!#REF!</f>
        <v>#REF!</v>
      </c>
      <c r="M102" s="204" t="e">
        <f>+'Estimate Details'!#REF!</f>
        <v>#REF!</v>
      </c>
      <c r="N102" s="170" t="e">
        <f>+'Estimate Details'!#REF!</f>
        <v>#REF!</v>
      </c>
      <c r="O102" s="171" t="e">
        <f>+'Estimate Details'!#REF!</f>
        <v>#REF!</v>
      </c>
      <c r="P102" s="172" t="e">
        <f>+'Estimate Details'!#REF!</f>
        <v>#REF!</v>
      </c>
      <c r="Q102" s="173" t="e">
        <f>+'Estimate Details'!#REF!</f>
        <v>#REF!</v>
      </c>
      <c r="R102" s="174" t="e">
        <f>+'Estimate Details'!#REF!</f>
        <v>#REF!</v>
      </c>
      <c r="S102" s="507"/>
      <c r="T102" s="174" t="e">
        <f>+'Estimate Details'!#REF!</f>
        <v>#REF!</v>
      </c>
      <c r="U102" s="486" t="s">
        <v>1309</v>
      </c>
      <c r="V102" s="172" t="e">
        <f>+'Estimate Details'!#REF!</f>
        <v>#REF!</v>
      </c>
      <c r="W102" s="481" t="s">
        <v>1309</v>
      </c>
      <c r="X102" s="172" t="e">
        <f>+'Estimate Details'!#REF!</f>
        <v>#REF!</v>
      </c>
      <c r="Y102" s="172" t="e">
        <f>+'Estimate Details'!#REF!</f>
        <v>#REF!</v>
      </c>
      <c r="Z102" s="174" t="e">
        <f>+'Estimate Details'!#REF!</f>
        <v>#REF!</v>
      </c>
      <c r="AA102" s="481"/>
      <c r="AB102" s="175" t="e">
        <f>+'Estimate Details'!#REF!</f>
        <v>#REF!</v>
      </c>
      <c r="AC102" s="569"/>
      <c r="AD102" s="176" t="e">
        <f>+'Estimate Details'!#REF!</f>
        <v>#REF!</v>
      </c>
      <c r="AE102" s="156"/>
      <c r="AF102" s="156"/>
      <c r="AG102" s="156"/>
      <c r="AH102" s="156"/>
      <c r="AI102" s="29"/>
      <c r="AJ102" s="29"/>
      <c r="AK102" s="29"/>
      <c r="AL102" s="29"/>
    </row>
    <row r="103" spans="1:38" ht="14.1" customHeight="1">
      <c r="A103" s="116" t="e">
        <f>+'Estimate Details'!#REF!</f>
        <v>#REF!</v>
      </c>
      <c r="B103" s="116"/>
      <c r="C103" s="116"/>
      <c r="D103" s="166"/>
      <c r="E103" s="158" t="e">
        <f>+'Estimate Details'!#REF!</f>
        <v>#REF!</v>
      </c>
      <c r="F103" s="41"/>
      <c r="G103" s="117" t="e">
        <f>+'Estimate Details'!#REF!</f>
        <v>#REF!</v>
      </c>
      <c r="H103" s="206" t="e">
        <f>+'Estimate Details'!#REF!</f>
        <v>#REF!</v>
      </c>
      <c r="I103" s="108" t="e">
        <f>+'Estimate Details'!#REF!</f>
        <v>#REF!</v>
      </c>
      <c r="J103" s="168" t="e">
        <f>+'Estimate Details'!#REF!</f>
        <v>#REF!</v>
      </c>
      <c r="K103" s="42" t="e">
        <f>+'Estimate Details'!#REF!</f>
        <v>#REF!</v>
      </c>
      <c r="L103" s="42" t="e">
        <f>+'Estimate Details'!#REF!</f>
        <v>#REF!</v>
      </c>
      <c r="M103" s="204" t="e">
        <f>+'Estimate Details'!#REF!</f>
        <v>#REF!</v>
      </c>
      <c r="N103" s="170" t="e">
        <f>+'Estimate Details'!#REF!</f>
        <v>#REF!</v>
      </c>
      <c r="O103" s="171" t="e">
        <f>+'Estimate Details'!#REF!</f>
        <v>#REF!</v>
      </c>
      <c r="P103" s="172" t="e">
        <f>+'Estimate Details'!#REF!</f>
        <v>#REF!</v>
      </c>
      <c r="Q103" s="173" t="e">
        <f>+'Estimate Details'!#REF!</f>
        <v>#REF!</v>
      </c>
      <c r="R103" s="174" t="e">
        <f>+'Estimate Details'!#REF!</f>
        <v>#REF!</v>
      </c>
      <c r="S103" s="507"/>
      <c r="T103" s="174" t="e">
        <f>+'Estimate Details'!#REF!</f>
        <v>#REF!</v>
      </c>
      <c r="U103" s="486" t="s">
        <v>1309</v>
      </c>
      <c r="V103" s="172" t="e">
        <f>+'Estimate Details'!#REF!</f>
        <v>#REF!</v>
      </c>
      <c r="W103" s="481" t="s">
        <v>1309</v>
      </c>
      <c r="X103" s="172" t="e">
        <f>+'Estimate Details'!#REF!</f>
        <v>#REF!</v>
      </c>
      <c r="Y103" s="172" t="e">
        <f>+'Estimate Details'!#REF!</f>
        <v>#REF!</v>
      </c>
      <c r="Z103" s="174" t="e">
        <f>+'Estimate Details'!#REF!</f>
        <v>#REF!</v>
      </c>
      <c r="AA103" s="481"/>
      <c r="AB103" s="175" t="e">
        <f>+'Estimate Details'!#REF!</f>
        <v>#REF!</v>
      </c>
      <c r="AC103" s="569"/>
      <c r="AD103" s="176" t="e">
        <f>+'Estimate Details'!#REF!</f>
        <v>#REF!</v>
      </c>
      <c r="AE103" s="156"/>
      <c r="AF103" s="156"/>
      <c r="AG103" s="156"/>
      <c r="AH103" s="156"/>
      <c r="AI103" s="29"/>
      <c r="AJ103" s="29"/>
      <c r="AK103" s="29"/>
      <c r="AL103" s="29"/>
    </row>
    <row r="104" spans="1:38" ht="14.1" customHeight="1">
      <c r="A104" s="116" t="e">
        <f>+'Estimate Details'!#REF!</f>
        <v>#REF!</v>
      </c>
      <c r="B104" s="116"/>
      <c r="C104" s="116"/>
      <c r="D104" s="166"/>
      <c r="E104" s="158" t="e">
        <f>+'Estimate Details'!#REF!</f>
        <v>#REF!</v>
      </c>
      <c r="F104" s="41"/>
      <c r="G104" s="117" t="e">
        <f>+'Estimate Details'!#REF!</f>
        <v>#REF!</v>
      </c>
      <c r="H104" s="206" t="e">
        <f>+'Estimate Details'!#REF!</f>
        <v>#REF!</v>
      </c>
      <c r="I104" s="108" t="e">
        <f>+'Estimate Details'!#REF!</f>
        <v>#REF!</v>
      </c>
      <c r="J104" s="168" t="e">
        <f>+'Estimate Details'!#REF!</f>
        <v>#REF!</v>
      </c>
      <c r="K104" s="42" t="e">
        <f>+'Estimate Details'!#REF!</f>
        <v>#REF!</v>
      </c>
      <c r="L104" s="42" t="e">
        <f>+'Estimate Details'!#REF!</f>
        <v>#REF!</v>
      </c>
      <c r="M104" s="204" t="e">
        <f>+'Estimate Details'!#REF!</f>
        <v>#REF!</v>
      </c>
      <c r="N104" s="170" t="e">
        <f>+'Estimate Details'!#REF!</f>
        <v>#REF!</v>
      </c>
      <c r="O104" s="171" t="e">
        <f>+'Estimate Details'!#REF!</f>
        <v>#REF!</v>
      </c>
      <c r="P104" s="172" t="e">
        <f>+'Estimate Details'!#REF!</f>
        <v>#REF!</v>
      </c>
      <c r="Q104" s="173" t="e">
        <f>+'Estimate Details'!#REF!</f>
        <v>#REF!</v>
      </c>
      <c r="R104" s="174" t="e">
        <f>+'Estimate Details'!#REF!</f>
        <v>#REF!</v>
      </c>
      <c r="S104" s="507"/>
      <c r="T104" s="174" t="e">
        <f>+'Estimate Details'!#REF!</f>
        <v>#REF!</v>
      </c>
      <c r="U104" s="486" t="s">
        <v>1309</v>
      </c>
      <c r="V104" s="172" t="e">
        <f>+'Estimate Details'!#REF!</f>
        <v>#REF!</v>
      </c>
      <c r="W104" s="481" t="s">
        <v>1309</v>
      </c>
      <c r="X104" s="172" t="e">
        <f>+'Estimate Details'!#REF!</f>
        <v>#REF!</v>
      </c>
      <c r="Y104" s="172" t="e">
        <f>+'Estimate Details'!#REF!</f>
        <v>#REF!</v>
      </c>
      <c r="Z104" s="174" t="e">
        <f>+'Estimate Details'!#REF!</f>
        <v>#REF!</v>
      </c>
      <c r="AA104" s="481"/>
      <c r="AB104" s="175" t="e">
        <f>+'Estimate Details'!#REF!</f>
        <v>#REF!</v>
      </c>
      <c r="AC104" s="569"/>
      <c r="AD104" s="176" t="e">
        <f>+'Estimate Details'!#REF!</f>
        <v>#REF!</v>
      </c>
      <c r="AE104" s="156"/>
      <c r="AF104" s="156"/>
      <c r="AG104" s="156"/>
      <c r="AH104" s="156"/>
      <c r="AI104" s="29"/>
      <c r="AJ104" s="29"/>
      <c r="AK104" s="29"/>
      <c r="AL104" s="29"/>
    </row>
    <row r="105" spans="1:38" ht="13.5" customHeight="1">
      <c r="A105" s="116" t="e">
        <f>+'Estimate Details'!#REF!</f>
        <v>#REF!</v>
      </c>
      <c r="B105" s="116"/>
      <c r="C105" s="116"/>
      <c r="D105" s="166"/>
      <c r="E105" s="158" t="e">
        <f>+'Estimate Details'!#REF!</f>
        <v>#REF!</v>
      </c>
      <c r="F105" s="41"/>
      <c r="G105" s="117" t="e">
        <f>+'Estimate Details'!#REF!</f>
        <v>#REF!</v>
      </c>
      <c r="H105" s="118" t="e">
        <f>+'Estimate Details'!#REF!</f>
        <v>#REF!</v>
      </c>
      <c r="I105" s="108" t="e">
        <f>+'Estimate Details'!#REF!</f>
        <v>#REF!</v>
      </c>
      <c r="J105" s="168" t="e">
        <f>+'Estimate Details'!#REF!</f>
        <v>#REF!</v>
      </c>
      <c r="K105" s="42" t="e">
        <f>+'Estimate Details'!#REF!</f>
        <v>#REF!</v>
      </c>
      <c r="L105" s="42" t="e">
        <f>+'Estimate Details'!#REF!</f>
        <v>#REF!</v>
      </c>
      <c r="M105" s="204" t="e">
        <f>+'Estimate Details'!#REF!</f>
        <v>#REF!</v>
      </c>
      <c r="N105" s="170" t="e">
        <f>+'Estimate Details'!#REF!</f>
        <v>#REF!</v>
      </c>
      <c r="O105" s="171" t="e">
        <f>+'Estimate Details'!#REF!</f>
        <v>#REF!</v>
      </c>
      <c r="P105" s="172" t="e">
        <f>+'Estimate Details'!#REF!</f>
        <v>#REF!</v>
      </c>
      <c r="Q105" s="173" t="e">
        <f>+'Estimate Details'!#REF!</f>
        <v>#REF!</v>
      </c>
      <c r="R105" s="174" t="e">
        <f>+'Estimate Details'!#REF!</f>
        <v>#REF!</v>
      </c>
      <c r="S105" s="507"/>
      <c r="T105" s="174" t="e">
        <f>+'Estimate Details'!#REF!</f>
        <v>#REF!</v>
      </c>
      <c r="U105" s="486" t="s">
        <v>1309</v>
      </c>
      <c r="V105" s="172" t="e">
        <f>+'Estimate Details'!#REF!</f>
        <v>#REF!</v>
      </c>
      <c r="W105" s="481" t="s">
        <v>1309</v>
      </c>
      <c r="X105" s="172" t="e">
        <f>+'Estimate Details'!#REF!</f>
        <v>#REF!</v>
      </c>
      <c r="Y105" s="172" t="e">
        <f>+'Estimate Details'!#REF!</f>
        <v>#REF!</v>
      </c>
      <c r="Z105" s="174" t="e">
        <f>+'Estimate Details'!#REF!</f>
        <v>#REF!</v>
      </c>
      <c r="AA105" s="481"/>
      <c r="AB105" s="175" t="e">
        <f>+'Estimate Details'!#REF!</f>
        <v>#REF!</v>
      </c>
      <c r="AC105" s="569"/>
      <c r="AD105" s="176" t="e">
        <f>+'Estimate Details'!#REF!</f>
        <v>#REF!</v>
      </c>
      <c r="AE105" s="156"/>
      <c r="AF105" s="156"/>
      <c r="AG105" s="156"/>
      <c r="AH105" s="156"/>
      <c r="AI105" s="29"/>
      <c r="AJ105" s="29"/>
      <c r="AK105" s="29"/>
      <c r="AL105" s="29"/>
    </row>
    <row r="106" spans="1:38" ht="13.5" customHeight="1">
      <c r="A106" s="116" t="e">
        <f>+'Estimate Details'!#REF!</f>
        <v>#REF!</v>
      </c>
      <c r="B106" s="116"/>
      <c r="C106" s="116"/>
      <c r="D106" s="166"/>
      <c r="E106" s="158" t="e">
        <f>+'Estimate Details'!#REF!</f>
        <v>#REF!</v>
      </c>
      <c r="F106" s="41"/>
      <c r="G106" s="117" t="e">
        <f>+'Estimate Details'!#REF!</f>
        <v>#REF!</v>
      </c>
      <c r="H106" s="206" t="e">
        <f>+'Estimate Details'!#REF!</f>
        <v>#REF!</v>
      </c>
      <c r="I106" s="108" t="e">
        <f>+'Estimate Details'!#REF!</f>
        <v>#REF!</v>
      </c>
      <c r="J106" s="168" t="e">
        <f>+'Estimate Details'!#REF!</f>
        <v>#REF!</v>
      </c>
      <c r="K106" s="42" t="e">
        <f>+'Estimate Details'!#REF!</f>
        <v>#REF!</v>
      </c>
      <c r="L106" s="42" t="e">
        <f>+'Estimate Details'!#REF!</f>
        <v>#REF!</v>
      </c>
      <c r="M106" s="204" t="e">
        <f>+'Estimate Details'!#REF!</f>
        <v>#REF!</v>
      </c>
      <c r="N106" s="170" t="e">
        <f>+'Estimate Details'!#REF!</f>
        <v>#REF!</v>
      </c>
      <c r="O106" s="171" t="e">
        <f>+'Estimate Details'!#REF!</f>
        <v>#REF!</v>
      </c>
      <c r="P106" s="172" t="e">
        <f>+'Estimate Details'!#REF!</f>
        <v>#REF!</v>
      </c>
      <c r="Q106" s="173" t="e">
        <f>+'Estimate Details'!#REF!</f>
        <v>#REF!</v>
      </c>
      <c r="R106" s="174" t="e">
        <f>+'Estimate Details'!#REF!</f>
        <v>#REF!</v>
      </c>
      <c r="S106" s="507"/>
      <c r="T106" s="174" t="e">
        <f>+'Estimate Details'!#REF!</f>
        <v>#REF!</v>
      </c>
      <c r="U106" s="486" t="s">
        <v>1309</v>
      </c>
      <c r="V106" s="172" t="e">
        <f>+'Estimate Details'!#REF!</f>
        <v>#REF!</v>
      </c>
      <c r="W106" s="481" t="s">
        <v>1309</v>
      </c>
      <c r="X106" s="172" t="e">
        <f>+'Estimate Details'!#REF!</f>
        <v>#REF!</v>
      </c>
      <c r="Y106" s="172" t="e">
        <f>+'Estimate Details'!#REF!</f>
        <v>#REF!</v>
      </c>
      <c r="Z106" s="174" t="e">
        <f>+'Estimate Details'!#REF!</f>
        <v>#REF!</v>
      </c>
      <c r="AA106" s="481"/>
      <c r="AB106" s="175" t="e">
        <f>+'Estimate Details'!#REF!</f>
        <v>#REF!</v>
      </c>
      <c r="AC106" s="569"/>
      <c r="AD106" s="176" t="e">
        <f>+'Estimate Details'!#REF!</f>
        <v>#REF!</v>
      </c>
      <c r="AE106" s="156"/>
      <c r="AF106" s="156"/>
      <c r="AG106" s="156"/>
      <c r="AH106" s="156"/>
      <c r="AI106" s="29"/>
      <c r="AJ106" s="29"/>
      <c r="AK106" s="29"/>
      <c r="AL106" s="29"/>
    </row>
    <row r="107" spans="1:38" ht="14.1" customHeight="1">
      <c r="A107" s="116" t="e">
        <f>+'Estimate Details'!#REF!</f>
        <v>#REF!</v>
      </c>
      <c r="B107" s="116"/>
      <c r="C107" s="116"/>
      <c r="D107" s="166"/>
      <c r="E107" s="158" t="e">
        <f>+'Estimate Details'!#REF!</f>
        <v>#REF!</v>
      </c>
      <c r="F107" s="41"/>
      <c r="G107" s="117" t="e">
        <f>+'Estimate Details'!#REF!</f>
        <v>#REF!</v>
      </c>
      <c r="H107" s="118" t="e">
        <f>+'Estimate Details'!#REF!</f>
        <v>#REF!</v>
      </c>
      <c r="I107" s="108" t="e">
        <f>+'Estimate Details'!#REF!</f>
        <v>#REF!</v>
      </c>
      <c r="J107" s="168" t="e">
        <f>+'Estimate Details'!#REF!</f>
        <v>#REF!</v>
      </c>
      <c r="K107" s="42" t="e">
        <f>+'Estimate Details'!#REF!</f>
        <v>#REF!</v>
      </c>
      <c r="L107" s="42" t="e">
        <f>+'Estimate Details'!#REF!</f>
        <v>#REF!</v>
      </c>
      <c r="M107" s="204" t="e">
        <f>+'Estimate Details'!#REF!</f>
        <v>#REF!</v>
      </c>
      <c r="N107" s="170" t="e">
        <f>+'Estimate Details'!#REF!</f>
        <v>#REF!</v>
      </c>
      <c r="O107" s="171" t="e">
        <f>+'Estimate Details'!#REF!</f>
        <v>#REF!</v>
      </c>
      <c r="P107" s="172" t="e">
        <f>+'Estimate Details'!#REF!</f>
        <v>#REF!</v>
      </c>
      <c r="Q107" s="173" t="e">
        <f>+'Estimate Details'!#REF!</f>
        <v>#REF!</v>
      </c>
      <c r="R107" s="174" t="e">
        <f>+'Estimate Details'!#REF!</f>
        <v>#REF!</v>
      </c>
      <c r="S107" s="507"/>
      <c r="T107" s="174" t="e">
        <f>+'Estimate Details'!#REF!</f>
        <v>#REF!</v>
      </c>
      <c r="U107" s="486" t="s">
        <v>1309</v>
      </c>
      <c r="V107" s="172" t="e">
        <f>+'Estimate Details'!#REF!</f>
        <v>#REF!</v>
      </c>
      <c r="W107" s="481" t="s">
        <v>1309</v>
      </c>
      <c r="X107" s="172" t="e">
        <f>+'Estimate Details'!#REF!</f>
        <v>#REF!</v>
      </c>
      <c r="Y107" s="172" t="e">
        <f>+'Estimate Details'!#REF!</f>
        <v>#REF!</v>
      </c>
      <c r="Z107" s="174" t="e">
        <f>+'Estimate Details'!#REF!</f>
        <v>#REF!</v>
      </c>
      <c r="AA107" s="481"/>
      <c r="AB107" s="175" t="e">
        <f>+'Estimate Details'!#REF!</f>
        <v>#REF!</v>
      </c>
      <c r="AC107" s="569"/>
      <c r="AD107" s="176" t="e">
        <f>+'Estimate Details'!#REF!</f>
        <v>#REF!</v>
      </c>
      <c r="AE107" s="156"/>
      <c r="AF107" s="156"/>
      <c r="AG107" s="156"/>
      <c r="AH107" s="156"/>
      <c r="AI107" s="29"/>
      <c r="AJ107" s="29"/>
      <c r="AK107" s="29"/>
      <c r="AL107" s="29"/>
    </row>
    <row r="108" spans="1:38" ht="14.1" customHeight="1">
      <c r="A108" s="116" t="e">
        <f>+'Estimate Details'!#REF!</f>
        <v>#REF!</v>
      </c>
      <c r="B108" s="116"/>
      <c r="C108" s="116"/>
      <c r="D108" s="166"/>
      <c r="E108" s="158" t="e">
        <f>+'Estimate Details'!#REF!</f>
        <v>#REF!</v>
      </c>
      <c r="F108" s="41"/>
      <c r="G108" s="117" t="e">
        <f>+'Estimate Details'!#REF!</f>
        <v>#REF!</v>
      </c>
      <c r="H108" s="206" t="e">
        <f>+'Estimate Details'!#REF!</f>
        <v>#REF!</v>
      </c>
      <c r="I108" s="108" t="e">
        <f>+'Estimate Details'!#REF!</f>
        <v>#REF!</v>
      </c>
      <c r="J108" s="168" t="e">
        <f>+'Estimate Details'!#REF!</f>
        <v>#REF!</v>
      </c>
      <c r="K108" s="42" t="e">
        <f>+'Estimate Details'!#REF!</f>
        <v>#REF!</v>
      </c>
      <c r="L108" s="42" t="e">
        <f>+'Estimate Details'!#REF!</f>
        <v>#REF!</v>
      </c>
      <c r="M108" s="204" t="e">
        <f>+'Estimate Details'!#REF!</f>
        <v>#REF!</v>
      </c>
      <c r="N108" s="170" t="e">
        <f>+'Estimate Details'!#REF!</f>
        <v>#REF!</v>
      </c>
      <c r="O108" s="171" t="e">
        <f>+'Estimate Details'!#REF!</f>
        <v>#REF!</v>
      </c>
      <c r="P108" s="172" t="e">
        <f>+'Estimate Details'!#REF!</f>
        <v>#REF!</v>
      </c>
      <c r="Q108" s="173" t="e">
        <f>+'Estimate Details'!#REF!</f>
        <v>#REF!</v>
      </c>
      <c r="R108" s="174" t="e">
        <f>+'Estimate Details'!#REF!</f>
        <v>#REF!</v>
      </c>
      <c r="S108" s="507"/>
      <c r="T108" s="174" t="e">
        <f>+'Estimate Details'!#REF!</f>
        <v>#REF!</v>
      </c>
      <c r="U108" s="486" t="s">
        <v>1309</v>
      </c>
      <c r="V108" s="172" t="e">
        <f>+'Estimate Details'!#REF!</f>
        <v>#REF!</v>
      </c>
      <c r="W108" s="481" t="s">
        <v>1309</v>
      </c>
      <c r="X108" s="172" t="e">
        <f>+'Estimate Details'!#REF!</f>
        <v>#REF!</v>
      </c>
      <c r="Y108" s="172" t="e">
        <f>+'Estimate Details'!#REF!</f>
        <v>#REF!</v>
      </c>
      <c r="Z108" s="174" t="e">
        <f>+'Estimate Details'!#REF!</f>
        <v>#REF!</v>
      </c>
      <c r="AA108" s="481"/>
      <c r="AB108" s="175" t="e">
        <f>+'Estimate Details'!#REF!</f>
        <v>#REF!</v>
      </c>
      <c r="AC108" s="569"/>
      <c r="AD108" s="176" t="e">
        <f>+'Estimate Details'!#REF!</f>
        <v>#REF!</v>
      </c>
      <c r="AE108" s="156"/>
      <c r="AF108" s="156"/>
      <c r="AG108" s="156"/>
      <c r="AH108" s="156"/>
      <c r="AI108" s="29"/>
      <c r="AJ108" s="29"/>
      <c r="AK108" s="29"/>
      <c r="AL108" s="29"/>
    </row>
    <row r="109" spans="1:38" ht="14.1" customHeight="1">
      <c r="A109" s="116" t="e">
        <f>+'Estimate Details'!#REF!</f>
        <v>#REF!</v>
      </c>
      <c r="B109" s="116"/>
      <c r="C109" s="116"/>
      <c r="D109" s="167"/>
      <c r="E109" s="158" t="e">
        <f>+'Estimate Details'!#REF!</f>
        <v>#REF!</v>
      </c>
      <c r="F109" s="41"/>
      <c r="G109" s="117" t="e">
        <f>+'Estimate Details'!#REF!</f>
        <v>#REF!</v>
      </c>
      <c r="H109" s="118" t="e">
        <f>+'Estimate Details'!#REF!</f>
        <v>#REF!</v>
      </c>
      <c r="I109" s="108" t="e">
        <f>+'Estimate Details'!#REF!</f>
        <v>#REF!</v>
      </c>
      <c r="J109" s="168" t="e">
        <f>+'Estimate Details'!#REF!</f>
        <v>#REF!</v>
      </c>
      <c r="K109" s="42" t="e">
        <f>+'Estimate Details'!#REF!</f>
        <v>#REF!</v>
      </c>
      <c r="L109" s="42" t="e">
        <f>+'Estimate Details'!#REF!</f>
        <v>#REF!</v>
      </c>
      <c r="M109" s="204" t="e">
        <f>+'Estimate Details'!#REF!</f>
        <v>#REF!</v>
      </c>
      <c r="N109" s="170" t="e">
        <f>+'Estimate Details'!#REF!</f>
        <v>#REF!</v>
      </c>
      <c r="O109" s="171" t="e">
        <f>+'Estimate Details'!#REF!</f>
        <v>#REF!</v>
      </c>
      <c r="P109" s="172" t="e">
        <f>+'Estimate Details'!#REF!</f>
        <v>#REF!</v>
      </c>
      <c r="Q109" s="173" t="e">
        <f>+'Estimate Details'!#REF!</f>
        <v>#REF!</v>
      </c>
      <c r="R109" s="174" t="e">
        <f>+'Estimate Details'!#REF!</f>
        <v>#REF!</v>
      </c>
      <c r="S109" s="507"/>
      <c r="T109" s="174" t="e">
        <f>+'Estimate Details'!#REF!</f>
        <v>#REF!</v>
      </c>
      <c r="U109" s="486" t="s">
        <v>1309</v>
      </c>
      <c r="V109" s="172" t="e">
        <f>+'Estimate Details'!#REF!</f>
        <v>#REF!</v>
      </c>
      <c r="W109" s="481" t="s">
        <v>1309</v>
      </c>
      <c r="X109" s="172" t="e">
        <f>+'Estimate Details'!#REF!</f>
        <v>#REF!</v>
      </c>
      <c r="Y109" s="172" t="e">
        <f>+'Estimate Details'!#REF!</f>
        <v>#REF!</v>
      </c>
      <c r="Z109" s="174" t="e">
        <f>+'Estimate Details'!#REF!</f>
        <v>#REF!</v>
      </c>
      <c r="AA109" s="481"/>
      <c r="AB109" s="175" t="e">
        <f>+'Estimate Details'!#REF!</f>
        <v>#REF!</v>
      </c>
      <c r="AC109" s="569"/>
      <c r="AD109" s="176" t="e">
        <f>+'Estimate Details'!#REF!</f>
        <v>#REF!</v>
      </c>
      <c r="AE109" s="156"/>
      <c r="AF109" s="156"/>
      <c r="AG109" s="156"/>
      <c r="AH109" s="156"/>
      <c r="AI109" s="29"/>
      <c r="AJ109" s="29"/>
      <c r="AK109" s="29"/>
      <c r="AL109" s="29"/>
    </row>
    <row r="110" spans="1:38" ht="14.1" customHeight="1">
      <c r="A110" s="116" t="e">
        <f>+'Estimate Details'!#REF!</f>
        <v>#REF!</v>
      </c>
      <c r="B110" s="116"/>
      <c r="C110" s="116"/>
      <c r="D110" s="166"/>
      <c r="E110" s="158" t="e">
        <f>+'Estimate Details'!#REF!</f>
        <v>#REF!</v>
      </c>
      <c r="F110" s="41"/>
      <c r="G110" s="117" t="e">
        <f>+'Estimate Details'!#REF!</f>
        <v>#REF!</v>
      </c>
      <c r="H110" s="206" t="e">
        <f>+'Estimate Details'!#REF!</f>
        <v>#REF!</v>
      </c>
      <c r="I110" s="108" t="e">
        <f>+'Estimate Details'!#REF!</f>
        <v>#REF!</v>
      </c>
      <c r="J110" s="168" t="e">
        <f>+'Estimate Details'!#REF!</f>
        <v>#REF!</v>
      </c>
      <c r="K110" s="42" t="e">
        <f>+'Estimate Details'!#REF!</f>
        <v>#REF!</v>
      </c>
      <c r="L110" s="42" t="e">
        <f>+'Estimate Details'!#REF!</f>
        <v>#REF!</v>
      </c>
      <c r="M110" s="204" t="e">
        <f>+'Estimate Details'!#REF!</f>
        <v>#REF!</v>
      </c>
      <c r="N110" s="170" t="e">
        <f>+'Estimate Details'!#REF!</f>
        <v>#REF!</v>
      </c>
      <c r="O110" s="171" t="e">
        <f>+'Estimate Details'!#REF!</f>
        <v>#REF!</v>
      </c>
      <c r="P110" s="172" t="e">
        <f>+'Estimate Details'!#REF!</f>
        <v>#REF!</v>
      </c>
      <c r="Q110" s="173" t="e">
        <f>+'Estimate Details'!#REF!</f>
        <v>#REF!</v>
      </c>
      <c r="R110" s="174" t="e">
        <f>+'Estimate Details'!#REF!</f>
        <v>#REF!</v>
      </c>
      <c r="S110" s="507"/>
      <c r="T110" s="174" t="e">
        <f>+'Estimate Details'!#REF!</f>
        <v>#REF!</v>
      </c>
      <c r="U110" s="486" t="s">
        <v>1309</v>
      </c>
      <c r="V110" s="172" t="e">
        <f>+'Estimate Details'!#REF!</f>
        <v>#REF!</v>
      </c>
      <c r="W110" s="481" t="s">
        <v>1309</v>
      </c>
      <c r="X110" s="172" t="e">
        <f>+'Estimate Details'!#REF!</f>
        <v>#REF!</v>
      </c>
      <c r="Y110" s="172" t="e">
        <f>+'Estimate Details'!#REF!</f>
        <v>#REF!</v>
      </c>
      <c r="Z110" s="174" t="e">
        <f>+'Estimate Details'!#REF!</f>
        <v>#REF!</v>
      </c>
      <c r="AA110" s="481"/>
      <c r="AB110" s="175" t="e">
        <f>+'Estimate Details'!#REF!</f>
        <v>#REF!</v>
      </c>
      <c r="AC110" s="569"/>
      <c r="AD110" s="176" t="e">
        <f>+'Estimate Details'!#REF!</f>
        <v>#REF!</v>
      </c>
      <c r="AE110" s="156"/>
      <c r="AF110" s="156"/>
      <c r="AG110" s="156"/>
      <c r="AH110" s="156"/>
      <c r="AI110" s="29"/>
      <c r="AJ110" s="29"/>
      <c r="AK110" s="29"/>
      <c r="AL110" s="29"/>
    </row>
    <row r="111" spans="1:38" ht="14.1" customHeight="1">
      <c r="A111" s="116" t="e">
        <f>+'Estimate Details'!#REF!</f>
        <v>#REF!</v>
      </c>
      <c r="B111" s="116"/>
      <c r="C111" s="116"/>
      <c r="D111" s="166"/>
      <c r="E111" s="158" t="e">
        <f>+'Estimate Details'!#REF!</f>
        <v>#REF!</v>
      </c>
      <c r="F111" s="41"/>
      <c r="G111" s="117" t="e">
        <f>+'Estimate Details'!#REF!</f>
        <v>#REF!</v>
      </c>
      <c r="H111" s="206" t="e">
        <f>+'Estimate Details'!#REF!</f>
        <v>#REF!</v>
      </c>
      <c r="I111" s="108" t="e">
        <f>+'Estimate Details'!#REF!</f>
        <v>#REF!</v>
      </c>
      <c r="J111" s="168" t="e">
        <f>+'Estimate Details'!#REF!</f>
        <v>#REF!</v>
      </c>
      <c r="K111" s="42" t="e">
        <f>+'Estimate Details'!#REF!</f>
        <v>#REF!</v>
      </c>
      <c r="L111" s="42" t="e">
        <f>+'Estimate Details'!#REF!</f>
        <v>#REF!</v>
      </c>
      <c r="M111" s="204" t="e">
        <f>+'Estimate Details'!#REF!</f>
        <v>#REF!</v>
      </c>
      <c r="N111" s="170" t="e">
        <f>+'Estimate Details'!#REF!</f>
        <v>#REF!</v>
      </c>
      <c r="O111" s="171" t="e">
        <f>+'Estimate Details'!#REF!</f>
        <v>#REF!</v>
      </c>
      <c r="P111" s="172" t="e">
        <f>+'Estimate Details'!#REF!</f>
        <v>#REF!</v>
      </c>
      <c r="Q111" s="173" t="e">
        <f>+'Estimate Details'!#REF!</f>
        <v>#REF!</v>
      </c>
      <c r="R111" s="174" t="e">
        <f>+'Estimate Details'!#REF!</f>
        <v>#REF!</v>
      </c>
      <c r="S111" s="507"/>
      <c r="T111" s="174" t="e">
        <f>+'Estimate Details'!#REF!</f>
        <v>#REF!</v>
      </c>
      <c r="U111" s="486" t="s">
        <v>1309</v>
      </c>
      <c r="V111" s="172" t="e">
        <f>+'Estimate Details'!#REF!</f>
        <v>#REF!</v>
      </c>
      <c r="W111" s="481" t="s">
        <v>1309</v>
      </c>
      <c r="X111" s="172" t="e">
        <f>+'Estimate Details'!#REF!</f>
        <v>#REF!</v>
      </c>
      <c r="Y111" s="172" t="e">
        <f>+'Estimate Details'!#REF!</f>
        <v>#REF!</v>
      </c>
      <c r="Z111" s="174" t="e">
        <f>+'Estimate Details'!#REF!</f>
        <v>#REF!</v>
      </c>
      <c r="AA111" s="481"/>
      <c r="AB111" s="175" t="e">
        <f>+'Estimate Details'!#REF!</f>
        <v>#REF!</v>
      </c>
      <c r="AC111" s="569"/>
      <c r="AD111" s="176" t="e">
        <f>+'Estimate Details'!#REF!</f>
        <v>#REF!</v>
      </c>
      <c r="AE111" s="156"/>
      <c r="AF111" s="156"/>
      <c r="AG111" s="156"/>
      <c r="AH111" s="156"/>
      <c r="AI111" s="29"/>
      <c r="AJ111" s="29"/>
      <c r="AK111" s="29"/>
      <c r="AL111" s="29"/>
    </row>
    <row r="112" spans="1:38" ht="13.5" customHeight="1">
      <c r="A112" s="116" t="e">
        <f>+'Estimate Details'!#REF!</f>
        <v>#REF!</v>
      </c>
      <c r="B112" s="116"/>
      <c r="C112" s="116"/>
      <c r="D112" s="166"/>
      <c r="E112" s="158" t="e">
        <f>+'Estimate Details'!#REF!</f>
        <v>#REF!</v>
      </c>
      <c r="F112" s="41"/>
      <c r="G112" s="117" t="e">
        <f>+'Estimate Details'!#REF!</f>
        <v>#REF!</v>
      </c>
      <c r="H112" s="206" t="e">
        <f>+'Estimate Details'!#REF!</f>
        <v>#REF!</v>
      </c>
      <c r="I112" s="108" t="e">
        <f>+'Estimate Details'!#REF!</f>
        <v>#REF!</v>
      </c>
      <c r="J112" s="168" t="e">
        <f>+'Estimate Details'!#REF!</f>
        <v>#REF!</v>
      </c>
      <c r="K112" s="42" t="e">
        <f>+'Estimate Details'!#REF!</f>
        <v>#REF!</v>
      </c>
      <c r="L112" s="42" t="e">
        <f>+'Estimate Details'!#REF!</f>
        <v>#REF!</v>
      </c>
      <c r="M112" s="204" t="e">
        <f>+'Estimate Details'!#REF!</f>
        <v>#REF!</v>
      </c>
      <c r="N112" s="170" t="e">
        <f>+'Estimate Details'!#REF!</f>
        <v>#REF!</v>
      </c>
      <c r="O112" s="171" t="e">
        <f>+'Estimate Details'!#REF!</f>
        <v>#REF!</v>
      </c>
      <c r="P112" s="172" t="e">
        <f>+'Estimate Details'!#REF!</f>
        <v>#REF!</v>
      </c>
      <c r="Q112" s="173" t="e">
        <f>+'Estimate Details'!#REF!</f>
        <v>#REF!</v>
      </c>
      <c r="R112" s="174" t="e">
        <f>+'Estimate Details'!#REF!</f>
        <v>#REF!</v>
      </c>
      <c r="S112" s="507"/>
      <c r="T112" s="174" t="e">
        <f>+'Estimate Details'!#REF!</f>
        <v>#REF!</v>
      </c>
      <c r="U112" s="486" t="s">
        <v>1309</v>
      </c>
      <c r="V112" s="172" t="e">
        <f>+'Estimate Details'!#REF!</f>
        <v>#REF!</v>
      </c>
      <c r="W112" s="481" t="s">
        <v>1309</v>
      </c>
      <c r="X112" s="172" t="e">
        <f>+'Estimate Details'!#REF!</f>
        <v>#REF!</v>
      </c>
      <c r="Y112" s="172" t="e">
        <f>+'Estimate Details'!#REF!</f>
        <v>#REF!</v>
      </c>
      <c r="Z112" s="174" t="e">
        <f>+'Estimate Details'!#REF!</f>
        <v>#REF!</v>
      </c>
      <c r="AA112" s="481"/>
      <c r="AB112" s="175" t="e">
        <f>+'Estimate Details'!#REF!</f>
        <v>#REF!</v>
      </c>
      <c r="AC112" s="569"/>
      <c r="AD112" s="176" t="e">
        <f>+'Estimate Details'!#REF!</f>
        <v>#REF!</v>
      </c>
      <c r="AE112" s="156"/>
      <c r="AF112" s="156"/>
      <c r="AG112" s="156"/>
      <c r="AH112" s="156"/>
      <c r="AI112" s="29"/>
      <c r="AJ112" s="29"/>
      <c r="AK112" s="29"/>
      <c r="AL112" s="29"/>
    </row>
    <row r="113" spans="1:38">
      <c r="A113" s="116" t="e">
        <f>+'Estimate Details'!#REF!</f>
        <v>#REF!</v>
      </c>
      <c r="B113" s="116"/>
      <c r="C113" s="116"/>
      <c r="D113" s="166"/>
      <c r="E113" s="158" t="e">
        <f>+'Estimate Details'!#REF!</f>
        <v>#REF!</v>
      </c>
      <c r="F113" s="41"/>
      <c r="G113" s="117" t="e">
        <f>+'Estimate Details'!#REF!</f>
        <v>#REF!</v>
      </c>
      <c r="H113" s="118" t="e">
        <f>+'Estimate Details'!#REF!</f>
        <v>#REF!</v>
      </c>
      <c r="I113" s="108" t="e">
        <f>+'Estimate Details'!#REF!</f>
        <v>#REF!</v>
      </c>
      <c r="J113" s="168" t="e">
        <f>+'Estimate Details'!#REF!</f>
        <v>#REF!</v>
      </c>
      <c r="K113" s="42" t="e">
        <f>+'Estimate Details'!#REF!</f>
        <v>#REF!</v>
      </c>
      <c r="L113" s="42" t="e">
        <f>+'Estimate Details'!#REF!</f>
        <v>#REF!</v>
      </c>
      <c r="M113" s="204" t="e">
        <f>+'Estimate Details'!#REF!</f>
        <v>#REF!</v>
      </c>
      <c r="N113" s="170" t="e">
        <f>+'Estimate Details'!#REF!</f>
        <v>#REF!</v>
      </c>
      <c r="O113" s="171" t="e">
        <f>+'Estimate Details'!#REF!</f>
        <v>#REF!</v>
      </c>
      <c r="P113" s="172" t="e">
        <f>+'Estimate Details'!#REF!</f>
        <v>#REF!</v>
      </c>
      <c r="Q113" s="173" t="e">
        <f>+'Estimate Details'!#REF!</f>
        <v>#REF!</v>
      </c>
      <c r="R113" s="174" t="e">
        <f>+'Estimate Details'!#REF!</f>
        <v>#REF!</v>
      </c>
      <c r="S113" s="507"/>
      <c r="T113" s="174" t="e">
        <f>+'Estimate Details'!#REF!</f>
        <v>#REF!</v>
      </c>
      <c r="U113" s="486" t="s">
        <v>1309</v>
      </c>
      <c r="V113" s="172" t="e">
        <f>+'Estimate Details'!#REF!</f>
        <v>#REF!</v>
      </c>
      <c r="W113" s="481" t="s">
        <v>1309</v>
      </c>
      <c r="X113" s="172" t="e">
        <f>+'Estimate Details'!#REF!</f>
        <v>#REF!</v>
      </c>
      <c r="Y113" s="172" t="e">
        <f>+'Estimate Details'!#REF!</f>
        <v>#REF!</v>
      </c>
      <c r="Z113" s="174" t="e">
        <f>+'Estimate Details'!#REF!</f>
        <v>#REF!</v>
      </c>
      <c r="AA113" s="481"/>
      <c r="AB113" s="175" t="e">
        <f>+'Estimate Details'!#REF!</f>
        <v>#REF!</v>
      </c>
      <c r="AC113" s="569"/>
      <c r="AD113" s="176" t="e">
        <f>+'Estimate Details'!#REF!</f>
        <v>#REF!</v>
      </c>
      <c r="AE113" s="156"/>
      <c r="AF113" s="156"/>
      <c r="AG113" s="156"/>
      <c r="AH113" s="156"/>
      <c r="AI113" s="29"/>
      <c r="AJ113" s="29"/>
      <c r="AK113" s="29"/>
      <c r="AL113" s="29"/>
    </row>
    <row r="114" spans="1:38">
      <c r="A114" s="116" t="e">
        <f>+'Estimate Details'!#REF!</f>
        <v>#REF!</v>
      </c>
      <c r="B114" s="116"/>
      <c r="C114" s="116"/>
      <c r="D114" s="166"/>
      <c r="E114" s="158" t="e">
        <f>+'Estimate Details'!#REF!</f>
        <v>#REF!</v>
      </c>
      <c r="F114" s="41"/>
      <c r="G114" s="117" t="e">
        <f>+'Estimate Details'!#REF!</f>
        <v>#REF!</v>
      </c>
      <c r="H114" s="118" t="e">
        <f>+'Estimate Details'!#REF!</f>
        <v>#REF!</v>
      </c>
      <c r="I114" s="108" t="e">
        <f>+'Estimate Details'!#REF!</f>
        <v>#REF!</v>
      </c>
      <c r="J114" s="168" t="e">
        <f>+'Estimate Details'!#REF!</f>
        <v>#REF!</v>
      </c>
      <c r="K114" s="42" t="e">
        <f>+'Estimate Details'!#REF!</f>
        <v>#REF!</v>
      </c>
      <c r="L114" s="42" t="e">
        <f>+'Estimate Details'!#REF!</f>
        <v>#REF!</v>
      </c>
      <c r="M114" s="204" t="e">
        <f>+'Estimate Details'!#REF!</f>
        <v>#REF!</v>
      </c>
      <c r="N114" s="170" t="e">
        <f>+'Estimate Details'!#REF!</f>
        <v>#REF!</v>
      </c>
      <c r="O114" s="171" t="e">
        <f>+'Estimate Details'!#REF!</f>
        <v>#REF!</v>
      </c>
      <c r="P114" s="172" t="e">
        <f>+'Estimate Details'!#REF!</f>
        <v>#REF!</v>
      </c>
      <c r="Q114" s="173" t="e">
        <f>+'Estimate Details'!#REF!</f>
        <v>#REF!</v>
      </c>
      <c r="R114" s="174" t="e">
        <f>+'Estimate Details'!#REF!</f>
        <v>#REF!</v>
      </c>
      <c r="S114" s="507"/>
      <c r="T114" s="174" t="e">
        <f>+'Estimate Details'!#REF!</f>
        <v>#REF!</v>
      </c>
      <c r="U114" s="486" t="s">
        <v>1309</v>
      </c>
      <c r="V114" s="172" t="e">
        <f>+'Estimate Details'!#REF!</f>
        <v>#REF!</v>
      </c>
      <c r="W114" s="481" t="s">
        <v>1309</v>
      </c>
      <c r="X114" s="172" t="e">
        <f>+'Estimate Details'!#REF!</f>
        <v>#REF!</v>
      </c>
      <c r="Y114" s="172" t="e">
        <f>+'Estimate Details'!#REF!</f>
        <v>#REF!</v>
      </c>
      <c r="Z114" s="174" t="e">
        <f>+'Estimate Details'!#REF!</f>
        <v>#REF!</v>
      </c>
      <c r="AA114" s="481"/>
      <c r="AB114" s="175" t="e">
        <f>+'Estimate Details'!#REF!</f>
        <v>#REF!</v>
      </c>
      <c r="AC114" s="569"/>
      <c r="AD114" s="176" t="e">
        <f>+'Estimate Details'!#REF!</f>
        <v>#REF!</v>
      </c>
      <c r="AE114" s="156"/>
      <c r="AF114" s="156"/>
      <c r="AG114" s="156"/>
      <c r="AH114" s="156"/>
      <c r="AI114" s="29"/>
      <c r="AJ114" s="29"/>
      <c r="AK114" s="29"/>
      <c r="AL114" s="29"/>
    </row>
    <row r="115" spans="1:38">
      <c r="A115" s="116" t="e">
        <f>+'Estimate Details'!#REF!</f>
        <v>#REF!</v>
      </c>
      <c r="B115" s="116"/>
      <c r="C115" s="116"/>
      <c r="D115" s="346"/>
      <c r="E115" s="158" t="e">
        <f>+'Estimate Details'!#REF!</f>
        <v>#REF!</v>
      </c>
      <c r="F115" s="41"/>
      <c r="G115" s="375" t="e">
        <f>+'Estimate Details'!#REF!</f>
        <v>#REF!</v>
      </c>
      <c r="H115" s="383" t="e">
        <f>+'Estimate Details'!#REF!</f>
        <v>#REF!</v>
      </c>
      <c r="I115" s="108" t="e">
        <f>+'Estimate Details'!#REF!</f>
        <v>#REF!</v>
      </c>
      <c r="J115" s="168" t="e">
        <f>+'Estimate Details'!#REF!</f>
        <v>#REF!</v>
      </c>
      <c r="K115" s="42" t="e">
        <f>+'Estimate Details'!#REF!</f>
        <v>#REF!</v>
      </c>
      <c r="L115" s="42" t="e">
        <f>+'Estimate Details'!#REF!</f>
        <v>#REF!</v>
      </c>
      <c r="M115" s="204" t="e">
        <f>+'Estimate Details'!#REF!</f>
        <v>#REF!</v>
      </c>
      <c r="N115" s="170" t="e">
        <f>+'Estimate Details'!#REF!</f>
        <v>#REF!</v>
      </c>
      <c r="O115" s="171" t="e">
        <f>+'Estimate Details'!#REF!</f>
        <v>#REF!</v>
      </c>
      <c r="P115" s="172" t="e">
        <f>+'Estimate Details'!#REF!</f>
        <v>#REF!</v>
      </c>
      <c r="Q115" s="173" t="e">
        <f>+'Estimate Details'!#REF!</f>
        <v>#REF!</v>
      </c>
      <c r="R115" s="174" t="e">
        <f>+'Estimate Details'!#REF!</f>
        <v>#REF!</v>
      </c>
      <c r="S115" s="507"/>
      <c r="T115" s="174" t="e">
        <f>+'Estimate Details'!#REF!</f>
        <v>#REF!</v>
      </c>
      <c r="U115" s="486" t="s">
        <v>1309</v>
      </c>
      <c r="V115" s="172" t="e">
        <f>+'Estimate Details'!#REF!</f>
        <v>#REF!</v>
      </c>
      <c r="W115" s="481" t="s">
        <v>1309</v>
      </c>
      <c r="X115" s="172" t="e">
        <f>+'Estimate Details'!#REF!</f>
        <v>#REF!</v>
      </c>
      <c r="Y115" s="172" t="e">
        <f>+'Estimate Details'!#REF!</f>
        <v>#REF!</v>
      </c>
      <c r="Z115" s="174" t="e">
        <f>+'Estimate Details'!#REF!</f>
        <v>#REF!</v>
      </c>
      <c r="AA115" s="481"/>
      <c r="AB115" s="175" t="e">
        <f>+'Estimate Details'!#REF!</f>
        <v>#REF!</v>
      </c>
      <c r="AC115" s="569"/>
      <c r="AD115" s="176" t="e">
        <f>+'Estimate Details'!#REF!</f>
        <v>#REF!</v>
      </c>
      <c r="AE115" s="156"/>
      <c r="AF115" s="156"/>
      <c r="AG115" s="156"/>
      <c r="AH115" s="156"/>
      <c r="AI115" s="29"/>
      <c r="AJ115" s="29"/>
      <c r="AK115" s="29"/>
      <c r="AL115" s="29"/>
    </row>
    <row r="116" spans="1:38" ht="14.25" customHeight="1">
      <c r="A116" s="116" t="e">
        <f>+'Estimate Details'!#REF!</f>
        <v>#REF!</v>
      </c>
      <c r="B116" s="116"/>
      <c r="C116" s="116"/>
      <c r="D116" s="347"/>
      <c r="E116" s="158" t="e">
        <f>+'Estimate Details'!#REF!</f>
        <v>#REF!</v>
      </c>
      <c r="F116" s="41"/>
      <c r="G116" s="117" t="e">
        <f>+'Estimate Details'!#REF!</f>
        <v>#REF!</v>
      </c>
      <c r="H116" s="118" t="e">
        <f>+'Estimate Details'!#REF!</f>
        <v>#REF!</v>
      </c>
      <c r="I116" s="208" t="e">
        <f>+'Estimate Details'!#REF!</f>
        <v>#REF!</v>
      </c>
      <c r="J116" s="168" t="e">
        <f>+'Estimate Details'!#REF!</f>
        <v>#REF!</v>
      </c>
      <c r="K116" s="42" t="e">
        <f>+'Estimate Details'!#REF!</f>
        <v>#REF!</v>
      </c>
      <c r="L116" s="42" t="e">
        <f>+'Estimate Details'!#REF!</f>
        <v>#REF!</v>
      </c>
      <c r="M116" s="204" t="e">
        <f>+'Estimate Details'!#REF!</f>
        <v>#REF!</v>
      </c>
      <c r="N116" s="170" t="e">
        <f>+'Estimate Details'!#REF!</f>
        <v>#REF!</v>
      </c>
      <c r="O116" s="171" t="e">
        <f>+'Estimate Details'!#REF!</f>
        <v>#REF!</v>
      </c>
      <c r="P116" s="172" t="e">
        <f>+'Estimate Details'!#REF!</f>
        <v>#REF!</v>
      </c>
      <c r="Q116" s="173" t="e">
        <f>+'Estimate Details'!#REF!</f>
        <v>#REF!</v>
      </c>
      <c r="R116" s="174" t="e">
        <f>+'Estimate Details'!#REF!</f>
        <v>#REF!</v>
      </c>
      <c r="S116" s="507"/>
      <c r="T116" s="174" t="e">
        <f>+'Estimate Details'!#REF!</f>
        <v>#REF!</v>
      </c>
      <c r="U116" s="486" t="s">
        <v>1309</v>
      </c>
      <c r="V116" s="172" t="e">
        <f>+'Estimate Details'!#REF!</f>
        <v>#REF!</v>
      </c>
      <c r="W116" s="481" t="s">
        <v>1309</v>
      </c>
      <c r="X116" s="172" t="e">
        <f>+'Estimate Details'!#REF!</f>
        <v>#REF!</v>
      </c>
      <c r="Y116" s="172" t="e">
        <f>+'Estimate Details'!#REF!</f>
        <v>#REF!</v>
      </c>
      <c r="Z116" s="174" t="e">
        <f>+'Estimate Details'!#REF!</f>
        <v>#REF!</v>
      </c>
      <c r="AA116" s="481"/>
      <c r="AB116" s="175" t="e">
        <f>+'Estimate Details'!#REF!</f>
        <v>#REF!</v>
      </c>
      <c r="AC116" s="569"/>
      <c r="AD116" s="176" t="e">
        <f>+'Estimate Details'!#REF!</f>
        <v>#REF!</v>
      </c>
      <c r="AE116" s="156"/>
      <c r="AF116" s="156"/>
      <c r="AG116" s="156"/>
      <c r="AH116" s="156"/>
      <c r="AI116" s="29"/>
      <c r="AJ116" s="29"/>
      <c r="AK116" s="29"/>
      <c r="AL116" s="29"/>
    </row>
    <row r="117" spans="1:38" ht="14.1" customHeight="1">
      <c r="A117" s="116" t="e">
        <f>+'Estimate Details'!#REF!</f>
        <v>#REF!</v>
      </c>
      <c r="B117" s="116"/>
      <c r="C117" s="116"/>
      <c r="D117" s="166"/>
      <c r="E117" s="158" t="e">
        <f>+'Estimate Details'!#REF!</f>
        <v>#REF!</v>
      </c>
      <c r="F117" s="41"/>
      <c r="G117" s="117" t="e">
        <f>+'Estimate Details'!#REF!</f>
        <v>#REF!</v>
      </c>
      <c r="H117" s="206" t="e">
        <f>+'Estimate Details'!#REF!</f>
        <v>#REF!</v>
      </c>
      <c r="I117" s="208" t="e">
        <f>+'Estimate Details'!#REF!</f>
        <v>#REF!</v>
      </c>
      <c r="J117" s="168" t="e">
        <f>+'Estimate Details'!#REF!</f>
        <v>#REF!</v>
      </c>
      <c r="K117" s="42" t="e">
        <f>+'Estimate Details'!#REF!</f>
        <v>#REF!</v>
      </c>
      <c r="L117" s="42" t="e">
        <f>+'Estimate Details'!#REF!</f>
        <v>#REF!</v>
      </c>
      <c r="M117" s="204" t="e">
        <f>+'Estimate Details'!#REF!</f>
        <v>#REF!</v>
      </c>
      <c r="N117" s="170" t="e">
        <f>+'Estimate Details'!#REF!</f>
        <v>#REF!</v>
      </c>
      <c r="O117" s="171" t="e">
        <f>+'Estimate Details'!#REF!</f>
        <v>#REF!</v>
      </c>
      <c r="P117" s="172" t="e">
        <f>+'Estimate Details'!#REF!</f>
        <v>#REF!</v>
      </c>
      <c r="Q117" s="173" t="e">
        <f>+'Estimate Details'!#REF!</f>
        <v>#REF!</v>
      </c>
      <c r="R117" s="174" t="e">
        <f>+'Estimate Details'!#REF!</f>
        <v>#REF!</v>
      </c>
      <c r="S117" s="507"/>
      <c r="T117" s="174" t="e">
        <f>+'Estimate Details'!#REF!</f>
        <v>#REF!</v>
      </c>
      <c r="U117" s="486" t="s">
        <v>1309</v>
      </c>
      <c r="V117" s="172" t="e">
        <f>+'Estimate Details'!#REF!</f>
        <v>#REF!</v>
      </c>
      <c r="W117" s="481" t="s">
        <v>1309</v>
      </c>
      <c r="X117" s="172" t="e">
        <f>+'Estimate Details'!#REF!</f>
        <v>#REF!</v>
      </c>
      <c r="Y117" s="172" t="e">
        <f>+'Estimate Details'!#REF!</f>
        <v>#REF!</v>
      </c>
      <c r="Z117" s="174" t="e">
        <f>+'Estimate Details'!#REF!</f>
        <v>#REF!</v>
      </c>
      <c r="AA117" s="481"/>
      <c r="AB117" s="175" t="e">
        <f>+'Estimate Details'!#REF!</f>
        <v>#REF!</v>
      </c>
      <c r="AC117" s="569"/>
      <c r="AD117" s="176" t="e">
        <f>+'Estimate Details'!#REF!</f>
        <v>#REF!</v>
      </c>
      <c r="AE117" s="156"/>
      <c r="AF117" s="215"/>
      <c r="AG117" s="156"/>
      <c r="AH117" s="156"/>
      <c r="AI117" s="29"/>
      <c r="AJ117" s="29"/>
      <c r="AK117" s="29"/>
      <c r="AL117" s="29"/>
    </row>
    <row r="118" spans="1:38" ht="14.1" customHeight="1">
      <c r="A118" s="116" t="e">
        <f>+'Estimate Details'!#REF!</f>
        <v>#REF!</v>
      </c>
      <c r="B118" s="116"/>
      <c r="C118" s="116"/>
      <c r="D118" s="166"/>
      <c r="E118" s="158" t="e">
        <f>+'Estimate Details'!#REF!</f>
        <v>#REF!</v>
      </c>
      <c r="F118" s="41"/>
      <c r="G118" s="117" t="e">
        <f>+'Estimate Details'!#REF!</f>
        <v>#REF!</v>
      </c>
      <c r="H118" s="206" t="e">
        <f>+'Estimate Details'!#REF!</f>
        <v>#REF!</v>
      </c>
      <c r="I118" s="108" t="e">
        <f>+'Estimate Details'!#REF!</f>
        <v>#REF!</v>
      </c>
      <c r="J118" s="168" t="e">
        <f>+'Estimate Details'!#REF!</f>
        <v>#REF!</v>
      </c>
      <c r="K118" s="42" t="e">
        <f>+'Estimate Details'!#REF!</f>
        <v>#REF!</v>
      </c>
      <c r="L118" s="42" t="e">
        <f>+'Estimate Details'!#REF!</f>
        <v>#REF!</v>
      </c>
      <c r="M118" s="204" t="e">
        <f>+'Estimate Details'!#REF!</f>
        <v>#REF!</v>
      </c>
      <c r="N118" s="170" t="e">
        <f>+'Estimate Details'!#REF!</f>
        <v>#REF!</v>
      </c>
      <c r="O118" s="171" t="e">
        <f>+'Estimate Details'!#REF!</f>
        <v>#REF!</v>
      </c>
      <c r="P118" s="172" t="e">
        <f>+'Estimate Details'!#REF!</f>
        <v>#REF!</v>
      </c>
      <c r="Q118" s="173" t="e">
        <f>+'Estimate Details'!#REF!</f>
        <v>#REF!</v>
      </c>
      <c r="R118" s="174" t="e">
        <f>+'Estimate Details'!#REF!</f>
        <v>#REF!</v>
      </c>
      <c r="S118" s="507"/>
      <c r="T118" s="174" t="e">
        <f>+'Estimate Details'!#REF!</f>
        <v>#REF!</v>
      </c>
      <c r="U118" s="486" t="s">
        <v>1309</v>
      </c>
      <c r="V118" s="172" t="e">
        <f>+'Estimate Details'!#REF!</f>
        <v>#REF!</v>
      </c>
      <c r="W118" s="481" t="s">
        <v>1309</v>
      </c>
      <c r="X118" s="172" t="e">
        <f>+'Estimate Details'!#REF!</f>
        <v>#REF!</v>
      </c>
      <c r="Y118" s="172" t="e">
        <f>+'Estimate Details'!#REF!</f>
        <v>#REF!</v>
      </c>
      <c r="Z118" s="174" t="e">
        <f>+'Estimate Details'!#REF!</f>
        <v>#REF!</v>
      </c>
      <c r="AA118" s="481"/>
      <c r="AB118" s="175" t="e">
        <f>+'Estimate Details'!#REF!</f>
        <v>#REF!</v>
      </c>
      <c r="AC118" s="569"/>
      <c r="AD118" s="176" t="e">
        <f>+'Estimate Details'!#REF!</f>
        <v>#REF!</v>
      </c>
      <c r="AE118" s="156"/>
      <c r="AF118" s="215"/>
      <c r="AG118" s="156"/>
      <c r="AH118" s="156"/>
      <c r="AI118" s="29"/>
      <c r="AJ118" s="29"/>
      <c r="AK118" s="29"/>
      <c r="AL118" s="29"/>
    </row>
    <row r="119" spans="1:38" ht="14.1" customHeight="1">
      <c r="A119" s="116" t="e">
        <f>+'Estimate Details'!#REF!</f>
        <v>#REF!</v>
      </c>
      <c r="B119" s="116"/>
      <c r="C119" s="116"/>
      <c r="D119" s="166"/>
      <c r="E119" s="158" t="e">
        <f>+'Estimate Details'!#REF!</f>
        <v>#REF!</v>
      </c>
      <c r="F119" s="41"/>
      <c r="G119" s="117" t="e">
        <f>+'Estimate Details'!#REF!</f>
        <v>#REF!</v>
      </c>
      <c r="H119" s="206" t="e">
        <f>+'Estimate Details'!#REF!</f>
        <v>#REF!</v>
      </c>
      <c r="I119" s="108" t="e">
        <f>+'Estimate Details'!#REF!</f>
        <v>#REF!</v>
      </c>
      <c r="J119" s="168" t="e">
        <f>+'Estimate Details'!#REF!</f>
        <v>#REF!</v>
      </c>
      <c r="K119" s="42" t="e">
        <f>+'Estimate Details'!#REF!</f>
        <v>#REF!</v>
      </c>
      <c r="L119" s="42" t="e">
        <f>+'Estimate Details'!#REF!</f>
        <v>#REF!</v>
      </c>
      <c r="M119" s="204" t="e">
        <f>+'Estimate Details'!#REF!</f>
        <v>#REF!</v>
      </c>
      <c r="N119" s="170" t="e">
        <f>+'Estimate Details'!#REF!</f>
        <v>#REF!</v>
      </c>
      <c r="O119" s="171" t="e">
        <f>+'Estimate Details'!#REF!</f>
        <v>#REF!</v>
      </c>
      <c r="P119" s="172" t="e">
        <f>+'Estimate Details'!#REF!</f>
        <v>#REF!</v>
      </c>
      <c r="Q119" s="173" t="e">
        <f>+'Estimate Details'!#REF!</f>
        <v>#REF!</v>
      </c>
      <c r="R119" s="174" t="e">
        <f>+'Estimate Details'!#REF!</f>
        <v>#REF!</v>
      </c>
      <c r="S119" s="507"/>
      <c r="T119" s="174" t="e">
        <f>+'Estimate Details'!#REF!</f>
        <v>#REF!</v>
      </c>
      <c r="U119" s="486" t="s">
        <v>1309</v>
      </c>
      <c r="V119" s="172" t="e">
        <f>+'Estimate Details'!#REF!</f>
        <v>#REF!</v>
      </c>
      <c r="W119" s="481" t="s">
        <v>1309</v>
      </c>
      <c r="X119" s="172" t="e">
        <f>+'Estimate Details'!#REF!</f>
        <v>#REF!</v>
      </c>
      <c r="Y119" s="172" t="e">
        <f>+'Estimate Details'!#REF!</f>
        <v>#REF!</v>
      </c>
      <c r="Z119" s="174" t="e">
        <f>+'Estimate Details'!#REF!</f>
        <v>#REF!</v>
      </c>
      <c r="AA119" s="481"/>
      <c r="AB119" s="175" t="e">
        <f>+'Estimate Details'!#REF!</f>
        <v>#REF!</v>
      </c>
      <c r="AC119" s="569"/>
      <c r="AD119" s="176" t="e">
        <f>+'Estimate Details'!#REF!</f>
        <v>#REF!</v>
      </c>
      <c r="AE119" s="156"/>
      <c r="AF119" s="215"/>
      <c r="AG119" s="156"/>
      <c r="AH119" s="156"/>
      <c r="AI119" s="29"/>
      <c r="AJ119" s="29"/>
      <c r="AK119" s="29"/>
      <c r="AL119" s="29"/>
    </row>
    <row r="120" spans="1:38" ht="13.5" customHeight="1">
      <c r="A120" s="116" t="e">
        <f>+'Estimate Details'!#REF!</f>
        <v>#REF!</v>
      </c>
      <c r="B120" s="116"/>
      <c r="C120" s="116"/>
      <c r="D120" s="166"/>
      <c r="E120" s="158" t="e">
        <f>+'Estimate Details'!#REF!</f>
        <v>#REF!</v>
      </c>
      <c r="F120" s="41"/>
      <c r="G120" s="205" t="e">
        <f>+'Estimate Details'!#REF!</f>
        <v>#REF!</v>
      </c>
      <c r="H120" s="206" t="e">
        <f>+'Estimate Details'!#REF!</f>
        <v>#REF!</v>
      </c>
      <c r="I120" s="108" t="e">
        <f>+'Estimate Details'!#REF!</f>
        <v>#REF!</v>
      </c>
      <c r="J120" s="207" t="e">
        <f>+'Estimate Details'!#REF!</f>
        <v>#REF!</v>
      </c>
      <c r="K120" s="42" t="e">
        <f>+'Estimate Details'!#REF!</f>
        <v>#REF!</v>
      </c>
      <c r="L120" s="42" t="e">
        <f>+'Estimate Details'!#REF!</f>
        <v>#REF!</v>
      </c>
      <c r="M120" s="204" t="e">
        <f>+'Estimate Details'!#REF!</f>
        <v>#REF!</v>
      </c>
      <c r="N120" s="170" t="e">
        <f>+'Estimate Details'!#REF!</f>
        <v>#REF!</v>
      </c>
      <c r="O120" s="171" t="e">
        <f>+'Estimate Details'!#REF!</f>
        <v>#REF!</v>
      </c>
      <c r="P120" s="172" t="e">
        <f>+'Estimate Details'!#REF!</f>
        <v>#REF!</v>
      </c>
      <c r="Q120" s="173" t="e">
        <f>+'Estimate Details'!#REF!</f>
        <v>#REF!</v>
      </c>
      <c r="R120" s="174" t="e">
        <f>+'Estimate Details'!#REF!</f>
        <v>#REF!</v>
      </c>
      <c r="S120" s="507"/>
      <c r="T120" s="174" t="e">
        <f>+'Estimate Details'!#REF!</f>
        <v>#REF!</v>
      </c>
      <c r="U120" s="486" t="s">
        <v>1309</v>
      </c>
      <c r="V120" s="172" t="e">
        <f>+'Estimate Details'!#REF!</f>
        <v>#REF!</v>
      </c>
      <c r="W120" s="481" t="s">
        <v>1309</v>
      </c>
      <c r="X120" s="172" t="e">
        <f>+'Estimate Details'!#REF!</f>
        <v>#REF!</v>
      </c>
      <c r="Y120" s="172" t="e">
        <f>+'Estimate Details'!#REF!</f>
        <v>#REF!</v>
      </c>
      <c r="Z120" s="174" t="e">
        <f>+'Estimate Details'!#REF!</f>
        <v>#REF!</v>
      </c>
      <c r="AA120" s="481"/>
      <c r="AB120" s="175" t="e">
        <f>+'Estimate Details'!#REF!</f>
        <v>#REF!</v>
      </c>
      <c r="AC120" s="569"/>
      <c r="AD120" s="176" t="e">
        <f>+'Estimate Details'!#REF!</f>
        <v>#REF!</v>
      </c>
      <c r="AE120" s="156"/>
      <c r="AF120" s="215"/>
      <c r="AG120" s="156"/>
      <c r="AH120" s="156"/>
      <c r="AI120" s="29"/>
      <c r="AJ120" s="29"/>
      <c r="AK120" s="29"/>
      <c r="AL120" s="29"/>
    </row>
    <row r="121" spans="1:38" ht="14.1" customHeight="1">
      <c r="A121" s="116" t="e">
        <f>+'Estimate Details'!#REF!</f>
        <v>#REF!</v>
      </c>
      <c r="B121" s="116"/>
      <c r="C121" s="116"/>
      <c r="D121" s="166"/>
      <c r="E121" s="158" t="e">
        <f>+'Estimate Details'!#REF!</f>
        <v>#REF!</v>
      </c>
      <c r="F121" s="41"/>
      <c r="G121" s="117" t="e">
        <f>+'Estimate Details'!#REF!</f>
        <v>#REF!</v>
      </c>
      <c r="H121" s="206" t="e">
        <f>+'Estimate Details'!#REF!</f>
        <v>#REF!</v>
      </c>
      <c r="I121" s="108" t="e">
        <f>+'Estimate Details'!#REF!</f>
        <v>#REF!</v>
      </c>
      <c r="J121" s="168" t="e">
        <f>+'Estimate Details'!#REF!</f>
        <v>#REF!</v>
      </c>
      <c r="K121" s="42" t="e">
        <f>+'Estimate Details'!#REF!</f>
        <v>#REF!</v>
      </c>
      <c r="L121" s="42" t="e">
        <f>+'Estimate Details'!#REF!</f>
        <v>#REF!</v>
      </c>
      <c r="M121" s="204" t="e">
        <f>+'Estimate Details'!#REF!</f>
        <v>#REF!</v>
      </c>
      <c r="N121" s="170" t="e">
        <f>+'Estimate Details'!#REF!</f>
        <v>#REF!</v>
      </c>
      <c r="O121" s="171" t="e">
        <f>+'Estimate Details'!#REF!</f>
        <v>#REF!</v>
      </c>
      <c r="P121" s="172" t="e">
        <f>+'Estimate Details'!#REF!</f>
        <v>#REF!</v>
      </c>
      <c r="Q121" s="173" t="e">
        <f>+'Estimate Details'!#REF!</f>
        <v>#REF!</v>
      </c>
      <c r="R121" s="174" t="e">
        <f>+'Estimate Details'!#REF!</f>
        <v>#REF!</v>
      </c>
      <c r="S121" s="507"/>
      <c r="T121" s="174" t="e">
        <f>+'Estimate Details'!#REF!</f>
        <v>#REF!</v>
      </c>
      <c r="U121" s="486" t="s">
        <v>1309</v>
      </c>
      <c r="V121" s="172" t="e">
        <f>+'Estimate Details'!#REF!</f>
        <v>#REF!</v>
      </c>
      <c r="W121" s="481" t="s">
        <v>1309</v>
      </c>
      <c r="X121" s="172" t="e">
        <f>+'Estimate Details'!#REF!</f>
        <v>#REF!</v>
      </c>
      <c r="Y121" s="172" t="e">
        <f>+'Estimate Details'!#REF!</f>
        <v>#REF!</v>
      </c>
      <c r="Z121" s="174" t="e">
        <f>+'Estimate Details'!#REF!</f>
        <v>#REF!</v>
      </c>
      <c r="AA121" s="481"/>
      <c r="AB121" s="175" t="e">
        <f>+'Estimate Details'!#REF!</f>
        <v>#REF!</v>
      </c>
      <c r="AC121" s="569"/>
      <c r="AD121" s="176" t="e">
        <f>+'Estimate Details'!#REF!</f>
        <v>#REF!</v>
      </c>
      <c r="AE121" s="156"/>
      <c r="AF121" s="215"/>
      <c r="AG121" s="156"/>
      <c r="AH121" s="156"/>
      <c r="AI121" s="29"/>
      <c r="AJ121" s="29"/>
      <c r="AK121" s="29"/>
      <c r="AL121" s="29"/>
    </row>
    <row r="122" spans="1:38" ht="14.1" customHeight="1">
      <c r="A122" s="116" t="e">
        <f>+'Estimate Details'!#REF!</f>
        <v>#REF!</v>
      </c>
      <c r="B122" s="116"/>
      <c r="C122" s="116"/>
      <c r="D122" s="166"/>
      <c r="E122" s="158" t="e">
        <f>+'Estimate Details'!#REF!</f>
        <v>#REF!</v>
      </c>
      <c r="F122" s="41"/>
      <c r="G122" s="117" t="e">
        <f>+'Estimate Details'!#REF!</f>
        <v>#REF!</v>
      </c>
      <c r="H122" s="206" t="e">
        <f>+'Estimate Details'!#REF!</f>
        <v>#REF!</v>
      </c>
      <c r="I122" s="108" t="e">
        <f>+'Estimate Details'!#REF!</f>
        <v>#REF!</v>
      </c>
      <c r="J122" s="168" t="e">
        <f>+'Estimate Details'!#REF!</f>
        <v>#REF!</v>
      </c>
      <c r="K122" s="42" t="e">
        <f>+'Estimate Details'!#REF!</f>
        <v>#REF!</v>
      </c>
      <c r="L122" s="42" t="e">
        <f>+'Estimate Details'!#REF!</f>
        <v>#REF!</v>
      </c>
      <c r="M122" s="204" t="e">
        <f>+'Estimate Details'!#REF!</f>
        <v>#REF!</v>
      </c>
      <c r="N122" s="170" t="e">
        <f>+'Estimate Details'!#REF!</f>
        <v>#REF!</v>
      </c>
      <c r="O122" s="171" t="e">
        <f>+'Estimate Details'!#REF!</f>
        <v>#REF!</v>
      </c>
      <c r="P122" s="172" t="e">
        <f>+'Estimate Details'!#REF!</f>
        <v>#REF!</v>
      </c>
      <c r="Q122" s="173" t="e">
        <f>+'Estimate Details'!#REF!</f>
        <v>#REF!</v>
      </c>
      <c r="R122" s="174" t="e">
        <f>+'Estimate Details'!#REF!</f>
        <v>#REF!</v>
      </c>
      <c r="S122" s="507"/>
      <c r="T122" s="174" t="e">
        <f>+'Estimate Details'!#REF!</f>
        <v>#REF!</v>
      </c>
      <c r="U122" s="486" t="s">
        <v>1309</v>
      </c>
      <c r="V122" s="172" t="e">
        <f>+'Estimate Details'!#REF!</f>
        <v>#REF!</v>
      </c>
      <c r="W122" s="481" t="s">
        <v>1309</v>
      </c>
      <c r="X122" s="172" t="e">
        <f>+'Estimate Details'!#REF!</f>
        <v>#REF!</v>
      </c>
      <c r="Y122" s="172" t="e">
        <f>+'Estimate Details'!#REF!</f>
        <v>#REF!</v>
      </c>
      <c r="Z122" s="174" t="e">
        <f>+'Estimate Details'!#REF!</f>
        <v>#REF!</v>
      </c>
      <c r="AA122" s="481"/>
      <c r="AB122" s="175" t="e">
        <f>+'Estimate Details'!#REF!</f>
        <v>#REF!</v>
      </c>
      <c r="AC122" s="569"/>
      <c r="AD122" s="176" t="e">
        <f>+'Estimate Details'!#REF!</f>
        <v>#REF!</v>
      </c>
      <c r="AE122" s="156"/>
      <c r="AF122" s="215"/>
      <c r="AG122" s="156"/>
      <c r="AH122" s="156"/>
      <c r="AI122" s="29"/>
      <c r="AJ122" s="29"/>
      <c r="AK122" s="29"/>
      <c r="AL122" s="29"/>
    </row>
    <row r="123" spans="1:38" ht="14.1" customHeight="1">
      <c r="A123" s="116" t="e">
        <f>+'Estimate Details'!#REF!</f>
        <v>#REF!</v>
      </c>
      <c r="B123" s="116"/>
      <c r="C123" s="116"/>
      <c r="D123" s="166"/>
      <c r="E123" s="158" t="e">
        <f>+'Estimate Details'!#REF!</f>
        <v>#REF!</v>
      </c>
      <c r="F123" s="41"/>
      <c r="G123" s="117" t="e">
        <f>+'Estimate Details'!#REF!</f>
        <v>#REF!</v>
      </c>
      <c r="H123" s="206" t="e">
        <f>+'Estimate Details'!#REF!</f>
        <v>#REF!</v>
      </c>
      <c r="I123" s="108" t="e">
        <f>+'Estimate Details'!#REF!</f>
        <v>#REF!</v>
      </c>
      <c r="J123" s="168" t="e">
        <f>+'Estimate Details'!#REF!</f>
        <v>#REF!</v>
      </c>
      <c r="K123" s="42" t="e">
        <f>+'Estimate Details'!#REF!</f>
        <v>#REF!</v>
      </c>
      <c r="L123" s="42" t="e">
        <f>+'Estimate Details'!#REF!</f>
        <v>#REF!</v>
      </c>
      <c r="M123" s="204" t="e">
        <f>+'Estimate Details'!#REF!</f>
        <v>#REF!</v>
      </c>
      <c r="N123" s="170" t="e">
        <f>+'Estimate Details'!#REF!</f>
        <v>#REF!</v>
      </c>
      <c r="O123" s="171" t="e">
        <f>+'Estimate Details'!#REF!</f>
        <v>#REF!</v>
      </c>
      <c r="P123" s="172" t="e">
        <f>+'Estimate Details'!#REF!</f>
        <v>#REF!</v>
      </c>
      <c r="Q123" s="173" t="e">
        <f>+'Estimate Details'!#REF!</f>
        <v>#REF!</v>
      </c>
      <c r="R123" s="174" t="e">
        <f>+'Estimate Details'!#REF!</f>
        <v>#REF!</v>
      </c>
      <c r="S123" s="507"/>
      <c r="T123" s="174" t="e">
        <f>+'Estimate Details'!#REF!</f>
        <v>#REF!</v>
      </c>
      <c r="U123" s="486" t="s">
        <v>1309</v>
      </c>
      <c r="V123" s="172" t="e">
        <f>+'Estimate Details'!#REF!</f>
        <v>#REF!</v>
      </c>
      <c r="W123" s="481" t="s">
        <v>1309</v>
      </c>
      <c r="X123" s="172" t="e">
        <f>+'Estimate Details'!#REF!</f>
        <v>#REF!</v>
      </c>
      <c r="Y123" s="172" t="e">
        <f>+'Estimate Details'!#REF!</f>
        <v>#REF!</v>
      </c>
      <c r="Z123" s="174" t="e">
        <f>+'Estimate Details'!#REF!</f>
        <v>#REF!</v>
      </c>
      <c r="AA123" s="481"/>
      <c r="AB123" s="175" t="e">
        <f>+'Estimate Details'!#REF!</f>
        <v>#REF!</v>
      </c>
      <c r="AC123" s="569"/>
      <c r="AD123" s="176" t="e">
        <f>+'Estimate Details'!#REF!</f>
        <v>#REF!</v>
      </c>
      <c r="AE123" s="156"/>
      <c r="AF123" s="215"/>
      <c r="AG123" s="156"/>
      <c r="AH123" s="156"/>
      <c r="AI123" s="29"/>
      <c r="AJ123" s="29"/>
      <c r="AK123" s="29"/>
      <c r="AL123" s="29"/>
    </row>
    <row r="124" spans="1:38" ht="14.1" customHeight="1">
      <c r="A124" s="116" t="e">
        <f>+'Estimate Details'!#REF!</f>
        <v>#REF!</v>
      </c>
      <c r="B124" s="116"/>
      <c r="C124" s="116"/>
      <c r="D124" s="166"/>
      <c r="E124" s="158" t="e">
        <f>+'Estimate Details'!#REF!</f>
        <v>#REF!</v>
      </c>
      <c r="F124" s="41"/>
      <c r="G124" s="117" t="e">
        <f>+'Estimate Details'!#REF!</f>
        <v>#REF!</v>
      </c>
      <c r="H124" s="206" t="e">
        <f>+'Estimate Details'!#REF!</f>
        <v>#REF!</v>
      </c>
      <c r="I124" s="108" t="e">
        <f>+'Estimate Details'!#REF!</f>
        <v>#REF!</v>
      </c>
      <c r="J124" s="168" t="e">
        <f>+'Estimate Details'!#REF!</f>
        <v>#REF!</v>
      </c>
      <c r="K124" s="42" t="e">
        <f>+'Estimate Details'!#REF!</f>
        <v>#REF!</v>
      </c>
      <c r="L124" s="42" t="e">
        <f>+'Estimate Details'!#REF!</f>
        <v>#REF!</v>
      </c>
      <c r="M124" s="204" t="e">
        <f>+'Estimate Details'!#REF!</f>
        <v>#REF!</v>
      </c>
      <c r="N124" s="170" t="e">
        <f>+'Estimate Details'!#REF!</f>
        <v>#REF!</v>
      </c>
      <c r="O124" s="171" t="e">
        <f>+'Estimate Details'!#REF!</f>
        <v>#REF!</v>
      </c>
      <c r="P124" s="172" t="e">
        <f>+'Estimate Details'!#REF!</f>
        <v>#REF!</v>
      </c>
      <c r="Q124" s="173" t="e">
        <f>+'Estimate Details'!#REF!</f>
        <v>#REF!</v>
      </c>
      <c r="R124" s="174" t="e">
        <f>+'Estimate Details'!#REF!</f>
        <v>#REF!</v>
      </c>
      <c r="S124" s="507"/>
      <c r="T124" s="174" t="e">
        <f>+'Estimate Details'!#REF!</f>
        <v>#REF!</v>
      </c>
      <c r="U124" s="486" t="s">
        <v>1309</v>
      </c>
      <c r="V124" s="172" t="e">
        <f>+'Estimate Details'!#REF!</f>
        <v>#REF!</v>
      </c>
      <c r="W124" s="481" t="s">
        <v>1309</v>
      </c>
      <c r="X124" s="172" t="e">
        <f>+'Estimate Details'!#REF!</f>
        <v>#REF!</v>
      </c>
      <c r="Y124" s="172" t="e">
        <f>+'Estimate Details'!#REF!</f>
        <v>#REF!</v>
      </c>
      <c r="Z124" s="174" t="e">
        <f>+'Estimate Details'!#REF!</f>
        <v>#REF!</v>
      </c>
      <c r="AA124" s="481"/>
      <c r="AB124" s="175" t="e">
        <f>+'Estimate Details'!#REF!</f>
        <v>#REF!</v>
      </c>
      <c r="AC124" s="569"/>
      <c r="AD124" s="176" t="e">
        <f>+'Estimate Details'!#REF!</f>
        <v>#REF!</v>
      </c>
      <c r="AE124" s="156"/>
      <c r="AF124" s="215"/>
      <c r="AG124" s="156"/>
      <c r="AH124" s="156"/>
      <c r="AI124" s="29"/>
      <c r="AJ124" s="29"/>
      <c r="AK124" s="29"/>
      <c r="AL124" s="29"/>
    </row>
    <row r="125" spans="1:38" ht="14.1" customHeight="1">
      <c r="A125" s="116" t="e">
        <f>+'Estimate Details'!#REF!</f>
        <v>#REF!</v>
      </c>
      <c r="B125" s="116"/>
      <c r="C125" s="116"/>
      <c r="D125" s="166"/>
      <c r="E125" s="158" t="e">
        <f>+'Estimate Details'!#REF!</f>
        <v>#REF!</v>
      </c>
      <c r="F125" s="41"/>
      <c r="G125" s="117" t="e">
        <f>+'Estimate Details'!#REF!</f>
        <v>#REF!</v>
      </c>
      <c r="H125" s="206" t="e">
        <f>+'Estimate Details'!#REF!</f>
        <v>#REF!</v>
      </c>
      <c r="I125" s="108" t="e">
        <f>+'Estimate Details'!#REF!</f>
        <v>#REF!</v>
      </c>
      <c r="J125" s="168" t="e">
        <f>+'Estimate Details'!#REF!</f>
        <v>#REF!</v>
      </c>
      <c r="K125" s="42" t="e">
        <f>+'Estimate Details'!#REF!</f>
        <v>#REF!</v>
      </c>
      <c r="L125" s="42" t="e">
        <f>+'Estimate Details'!#REF!</f>
        <v>#REF!</v>
      </c>
      <c r="M125" s="204" t="e">
        <f>+'Estimate Details'!#REF!</f>
        <v>#REF!</v>
      </c>
      <c r="N125" s="170" t="e">
        <f>+'Estimate Details'!#REF!</f>
        <v>#REF!</v>
      </c>
      <c r="O125" s="171" t="e">
        <f>+'Estimate Details'!#REF!</f>
        <v>#REF!</v>
      </c>
      <c r="P125" s="172" t="e">
        <f>+'Estimate Details'!#REF!</f>
        <v>#REF!</v>
      </c>
      <c r="Q125" s="173" t="e">
        <f>+'Estimate Details'!#REF!</f>
        <v>#REF!</v>
      </c>
      <c r="R125" s="174" t="e">
        <f>+'Estimate Details'!#REF!</f>
        <v>#REF!</v>
      </c>
      <c r="S125" s="507"/>
      <c r="T125" s="174" t="e">
        <f>+'Estimate Details'!#REF!</f>
        <v>#REF!</v>
      </c>
      <c r="U125" s="486" t="s">
        <v>1309</v>
      </c>
      <c r="V125" s="172" t="e">
        <f>+'Estimate Details'!#REF!</f>
        <v>#REF!</v>
      </c>
      <c r="W125" s="481" t="s">
        <v>1309</v>
      </c>
      <c r="X125" s="172" t="e">
        <f>+'Estimate Details'!#REF!</f>
        <v>#REF!</v>
      </c>
      <c r="Y125" s="172" t="e">
        <f>+'Estimate Details'!#REF!</f>
        <v>#REF!</v>
      </c>
      <c r="Z125" s="174" t="e">
        <f>+'Estimate Details'!#REF!</f>
        <v>#REF!</v>
      </c>
      <c r="AA125" s="481"/>
      <c r="AB125" s="175" t="e">
        <f>+'Estimate Details'!#REF!</f>
        <v>#REF!</v>
      </c>
      <c r="AC125" s="569"/>
      <c r="AD125" s="176" t="e">
        <f>+'Estimate Details'!#REF!</f>
        <v>#REF!</v>
      </c>
      <c r="AE125" s="156"/>
      <c r="AF125" s="215"/>
      <c r="AG125" s="156"/>
      <c r="AH125" s="156"/>
      <c r="AI125" s="29"/>
      <c r="AJ125" s="29"/>
      <c r="AK125" s="29"/>
      <c r="AL125" s="29"/>
    </row>
    <row r="126" spans="1:38" ht="14.1" customHeight="1">
      <c r="A126" s="116" t="e">
        <f>+'Estimate Details'!#REF!</f>
        <v>#REF!</v>
      </c>
      <c r="B126" s="116"/>
      <c r="C126" s="116"/>
      <c r="D126" s="166"/>
      <c r="E126" s="158" t="e">
        <f>+'Estimate Details'!#REF!</f>
        <v>#REF!</v>
      </c>
      <c r="F126" s="41"/>
      <c r="G126" s="117" t="e">
        <f>+'Estimate Details'!#REF!</f>
        <v>#REF!</v>
      </c>
      <c r="H126" s="206" t="e">
        <f>+'Estimate Details'!#REF!</f>
        <v>#REF!</v>
      </c>
      <c r="I126" s="108" t="e">
        <f>+'Estimate Details'!#REF!</f>
        <v>#REF!</v>
      </c>
      <c r="J126" s="168" t="e">
        <f>+'Estimate Details'!#REF!</f>
        <v>#REF!</v>
      </c>
      <c r="K126" s="42" t="e">
        <f>+'Estimate Details'!#REF!</f>
        <v>#REF!</v>
      </c>
      <c r="L126" s="42" t="e">
        <f>+'Estimate Details'!#REF!</f>
        <v>#REF!</v>
      </c>
      <c r="M126" s="204" t="e">
        <f>+'Estimate Details'!#REF!</f>
        <v>#REF!</v>
      </c>
      <c r="N126" s="170" t="e">
        <f>+'Estimate Details'!#REF!</f>
        <v>#REF!</v>
      </c>
      <c r="O126" s="171" t="e">
        <f>+'Estimate Details'!#REF!</f>
        <v>#REF!</v>
      </c>
      <c r="P126" s="172" t="e">
        <f>+'Estimate Details'!#REF!</f>
        <v>#REF!</v>
      </c>
      <c r="Q126" s="173" t="e">
        <f>+'Estimate Details'!#REF!</f>
        <v>#REF!</v>
      </c>
      <c r="R126" s="174" t="e">
        <f>+'Estimate Details'!#REF!</f>
        <v>#REF!</v>
      </c>
      <c r="S126" s="507"/>
      <c r="T126" s="174" t="e">
        <f>+'Estimate Details'!#REF!</f>
        <v>#REF!</v>
      </c>
      <c r="U126" s="486" t="s">
        <v>1309</v>
      </c>
      <c r="V126" s="172" t="e">
        <f>+'Estimate Details'!#REF!</f>
        <v>#REF!</v>
      </c>
      <c r="W126" s="481" t="s">
        <v>1309</v>
      </c>
      <c r="X126" s="172" t="e">
        <f>+'Estimate Details'!#REF!</f>
        <v>#REF!</v>
      </c>
      <c r="Y126" s="172" t="e">
        <f>+'Estimate Details'!#REF!</f>
        <v>#REF!</v>
      </c>
      <c r="Z126" s="174" t="e">
        <f>+'Estimate Details'!#REF!</f>
        <v>#REF!</v>
      </c>
      <c r="AA126" s="481"/>
      <c r="AB126" s="175" t="e">
        <f>+'Estimate Details'!#REF!</f>
        <v>#REF!</v>
      </c>
      <c r="AC126" s="569"/>
      <c r="AD126" s="176" t="e">
        <f>+'Estimate Details'!#REF!</f>
        <v>#REF!</v>
      </c>
      <c r="AE126" s="156"/>
      <c r="AF126" s="215"/>
      <c r="AG126" s="156"/>
      <c r="AH126" s="156"/>
      <c r="AI126" s="29"/>
      <c r="AJ126" s="29"/>
      <c r="AK126" s="29"/>
      <c r="AL126" s="29"/>
    </row>
    <row r="127" spans="1:38" ht="14.1" customHeight="1">
      <c r="A127" s="116" t="e">
        <f>+'Estimate Details'!#REF!</f>
        <v>#REF!</v>
      </c>
      <c r="B127" s="116"/>
      <c r="C127" s="116"/>
      <c r="D127" s="166"/>
      <c r="E127" s="158" t="e">
        <f>+'Estimate Details'!#REF!</f>
        <v>#REF!</v>
      </c>
      <c r="F127" s="41"/>
      <c r="G127" s="117" t="e">
        <f>+'Estimate Details'!#REF!</f>
        <v>#REF!</v>
      </c>
      <c r="H127" s="206" t="e">
        <f>+'Estimate Details'!#REF!</f>
        <v>#REF!</v>
      </c>
      <c r="I127" s="108" t="e">
        <f>+'Estimate Details'!#REF!</f>
        <v>#REF!</v>
      </c>
      <c r="J127" s="168" t="e">
        <f>+'Estimate Details'!#REF!</f>
        <v>#REF!</v>
      </c>
      <c r="K127" s="42" t="e">
        <f>+'Estimate Details'!#REF!</f>
        <v>#REF!</v>
      </c>
      <c r="L127" s="42" t="e">
        <f>+'Estimate Details'!#REF!</f>
        <v>#REF!</v>
      </c>
      <c r="M127" s="204" t="e">
        <f>+'Estimate Details'!#REF!</f>
        <v>#REF!</v>
      </c>
      <c r="N127" s="170" t="e">
        <f>+'Estimate Details'!#REF!</f>
        <v>#REF!</v>
      </c>
      <c r="O127" s="171" t="e">
        <f>+'Estimate Details'!#REF!</f>
        <v>#REF!</v>
      </c>
      <c r="P127" s="172" t="e">
        <f>+'Estimate Details'!#REF!</f>
        <v>#REF!</v>
      </c>
      <c r="Q127" s="173" t="e">
        <f>+'Estimate Details'!#REF!</f>
        <v>#REF!</v>
      </c>
      <c r="R127" s="174" t="e">
        <f>+'Estimate Details'!#REF!</f>
        <v>#REF!</v>
      </c>
      <c r="S127" s="507"/>
      <c r="T127" s="174" t="e">
        <f>+'Estimate Details'!#REF!</f>
        <v>#REF!</v>
      </c>
      <c r="U127" s="486" t="s">
        <v>1309</v>
      </c>
      <c r="V127" s="172" t="e">
        <f>+'Estimate Details'!#REF!</f>
        <v>#REF!</v>
      </c>
      <c r="W127" s="481" t="s">
        <v>1309</v>
      </c>
      <c r="X127" s="172" t="e">
        <f>+'Estimate Details'!#REF!</f>
        <v>#REF!</v>
      </c>
      <c r="Y127" s="172" t="e">
        <f>+'Estimate Details'!#REF!</f>
        <v>#REF!</v>
      </c>
      <c r="Z127" s="174" t="e">
        <f>+'Estimate Details'!#REF!</f>
        <v>#REF!</v>
      </c>
      <c r="AA127" s="481"/>
      <c r="AB127" s="175" t="e">
        <f>+'Estimate Details'!#REF!</f>
        <v>#REF!</v>
      </c>
      <c r="AC127" s="569"/>
      <c r="AD127" s="176" t="e">
        <f>+'Estimate Details'!#REF!</f>
        <v>#REF!</v>
      </c>
      <c r="AE127" s="156"/>
      <c r="AF127" s="215"/>
      <c r="AG127" s="156"/>
      <c r="AH127" s="156"/>
      <c r="AI127" s="29"/>
      <c r="AJ127" s="29"/>
      <c r="AK127" s="29"/>
      <c r="AL127" s="29"/>
    </row>
    <row r="128" spans="1:38" ht="14.1" customHeight="1">
      <c r="A128" s="116" t="e">
        <f>+'Estimate Details'!#REF!</f>
        <v>#REF!</v>
      </c>
      <c r="B128" s="116"/>
      <c r="C128" s="116"/>
      <c r="D128" s="166"/>
      <c r="E128" s="158" t="e">
        <f>+'Estimate Details'!#REF!</f>
        <v>#REF!</v>
      </c>
      <c r="F128" s="41"/>
      <c r="G128" s="117" t="e">
        <f>+'Estimate Details'!#REF!</f>
        <v>#REF!</v>
      </c>
      <c r="H128" s="206" t="e">
        <f>+'Estimate Details'!#REF!</f>
        <v>#REF!</v>
      </c>
      <c r="I128" s="108" t="e">
        <f>+'Estimate Details'!#REF!</f>
        <v>#REF!</v>
      </c>
      <c r="J128" s="168" t="e">
        <f>+'Estimate Details'!#REF!</f>
        <v>#REF!</v>
      </c>
      <c r="K128" s="42" t="e">
        <f>+'Estimate Details'!#REF!</f>
        <v>#REF!</v>
      </c>
      <c r="L128" s="42" t="e">
        <f>+'Estimate Details'!#REF!</f>
        <v>#REF!</v>
      </c>
      <c r="M128" s="204" t="e">
        <f>+'Estimate Details'!#REF!</f>
        <v>#REF!</v>
      </c>
      <c r="N128" s="170" t="e">
        <f>+'Estimate Details'!#REF!</f>
        <v>#REF!</v>
      </c>
      <c r="O128" s="171" t="e">
        <f>+'Estimate Details'!#REF!</f>
        <v>#REF!</v>
      </c>
      <c r="P128" s="172" t="e">
        <f>+'Estimate Details'!#REF!</f>
        <v>#REF!</v>
      </c>
      <c r="Q128" s="173" t="e">
        <f>+'Estimate Details'!#REF!</f>
        <v>#REF!</v>
      </c>
      <c r="R128" s="174" t="e">
        <f>+'Estimate Details'!#REF!</f>
        <v>#REF!</v>
      </c>
      <c r="S128" s="507"/>
      <c r="T128" s="174" t="e">
        <f>+'Estimate Details'!#REF!</f>
        <v>#REF!</v>
      </c>
      <c r="U128" s="486" t="s">
        <v>1309</v>
      </c>
      <c r="V128" s="172" t="e">
        <f>+'Estimate Details'!#REF!</f>
        <v>#REF!</v>
      </c>
      <c r="W128" s="481" t="s">
        <v>1309</v>
      </c>
      <c r="X128" s="172" t="e">
        <f>+'Estimate Details'!#REF!</f>
        <v>#REF!</v>
      </c>
      <c r="Y128" s="172" t="e">
        <f>+'Estimate Details'!#REF!</f>
        <v>#REF!</v>
      </c>
      <c r="Z128" s="174" t="e">
        <f>+'Estimate Details'!#REF!</f>
        <v>#REF!</v>
      </c>
      <c r="AA128" s="481"/>
      <c r="AB128" s="175" t="e">
        <f>+'Estimate Details'!#REF!</f>
        <v>#REF!</v>
      </c>
      <c r="AC128" s="569"/>
      <c r="AD128" s="176" t="e">
        <f>+'Estimate Details'!#REF!</f>
        <v>#REF!</v>
      </c>
      <c r="AE128" s="156"/>
      <c r="AF128" s="215"/>
      <c r="AG128" s="156"/>
      <c r="AH128" s="156"/>
      <c r="AI128" s="29"/>
      <c r="AJ128" s="29"/>
      <c r="AK128" s="29"/>
      <c r="AL128" s="29"/>
    </row>
    <row r="129" spans="1:38" ht="13.5" customHeight="1">
      <c r="A129" s="116" t="e">
        <f>+'Estimate Details'!#REF!</f>
        <v>#REF!</v>
      </c>
      <c r="B129" s="116"/>
      <c r="C129" s="116"/>
      <c r="D129" s="166"/>
      <c r="E129" s="158" t="e">
        <f>+'Estimate Details'!#REF!</f>
        <v>#REF!</v>
      </c>
      <c r="F129" s="41"/>
      <c r="G129" s="117" t="e">
        <f>+'Estimate Details'!#REF!</f>
        <v>#REF!</v>
      </c>
      <c r="H129" s="206" t="e">
        <f>+'Estimate Details'!#REF!</f>
        <v>#REF!</v>
      </c>
      <c r="I129" s="208" t="e">
        <f>+'Estimate Details'!#REF!</f>
        <v>#REF!</v>
      </c>
      <c r="J129" s="168" t="e">
        <f>+'Estimate Details'!#REF!</f>
        <v>#REF!</v>
      </c>
      <c r="K129" s="42" t="e">
        <f>+'Estimate Details'!#REF!</f>
        <v>#REF!</v>
      </c>
      <c r="L129" s="42" t="e">
        <f>+'Estimate Details'!#REF!</f>
        <v>#REF!</v>
      </c>
      <c r="M129" s="204" t="e">
        <f>+'Estimate Details'!#REF!</f>
        <v>#REF!</v>
      </c>
      <c r="N129" s="170" t="e">
        <f>+'Estimate Details'!#REF!</f>
        <v>#REF!</v>
      </c>
      <c r="O129" s="171" t="e">
        <f>+'Estimate Details'!#REF!</f>
        <v>#REF!</v>
      </c>
      <c r="P129" s="172" t="e">
        <f>+'Estimate Details'!#REF!</f>
        <v>#REF!</v>
      </c>
      <c r="Q129" s="173" t="e">
        <f>+'Estimate Details'!#REF!</f>
        <v>#REF!</v>
      </c>
      <c r="R129" s="174" t="e">
        <f>+'Estimate Details'!#REF!</f>
        <v>#REF!</v>
      </c>
      <c r="S129" s="507"/>
      <c r="T129" s="174" t="e">
        <f>+'Estimate Details'!#REF!</f>
        <v>#REF!</v>
      </c>
      <c r="U129" s="486" t="s">
        <v>1309</v>
      </c>
      <c r="V129" s="172" t="e">
        <f>+'Estimate Details'!#REF!</f>
        <v>#REF!</v>
      </c>
      <c r="W129" s="481" t="s">
        <v>1309</v>
      </c>
      <c r="X129" s="172" t="e">
        <f>+'Estimate Details'!#REF!</f>
        <v>#REF!</v>
      </c>
      <c r="Y129" s="172" t="e">
        <f>+'Estimate Details'!#REF!</f>
        <v>#REF!</v>
      </c>
      <c r="Z129" s="174" t="e">
        <f>+'Estimate Details'!#REF!</f>
        <v>#REF!</v>
      </c>
      <c r="AA129" s="481"/>
      <c r="AB129" s="175" t="e">
        <f>+'Estimate Details'!#REF!</f>
        <v>#REF!</v>
      </c>
      <c r="AC129" s="569"/>
      <c r="AD129" s="176" t="e">
        <f>+'Estimate Details'!#REF!</f>
        <v>#REF!</v>
      </c>
      <c r="AE129" s="156"/>
      <c r="AF129" s="215"/>
      <c r="AG129" s="156"/>
      <c r="AH129" s="156"/>
      <c r="AI129" s="29"/>
      <c r="AJ129" s="29"/>
      <c r="AK129" s="29"/>
      <c r="AL129" s="29"/>
    </row>
    <row r="130" spans="1:38" ht="13.5" customHeight="1">
      <c r="A130" s="116" t="e">
        <f>+'Estimate Details'!#REF!</f>
        <v>#REF!</v>
      </c>
      <c r="B130" s="116"/>
      <c r="C130" s="116"/>
      <c r="D130" s="166"/>
      <c r="E130" s="158" t="e">
        <f>+'Estimate Details'!#REF!</f>
        <v>#REF!</v>
      </c>
      <c r="F130" s="41"/>
      <c r="G130" s="117" t="e">
        <f>+'Estimate Details'!#REF!</f>
        <v>#REF!</v>
      </c>
      <c r="H130" s="214" t="e">
        <f>+'Estimate Details'!#REF!</f>
        <v>#REF!</v>
      </c>
      <c r="I130" s="108" t="e">
        <f>+'Estimate Details'!#REF!</f>
        <v>#REF!</v>
      </c>
      <c r="J130" s="168" t="e">
        <f>+'Estimate Details'!#REF!</f>
        <v>#REF!</v>
      </c>
      <c r="K130" s="42" t="e">
        <f>+'Estimate Details'!#REF!</f>
        <v>#REF!</v>
      </c>
      <c r="L130" s="42" t="e">
        <f>+'Estimate Details'!#REF!</f>
        <v>#REF!</v>
      </c>
      <c r="M130" s="204" t="e">
        <f>+'Estimate Details'!#REF!</f>
        <v>#REF!</v>
      </c>
      <c r="N130" s="170" t="e">
        <f>+'Estimate Details'!#REF!</f>
        <v>#REF!</v>
      </c>
      <c r="O130" s="171" t="e">
        <f>+'Estimate Details'!#REF!</f>
        <v>#REF!</v>
      </c>
      <c r="P130" s="172" t="e">
        <f>+'Estimate Details'!#REF!</f>
        <v>#REF!</v>
      </c>
      <c r="Q130" s="173" t="e">
        <f>+'Estimate Details'!#REF!</f>
        <v>#REF!</v>
      </c>
      <c r="R130" s="174" t="e">
        <f>+'Estimate Details'!#REF!</f>
        <v>#REF!</v>
      </c>
      <c r="S130" s="507"/>
      <c r="T130" s="174" t="e">
        <f>+'Estimate Details'!#REF!</f>
        <v>#REF!</v>
      </c>
      <c r="U130" s="486" t="s">
        <v>1309</v>
      </c>
      <c r="V130" s="172" t="e">
        <f>+'Estimate Details'!#REF!</f>
        <v>#REF!</v>
      </c>
      <c r="W130" s="481" t="s">
        <v>1309</v>
      </c>
      <c r="X130" s="172" t="e">
        <f>+'Estimate Details'!#REF!</f>
        <v>#REF!</v>
      </c>
      <c r="Y130" s="172" t="e">
        <f>+'Estimate Details'!#REF!</f>
        <v>#REF!</v>
      </c>
      <c r="Z130" s="174" t="e">
        <f>+'Estimate Details'!#REF!</f>
        <v>#REF!</v>
      </c>
      <c r="AA130" s="481"/>
      <c r="AB130" s="175" t="e">
        <f>+'Estimate Details'!#REF!</f>
        <v>#REF!</v>
      </c>
      <c r="AC130" s="569"/>
      <c r="AD130" s="176" t="e">
        <f>+'Estimate Details'!#REF!</f>
        <v>#REF!</v>
      </c>
      <c r="AE130" s="156"/>
      <c r="AF130" s="215"/>
      <c r="AG130" s="156"/>
      <c r="AH130" s="156"/>
      <c r="AI130" s="29"/>
      <c r="AJ130" s="29"/>
      <c r="AK130" s="29"/>
      <c r="AL130" s="29"/>
    </row>
    <row r="131" spans="1:38" ht="14.1" customHeight="1">
      <c r="A131" s="116" t="e">
        <f>+'Estimate Details'!#REF!</f>
        <v>#REF!</v>
      </c>
      <c r="B131" s="116"/>
      <c r="C131" s="116"/>
      <c r="D131" s="166"/>
      <c r="E131" s="158" t="e">
        <f>+'Estimate Details'!#REF!</f>
        <v>#REF!</v>
      </c>
      <c r="F131" s="41"/>
      <c r="G131" s="117" t="e">
        <f>+'Estimate Details'!#REF!</f>
        <v>#REF!</v>
      </c>
      <c r="H131" s="118" t="e">
        <f>+'Estimate Details'!#REF!</f>
        <v>#REF!</v>
      </c>
      <c r="I131" s="208" t="e">
        <f>+'Estimate Details'!#REF!</f>
        <v>#REF!</v>
      </c>
      <c r="J131" s="168" t="e">
        <f>+'Estimate Details'!#REF!</f>
        <v>#REF!</v>
      </c>
      <c r="K131" s="42" t="e">
        <f>+'Estimate Details'!#REF!</f>
        <v>#REF!</v>
      </c>
      <c r="L131" s="42" t="e">
        <f>+'Estimate Details'!#REF!</f>
        <v>#REF!</v>
      </c>
      <c r="M131" s="204" t="e">
        <f>+'Estimate Details'!#REF!</f>
        <v>#REF!</v>
      </c>
      <c r="N131" s="170" t="e">
        <f>+'Estimate Details'!#REF!</f>
        <v>#REF!</v>
      </c>
      <c r="O131" s="171" t="e">
        <f>+'Estimate Details'!#REF!</f>
        <v>#REF!</v>
      </c>
      <c r="P131" s="172" t="e">
        <f>+'Estimate Details'!#REF!</f>
        <v>#REF!</v>
      </c>
      <c r="Q131" s="173" t="e">
        <f>+'Estimate Details'!#REF!</f>
        <v>#REF!</v>
      </c>
      <c r="R131" s="174" t="e">
        <f>+'Estimate Details'!#REF!</f>
        <v>#REF!</v>
      </c>
      <c r="S131" s="507"/>
      <c r="T131" s="174" t="e">
        <f>+'Estimate Details'!#REF!</f>
        <v>#REF!</v>
      </c>
      <c r="U131" s="486" t="s">
        <v>1309</v>
      </c>
      <c r="V131" s="172" t="e">
        <f>+'Estimate Details'!#REF!</f>
        <v>#REF!</v>
      </c>
      <c r="W131" s="481" t="s">
        <v>1309</v>
      </c>
      <c r="X131" s="172" t="e">
        <f>+'Estimate Details'!#REF!</f>
        <v>#REF!</v>
      </c>
      <c r="Y131" s="172" t="e">
        <f>+'Estimate Details'!#REF!</f>
        <v>#REF!</v>
      </c>
      <c r="Z131" s="174" t="e">
        <f>+'Estimate Details'!#REF!</f>
        <v>#REF!</v>
      </c>
      <c r="AA131" s="481"/>
      <c r="AB131" s="175" t="e">
        <f>+'Estimate Details'!#REF!</f>
        <v>#REF!</v>
      </c>
      <c r="AC131" s="569"/>
      <c r="AD131" s="176" t="e">
        <f>+'Estimate Details'!#REF!</f>
        <v>#REF!</v>
      </c>
      <c r="AE131" s="156"/>
      <c r="AF131" s="215"/>
      <c r="AG131" s="156"/>
      <c r="AH131" s="156"/>
      <c r="AI131" s="29"/>
      <c r="AJ131" s="29"/>
      <c r="AK131" s="29"/>
      <c r="AL131" s="29"/>
    </row>
    <row r="132" spans="1:38" ht="14.1" customHeight="1">
      <c r="A132" s="116" t="e">
        <f>+'Estimate Details'!#REF!</f>
        <v>#REF!</v>
      </c>
      <c r="B132" s="116"/>
      <c r="C132" s="116"/>
      <c r="D132" s="166"/>
      <c r="E132" s="158" t="e">
        <f>+'Estimate Details'!#REF!</f>
        <v>#REF!</v>
      </c>
      <c r="F132" s="41"/>
      <c r="G132" s="117" t="e">
        <f>+'Estimate Details'!#REF!</f>
        <v>#REF!</v>
      </c>
      <c r="H132" s="118" t="e">
        <f>+'Estimate Details'!#REF!</f>
        <v>#REF!</v>
      </c>
      <c r="I132" s="208" t="e">
        <f>+'Estimate Details'!#REF!</f>
        <v>#REF!</v>
      </c>
      <c r="J132" s="168" t="e">
        <f>+'Estimate Details'!#REF!</f>
        <v>#REF!</v>
      </c>
      <c r="K132" s="42" t="e">
        <f>+'Estimate Details'!#REF!</f>
        <v>#REF!</v>
      </c>
      <c r="L132" s="42" t="e">
        <f>+'Estimate Details'!#REF!</f>
        <v>#REF!</v>
      </c>
      <c r="M132" s="204" t="e">
        <f>+'Estimate Details'!#REF!</f>
        <v>#REF!</v>
      </c>
      <c r="N132" s="170" t="e">
        <f>+'Estimate Details'!#REF!</f>
        <v>#REF!</v>
      </c>
      <c r="O132" s="171" t="e">
        <f>+'Estimate Details'!#REF!</f>
        <v>#REF!</v>
      </c>
      <c r="P132" s="172" t="e">
        <f>+'Estimate Details'!#REF!</f>
        <v>#REF!</v>
      </c>
      <c r="Q132" s="173" t="e">
        <f>+'Estimate Details'!#REF!</f>
        <v>#REF!</v>
      </c>
      <c r="R132" s="174" t="e">
        <f>+'Estimate Details'!#REF!</f>
        <v>#REF!</v>
      </c>
      <c r="S132" s="507"/>
      <c r="T132" s="174" t="e">
        <f>+'Estimate Details'!#REF!</f>
        <v>#REF!</v>
      </c>
      <c r="U132" s="486" t="s">
        <v>1309</v>
      </c>
      <c r="V132" s="172" t="e">
        <f>+'Estimate Details'!#REF!</f>
        <v>#REF!</v>
      </c>
      <c r="W132" s="481" t="s">
        <v>1309</v>
      </c>
      <c r="X132" s="172" t="e">
        <f>+'Estimate Details'!#REF!</f>
        <v>#REF!</v>
      </c>
      <c r="Y132" s="172" t="e">
        <f>+'Estimate Details'!#REF!</f>
        <v>#REF!</v>
      </c>
      <c r="Z132" s="174" t="e">
        <f>+'Estimate Details'!#REF!</f>
        <v>#REF!</v>
      </c>
      <c r="AA132" s="481"/>
      <c r="AB132" s="175" t="e">
        <f>+'Estimate Details'!#REF!</f>
        <v>#REF!</v>
      </c>
      <c r="AC132" s="569"/>
      <c r="AD132" s="176" t="e">
        <f>+'Estimate Details'!#REF!</f>
        <v>#REF!</v>
      </c>
      <c r="AE132" s="156"/>
      <c r="AF132" s="215"/>
      <c r="AG132" s="156"/>
      <c r="AH132" s="156"/>
      <c r="AI132" s="29"/>
      <c r="AJ132" s="29"/>
      <c r="AK132" s="29"/>
      <c r="AL132" s="29"/>
    </row>
    <row r="133" spans="1:38" ht="14.1" customHeight="1">
      <c r="A133" s="116" t="e">
        <f>+'Estimate Details'!#REF!</f>
        <v>#REF!</v>
      </c>
      <c r="B133" s="116"/>
      <c r="C133" s="116"/>
      <c r="D133" s="166"/>
      <c r="E133" s="158" t="e">
        <f>+'Estimate Details'!#REF!</f>
        <v>#REF!</v>
      </c>
      <c r="F133" s="41"/>
      <c r="G133" s="117" t="e">
        <f>+'Estimate Details'!#REF!</f>
        <v>#REF!</v>
      </c>
      <c r="H133" s="206" t="e">
        <f>+'Estimate Details'!#REF!</f>
        <v>#REF!</v>
      </c>
      <c r="I133" s="108" t="e">
        <f>+'Estimate Details'!#REF!</f>
        <v>#REF!</v>
      </c>
      <c r="J133" s="168" t="e">
        <f>+'Estimate Details'!#REF!</f>
        <v>#REF!</v>
      </c>
      <c r="K133" s="42" t="e">
        <f>+'Estimate Details'!#REF!</f>
        <v>#REF!</v>
      </c>
      <c r="L133" s="42" t="e">
        <f>+'Estimate Details'!#REF!</f>
        <v>#REF!</v>
      </c>
      <c r="M133" s="204" t="e">
        <f>+'Estimate Details'!#REF!</f>
        <v>#REF!</v>
      </c>
      <c r="N133" s="170" t="e">
        <f>+'Estimate Details'!#REF!</f>
        <v>#REF!</v>
      </c>
      <c r="O133" s="171" t="e">
        <f>+'Estimate Details'!#REF!</f>
        <v>#REF!</v>
      </c>
      <c r="P133" s="172" t="e">
        <f>+'Estimate Details'!#REF!</f>
        <v>#REF!</v>
      </c>
      <c r="Q133" s="173" t="e">
        <f>+'Estimate Details'!#REF!</f>
        <v>#REF!</v>
      </c>
      <c r="R133" s="174" t="e">
        <f>+'Estimate Details'!#REF!</f>
        <v>#REF!</v>
      </c>
      <c r="S133" s="507"/>
      <c r="T133" s="174" t="e">
        <f>+'Estimate Details'!#REF!</f>
        <v>#REF!</v>
      </c>
      <c r="U133" s="486" t="s">
        <v>1309</v>
      </c>
      <c r="V133" s="172" t="e">
        <f>+'Estimate Details'!#REF!</f>
        <v>#REF!</v>
      </c>
      <c r="W133" s="481" t="s">
        <v>1309</v>
      </c>
      <c r="X133" s="172" t="e">
        <f>+'Estimate Details'!#REF!</f>
        <v>#REF!</v>
      </c>
      <c r="Y133" s="172" t="e">
        <f>+'Estimate Details'!#REF!</f>
        <v>#REF!</v>
      </c>
      <c r="Z133" s="174" t="e">
        <f>+'Estimate Details'!#REF!</f>
        <v>#REF!</v>
      </c>
      <c r="AA133" s="481"/>
      <c r="AB133" s="175" t="e">
        <f>+'Estimate Details'!#REF!</f>
        <v>#REF!</v>
      </c>
      <c r="AC133" s="569"/>
      <c r="AD133" s="176" t="e">
        <f>+'Estimate Details'!#REF!</f>
        <v>#REF!</v>
      </c>
      <c r="AE133" s="156"/>
      <c r="AF133" s="215"/>
      <c r="AG133" s="156"/>
      <c r="AH133" s="156"/>
      <c r="AI133" s="29"/>
      <c r="AJ133" s="29"/>
      <c r="AK133" s="29"/>
      <c r="AL133" s="29"/>
    </row>
    <row r="134" spans="1:38" ht="14.1" customHeight="1">
      <c r="A134" s="116" t="e">
        <f>+'Estimate Details'!#REF!</f>
        <v>#REF!</v>
      </c>
      <c r="B134" s="116"/>
      <c r="C134" s="116"/>
      <c r="D134" s="166"/>
      <c r="E134" s="158" t="e">
        <f>+'Estimate Details'!#REF!</f>
        <v>#REF!</v>
      </c>
      <c r="F134" s="41"/>
      <c r="G134" s="117" t="e">
        <f>+'Estimate Details'!#REF!</f>
        <v>#REF!</v>
      </c>
      <c r="H134" s="214" t="e">
        <f>+'Estimate Details'!#REF!</f>
        <v>#REF!</v>
      </c>
      <c r="I134" s="108" t="e">
        <f>+'Estimate Details'!#REF!</f>
        <v>#REF!</v>
      </c>
      <c r="J134" s="168" t="e">
        <f>+'Estimate Details'!#REF!</f>
        <v>#REF!</v>
      </c>
      <c r="K134" s="42" t="e">
        <f>+'Estimate Details'!#REF!</f>
        <v>#REF!</v>
      </c>
      <c r="L134" s="42" t="e">
        <f>+'Estimate Details'!#REF!</f>
        <v>#REF!</v>
      </c>
      <c r="M134" s="204" t="e">
        <f>+'Estimate Details'!#REF!</f>
        <v>#REF!</v>
      </c>
      <c r="N134" s="170" t="e">
        <f>+'Estimate Details'!#REF!</f>
        <v>#REF!</v>
      </c>
      <c r="O134" s="171" t="e">
        <f>+'Estimate Details'!#REF!</f>
        <v>#REF!</v>
      </c>
      <c r="P134" s="172" t="e">
        <f>+'Estimate Details'!#REF!</f>
        <v>#REF!</v>
      </c>
      <c r="Q134" s="173" t="e">
        <f>+'Estimate Details'!#REF!</f>
        <v>#REF!</v>
      </c>
      <c r="R134" s="174" t="e">
        <f>+'Estimate Details'!#REF!</f>
        <v>#REF!</v>
      </c>
      <c r="S134" s="507"/>
      <c r="T134" s="174" t="e">
        <f>+'Estimate Details'!#REF!</f>
        <v>#REF!</v>
      </c>
      <c r="U134" s="486" t="s">
        <v>1309</v>
      </c>
      <c r="V134" s="172" t="e">
        <f>+'Estimate Details'!#REF!</f>
        <v>#REF!</v>
      </c>
      <c r="W134" s="481" t="s">
        <v>1309</v>
      </c>
      <c r="X134" s="172" t="e">
        <f>+'Estimate Details'!#REF!</f>
        <v>#REF!</v>
      </c>
      <c r="Y134" s="172" t="e">
        <f>+'Estimate Details'!#REF!</f>
        <v>#REF!</v>
      </c>
      <c r="Z134" s="174" t="e">
        <f>+'Estimate Details'!#REF!</f>
        <v>#REF!</v>
      </c>
      <c r="AA134" s="481"/>
      <c r="AB134" s="175" t="e">
        <f>+'Estimate Details'!#REF!</f>
        <v>#REF!</v>
      </c>
      <c r="AC134" s="569"/>
      <c r="AD134" s="176" t="e">
        <f>+'Estimate Details'!#REF!</f>
        <v>#REF!</v>
      </c>
      <c r="AE134" s="156"/>
      <c r="AF134" s="215"/>
      <c r="AG134" s="156"/>
      <c r="AH134" s="156"/>
      <c r="AI134" s="29"/>
      <c r="AJ134" s="29"/>
      <c r="AK134" s="29"/>
      <c r="AL134" s="29"/>
    </row>
    <row r="135" spans="1:38" ht="14.1" customHeight="1">
      <c r="A135" s="116" t="e">
        <f>+'Estimate Details'!#REF!</f>
        <v>#REF!</v>
      </c>
      <c r="B135" s="116"/>
      <c r="C135" s="116"/>
      <c r="D135" s="166"/>
      <c r="E135" s="158" t="e">
        <f>+'Estimate Details'!#REF!</f>
        <v>#REF!</v>
      </c>
      <c r="F135" s="41"/>
      <c r="G135" s="117" t="e">
        <f>+'Estimate Details'!#REF!</f>
        <v>#REF!</v>
      </c>
      <c r="H135" s="206" t="e">
        <f>+'Estimate Details'!#REF!</f>
        <v>#REF!</v>
      </c>
      <c r="I135" s="108" t="e">
        <f>+'Estimate Details'!#REF!</f>
        <v>#REF!</v>
      </c>
      <c r="J135" s="168" t="e">
        <f>+'Estimate Details'!#REF!</f>
        <v>#REF!</v>
      </c>
      <c r="K135" s="42" t="e">
        <f>+'Estimate Details'!#REF!</f>
        <v>#REF!</v>
      </c>
      <c r="L135" s="42" t="e">
        <f>+'Estimate Details'!#REF!</f>
        <v>#REF!</v>
      </c>
      <c r="M135" s="204" t="e">
        <f>+'Estimate Details'!#REF!</f>
        <v>#REF!</v>
      </c>
      <c r="N135" s="170" t="e">
        <f>+'Estimate Details'!#REF!</f>
        <v>#REF!</v>
      </c>
      <c r="O135" s="171" t="e">
        <f>+'Estimate Details'!#REF!</f>
        <v>#REF!</v>
      </c>
      <c r="P135" s="172" t="e">
        <f>+'Estimate Details'!#REF!</f>
        <v>#REF!</v>
      </c>
      <c r="Q135" s="173" t="e">
        <f>+'Estimate Details'!#REF!</f>
        <v>#REF!</v>
      </c>
      <c r="R135" s="174" t="e">
        <f>+'Estimate Details'!#REF!</f>
        <v>#REF!</v>
      </c>
      <c r="S135" s="507"/>
      <c r="T135" s="174" t="e">
        <f>+'Estimate Details'!#REF!</f>
        <v>#REF!</v>
      </c>
      <c r="U135" s="486" t="s">
        <v>1309</v>
      </c>
      <c r="V135" s="172" t="e">
        <f>+'Estimate Details'!#REF!</f>
        <v>#REF!</v>
      </c>
      <c r="W135" s="481" t="s">
        <v>1309</v>
      </c>
      <c r="X135" s="172" t="e">
        <f>+'Estimate Details'!#REF!</f>
        <v>#REF!</v>
      </c>
      <c r="Y135" s="172" t="e">
        <f>+'Estimate Details'!#REF!</f>
        <v>#REF!</v>
      </c>
      <c r="Z135" s="174" t="e">
        <f>+'Estimate Details'!#REF!</f>
        <v>#REF!</v>
      </c>
      <c r="AA135" s="481"/>
      <c r="AB135" s="175" t="e">
        <f>+'Estimate Details'!#REF!</f>
        <v>#REF!</v>
      </c>
      <c r="AC135" s="569"/>
      <c r="AD135" s="176" t="e">
        <f>+'Estimate Details'!#REF!</f>
        <v>#REF!</v>
      </c>
      <c r="AE135" s="156"/>
      <c r="AF135" s="215"/>
      <c r="AG135" s="156"/>
      <c r="AH135" s="156"/>
      <c r="AI135" s="29"/>
      <c r="AJ135" s="29"/>
      <c r="AK135" s="29"/>
      <c r="AL135" s="29"/>
    </row>
    <row r="136" spans="1:38" ht="14.1" customHeight="1">
      <c r="A136" s="116" t="e">
        <f>+'Estimate Details'!#REF!</f>
        <v>#REF!</v>
      </c>
      <c r="B136" s="116"/>
      <c r="C136" s="116"/>
      <c r="D136" s="166"/>
      <c r="E136" s="158" t="e">
        <f>+'Estimate Details'!#REF!</f>
        <v>#REF!</v>
      </c>
      <c r="F136" s="41"/>
      <c r="G136" s="117" t="e">
        <f>+'Estimate Details'!#REF!</f>
        <v>#REF!</v>
      </c>
      <c r="H136" s="206" t="e">
        <f>+'Estimate Details'!#REF!</f>
        <v>#REF!</v>
      </c>
      <c r="I136" s="208" t="e">
        <f>+'Estimate Details'!#REF!</f>
        <v>#REF!</v>
      </c>
      <c r="J136" s="168" t="e">
        <f>+'Estimate Details'!#REF!</f>
        <v>#REF!</v>
      </c>
      <c r="K136" s="42" t="e">
        <f>+'Estimate Details'!#REF!</f>
        <v>#REF!</v>
      </c>
      <c r="L136" s="42" t="e">
        <f>+'Estimate Details'!#REF!</f>
        <v>#REF!</v>
      </c>
      <c r="M136" s="204" t="e">
        <f>+'Estimate Details'!#REF!</f>
        <v>#REF!</v>
      </c>
      <c r="N136" s="170" t="e">
        <f>+'Estimate Details'!#REF!</f>
        <v>#REF!</v>
      </c>
      <c r="O136" s="171" t="e">
        <f>+'Estimate Details'!#REF!</f>
        <v>#REF!</v>
      </c>
      <c r="P136" s="172" t="e">
        <f>+'Estimate Details'!#REF!</f>
        <v>#REF!</v>
      </c>
      <c r="Q136" s="173" t="e">
        <f>+'Estimate Details'!#REF!</f>
        <v>#REF!</v>
      </c>
      <c r="R136" s="174" t="e">
        <f>+'Estimate Details'!#REF!</f>
        <v>#REF!</v>
      </c>
      <c r="S136" s="507"/>
      <c r="T136" s="174" t="e">
        <f>+'Estimate Details'!#REF!</f>
        <v>#REF!</v>
      </c>
      <c r="U136" s="486" t="s">
        <v>1309</v>
      </c>
      <c r="V136" s="172" t="e">
        <f>+'Estimate Details'!#REF!</f>
        <v>#REF!</v>
      </c>
      <c r="W136" s="481" t="s">
        <v>1309</v>
      </c>
      <c r="X136" s="172" t="e">
        <f>+'Estimate Details'!#REF!</f>
        <v>#REF!</v>
      </c>
      <c r="Y136" s="172" t="e">
        <f>+'Estimate Details'!#REF!</f>
        <v>#REF!</v>
      </c>
      <c r="Z136" s="174" t="e">
        <f>+'Estimate Details'!#REF!</f>
        <v>#REF!</v>
      </c>
      <c r="AA136" s="481"/>
      <c r="AB136" s="175" t="e">
        <f>+'Estimate Details'!#REF!</f>
        <v>#REF!</v>
      </c>
      <c r="AC136" s="569"/>
      <c r="AD136" s="176" t="e">
        <f>+'Estimate Details'!#REF!</f>
        <v>#REF!</v>
      </c>
      <c r="AE136" s="156"/>
      <c r="AF136" s="215"/>
      <c r="AG136" s="156"/>
      <c r="AH136" s="156"/>
      <c r="AI136" s="29"/>
      <c r="AJ136" s="29"/>
      <c r="AK136" s="29"/>
      <c r="AL136" s="29"/>
    </row>
    <row r="137" spans="1:38" ht="14.1" customHeight="1">
      <c r="A137" s="116" t="e">
        <f>+'Estimate Details'!#REF!</f>
        <v>#REF!</v>
      </c>
      <c r="B137" s="116"/>
      <c r="C137" s="116"/>
      <c r="D137" s="166"/>
      <c r="E137" s="158" t="e">
        <f>+'Estimate Details'!#REF!</f>
        <v>#REF!</v>
      </c>
      <c r="F137" s="41"/>
      <c r="G137" s="117" t="e">
        <f>+'Estimate Details'!#REF!</f>
        <v>#REF!</v>
      </c>
      <c r="H137" s="206" t="e">
        <f>+'Estimate Details'!#REF!</f>
        <v>#REF!</v>
      </c>
      <c r="I137" s="108" t="e">
        <f>+'Estimate Details'!#REF!</f>
        <v>#REF!</v>
      </c>
      <c r="J137" s="168" t="e">
        <f>+'Estimate Details'!#REF!</f>
        <v>#REF!</v>
      </c>
      <c r="K137" s="42" t="e">
        <f>+'Estimate Details'!#REF!</f>
        <v>#REF!</v>
      </c>
      <c r="L137" s="42" t="e">
        <f>+'Estimate Details'!#REF!</f>
        <v>#REF!</v>
      </c>
      <c r="M137" s="204" t="e">
        <f>+'Estimate Details'!#REF!</f>
        <v>#REF!</v>
      </c>
      <c r="N137" s="170" t="e">
        <f>+'Estimate Details'!#REF!</f>
        <v>#REF!</v>
      </c>
      <c r="O137" s="171" t="e">
        <f>+'Estimate Details'!#REF!</f>
        <v>#REF!</v>
      </c>
      <c r="P137" s="172" t="e">
        <f>+'Estimate Details'!#REF!</f>
        <v>#REF!</v>
      </c>
      <c r="Q137" s="173" t="e">
        <f>+'Estimate Details'!#REF!</f>
        <v>#REF!</v>
      </c>
      <c r="R137" s="174" t="e">
        <f>+'Estimate Details'!#REF!</f>
        <v>#REF!</v>
      </c>
      <c r="S137" s="507"/>
      <c r="T137" s="174" t="e">
        <f>+'Estimate Details'!#REF!</f>
        <v>#REF!</v>
      </c>
      <c r="U137" s="486" t="s">
        <v>1309</v>
      </c>
      <c r="V137" s="172" t="e">
        <f>+'Estimate Details'!#REF!</f>
        <v>#REF!</v>
      </c>
      <c r="W137" s="481" t="s">
        <v>1309</v>
      </c>
      <c r="X137" s="172" t="e">
        <f>+'Estimate Details'!#REF!</f>
        <v>#REF!</v>
      </c>
      <c r="Y137" s="172" t="e">
        <f>+'Estimate Details'!#REF!</f>
        <v>#REF!</v>
      </c>
      <c r="Z137" s="174" t="e">
        <f>+'Estimate Details'!#REF!</f>
        <v>#REF!</v>
      </c>
      <c r="AA137" s="481"/>
      <c r="AB137" s="175" t="e">
        <f>+'Estimate Details'!#REF!</f>
        <v>#REF!</v>
      </c>
      <c r="AC137" s="569"/>
      <c r="AD137" s="176" t="e">
        <f>+'Estimate Details'!#REF!</f>
        <v>#REF!</v>
      </c>
      <c r="AE137" s="156"/>
      <c r="AF137" s="215"/>
      <c r="AG137" s="156"/>
      <c r="AH137" s="156"/>
      <c r="AI137" s="29"/>
      <c r="AJ137" s="29"/>
      <c r="AK137" s="29"/>
      <c r="AL137" s="29"/>
    </row>
    <row r="138" spans="1:38" ht="13.5" customHeight="1">
      <c r="A138" s="116" t="e">
        <f>+'Estimate Details'!#REF!</f>
        <v>#REF!</v>
      </c>
      <c r="B138" s="116"/>
      <c r="C138" s="116"/>
      <c r="D138" s="166"/>
      <c r="E138" s="158" t="e">
        <f>+'Estimate Details'!#REF!</f>
        <v>#REF!</v>
      </c>
      <c r="F138" s="41"/>
      <c r="G138" s="117" t="e">
        <f>+'Estimate Details'!#REF!</f>
        <v>#REF!</v>
      </c>
      <c r="H138" s="206" t="e">
        <f>+'Estimate Details'!#REF!</f>
        <v>#REF!</v>
      </c>
      <c r="I138" s="108" t="e">
        <f>+'Estimate Details'!#REF!</f>
        <v>#REF!</v>
      </c>
      <c r="J138" s="168" t="e">
        <f>+'Estimate Details'!#REF!</f>
        <v>#REF!</v>
      </c>
      <c r="K138" s="42" t="e">
        <f>+'Estimate Details'!#REF!</f>
        <v>#REF!</v>
      </c>
      <c r="L138" s="42" t="e">
        <f>+'Estimate Details'!#REF!</f>
        <v>#REF!</v>
      </c>
      <c r="M138" s="204" t="e">
        <f>+'Estimate Details'!#REF!</f>
        <v>#REF!</v>
      </c>
      <c r="N138" s="170" t="e">
        <f>+'Estimate Details'!#REF!</f>
        <v>#REF!</v>
      </c>
      <c r="O138" s="171" t="e">
        <f>+'Estimate Details'!#REF!</f>
        <v>#REF!</v>
      </c>
      <c r="P138" s="172" t="e">
        <f>+'Estimate Details'!#REF!</f>
        <v>#REF!</v>
      </c>
      <c r="Q138" s="173" t="e">
        <f>+'Estimate Details'!#REF!</f>
        <v>#REF!</v>
      </c>
      <c r="R138" s="174" t="e">
        <f>+'Estimate Details'!#REF!</f>
        <v>#REF!</v>
      </c>
      <c r="S138" s="507"/>
      <c r="T138" s="174" t="e">
        <f>+'Estimate Details'!#REF!</f>
        <v>#REF!</v>
      </c>
      <c r="U138" s="481"/>
      <c r="V138" s="172" t="e">
        <f>+'Estimate Details'!#REF!</f>
        <v>#REF!</v>
      </c>
      <c r="W138" s="481"/>
      <c r="X138" s="172" t="e">
        <f>+'Estimate Details'!#REF!</f>
        <v>#REF!</v>
      </c>
      <c r="Y138" s="172" t="e">
        <f>+'Estimate Details'!#REF!</f>
        <v>#REF!</v>
      </c>
      <c r="Z138" s="174" t="e">
        <f>+'Estimate Details'!#REF!</f>
        <v>#REF!</v>
      </c>
      <c r="AA138" s="481"/>
      <c r="AB138" s="175" t="e">
        <f>+'Estimate Details'!#REF!</f>
        <v>#REF!</v>
      </c>
      <c r="AC138" s="569"/>
      <c r="AD138" s="176" t="e">
        <f>+'Estimate Details'!#REF!</f>
        <v>#REF!</v>
      </c>
      <c r="AE138" s="156"/>
      <c r="AF138" s="215"/>
      <c r="AG138" s="156"/>
      <c r="AH138" s="156"/>
      <c r="AI138" s="29"/>
      <c r="AJ138" s="29"/>
      <c r="AK138" s="29"/>
      <c r="AL138" s="29"/>
    </row>
    <row r="139" spans="1:38" ht="14.1" customHeight="1">
      <c r="A139" s="116" t="e">
        <f>+'Estimate Details'!#REF!</f>
        <v>#REF!</v>
      </c>
      <c r="B139" s="116"/>
      <c r="C139" s="116"/>
      <c r="D139" s="166"/>
      <c r="E139" s="158" t="e">
        <f>+'Estimate Details'!#REF!</f>
        <v>#REF!</v>
      </c>
      <c r="F139" s="41"/>
      <c r="G139" s="117" t="e">
        <f>+'Estimate Details'!#REF!</f>
        <v>#REF!</v>
      </c>
      <c r="H139" s="206" t="e">
        <f>+'Estimate Details'!#REF!</f>
        <v>#REF!</v>
      </c>
      <c r="I139" s="108" t="e">
        <f>+'Estimate Details'!#REF!</f>
        <v>#REF!</v>
      </c>
      <c r="J139" s="168" t="e">
        <f>+'Estimate Details'!#REF!</f>
        <v>#REF!</v>
      </c>
      <c r="K139" s="42" t="e">
        <f>+'Estimate Details'!#REF!</f>
        <v>#REF!</v>
      </c>
      <c r="L139" s="42" t="e">
        <f>+'Estimate Details'!#REF!</f>
        <v>#REF!</v>
      </c>
      <c r="M139" s="204" t="e">
        <f>+'Estimate Details'!#REF!</f>
        <v>#REF!</v>
      </c>
      <c r="N139" s="170" t="e">
        <f>+'Estimate Details'!#REF!</f>
        <v>#REF!</v>
      </c>
      <c r="O139" s="171" t="e">
        <f>+'Estimate Details'!#REF!</f>
        <v>#REF!</v>
      </c>
      <c r="P139" s="172" t="e">
        <f>+'Estimate Details'!#REF!</f>
        <v>#REF!</v>
      </c>
      <c r="Q139" s="173" t="e">
        <f>+'Estimate Details'!#REF!</f>
        <v>#REF!</v>
      </c>
      <c r="R139" s="174" t="e">
        <f>+'Estimate Details'!#REF!</f>
        <v>#REF!</v>
      </c>
      <c r="S139" s="507"/>
      <c r="T139" s="174" t="e">
        <f>+'Estimate Details'!#REF!</f>
        <v>#REF!</v>
      </c>
      <c r="U139" s="486" t="s">
        <v>1309</v>
      </c>
      <c r="V139" s="172" t="e">
        <f>+'Estimate Details'!#REF!</f>
        <v>#REF!</v>
      </c>
      <c r="W139" s="481" t="s">
        <v>1309</v>
      </c>
      <c r="X139" s="172" t="e">
        <f>+'Estimate Details'!#REF!</f>
        <v>#REF!</v>
      </c>
      <c r="Y139" s="172" t="e">
        <f>+'Estimate Details'!#REF!</f>
        <v>#REF!</v>
      </c>
      <c r="Z139" s="174" t="e">
        <f>+'Estimate Details'!#REF!</f>
        <v>#REF!</v>
      </c>
      <c r="AA139" s="481"/>
      <c r="AB139" s="175" t="e">
        <f>+'Estimate Details'!#REF!</f>
        <v>#REF!</v>
      </c>
      <c r="AC139" s="569"/>
      <c r="AD139" s="176" t="e">
        <f>+'Estimate Details'!#REF!</f>
        <v>#REF!</v>
      </c>
      <c r="AE139" s="156"/>
      <c r="AF139" s="215"/>
      <c r="AG139" s="156"/>
      <c r="AH139" s="156"/>
      <c r="AI139" s="29"/>
      <c r="AJ139" s="29"/>
      <c r="AK139" s="29"/>
      <c r="AL139" s="29"/>
    </row>
    <row r="140" spans="1:38" ht="14.1" customHeight="1">
      <c r="A140" s="116" t="e">
        <f>+'Estimate Details'!#REF!</f>
        <v>#REF!</v>
      </c>
      <c r="B140" s="116"/>
      <c r="C140" s="116"/>
      <c r="D140" s="166"/>
      <c r="E140" s="158" t="e">
        <f>+'Estimate Details'!#REF!</f>
        <v>#REF!</v>
      </c>
      <c r="F140" s="41"/>
      <c r="G140" s="117" t="e">
        <f>+'Estimate Details'!#REF!</f>
        <v>#REF!</v>
      </c>
      <c r="H140" s="206" t="e">
        <f>+'Estimate Details'!#REF!</f>
        <v>#REF!</v>
      </c>
      <c r="I140" s="108" t="e">
        <f>+'Estimate Details'!#REF!</f>
        <v>#REF!</v>
      </c>
      <c r="J140" s="168" t="e">
        <f>+'Estimate Details'!#REF!</f>
        <v>#REF!</v>
      </c>
      <c r="K140" s="42" t="e">
        <f>+'Estimate Details'!#REF!</f>
        <v>#REF!</v>
      </c>
      <c r="L140" s="42" t="e">
        <f>+'Estimate Details'!#REF!</f>
        <v>#REF!</v>
      </c>
      <c r="M140" s="204" t="e">
        <f>+'Estimate Details'!#REF!</f>
        <v>#REF!</v>
      </c>
      <c r="N140" s="170" t="e">
        <f>+'Estimate Details'!#REF!</f>
        <v>#REF!</v>
      </c>
      <c r="O140" s="171" t="e">
        <f>+'Estimate Details'!#REF!</f>
        <v>#REF!</v>
      </c>
      <c r="P140" s="172" t="e">
        <f>+'Estimate Details'!#REF!</f>
        <v>#REF!</v>
      </c>
      <c r="Q140" s="173" t="e">
        <f>+'Estimate Details'!#REF!</f>
        <v>#REF!</v>
      </c>
      <c r="R140" s="174" t="e">
        <f>+'Estimate Details'!#REF!</f>
        <v>#REF!</v>
      </c>
      <c r="S140" s="507"/>
      <c r="T140" s="174" t="e">
        <f>+'Estimate Details'!#REF!</f>
        <v>#REF!</v>
      </c>
      <c r="U140" s="486" t="s">
        <v>1309</v>
      </c>
      <c r="V140" s="172" t="e">
        <f>+'Estimate Details'!#REF!</f>
        <v>#REF!</v>
      </c>
      <c r="W140" s="481" t="s">
        <v>1309</v>
      </c>
      <c r="X140" s="172" t="e">
        <f>+'Estimate Details'!#REF!</f>
        <v>#REF!</v>
      </c>
      <c r="Y140" s="172" t="e">
        <f>+'Estimate Details'!#REF!</f>
        <v>#REF!</v>
      </c>
      <c r="Z140" s="174" t="e">
        <f>+'Estimate Details'!#REF!</f>
        <v>#REF!</v>
      </c>
      <c r="AA140" s="481"/>
      <c r="AB140" s="175" t="e">
        <f>+'Estimate Details'!#REF!</f>
        <v>#REF!</v>
      </c>
      <c r="AC140" s="569"/>
      <c r="AD140" s="176" t="e">
        <f>+'Estimate Details'!#REF!</f>
        <v>#REF!</v>
      </c>
      <c r="AE140" s="156"/>
      <c r="AF140" s="215"/>
      <c r="AG140" s="156"/>
      <c r="AH140" s="156"/>
      <c r="AI140" s="29"/>
      <c r="AJ140" s="29"/>
      <c r="AK140" s="29"/>
      <c r="AL140" s="29"/>
    </row>
    <row r="141" spans="1:38" ht="14.1" customHeight="1">
      <c r="A141" s="116" t="e">
        <f>+'Estimate Details'!#REF!</f>
        <v>#REF!</v>
      </c>
      <c r="B141" s="116"/>
      <c r="C141" s="116"/>
      <c r="D141" s="166"/>
      <c r="E141" s="158" t="e">
        <f>+'Estimate Details'!#REF!</f>
        <v>#REF!</v>
      </c>
      <c r="F141" s="41"/>
      <c r="G141" s="117" t="e">
        <f>+'Estimate Details'!#REF!</f>
        <v>#REF!</v>
      </c>
      <c r="H141" s="206" t="e">
        <f>+'Estimate Details'!#REF!</f>
        <v>#REF!</v>
      </c>
      <c r="I141" s="108" t="e">
        <f>+'Estimate Details'!#REF!</f>
        <v>#REF!</v>
      </c>
      <c r="J141" s="168" t="e">
        <f>+'Estimate Details'!#REF!</f>
        <v>#REF!</v>
      </c>
      <c r="K141" s="42" t="e">
        <f>+'Estimate Details'!#REF!</f>
        <v>#REF!</v>
      </c>
      <c r="L141" s="42" t="e">
        <f>+'Estimate Details'!#REF!</f>
        <v>#REF!</v>
      </c>
      <c r="M141" s="204" t="e">
        <f>+'Estimate Details'!#REF!</f>
        <v>#REF!</v>
      </c>
      <c r="N141" s="170" t="e">
        <f>+'Estimate Details'!#REF!</f>
        <v>#REF!</v>
      </c>
      <c r="O141" s="171" t="e">
        <f>+'Estimate Details'!#REF!</f>
        <v>#REF!</v>
      </c>
      <c r="P141" s="172" t="e">
        <f>+'Estimate Details'!#REF!</f>
        <v>#REF!</v>
      </c>
      <c r="Q141" s="173" t="e">
        <f>+'Estimate Details'!#REF!</f>
        <v>#REF!</v>
      </c>
      <c r="R141" s="174" t="e">
        <f>+'Estimate Details'!#REF!</f>
        <v>#REF!</v>
      </c>
      <c r="S141" s="507"/>
      <c r="T141" s="174" t="e">
        <f>+'Estimate Details'!#REF!</f>
        <v>#REF!</v>
      </c>
      <c r="U141" s="486" t="s">
        <v>1309</v>
      </c>
      <c r="V141" s="172" t="e">
        <f>+'Estimate Details'!#REF!</f>
        <v>#REF!</v>
      </c>
      <c r="W141" s="481" t="s">
        <v>1309</v>
      </c>
      <c r="X141" s="172" t="e">
        <f>+'Estimate Details'!#REF!</f>
        <v>#REF!</v>
      </c>
      <c r="Y141" s="172" t="e">
        <f>+'Estimate Details'!#REF!</f>
        <v>#REF!</v>
      </c>
      <c r="Z141" s="174" t="e">
        <f>+'Estimate Details'!#REF!</f>
        <v>#REF!</v>
      </c>
      <c r="AA141" s="481"/>
      <c r="AB141" s="175" t="e">
        <f>+'Estimate Details'!#REF!</f>
        <v>#REF!</v>
      </c>
      <c r="AC141" s="569"/>
      <c r="AD141" s="176" t="e">
        <f>+'Estimate Details'!#REF!</f>
        <v>#REF!</v>
      </c>
      <c r="AE141" s="156"/>
      <c r="AF141" s="215"/>
      <c r="AG141" s="156"/>
      <c r="AH141" s="156"/>
      <c r="AI141" s="29"/>
      <c r="AJ141" s="29"/>
      <c r="AK141" s="29"/>
      <c r="AL141" s="29"/>
    </row>
    <row r="142" spans="1:38" ht="14.1" customHeight="1">
      <c r="A142" s="116" t="e">
        <f>+'Estimate Details'!#REF!</f>
        <v>#REF!</v>
      </c>
      <c r="B142" s="116"/>
      <c r="C142" s="116"/>
      <c r="D142" s="166"/>
      <c r="E142" s="158" t="e">
        <f>+'Estimate Details'!#REF!</f>
        <v>#REF!</v>
      </c>
      <c r="F142" s="41"/>
      <c r="G142" s="205" t="e">
        <f>+'Estimate Details'!#REF!</f>
        <v>#REF!</v>
      </c>
      <c r="H142" s="206" t="e">
        <f>+'Estimate Details'!#REF!</f>
        <v>#REF!</v>
      </c>
      <c r="I142" s="108" t="e">
        <f>+'Estimate Details'!#REF!</f>
        <v>#REF!</v>
      </c>
      <c r="J142" s="207" t="e">
        <f>+'Estimate Details'!#REF!</f>
        <v>#REF!</v>
      </c>
      <c r="K142" s="42" t="e">
        <f>+'Estimate Details'!#REF!</f>
        <v>#REF!</v>
      </c>
      <c r="L142" s="42" t="e">
        <f>+'Estimate Details'!#REF!</f>
        <v>#REF!</v>
      </c>
      <c r="M142" s="204" t="e">
        <f>+'Estimate Details'!#REF!</f>
        <v>#REF!</v>
      </c>
      <c r="N142" s="170" t="e">
        <f>+'Estimate Details'!#REF!</f>
        <v>#REF!</v>
      </c>
      <c r="O142" s="171" t="e">
        <f>+'Estimate Details'!#REF!</f>
        <v>#REF!</v>
      </c>
      <c r="P142" s="172" t="e">
        <f>+'Estimate Details'!#REF!</f>
        <v>#REF!</v>
      </c>
      <c r="Q142" s="173" t="e">
        <f>+'Estimate Details'!#REF!</f>
        <v>#REF!</v>
      </c>
      <c r="R142" s="174" t="e">
        <f>+'Estimate Details'!#REF!</f>
        <v>#REF!</v>
      </c>
      <c r="S142" s="507"/>
      <c r="T142" s="174" t="e">
        <f>+'Estimate Details'!#REF!</f>
        <v>#REF!</v>
      </c>
      <c r="U142" s="486" t="s">
        <v>1309</v>
      </c>
      <c r="V142" s="172" t="e">
        <f>+'Estimate Details'!#REF!</f>
        <v>#REF!</v>
      </c>
      <c r="W142" s="481" t="s">
        <v>1309</v>
      </c>
      <c r="X142" s="172" t="e">
        <f>+'Estimate Details'!#REF!</f>
        <v>#REF!</v>
      </c>
      <c r="Y142" s="172" t="e">
        <f>+'Estimate Details'!#REF!</f>
        <v>#REF!</v>
      </c>
      <c r="Z142" s="174" t="e">
        <f>+'Estimate Details'!#REF!</f>
        <v>#REF!</v>
      </c>
      <c r="AA142" s="481"/>
      <c r="AB142" s="175" t="e">
        <f>+'Estimate Details'!#REF!</f>
        <v>#REF!</v>
      </c>
      <c r="AC142" s="569"/>
      <c r="AD142" s="176" t="e">
        <f>+'Estimate Details'!#REF!</f>
        <v>#REF!</v>
      </c>
      <c r="AE142" s="156"/>
      <c r="AF142" s="215"/>
      <c r="AG142" s="156"/>
      <c r="AH142" s="156"/>
      <c r="AI142" s="29"/>
      <c r="AJ142" s="29"/>
      <c r="AK142" s="29"/>
      <c r="AL142" s="29"/>
    </row>
    <row r="143" spans="1:38" ht="14.1" customHeight="1">
      <c r="A143" s="116" t="e">
        <f>+'Estimate Details'!#REF!</f>
        <v>#REF!</v>
      </c>
      <c r="B143" s="116"/>
      <c r="C143" s="116"/>
      <c r="D143" s="166"/>
      <c r="E143" s="158" t="e">
        <f>+'Estimate Details'!#REF!</f>
        <v>#REF!</v>
      </c>
      <c r="F143" s="41"/>
      <c r="G143" s="117" t="e">
        <f>+'Estimate Details'!#REF!</f>
        <v>#REF!</v>
      </c>
      <c r="H143" s="206" t="e">
        <f>+'Estimate Details'!#REF!</f>
        <v>#REF!</v>
      </c>
      <c r="I143" s="108" t="e">
        <f>+'Estimate Details'!#REF!</f>
        <v>#REF!</v>
      </c>
      <c r="J143" s="168" t="e">
        <f>+'Estimate Details'!#REF!</f>
        <v>#REF!</v>
      </c>
      <c r="K143" s="42" t="e">
        <f>+'Estimate Details'!#REF!</f>
        <v>#REF!</v>
      </c>
      <c r="L143" s="42" t="e">
        <f>+'Estimate Details'!#REF!</f>
        <v>#REF!</v>
      </c>
      <c r="M143" s="204" t="e">
        <f>+'Estimate Details'!#REF!</f>
        <v>#REF!</v>
      </c>
      <c r="N143" s="170" t="e">
        <f>+'Estimate Details'!#REF!</f>
        <v>#REF!</v>
      </c>
      <c r="O143" s="171" t="e">
        <f>+'Estimate Details'!#REF!</f>
        <v>#REF!</v>
      </c>
      <c r="P143" s="172" t="e">
        <f>+'Estimate Details'!#REF!</f>
        <v>#REF!</v>
      </c>
      <c r="Q143" s="173" t="e">
        <f>+'Estimate Details'!#REF!</f>
        <v>#REF!</v>
      </c>
      <c r="R143" s="174" t="e">
        <f>+'Estimate Details'!#REF!</f>
        <v>#REF!</v>
      </c>
      <c r="S143" s="507"/>
      <c r="T143" s="174" t="e">
        <f>+'Estimate Details'!#REF!</f>
        <v>#REF!</v>
      </c>
      <c r="U143" s="486" t="s">
        <v>1309</v>
      </c>
      <c r="V143" s="172" t="e">
        <f>+'Estimate Details'!#REF!</f>
        <v>#REF!</v>
      </c>
      <c r="W143" s="481" t="s">
        <v>1309</v>
      </c>
      <c r="X143" s="172" t="e">
        <f>+'Estimate Details'!#REF!</f>
        <v>#REF!</v>
      </c>
      <c r="Y143" s="172" t="e">
        <f>+'Estimate Details'!#REF!</f>
        <v>#REF!</v>
      </c>
      <c r="Z143" s="174" t="e">
        <f>+'Estimate Details'!#REF!</f>
        <v>#REF!</v>
      </c>
      <c r="AA143" s="481"/>
      <c r="AB143" s="175" t="e">
        <f>+'Estimate Details'!#REF!</f>
        <v>#REF!</v>
      </c>
      <c r="AC143" s="569"/>
      <c r="AD143" s="176" t="e">
        <f>+'Estimate Details'!#REF!</f>
        <v>#REF!</v>
      </c>
      <c r="AE143" s="156"/>
      <c r="AF143" s="215"/>
      <c r="AG143" s="156"/>
      <c r="AH143" s="156"/>
      <c r="AI143" s="29"/>
      <c r="AJ143" s="29"/>
      <c r="AK143" s="29"/>
      <c r="AL143" s="29"/>
    </row>
    <row r="144" spans="1:38" ht="13.5" customHeight="1">
      <c r="A144" s="116" t="e">
        <f>+'Estimate Details'!#REF!</f>
        <v>#REF!</v>
      </c>
      <c r="B144" s="116"/>
      <c r="C144" s="116"/>
      <c r="D144" s="166"/>
      <c r="E144" s="158" t="e">
        <f>+'Estimate Details'!#REF!</f>
        <v>#REF!</v>
      </c>
      <c r="F144" s="41"/>
      <c r="G144" s="117" t="e">
        <f>+'Estimate Details'!#REF!</f>
        <v>#REF!</v>
      </c>
      <c r="H144" s="206" t="e">
        <f>+'Estimate Details'!#REF!</f>
        <v>#REF!</v>
      </c>
      <c r="I144" s="108" t="e">
        <f>+'Estimate Details'!#REF!</f>
        <v>#REF!</v>
      </c>
      <c r="J144" s="168" t="e">
        <f>+'Estimate Details'!#REF!</f>
        <v>#REF!</v>
      </c>
      <c r="K144" s="42" t="e">
        <f>+'Estimate Details'!#REF!</f>
        <v>#REF!</v>
      </c>
      <c r="L144" s="42" t="e">
        <f>+'Estimate Details'!#REF!</f>
        <v>#REF!</v>
      </c>
      <c r="M144" s="204" t="e">
        <f>+'Estimate Details'!#REF!</f>
        <v>#REF!</v>
      </c>
      <c r="N144" s="170" t="e">
        <f>+'Estimate Details'!#REF!</f>
        <v>#REF!</v>
      </c>
      <c r="O144" s="171" t="e">
        <f>+'Estimate Details'!#REF!</f>
        <v>#REF!</v>
      </c>
      <c r="P144" s="172" t="e">
        <f>+'Estimate Details'!#REF!</f>
        <v>#REF!</v>
      </c>
      <c r="Q144" s="173" t="e">
        <f>+'Estimate Details'!#REF!</f>
        <v>#REF!</v>
      </c>
      <c r="R144" s="174" t="e">
        <f>+'Estimate Details'!#REF!</f>
        <v>#REF!</v>
      </c>
      <c r="S144" s="507"/>
      <c r="T144" s="174" t="e">
        <f>+'Estimate Details'!#REF!</f>
        <v>#REF!</v>
      </c>
      <c r="U144" s="486" t="s">
        <v>1309</v>
      </c>
      <c r="V144" s="172" t="e">
        <f>+'Estimate Details'!#REF!</f>
        <v>#REF!</v>
      </c>
      <c r="W144" s="481" t="s">
        <v>1309</v>
      </c>
      <c r="X144" s="172" t="e">
        <f>+'Estimate Details'!#REF!</f>
        <v>#REF!</v>
      </c>
      <c r="Y144" s="172" t="e">
        <f>+'Estimate Details'!#REF!</f>
        <v>#REF!</v>
      </c>
      <c r="Z144" s="174" t="e">
        <f>+'Estimate Details'!#REF!</f>
        <v>#REF!</v>
      </c>
      <c r="AA144" s="481"/>
      <c r="AB144" s="175" t="e">
        <f>+'Estimate Details'!#REF!</f>
        <v>#REF!</v>
      </c>
      <c r="AC144" s="569"/>
      <c r="AD144" s="176" t="e">
        <f>+'Estimate Details'!#REF!</f>
        <v>#REF!</v>
      </c>
      <c r="AE144" s="156"/>
      <c r="AF144" s="215"/>
      <c r="AG144" s="156"/>
      <c r="AH144" s="156"/>
      <c r="AI144" s="29"/>
      <c r="AJ144" s="29"/>
      <c r="AK144" s="29"/>
      <c r="AL144" s="29"/>
    </row>
    <row r="145" spans="1:38" ht="14.1" customHeight="1">
      <c r="A145" s="116" t="e">
        <f>+'Estimate Details'!#REF!</f>
        <v>#REF!</v>
      </c>
      <c r="B145" s="116"/>
      <c r="C145" s="116"/>
      <c r="D145" s="166"/>
      <c r="E145" s="158" t="e">
        <f>+'Estimate Details'!#REF!</f>
        <v>#REF!</v>
      </c>
      <c r="F145" s="41"/>
      <c r="G145" s="117" t="e">
        <f>+'Estimate Details'!#REF!</f>
        <v>#REF!</v>
      </c>
      <c r="H145" s="118" t="e">
        <f>+'Estimate Details'!#REF!</f>
        <v>#REF!</v>
      </c>
      <c r="I145" s="208" t="e">
        <f>+'Estimate Details'!#REF!</f>
        <v>#REF!</v>
      </c>
      <c r="J145" s="168" t="e">
        <f>+'Estimate Details'!#REF!</f>
        <v>#REF!</v>
      </c>
      <c r="K145" s="42" t="e">
        <f>+'Estimate Details'!#REF!</f>
        <v>#REF!</v>
      </c>
      <c r="L145" s="42" t="e">
        <f>+'Estimate Details'!#REF!</f>
        <v>#REF!</v>
      </c>
      <c r="M145" s="204" t="e">
        <f>+'Estimate Details'!#REF!</f>
        <v>#REF!</v>
      </c>
      <c r="N145" s="170" t="e">
        <f>+'Estimate Details'!#REF!</f>
        <v>#REF!</v>
      </c>
      <c r="O145" s="171" t="e">
        <f>+'Estimate Details'!#REF!</f>
        <v>#REF!</v>
      </c>
      <c r="P145" s="172" t="e">
        <f>+'Estimate Details'!#REF!</f>
        <v>#REF!</v>
      </c>
      <c r="Q145" s="173" t="e">
        <f>+'Estimate Details'!#REF!</f>
        <v>#REF!</v>
      </c>
      <c r="R145" s="174" t="e">
        <f>+'Estimate Details'!#REF!</f>
        <v>#REF!</v>
      </c>
      <c r="S145" s="507"/>
      <c r="T145" s="174" t="e">
        <f>+'Estimate Details'!#REF!</f>
        <v>#REF!</v>
      </c>
      <c r="U145" s="486" t="s">
        <v>1309</v>
      </c>
      <c r="V145" s="172" t="e">
        <f>+'Estimate Details'!#REF!</f>
        <v>#REF!</v>
      </c>
      <c r="W145" s="481" t="s">
        <v>1309</v>
      </c>
      <c r="X145" s="172" t="e">
        <f>+'Estimate Details'!#REF!</f>
        <v>#REF!</v>
      </c>
      <c r="Y145" s="172" t="e">
        <f>+'Estimate Details'!#REF!</f>
        <v>#REF!</v>
      </c>
      <c r="Z145" s="174" t="e">
        <f>+'Estimate Details'!#REF!</f>
        <v>#REF!</v>
      </c>
      <c r="AA145" s="481"/>
      <c r="AB145" s="175" t="e">
        <f>+'Estimate Details'!#REF!</f>
        <v>#REF!</v>
      </c>
      <c r="AC145" s="569"/>
      <c r="AD145" s="176" t="e">
        <f>+'Estimate Details'!#REF!</f>
        <v>#REF!</v>
      </c>
      <c r="AE145" s="156"/>
      <c r="AF145" s="215"/>
      <c r="AG145" s="156"/>
      <c r="AH145" s="156"/>
      <c r="AI145" s="29"/>
      <c r="AJ145" s="29"/>
      <c r="AK145" s="29"/>
      <c r="AL145" s="29"/>
    </row>
    <row r="146" spans="1:38" ht="14.1" customHeight="1">
      <c r="A146" s="116" t="e">
        <f>+'Estimate Details'!#REF!</f>
        <v>#REF!</v>
      </c>
      <c r="B146" s="116"/>
      <c r="C146" s="116"/>
      <c r="D146" s="166"/>
      <c r="E146" s="158" t="e">
        <f>+'Estimate Details'!#REF!</f>
        <v>#REF!</v>
      </c>
      <c r="F146" s="41"/>
      <c r="G146" s="117" t="e">
        <f>+'Estimate Details'!#REF!</f>
        <v>#REF!</v>
      </c>
      <c r="H146" s="206" t="e">
        <f>+'Estimate Details'!#REF!</f>
        <v>#REF!</v>
      </c>
      <c r="I146" s="108" t="e">
        <f>+'Estimate Details'!#REF!</f>
        <v>#REF!</v>
      </c>
      <c r="J146" s="168" t="e">
        <f>+'Estimate Details'!#REF!</f>
        <v>#REF!</v>
      </c>
      <c r="K146" s="42" t="e">
        <f>+'Estimate Details'!#REF!</f>
        <v>#REF!</v>
      </c>
      <c r="L146" s="42" t="e">
        <f>+'Estimate Details'!#REF!</f>
        <v>#REF!</v>
      </c>
      <c r="M146" s="204" t="e">
        <f>+'Estimate Details'!#REF!</f>
        <v>#REF!</v>
      </c>
      <c r="N146" s="170" t="e">
        <f>+'Estimate Details'!#REF!</f>
        <v>#REF!</v>
      </c>
      <c r="O146" s="171" t="e">
        <f>+'Estimate Details'!#REF!</f>
        <v>#REF!</v>
      </c>
      <c r="P146" s="172" t="e">
        <f>+'Estimate Details'!#REF!</f>
        <v>#REF!</v>
      </c>
      <c r="Q146" s="173" t="e">
        <f>+'Estimate Details'!#REF!</f>
        <v>#REF!</v>
      </c>
      <c r="R146" s="174" t="e">
        <f>+'Estimate Details'!#REF!</f>
        <v>#REF!</v>
      </c>
      <c r="S146" s="507"/>
      <c r="T146" s="174" t="e">
        <f>+'Estimate Details'!#REF!</f>
        <v>#REF!</v>
      </c>
      <c r="U146" s="486" t="s">
        <v>1309</v>
      </c>
      <c r="V146" s="172" t="e">
        <f>+'Estimate Details'!#REF!</f>
        <v>#REF!</v>
      </c>
      <c r="W146" s="481" t="s">
        <v>1309</v>
      </c>
      <c r="X146" s="172" t="e">
        <f>+'Estimate Details'!#REF!</f>
        <v>#REF!</v>
      </c>
      <c r="Y146" s="172" t="e">
        <f>+'Estimate Details'!#REF!</f>
        <v>#REF!</v>
      </c>
      <c r="Z146" s="174" t="e">
        <f>+'Estimate Details'!#REF!</f>
        <v>#REF!</v>
      </c>
      <c r="AA146" s="481"/>
      <c r="AB146" s="175" t="e">
        <f>+'Estimate Details'!#REF!</f>
        <v>#REF!</v>
      </c>
      <c r="AC146" s="569"/>
      <c r="AD146" s="176" t="e">
        <f>+'Estimate Details'!#REF!</f>
        <v>#REF!</v>
      </c>
      <c r="AE146" s="156"/>
      <c r="AF146" s="215"/>
      <c r="AG146" s="156"/>
      <c r="AH146" s="156"/>
      <c r="AI146" s="29"/>
      <c r="AJ146" s="29"/>
      <c r="AK146" s="29"/>
      <c r="AL146" s="29"/>
    </row>
    <row r="147" spans="1:38" ht="13.5" customHeight="1">
      <c r="A147" s="116" t="e">
        <f>+'Estimate Details'!#REF!</f>
        <v>#REF!</v>
      </c>
      <c r="B147" s="116"/>
      <c r="C147" s="116"/>
      <c r="D147" s="166"/>
      <c r="E147" s="158" t="e">
        <f>+'Estimate Details'!#REF!</f>
        <v>#REF!</v>
      </c>
      <c r="F147" s="41"/>
      <c r="G147" s="117" t="e">
        <f>+'Estimate Details'!#REF!</f>
        <v>#REF!</v>
      </c>
      <c r="H147" s="206" t="e">
        <f>+'Estimate Details'!#REF!</f>
        <v>#REF!</v>
      </c>
      <c r="I147" s="108" t="e">
        <f>+'Estimate Details'!#REF!</f>
        <v>#REF!</v>
      </c>
      <c r="J147" s="168" t="e">
        <f>+'Estimate Details'!#REF!</f>
        <v>#REF!</v>
      </c>
      <c r="K147" s="42" t="e">
        <f>+'Estimate Details'!#REF!</f>
        <v>#REF!</v>
      </c>
      <c r="L147" s="42" t="e">
        <f>+'Estimate Details'!#REF!</f>
        <v>#REF!</v>
      </c>
      <c r="M147" s="204" t="e">
        <f>+'Estimate Details'!#REF!</f>
        <v>#REF!</v>
      </c>
      <c r="N147" s="170" t="e">
        <f>+'Estimate Details'!#REF!</f>
        <v>#REF!</v>
      </c>
      <c r="O147" s="171" t="e">
        <f>+'Estimate Details'!#REF!</f>
        <v>#REF!</v>
      </c>
      <c r="P147" s="172" t="e">
        <f>+'Estimate Details'!#REF!</f>
        <v>#REF!</v>
      </c>
      <c r="Q147" s="173" t="e">
        <f>+'Estimate Details'!#REF!</f>
        <v>#REF!</v>
      </c>
      <c r="R147" s="174" t="e">
        <f>+'Estimate Details'!#REF!</f>
        <v>#REF!</v>
      </c>
      <c r="S147" s="507"/>
      <c r="T147" s="174" t="e">
        <f>+'Estimate Details'!#REF!</f>
        <v>#REF!</v>
      </c>
      <c r="U147" s="486" t="s">
        <v>1309</v>
      </c>
      <c r="V147" s="172" t="e">
        <f>+'Estimate Details'!#REF!</f>
        <v>#REF!</v>
      </c>
      <c r="W147" s="481" t="s">
        <v>1309</v>
      </c>
      <c r="X147" s="172" t="e">
        <f>+'Estimate Details'!#REF!</f>
        <v>#REF!</v>
      </c>
      <c r="Y147" s="172" t="e">
        <f>+'Estimate Details'!#REF!</f>
        <v>#REF!</v>
      </c>
      <c r="Z147" s="174" t="e">
        <f>+'Estimate Details'!#REF!</f>
        <v>#REF!</v>
      </c>
      <c r="AA147" s="481"/>
      <c r="AB147" s="175" t="e">
        <f>+'Estimate Details'!#REF!</f>
        <v>#REF!</v>
      </c>
      <c r="AC147" s="569"/>
      <c r="AD147" s="176" t="e">
        <f>+'Estimate Details'!#REF!</f>
        <v>#REF!</v>
      </c>
      <c r="AE147" s="156"/>
      <c r="AF147" s="215"/>
      <c r="AG147" s="156"/>
      <c r="AH147" s="156"/>
      <c r="AI147" s="29"/>
      <c r="AJ147" s="29"/>
      <c r="AK147" s="29"/>
      <c r="AL147" s="29"/>
    </row>
    <row r="148" spans="1:38" ht="14.1" customHeight="1">
      <c r="A148" s="116" t="e">
        <f>+'Estimate Details'!#REF!</f>
        <v>#REF!</v>
      </c>
      <c r="B148" s="116"/>
      <c r="C148" s="116"/>
      <c r="D148" s="166"/>
      <c r="E148" s="158" t="e">
        <f>+'Estimate Details'!#REF!</f>
        <v>#REF!</v>
      </c>
      <c r="F148" s="41"/>
      <c r="G148" s="117" t="e">
        <f>+'Estimate Details'!#REF!</f>
        <v>#REF!</v>
      </c>
      <c r="H148" s="214" t="e">
        <f>+'Estimate Details'!#REF!</f>
        <v>#REF!</v>
      </c>
      <c r="I148" s="108" t="e">
        <f>+'Estimate Details'!#REF!</f>
        <v>#REF!</v>
      </c>
      <c r="J148" s="168" t="e">
        <f>+'Estimate Details'!#REF!</f>
        <v>#REF!</v>
      </c>
      <c r="K148" s="42" t="e">
        <f>+'Estimate Details'!#REF!</f>
        <v>#REF!</v>
      </c>
      <c r="L148" s="42" t="e">
        <f>+'Estimate Details'!#REF!</f>
        <v>#REF!</v>
      </c>
      <c r="M148" s="204" t="e">
        <f>+'Estimate Details'!#REF!</f>
        <v>#REF!</v>
      </c>
      <c r="N148" s="170" t="e">
        <f>+'Estimate Details'!#REF!</f>
        <v>#REF!</v>
      </c>
      <c r="O148" s="171" t="e">
        <f>+'Estimate Details'!#REF!</f>
        <v>#REF!</v>
      </c>
      <c r="P148" s="172" t="e">
        <f>+'Estimate Details'!#REF!</f>
        <v>#REF!</v>
      </c>
      <c r="Q148" s="173" t="e">
        <f>+'Estimate Details'!#REF!</f>
        <v>#REF!</v>
      </c>
      <c r="R148" s="174" t="e">
        <f>+'Estimate Details'!#REF!</f>
        <v>#REF!</v>
      </c>
      <c r="S148" s="507"/>
      <c r="T148" s="174" t="e">
        <f>+'Estimate Details'!#REF!</f>
        <v>#REF!</v>
      </c>
      <c r="U148" s="486" t="s">
        <v>1309</v>
      </c>
      <c r="V148" s="172" t="e">
        <f>+'Estimate Details'!#REF!</f>
        <v>#REF!</v>
      </c>
      <c r="W148" s="481" t="s">
        <v>1309</v>
      </c>
      <c r="X148" s="172" t="e">
        <f>+'Estimate Details'!#REF!</f>
        <v>#REF!</v>
      </c>
      <c r="Y148" s="172" t="e">
        <f>+'Estimate Details'!#REF!</f>
        <v>#REF!</v>
      </c>
      <c r="Z148" s="174" t="e">
        <f>+'Estimate Details'!#REF!</f>
        <v>#REF!</v>
      </c>
      <c r="AA148" s="481"/>
      <c r="AB148" s="175" t="e">
        <f>+'Estimate Details'!#REF!</f>
        <v>#REF!</v>
      </c>
      <c r="AC148" s="569"/>
      <c r="AD148" s="176" t="e">
        <f>+'Estimate Details'!#REF!</f>
        <v>#REF!</v>
      </c>
      <c r="AE148" s="156"/>
      <c r="AF148" s="215"/>
      <c r="AG148" s="156"/>
      <c r="AH148" s="156"/>
      <c r="AI148" s="29"/>
      <c r="AJ148" s="29"/>
      <c r="AK148" s="29"/>
      <c r="AL148" s="29"/>
    </row>
    <row r="149" spans="1:38" ht="14.1" customHeight="1">
      <c r="A149" s="116" t="e">
        <f>+'Estimate Details'!#REF!</f>
        <v>#REF!</v>
      </c>
      <c r="B149" s="116"/>
      <c r="C149" s="116"/>
      <c r="D149" s="166"/>
      <c r="E149" s="158" t="e">
        <f>+'Estimate Details'!#REF!</f>
        <v>#REF!</v>
      </c>
      <c r="F149" s="41"/>
      <c r="G149" s="117" t="e">
        <f>+'Estimate Details'!#REF!</f>
        <v>#REF!</v>
      </c>
      <c r="H149" s="118" t="e">
        <f>+'Estimate Details'!#REF!</f>
        <v>#REF!</v>
      </c>
      <c r="I149" s="208" t="e">
        <f>+'Estimate Details'!#REF!</f>
        <v>#REF!</v>
      </c>
      <c r="J149" s="168" t="e">
        <f>+'Estimate Details'!#REF!</f>
        <v>#REF!</v>
      </c>
      <c r="K149" s="42" t="e">
        <f>+'Estimate Details'!#REF!</f>
        <v>#REF!</v>
      </c>
      <c r="L149" s="42" t="e">
        <f>+'Estimate Details'!#REF!</f>
        <v>#REF!</v>
      </c>
      <c r="M149" s="204" t="e">
        <f>+'Estimate Details'!#REF!</f>
        <v>#REF!</v>
      </c>
      <c r="N149" s="170" t="e">
        <f>+'Estimate Details'!#REF!</f>
        <v>#REF!</v>
      </c>
      <c r="O149" s="171" t="e">
        <f>+'Estimate Details'!#REF!</f>
        <v>#REF!</v>
      </c>
      <c r="P149" s="172" t="e">
        <f>+'Estimate Details'!#REF!</f>
        <v>#REF!</v>
      </c>
      <c r="Q149" s="173" t="e">
        <f>+'Estimate Details'!#REF!</f>
        <v>#REF!</v>
      </c>
      <c r="R149" s="174" t="e">
        <f>+'Estimate Details'!#REF!</f>
        <v>#REF!</v>
      </c>
      <c r="S149" s="507"/>
      <c r="T149" s="174" t="e">
        <f>+'Estimate Details'!#REF!</f>
        <v>#REF!</v>
      </c>
      <c r="U149" s="486" t="s">
        <v>1309</v>
      </c>
      <c r="V149" s="172" t="e">
        <f>+'Estimate Details'!#REF!</f>
        <v>#REF!</v>
      </c>
      <c r="W149" s="481"/>
      <c r="X149" s="172" t="e">
        <f>+'Estimate Details'!#REF!</f>
        <v>#REF!</v>
      </c>
      <c r="Y149" s="172" t="e">
        <f>+'Estimate Details'!#REF!</f>
        <v>#REF!</v>
      </c>
      <c r="Z149" s="174" t="e">
        <f>+'Estimate Details'!#REF!</f>
        <v>#REF!</v>
      </c>
      <c r="AA149" s="481"/>
      <c r="AB149" s="175" t="e">
        <f>+'Estimate Details'!#REF!</f>
        <v>#REF!</v>
      </c>
      <c r="AC149" s="569"/>
      <c r="AD149" s="176" t="e">
        <f>+'Estimate Details'!#REF!</f>
        <v>#REF!</v>
      </c>
      <c r="AE149" s="156"/>
      <c r="AF149" s="215"/>
      <c r="AG149" s="156"/>
      <c r="AH149" s="156"/>
      <c r="AI149" s="29"/>
      <c r="AJ149" s="29"/>
      <c r="AK149" s="29"/>
      <c r="AL149" s="29"/>
    </row>
    <row r="150" spans="1:38" ht="14.1" customHeight="1">
      <c r="A150" s="116" t="e">
        <f>+'Estimate Details'!#REF!</f>
        <v>#REF!</v>
      </c>
      <c r="B150" s="116"/>
      <c r="C150" s="116"/>
      <c r="D150" s="166"/>
      <c r="E150" s="158" t="e">
        <f>+'Estimate Details'!#REF!</f>
        <v>#REF!</v>
      </c>
      <c r="F150" s="41"/>
      <c r="G150" s="117" t="e">
        <f>+'Estimate Details'!#REF!</f>
        <v>#REF!</v>
      </c>
      <c r="H150" s="206" t="e">
        <f>+'Estimate Details'!#REF!</f>
        <v>#REF!</v>
      </c>
      <c r="I150" s="108" t="e">
        <f>+'Estimate Details'!#REF!</f>
        <v>#REF!</v>
      </c>
      <c r="J150" s="168" t="e">
        <f>+'Estimate Details'!#REF!</f>
        <v>#REF!</v>
      </c>
      <c r="K150" s="42" t="e">
        <f>+'Estimate Details'!#REF!</f>
        <v>#REF!</v>
      </c>
      <c r="L150" s="42" t="e">
        <f>+'Estimate Details'!#REF!</f>
        <v>#REF!</v>
      </c>
      <c r="M150" s="204" t="e">
        <f>+'Estimate Details'!#REF!</f>
        <v>#REF!</v>
      </c>
      <c r="N150" s="170" t="e">
        <f>+'Estimate Details'!#REF!</f>
        <v>#REF!</v>
      </c>
      <c r="O150" s="171" t="e">
        <f>+'Estimate Details'!#REF!</f>
        <v>#REF!</v>
      </c>
      <c r="P150" s="172" t="e">
        <f>+'Estimate Details'!#REF!</f>
        <v>#REF!</v>
      </c>
      <c r="Q150" s="173" t="e">
        <f>+'Estimate Details'!#REF!</f>
        <v>#REF!</v>
      </c>
      <c r="R150" s="174" t="e">
        <f>+'Estimate Details'!#REF!</f>
        <v>#REF!</v>
      </c>
      <c r="S150" s="507"/>
      <c r="T150" s="174" t="e">
        <f>+'Estimate Details'!#REF!</f>
        <v>#REF!</v>
      </c>
      <c r="U150" s="486" t="s">
        <v>1309</v>
      </c>
      <c r="V150" s="172" t="e">
        <f>+'Estimate Details'!#REF!</f>
        <v>#REF!</v>
      </c>
      <c r="W150" s="481" t="s">
        <v>1309</v>
      </c>
      <c r="X150" s="172" t="e">
        <f>+'Estimate Details'!#REF!</f>
        <v>#REF!</v>
      </c>
      <c r="Y150" s="172" t="e">
        <f>+'Estimate Details'!#REF!</f>
        <v>#REF!</v>
      </c>
      <c r="Z150" s="174" t="e">
        <f>+'Estimate Details'!#REF!</f>
        <v>#REF!</v>
      </c>
      <c r="AA150" s="481"/>
      <c r="AB150" s="175" t="e">
        <f>+'Estimate Details'!#REF!</f>
        <v>#REF!</v>
      </c>
      <c r="AC150" s="569"/>
      <c r="AD150" s="176" t="e">
        <f>+'Estimate Details'!#REF!</f>
        <v>#REF!</v>
      </c>
      <c r="AE150" s="156"/>
      <c r="AF150" s="215"/>
      <c r="AG150" s="156"/>
      <c r="AH150" s="156"/>
      <c r="AI150" s="29"/>
      <c r="AJ150" s="29"/>
      <c r="AK150" s="29"/>
      <c r="AL150" s="29"/>
    </row>
    <row r="151" spans="1:38" ht="14.1" customHeight="1">
      <c r="A151" s="116" t="e">
        <f>+'Estimate Details'!#REF!</f>
        <v>#REF!</v>
      </c>
      <c r="B151" s="116"/>
      <c r="C151" s="116"/>
      <c r="D151" s="166"/>
      <c r="E151" s="158" t="e">
        <f>+'Estimate Details'!#REF!</f>
        <v>#REF!</v>
      </c>
      <c r="F151" s="41"/>
      <c r="G151" s="117" t="e">
        <f>+'Estimate Details'!#REF!</f>
        <v>#REF!</v>
      </c>
      <c r="H151" s="206" t="e">
        <f>+'Estimate Details'!#REF!</f>
        <v>#REF!</v>
      </c>
      <c r="I151" s="108" t="e">
        <f>+'Estimate Details'!#REF!</f>
        <v>#REF!</v>
      </c>
      <c r="J151" s="168" t="e">
        <f>+'Estimate Details'!#REF!</f>
        <v>#REF!</v>
      </c>
      <c r="K151" s="42" t="e">
        <f>+'Estimate Details'!#REF!</f>
        <v>#REF!</v>
      </c>
      <c r="L151" s="42" t="e">
        <f>+'Estimate Details'!#REF!</f>
        <v>#REF!</v>
      </c>
      <c r="M151" s="204" t="e">
        <f>+'Estimate Details'!#REF!</f>
        <v>#REF!</v>
      </c>
      <c r="N151" s="170" t="e">
        <f>+'Estimate Details'!#REF!</f>
        <v>#REF!</v>
      </c>
      <c r="O151" s="171" t="e">
        <f>+'Estimate Details'!#REF!</f>
        <v>#REF!</v>
      </c>
      <c r="P151" s="172" t="e">
        <f>+'Estimate Details'!#REF!</f>
        <v>#REF!</v>
      </c>
      <c r="Q151" s="173" t="e">
        <f>+'Estimate Details'!#REF!</f>
        <v>#REF!</v>
      </c>
      <c r="R151" s="174" t="e">
        <f>+'Estimate Details'!#REF!</f>
        <v>#REF!</v>
      </c>
      <c r="S151" s="507"/>
      <c r="T151" s="174" t="e">
        <f>+'Estimate Details'!#REF!</f>
        <v>#REF!</v>
      </c>
      <c r="U151" s="486" t="s">
        <v>1309</v>
      </c>
      <c r="V151" s="172" t="e">
        <f>+'Estimate Details'!#REF!</f>
        <v>#REF!</v>
      </c>
      <c r="W151" s="481" t="s">
        <v>1309</v>
      </c>
      <c r="X151" s="172" t="e">
        <f>+'Estimate Details'!#REF!</f>
        <v>#REF!</v>
      </c>
      <c r="Y151" s="172" t="e">
        <f>+'Estimate Details'!#REF!</f>
        <v>#REF!</v>
      </c>
      <c r="Z151" s="174" t="e">
        <f>+'Estimate Details'!#REF!</f>
        <v>#REF!</v>
      </c>
      <c r="AA151" s="481"/>
      <c r="AB151" s="175" t="e">
        <f>+'Estimate Details'!#REF!</f>
        <v>#REF!</v>
      </c>
      <c r="AC151" s="569"/>
      <c r="AD151" s="176" t="e">
        <f>+'Estimate Details'!#REF!</f>
        <v>#REF!</v>
      </c>
      <c r="AE151" s="156"/>
      <c r="AF151" s="215"/>
      <c r="AG151" s="178"/>
      <c r="AH151" s="156"/>
      <c r="AI151" s="29"/>
      <c r="AJ151" s="29"/>
      <c r="AK151" s="29"/>
      <c r="AL151" s="29"/>
    </row>
    <row r="152" spans="1:38" ht="14.1" customHeight="1">
      <c r="A152" s="116" t="e">
        <f>+'Estimate Details'!#REF!</f>
        <v>#REF!</v>
      </c>
      <c r="B152" s="116"/>
      <c r="C152" s="116"/>
      <c r="D152" s="166"/>
      <c r="E152" s="158" t="e">
        <f>+'Estimate Details'!#REF!</f>
        <v>#REF!</v>
      </c>
      <c r="F152" s="41"/>
      <c r="G152" s="117" t="e">
        <f>+'Estimate Details'!#REF!</f>
        <v>#REF!</v>
      </c>
      <c r="H152" s="214" t="e">
        <f>+'Estimate Details'!#REF!</f>
        <v>#REF!</v>
      </c>
      <c r="I152" s="108" t="e">
        <f>+'Estimate Details'!#REF!</f>
        <v>#REF!</v>
      </c>
      <c r="J152" s="168" t="e">
        <f>+'Estimate Details'!#REF!</f>
        <v>#REF!</v>
      </c>
      <c r="K152" s="42" t="e">
        <f>+'Estimate Details'!#REF!</f>
        <v>#REF!</v>
      </c>
      <c r="L152" s="42" t="e">
        <f>+'Estimate Details'!#REF!</f>
        <v>#REF!</v>
      </c>
      <c r="M152" s="204" t="e">
        <f>+'Estimate Details'!#REF!</f>
        <v>#REF!</v>
      </c>
      <c r="N152" s="170" t="e">
        <f>+'Estimate Details'!#REF!</f>
        <v>#REF!</v>
      </c>
      <c r="O152" s="171" t="e">
        <f>+'Estimate Details'!#REF!</f>
        <v>#REF!</v>
      </c>
      <c r="P152" s="172" t="e">
        <f>+'Estimate Details'!#REF!</f>
        <v>#REF!</v>
      </c>
      <c r="Q152" s="173" t="e">
        <f>+'Estimate Details'!#REF!</f>
        <v>#REF!</v>
      </c>
      <c r="R152" s="174" t="e">
        <f>+'Estimate Details'!#REF!</f>
        <v>#REF!</v>
      </c>
      <c r="S152" s="507"/>
      <c r="T152" s="174" t="e">
        <f>+'Estimate Details'!#REF!</f>
        <v>#REF!</v>
      </c>
      <c r="U152" s="486" t="s">
        <v>1309</v>
      </c>
      <c r="V152" s="172" t="e">
        <f>+'Estimate Details'!#REF!</f>
        <v>#REF!</v>
      </c>
      <c r="W152" s="481" t="s">
        <v>1309</v>
      </c>
      <c r="X152" s="172" t="e">
        <f>+'Estimate Details'!#REF!</f>
        <v>#REF!</v>
      </c>
      <c r="Y152" s="172" t="e">
        <f>+'Estimate Details'!#REF!</f>
        <v>#REF!</v>
      </c>
      <c r="Z152" s="174" t="e">
        <f>+'Estimate Details'!#REF!</f>
        <v>#REF!</v>
      </c>
      <c r="AA152" s="481"/>
      <c r="AB152" s="175" t="e">
        <f>+'Estimate Details'!#REF!</f>
        <v>#REF!</v>
      </c>
      <c r="AC152" s="569"/>
      <c r="AD152" s="176" t="e">
        <f>+'Estimate Details'!#REF!</f>
        <v>#REF!</v>
      </c>
      <c r="AE152" s="156"/>
      <c r="AF152" s="215"/>
      <c r="AG152" s="156"/>
      <c r="AH152" s="156"/>
      <c r="AI152" s="29"/>
      <c r="AJ152" s="29"/>
      <c r="AK152" s="29"/>
      <c r="AL152" s="29"/>
    </row>
    <row r="153" spans="1:38" ht="14.1" customHeight="1">
      <c r="A153" s="116" t="e">
        <f>+'Estimate Details'!#REF!</f>
        <v>#REF!</v>
      </c>
      <c r="B153" s="116"/>
      <c r="C153" s="116"/>
      <c r="D153" s="166"/>
      <c r="E153" s="158" t="e">
        <f>+'Estimate Details'!#REF!</f>
        <v>#REF!</v>
      </c>
      <c r="F153" s="41"/>
      <c r="G153" s="117" t="e">
        <f>+'Estimate Details'!#REF!</f>
        <v>#REF!</v>
      </c>
      <c r="H153" s="206" t="e">
        <f>+'Estimate Details'!#REF!</f>
        <v>#REF!</v>
      </c>
      <c r="I153" s="208" t="e">
        <f>+'Estimate Details'!#REF!</f>
        <v>#REF!</v>
      </c>
      <c r="J153" s="168" t="e">
        <f>+'Estimate Details'!#REF!</f>
        <v>#REF!</v>
      </c>
      <c r="K153" s="42" t="e">
        <f>+'Estimate Details'!#REF!</f>
        <v>#REF!</v>
      </c>
      <c r="L153" s="42" t="e">
        <f>+'Estimate Details'!#REF!</f>
        <v>#REF!</v>
      </c>
      <c r="M153" s="204" t="e">
        <f>+'Estimate Details'!#REF!</f>
        <v>#REF!</v>
      </c>
      <c r="N153" s="170" t="e">
        <f>+'Estimate Details'!#REF!</f>
        <v>#REF!</v>
      </c>
      <c r="O153" s="171" t="e">
        <f>+'Estimate Details'!#REF!</f>
        <v>#REF!</v>
      </c>
      <c r="P153" s="172" t="e">
        <f>+'Estimate Details'!#REF!</f>
        <v>#REF!</v>
      </c>
      <c r="Q153" s="173" t="e">
        <f>+'Estimate Details'!#REF!</f>
        <v>#REF!</v>
      </c>
      <c r="R153" s="174" t="e">
        <f>+'Estimate Details'!#REF!</f>
        <v>#REF!</v>
      </c>
      <c r="S153" s="507"/>
      <c r="T153" s="174" t="e">
        <f>+'Estimate Details'!#REF!</f>
        <v>#REF!</v>
      </c>
      <c r="U153" s="486" t="s">
        <v>1309</v>
      </c>
      <c r="V153" s="172" t="e">
        <f>+'Estimate Details'!#REF!</f>
        <v>#REF!</v>
      </c>
      <c r="W153" s="481" t="s">
        <v>1309</v>
      </c>
      <c r="X153" s="172" t="e">
        <f>+'Estimate Details'!#REF!</f>
        <v>#REF!</v>
      </c>
      <c r="Y153" s="172" t="e">
        <f>+'Estimate Details'!#REF!</f>
        <v>#REF!</v>
      </c>
      <c r="Z153" s="174" t="e">
        <f>+'Estimate Details'!#REF!</f>
        <v>#REF!</v>
      </c>
      <c r="AA153" s="481"/>
      <c r="AB153" s="175" t="e">
        <f>+'Estimate Details'!#REF!</f>
        <v>#REF!</v>
      </c>
      <c r="AC153" s="569"/>
      <c r="AD153" s="176" t="e">
        <f>+'Estimate Details'!#REF!</f>
        <v>#REF!</v>
      </c>
      <c r="AE153" s="156"/>
      <c r="AF153" s="215"/>
      <c r="AG153" s="156"/>
      <c r="AH153" s="156"/>
      <c r="AI153" s="29"/>
      <c r="AJ153" s="29"/>
      <c r="AK153" s="29"/>
      <c r="AL153" s="29"/>
    </row>
    <row r="154" spans="1:38" ht="13.5" customHeight="1">
      <c r="A154" s="116" t="e">
        <f>+'Estimate Details'!#REF!</f>
        <v>#REF!</v>
      </c>
      <c r="B154" s="116"/>
      <c r="C154" s="116"/>
      <c r="D154" s="225"/>
      <c r="E154" s="158" t="e">
        <f>+'Estimate Details'!#REF!</f>
        <v>#REF!</v>
      </c>
      <c r="F154" s="41"/>
      <c r="G154" s="117" t="e">
        <f>+'Estimate Details'!#REF!</f>
        <v>#REF!</v>
      </c>
      <c r="H154" s="41" t="e">
        <f>+'Estimate Details'!#REF!</f>
        <v>#REF!</v>
      </c>
      <c r="I154" s="217" t="e">
        <f>+'Estimate Details'!#REF!</f>
        <v>#REF!</v>
      </c>
      <c r="J154" s="42" t="e">
        <f>+'Estimate Details'!#REF!</f>
        <v>#REF!</v>
      </c>
      <c r="K154" s="42" t="e">
        <f>+'Estimate Details'!#REF!</f>
        <v>#REF!</v>
      </c>
      <c r="L154" s="42" t="e">
        <f>+'Estimate Details'!#REF!</f>
        <v>#REF!</v>
      </c>
      <c r="M154" s="177" t="e">
        <f>+'Estimate Details'!#REF!</f>
        <v>#REF!</v>
      </c>
      <c r="N154" s="170" t="e">
        <f>+'Estimate Details'!#REF!</f>
        <v>#REF!</v>
      </c>
      <c r="O154" s="171" t="e">
        <f>+'Estimate Details'!#REF!</f>
        <v>#REF!</v>
      </c>
      <c r="P154" s="172" t="e">
        <f>+'Estimate Details'!#REF!</f>
        <v>#REF!</v>
      </c>
      <c r="Q154" s="173" t="e">
        <f>+'Estimate Details'!#REF!</f>
        <v>#REF!</v>
      </c>
      <c r="R154" s="174" t="e">
        <f>+'Estimate Details'!#REF!</f>
        <v>#REF!</v>
      </c>
      <c r="S154" s="507"/>
      <c r="T154" s="174" t="e">
        <f>+'Estimate Details'!#REF!</f>
        <v>#REF!</v>
      </c>
      <c r="U154" s="486" t="s">
        <v>1309</v>
      </c>
      <c r="V154" s="172" t="e">
        <f>+'Estimate Details'!#REF!</f>
        <v>#REF!</v>
      </c>
      <c r="W154" s="481" t="s">
        <v>1309</v>
      </c>
      <c r="X154" s="172" t="e">
        <f>+'Estimate Details'!#REF!</f>
        <v>#REF!</v>
      </c>
      <c r="Y154" s="172" t="e">
        <f>+'Estimate Details'!#REF!</f>
        <v>#REF!</v>
      </c>
      <c r="Z154" s="174" t="e">
        <f>+'Estimate Details'!#REF!</f>
        <v>#REF!</v>
      </c>
      <c r="AA154" s="481"/>
      <c r="AB154" s="175" t="e">
        <f>+'Estimate Details'!#REF!</f>
        <v>#REF!</v>
      </c>
      <c r="AC154" s="569"/>
      <c r="AD154" s="176" t="e">
        <f>+'Estimate Details'!#REF!</f>
        <v>#REF!</v>
      </c>
      <c r="AE154" s="156"/>
      <c r="AF154" s="215"/>
      <c r="AG154" s="156"/>
      <c r="AH154" s="156"/>
      <c r="AI154" s="29"/>
      <c r="AJ154" s="29"/>
      <c r="AK154" s="29"/>
      <c r="AL154" s="29"/>
    </row>
    <row r="155" spans="1:38" ht="13.5" customHeight="1">
      <c r="A155" s="116" t="e">
        <f>+'Estimate Details'!#REF!</f>
        <v>#REF!</v>
      </c>
      <c r="B155" s="116"/>
      <c r="C155" s="116"/>
      <c r="D155" s="307"/>
      <c r="E155" s="158" t="e">
        <f>+'Estimate Details'!#REF!</f>
        <v>#REF!</v>
      </c>
      <c r="F155" s="41"/>
      <c r="G155" s="117" t="e">
        <f>+'Estimate Details'!#REF!</f>
        <v>#REF!</v>
      </c>
      <c r="H155" s="41" t="e">
        <f>+'Estimate Details'!#REF!</f>
        <v>#REF!</v>
      </c>
      <c r="I155" s="217" t="e">
        <f>+'Estimate Details'!#REF!</f>
        <v>#REF!</v>
      </c>
      <c r="J155" s="42" t="e">
        <f>+'Estimate Details'!#REF!</f>
        <v>#REF!</v>
      </c>
      <c r="K155" s="42" t="e">
        <f>+'Estimate Details'!#REF!</f>
        <v>#REF!</v>
      </c>
      <c r="L155" s="42" t="e">
        <f>+'Estimate Details'!#REF!</f>
        <v>#REF!</v>
      </c>
      <c r="M155" s="177" t="e">
        <f>+'Estimate Details'!#REF!</f>
        <v>#REF!</v>
      </c>
      <c r="N155" s="170" t="e">
        <f>+'Estimate Details'!#REF!</f>
        <v>#REF!</v>
      </c>
      <c r="O155" s="171" t="e">
        <f>+'Estimate Details'!#REF!</f>
        <v>#REF!</v>
      </c>
      <c r="P155" s="172" t="e">
        <f>+'Estimate Details'!#REF!</f>
        <v>#REF!</v>
      </c>
      <c r="Q155" s="173" t="e">
        <f>+'Estimate Details'!#REF!</f>
        <v>#REF!</v>
      </c>
      <c r="R155" s="174" t="e">
        <f>+'Estimate Details'!#REF!</f>
        <v>#REF!</v>
      </c>
      <c r="S155" s="507"/>
      <c r="T155" s="174" t="e">
        <f>+'Estimate Details'!#REF!</f>
        <v>#REF!</v>
      </c>
      <c r="U155" s="486" t="s">
        <v>1309</v>
      </c>
      <c r="V155" s="172" t="e">
        <f>+'Estimate Details'!#REF!</f>
        <v>#REF!</v>
      </c>
      <c r="W155" s="481" t="s">
        <v>1309</v>
      </c>
      <c r="X155" s="172" t="e">
        <f>+'Estimate Details'!#REF!</f>
        <v>#REF!</v>
      </c>
      <c r="Y155" s="172" t="e">
        <f>+'Estimate Details'!#REF!</f>
        <v>#REF!</v>
      </c>
      <c r="Z155" s="174" t="e">
        <f>+'Estimate Details'!#REF!</f>
        <v>#REF!</v>
      </c>
      <c r="AA155" s="481"/>
      <c r="AB155" s="175" t="e">
        <f>+'Estimate Details'!#REF!</f>
        <v>#REF!</v>
      </c>
      <c r="AC155" s="569"/>
      <c r="AD155" s="176" t="e">
        <f>+'Estimate Details'!#REF!</f>
        <v>#REF!</v>
      </c>
      <c r="AE155" s="156"/>
      <c r="AF155" s="215"/>
      <c r="AG155" s="156"/>
      <c r="AH155" s="156"/>
      <c r="AI155" s="29"/>
      <c r="AJ155" s="29"/>
      <c r="AK155" s="29"/>
      <c r="AL155" s="29"/>
    </row>
    <row r="156" spans="1:38" ht="14.1" customHeight="1">
      <c r="A156" s="116" t="e">
        <f>+'Estimate Details'!#REF!</f>
        <v>#REF!</v>
      </c>
      <c r="B156" s="116"/>
      <c r="C156" s="116"/>
      <c r="D156" s="248"/>
      <c r="E156" s="158" t="e">
        <f>+'Estimate Details'!#REF!</f>
        <v>#REF!</v>
      </c>
      <c r="F156" s="41"/>
      <c r="G156" s="117" t="e">
        <f>+'Estimate Details'!#REF!</f>
        <v>#REF!</v>
      </c>
      <c r="H156" s="223" t="e">
        <f>+'Estimate Details'!#REF!</f>
        <v>#REF!</v>
      </c>
      <c r="I156" s="108" t="e">
        <f>+'Estimate Details'!#REF!</f>
        <v>#REF!</v>
      </c>
      <c r="J156" s="42" t="e">
        <f>+'Estimate Details'!#REF!</f>
        <v>#REF!</v>
      </c>
      <c r="K156" s="42" t="e">
        <f>+'Estimate Details'!#REF!</f>
        <v>#REF!</v>
      </c>
      <c r="L156" s="42" t="e">
        <f>+'Estimate Details'!#REF!</f>
        <v>#REF!</v>
      </c>
      <c r="M156" s="177" t="e">
        <f>+'Estimate Details'!#REF!</f>
        <v>#REF!</v>
      </c>
      <c r="N156" s="170" t="e">
        <f>+'Estimate Details'!#REF!</f>
        <v>#REF!</v>
      </c>
      <c r="O156" s="171" t="e">
        <f>+'Estimate Details'!#REF!</f>
        <v>#REF!</v>
      </c>
      <c r="P156" s="172" t="e">
        <f>+'Estimate Details'!#REF!</f>
        <v>#REF!</v>
      </c>
      <c r="Q156" s="173" t="e">
        <f>+'Estimate Details'!#REF!</f>
        <v>#REF!</v>
      </c>
      <c r="R156" s="174" t="e">
        <f>+'Estimate Details'!#REF!</f>
        <v>#REF!</v>
      </c>
      <c r="S156" s="507"/>
      <c r="T156" s="174" t="e">
        <f>+'Estimate Details'!#REF!</f>
        <v>#REF!</v>
      </c>
      <c r="U156" s="486" t="s">
        <v>1309</v>
      </c>
      <c r="V156" s="172" t="e">
        <f>+'Estimate Details'!#REF!</f>
        <v>#REF!</v>
      </c>
      <c r="W156" s="481" t="s">
        <v>1309</v>
      </c>
      <c r="X156" s="172" t="e">
        <f>+'Estimate Details'!#REF!</f>
        <v>#REF!</v>
      </c>
      <c r="Y156" s="172" t="e">
        <f>+'Estimate Details'!#REF!</f>
        <v>#REF!</v>
      </c>
      <c r="Z156" s="174" t="e">
        <f>+'Estimate Details'!#REF!</f>
        <v>#REF!</v>
      </c>
      <c r="AA156" s="481"/>
      <c r="AB156" s="175" t="e">
        <f>+'Estimate Details'!#REF!</f>
        <v>#REF!</v>
      </c>
      <c r="AC156" s="569"/>
      <c r="AD156" s="176" t="e">
        <f>+'Estimate Details'!#REF!</f>
        <v>#REF!</v>
      </c>
      <c r="AE156" s="156"/>
      <c r="AF156" s="215"/>
      <c r="AG156" s="156"/>
      <c r="AH156" s="156"/>
      <c r="AI156" s="29"/>
      <c r="AJ156" s="29"/>
      <c r="AK156" s="29"/>
      <c r="AL156" s="29"/>
    </row>
    <row r="157" spans="1:38" ht="14.1" customHeight="1">
      <c r="A157" s="116" t="e">
        <f>+'Estimate Details'!#REF!</f>
        <v>#REF!</v>
      </c>
      <c r="B157" s="116"/>
      <c r="C157" s="116"/>
      <c r="D157" s="248"/>
      <c r="E157" s="158" t="e">
        <f>+'Estimate Details'!#REF!</f>
        <v>#REF!</v>
      </c>
      <c r="F157" s="41"/>
      <c r="G157" s="117" t="e">
        <f>+'Estimate Details'!#REF!</f>
        <v>#REF!</v>
      </c>
      <c r="H157" s="223" t="e">
        <f>+'Estimate Details'!#REF!</f>
        <v>#REF!</v>
      </c>
      <c r="I157" s="108" t="e">
        <f>+'Estimate Details'!#REF!</f>
        <v>#REF!</v>
      </c>
      <c r="J157" s="42" t="e">
        <f>+'Estimate Details'!#REF!</f>
        <v>#REF!</v>
      </c>
      <c r="K157" s="42" t="e">
        <f>+'Estimate Details'!#REF!</f>
        <v>#REF!</v>
      </c>
      <c r="L157" s="42" t="e">
        <f>+'Estimate Details'!#REF!</f>
        <v>#REF!</v>
      </c>
      <c r="M157" s="177" t="e">
        <f>+'Estimate Details'!#REF!</f>
        <v>#REF!</v>
      </c>
      <c r="N157" s="170" t="e">
        <f>+'Estimate Details'!#REF!</f>
        <v>#REF!</v>
      </c>
      <c r="O157" s="171" t="e">
        <f>+'Estimate Details'!#REF!</f>
        <v>#REF!</v>
      </c>
      <c r="P157" s="172" t="e">
        <f>+'Estimate Details'!#REF!</f>
        <v>#REF!</v>
      </c>
      <c r="Q157" s="173" t="e">
        <f>+'Estimate Details'!#REF!</f>
        <v>#REF!</v>
      </c>
      <c r="R157" s="174" t="e">
        <f>+'Estimate Details'!#REF!</f>
        <v>#REF!</v>
      </c>
      <c r="S157" s="507"/>
      <c r="T157" s="174" t="e">
        <f>+'Estimate Details'!#REF!</f>
        <v>#REF!</v>
      </c>
      <c r="U157" s="486" t="s">
        <v>1309</v>
      </c>
      <c r="V157" s="172" t="e">
        <f>+'Estimate Details'!#REF!</f>
        <v>#REF!</v>
      </c>
      <c r="W157" s="481" t="s">
        <v>1309</v>
      </c>
      <c r="X157" s="172" t="e">
        <f>+'Estimate Details'!#REF!</f>
        <v>#REF!</v>
      </c>
      <c r="Y157" s="172" t="e">
        <f>+'Estimate Details'!#REF!</f>
        <v>#REF!</v>
      </c>
      <c r="Z157" s="174" t="e">
        <f>+'Estimate Details'!#REF!</f>
        <v>#REF!</v>
      </c>
      <c r="AA157" s="481"/>
      <c r="AB157" s="175" t="e">
        <f>+'Estimate Details'!#REF!</f>
        <v>#REF!</v>
      </c>
      <c r="AC157" s="569"/>
      <c r="AD157" s="176" t="e">
        <f>+'Estimate Details'!#REF!</f>
        <v>#REF!</v>
      </c>
      <c r="AE157" s="156"/>
      <c r="AF157" s="215"/>
      <c r="AG157" s="156"/>
      <c r="AH157" s="156"/>
      <c r="AI157" s="29"/>
      <c r="AJ157" s="29"/>
      <c r="AK157" s="29"/>
      <c r="AL157" s="29"/>
    </row>
    <row r="158" spans="1:38" ht="14.1" customHeight="1">
      <c r="A158" s="116" t="e">
        <f>+'Estimate Details'!#REF!</f>
        <v>#REF!</v>
      </c>
      <c r="B158" s="116"/>
      <c r="C158" s="116"/>
      <c r="D158" s="248"/>
      <c r="E158" s="158" t="e">
        <f>+'Estimate Details'!#REF!</f>
        <v>#REF!</v>
      </c>
      <c r="F158" s="41"/>
      <c r="G158" s="117" t="e">
        <f>+'Estimate Details'!#REF!</f>
        <v>#REF!</v>
      </c>
      <c r="H158" s="206" t="e">
        <f>+'Estimate Details'!#REF!</f>
        <v>#REF!</v>
      </c>
      <c r="I158" s="108" t="e">
        <f>+'Estimate Details'!#REF!</f>
        <v>#REF!</v>
      </c>
      <c r="J158" s="42" t="e">
        <f>+'Estimate Details'!#REF!</f>
        <v>#REF!</v>
      </c>
      <c r="K158" s="42" t="e">
        <f>+'Estimate Details'!#REF!</f>
        <v>#REF!</v>
      </c>
      <c r="L158" s="42" t="e">
        <f>+'Estimate Details'!#REF!</f>
        <v>#REF!</v>
      </c>
      <c r="M158" s="177" t="e">
        <f>+'Estimate Details'!#REF!</f>
        <v>#REF!</v>
      </c>
      <c r="N158" s="170" t="e">
        <f>+'Estimate Details'!#REF!</f>
        <v>#REF!</v>
      </c>
      <c r="O158" s="171" t="e">
        <f>+'Estimate Details'!#REF!</f>
        <v>#REF!</v>
      </c>
      <c r="P158" s="172" t="e">
        <f>+'Estimate Details'!#REF!</f>
        <v>#REF!</v>
      </c>
      <c r="Q158" s="173" t="e">
        <f>+'Estimate Details'!#REF!</f>
        <v>#REF!</v>
      </c>
      <c r="R158" s="174" t="e">
        <f>+'Estimate Details'!#REF!</f>
        <v>#REF!</v>
      </c>
      <c r="S158" s="507"/>
      <c r="T158" s="174" t="e">
        <f>+'Estimate Details'!#REF!</f>
        <v>#REF!</v>
      </c>
      <c r="U158" s="481"/>
      <c r="V158" s="172" t="e">
        <f>+'Estimate Details'!#REF!</f>
        <v>#REF!</v>
      </c>
      <c r="W158" s="481"/>
      <c r="X158" s="172" t="e">
        <f>+'Estimate Details'!#REF!</f>
        <v>#REF!</v>
      </c>
      <c r="Y158" s="172" t="e">
        <f>+'Estimate Details'!#REF!</f>
        <v>#REF!</v>
      </c>
      <c r="Z158" s="174" t="e">
        <f>+'Estimate Details'!#REF!</f>
        <v>#REF!</v>
      </c>
      <c r="AA158" s="481"/>
      <c r="AB158" s="222" t="e">
        <f>+'Estimate Details'!#REF!</f>
        <v>#REF!</v>
      </c>
      <c r="AC158" s="569"/>
      <c r="AD158" s="176" t="e">
        <f>+'Estimate Details'!#REF!</f>
        <v>#REF!</v>
      </c>
      <c r="AE158" s="156"/>
      <c r="AF158" s="215"/>
      <c r="AG158" s="156"/>
      <c r="AH158" s="156"/>
      <c r="AI158" s="29"/>
      <c r="AJ158" s="29"/>
      <c r="AK158" s="29"/>
      <c r="AL158" s="29"/>
    </row>
    <row r="159" spans="1:38" ht="13.5" customHeight="1">
      <c r="A159" s="116" t="e">
        <f>+'Estimate Details'!#REF!</f>
        <v>#REF!</v>
      </c>
      <c r="B159" s="116"/>
      <c r="C159" s="116"/>
      <c r="D159" s="248"/>
      <c r="E159" s="158" t="e">
        <f>+'Estimate Details'!#REF!</f>
        <v>#REF!</v>
      </c>
      <c r="F159" s="41"/>
      <c r="G159" s="205" t="e">
        <f>+'Estimate Details'!#REF!</f>
        <v>#REF!</v>
      </c>
      <c r="H159" s="223" t="e">
        <f>+'Estimate Details'!#REF!</f>
        <v>#REF!</v>
      </c>
      <c r="I159" s="108" t="e">
        <f>+'Estimate Details'!#REF!</f>
        <v>#REF!</v>
      </c>
      <c r="J159" s="224" t="e">
        <f>+'Estimate Details'!#REF!</f>
        <v>#REF!</v>
      </c>
      <c r="K159" s="42" t="e">
        <f>+'Estimate Details'!#REF!</f>
        <v>#REF!</v>
      </c>
      <c r="L159" s="42" t="e">
        <f>+'Estimate Details'!#REF!</f>
        <v>#REF!</v>
      </c>
      <c r="M159" s="177" t="e">
        <f>+'Estimate Details'!#REF!</f>
        <v>#REF!</v>
      </c>
      <c r="N159" s="170" t="e">
        <f>+'Estimate Details'!#REF!</f>
        <v>#REF!</v>
      </c>
      <c r="O159" s="171" t="e">
        <f>+'Estimate Details'!#REF!</f>
        <v>#REF!</v>
      </c>
      <c r="P159" s="172" t="e">
        <f>+'Estimate Details'!#REF!</f>
        <v>#REF!</v>
      </c>
      <c r="Q159" s="173" t="e">
        <f>+'Estimate Details'!#REF!</f>
        <v>#REF!</v>
      </c>
      <c r="R159" s="174" t="e">
        <f>+'Estimate Details'!#REF!</f>
        <v>#REF!</v>
      </c>
      <c r="S159" s="507"/>
      <c r="T159" s="174" t="e">
        <f>+'Estimate Details'!#REF!</f>
        <v>#REF!</v>
      </c>
      <c r="U159" s="481"/>
      <c r="V159" s="172" t="e">
        <f>+'Estimate Details'!#REF!</f>
        <v>#REF!</v>
      </c>
      <c r="W159" s="481"/>
      <c r="X159" s="172" t="e">
        <f>+'Estimate Details'!#REF!</f>
        <v>#REF!</v>
      </c>
      <c r="Y159" s="172" t="e">
        <f>+'Estimate Details'!#REF!</f>
        <v>#REF!</v>
      </c>
      <c r="Z159" s="174" t="e">
        <f>+'Estimate Details'!#REF!</f>
        <v>#REF!</v>
      </c>
      <c r="AA159" s="481"/>
      <c r="AB159" s="222" t="e">
        <f>+'Estimate Details'!#REF!</f>
        <v>#REF!</v>
      </c>
      <c r="AC159" s="569"/>
      <c r="AD159" s="176" t="e">
        <f>+'Estimate Details'!#REF!</f>
        <v>#REF!</v>
      </c>
      <c r="AE159" s="156"/>
      <c r="AF159" s="215"/>
      <c r="AG159" s="156"/>
      <c r="AH159" s="156"/>
      <c r="AI159" s="29"/>
      <c r="AJ159" s="29"/>
      <c r="AK159" s="29"/>
      <c r="AL159" s="29"/>
    </row>
    <row r="160" spans="1:38" ht="14.1" customHeight="1">
      <c r="A160" s="116" t="e">
        <f>+'Estimate Details'!#REF!</f>
        <v>#REF!</v>
      </c>
      <c r="B160" s="116"/>
      <c r="C160" s="116"/>
      <c r="D160" s="248"/>
      <c r="E160" s="158" t="e">
        <f>+'Estimate Details'!#REF!</f>
        <v>#REF!</v>
      </c>
      <c r="F160" s="41"/>
      <c r="G160" s="117" t="e">
        <f>+'Estimate Details'!#REF!</f>
        <v>#REF!</v>
      </c>
      <c r="H160" s="206" t="e">
        <f>+'Estimate Details'!#REF!</f>
        <v>#REF!</v>
      </c>
      <c r="I160" s="108" t="e">
        <f>+'Estimate Details'!#REF!</f>
        <v>#REF!</v>
      </c>
      <c r="J160" s="42" t="e">
        <f>+'Estimate Details'!#REF!</f>
        <v>#REF!</v>
      </c>
      <c r="K160" s="42" t="e">
        <f>+'Estimate Details'!#REF!</f>
        <v>#REF!</v>
      </c>
      <c r="L160" s="42" t="e">
        <f>+'Estimate Details'!#REF!</f>
        <v>#REF!</v>
      </c>
      <c r="M160" s="177" t="e">
        <f>+'Estimate Details'!#REF!</f>
        <v>#REF!</v>
      </c>
      <c r="N160" s="170" t="e">
        <f>+'Estimate Details'!#REF!</f>
        <v>#REF!</v>
      </c>
      <c r="O160" s="171" t="e">
        <f>+'Estimate Details'!#REF!</f>
        <v>#REF!</v>
      </c>
      <c r="P160" s="172" t="e">
        <f>+'Estimate Details'!#REF!</f>
        <v>#REF!</v>
      </c>
      <c r="Q160" s="173" t="e">
        <f>+'Estimate Details'!#REF!</f>
        <v>#REF!</v>
      </c>
      <c r="R160" s="174" t="e">
        <f>+'Estimate Details'!#REF!</f>
        <v>#REF!</v>
      </c>
      <c r="S160" s="507"/>
      <c r="T160" s="174" t="e">
        <f>+'Estimate Details'!#REF!</f>
        <v>#REF!</v>
      </c>
      <c r="U160" s="486" t="s">
        <v>1309</v>
      </c>
      <c r="V160" s="172" t="e">
        <f>+'Estimate Details'!#REF!</f>
        <v>#REF!</v>
      </c>
      <c r="W160" s="481" t="s">
        <v>1309</v>
      </c>
      <c r="X160" s="172" t="e">
        <f>+'Estimate Details'!#REF!</f>
        <v>#REF!</v>
      </c>
      <c r="Y160" s="172" t="e">
        <f>+'Estimate Details'!#REF!</f>
        <v>#REF!</v>
      </c>
      <c r="Z160" s="174" t="e">
        <f>+'Estimate Details'!#REF!</f>
        <v>#REF!</v>
      </c>
      <c r="AA160" s="481"/>
      <c r="AB160" s="175" t="e">
        <f>+'Estimate Details'!#REF!</f>
        <v>#REF!</v>
      </c>
      <c r="AC160" s="569"/>
      <c r="AD160" s="176" t="e">
        <f>+'Estimate Details'!#REF!</f>
        <v>#REF!</v>
      </c>
      <c r="AE160" s="156"/>
      <c r="AF160" s="215"/>
      <c r="AG160" s="156"/>
      <c r="AH160" s="156"/>
      <c r="AI160" s="29"/>
      <c r="AJ160" s="29"/>
      <c r="AK160" s="29"/>
      <c r="AL160" s="29"/>
    </row>
    <row r="161" spans="1:38" ht="14.1" customHeight="1">
      <c r="A161" s="116" t="e">
        <f>+'Estimate Details'!#REF!</f>
        <v>#REF!</v>
      </c>
      <c r="B161" s="116"/>
      <c r="C161" s="116"/>
      <c r="D161" s="248"/>
      <c r="E161" s="158" t="e">
        <f>+'Estimate Details'!#REF!</f>
        <v>#REF!</v>
      </c>
      <c r="F161" s="41"/>
      <c r="G161" s="117" t="e">
        <f>+'Estimate Details'!#REF!</f>
        <v>#REF!</v>
      </c>
      <c r="H161" s="223" t="e">
        <f>+'Estimate Details'!#REF!</f>
        <v>#REF!</v>
      </c>
      <c r="I161" s="108" t="e">
        <f>+'Estimate Details'!#REF!</f>
        <v>#REF!</v>
      </c>
      <c r="J161" s="42" t="e">
        <f>+'Estimate Details'!#REF!</f>
        <v>#REF!</v>
      </c>
      <c r="K161" s="42" t="e">
        <f>+'Estimate Details'!#REF!</f>
        <v>#REF!</v>
      </c>
      <c r="L161" s="42" t="e">
        <f>+'Estimate Details'!#REF!</f>
        <v>#REF!</v>
      </c>
      <c r="M161" s="177" t="e">
        <f>+'Estimate Details'!#REF!</f>
        <v>#REF!</v>
      </c>
      <c r="N161" s="170" t="e">
        <f>+'Estimate Details'!#REF!</f>
        <v>#REF!</v>
      </c>
      <c r="O161" s="171" t="e">
        <f>+'Estimate Details'!#REF!</f>
        <v>#REF!</v>
      </c>
      <c r="P161" s="172" t="e">
        <f>+'Estimate Details'!#REF!</f>
        <v>#REF!</v>
      </c>
      <c r="Q161" s="173" t="e">
        <f>+'Estimate Details'!#REF!</f>
        <v>#REF!</v>
      </c>
      <c r="R161" s="174" t="e">
        <f>+'Estimate Details'!#REF!</f>
        <v>#REF!</v>
      </c>
      <c r="S161" s="507"/>
      <c r="T161" s="174" t="e">
        <f>+'Estimate Details'!#REF!</f>
        <v>#REF!</v>
      </c>
      <c r="U161" s="481"/>
      <c r="V161" s="172" t="e">
        <f>+'Estimate Details'!#REF!</f>
        <v>#REF!</v>
      </c>
      <c r="W161" s="481"/>
      <c r="X161" s="172" t="e">
        <f>+'Estimate Details'!#REF!</f>
        <v>#REF!</v>
      </c>
      <c r="Y161" s="172" t="e">
        <f>+'Estimate Details'!#REF!</f>
        <v>#REF!</v>
      </c>
      <c r="Z161" s="174" t="e">
        <f>+'Estimate Details'!#REF!</f>
        <v>#REF!</v>
      </c>
      <c r="AA161" s="481"/>
      <c r="AB161" s="222" t="e">
        <f>+'Estimate Details'!#REF!</f>
        <v>#REF!</v>
      </c>
      <c r="AC161" s="569"/>
      <c r="AD161" s="176" t="e">
        <f>+'Estimate Details'!#REF!</f>
        <v>#REF!</v>
      </c>
      <c r="AE161" s="156"/>
      <c r="AF161" s="215"/>
      <c r="AG161" s="156"/>
      <c r="AH161" s="156"/>
      <c r="AI161" s="29"/>
      <c r="AJ161" s="29"/>
      <c r="AK161" s="29"/>
      <c r="AL161" s="29"/>
    </row>
    <row r="162" spans="1:38" ht="14.1" customHeight="1">
      <c r="A162" s="116" t="e">
        <f>+'Estimate Details'!#REF!</f>
        <v>#REF!</v>
      </c>
      <c r="B162" s="116"/>
      <c r="C162" s="116"/>
      <c r="D162" s="248"/>
      <c r="E162" s="158" t="e">
        <f>+'Estimate Details'!#REF!</f>
        <v>#REF!</v>
      </c>
      <c r="F162" s="41"/>
      <c r="G162" s="117" t="e">
        <f>+'Estimate Details'!#REF!</f>
        <v>#REF!</v>
      </c>
      <c r="H162" s="223" t="e">
        <f>+'Estimate Details'!#REF!</f>
        <v>#REF!</v>
      </c>
      <c r="I162" s="108" t="e">
        <f>+'Estimate Details'!#REF!</f>
        <v>#REF!</v>
      </c>
      <c r="J162" s="42" t="e">
        <f>+'Estimate Details'!#REF!</f>
        <v>#REF!</v>
      </c>
      <c r="K162" s="42" t="e">
        <f>+'Estimate Details'!#REF!</f>
        <v>#REF!</v>
      </c>
      <c r="L162" s="42" t="e">
        <f>+'Estimate Details'!#REF!</f>
        <v>#REF!</v>
      </c>
      <c r="M162" s="177" t="e">
        <f>+'Estimate Details'!#REF!</f>
        <v>#REF!</v>
      </c>
      <c r="N162" s="170" t="e">
        <f>+'Estimate Details'!#REF!</f>
        <v>#REF!</v>
      </c>
      <c r="O162" s="171" t="e">
        <f>+'Estimate Details'!#REF!</f>
        <v>#REF!</v>
      </c>
      <c r="P162" s="172" t="e">
        <f>+'Estimate Details'!#REF!</f>
        <v>#REF!</v>
      </c>
      <c r="Q162" s="173" t="e">
        <f>+'Estimate Details'!#REF!</f>
        <v>#REF!</v>
      </c>
      <c r="R162" s="174" t="e">
        <f>+'Estimate Details'!#REF!</f>
        <v>#REF!</v>
      </c>
      <c r="S162" s="507"/>
      <c r="T162" s="174" t="e">
        <f>+'Estimate Details'!#REF!</f>
        <v>#REF!</v>
      </c>
      <c r="U162" s="486" t="s">
        <v>1309</v>
      </c>
      <c r="V162" s="172" t="e">
        <f>+'Estimate Details'!#REF!</f>
        <v>#REF!</v>
      </c>
      <c r="W162" s="481" t="s">
        <v>1309</v>
      </c>
      <c r="X162" s="172" t="e">
        <f>+'Estimate Details'!#REF!</f>
        <v>#REF!</v>
      </c>
      <c r="Y162" s="172" t="e">
        <f>+'Estimate Details'!#REF!</f>
        <v>#REF!</v>
      </c>
      <c r="Z162" s="174" t="e">
        <f>+'Estimate Details'!#REF!</f>
        <v>#REF!</v>
      </c>
      <c r="AA162" s="481"/>
      <c r="AB162" s="175" t="e">
        <f>+'Estimate Details'!#REF!</f>
        <v>#REF!</v>
      </c>
      <c r="AC162" s="569"/>
      <c r="AD162" s="176" t="e">
        <f>+'Estimate Details'!#REF!</f>
        <v>#REF!</v>
      </c>
      <c r="AE162" s="156"/>
      <c r="AF162" s="215"/>
      <c r="AG162" s="156"/>
      <c r="AH162" s="156"/>
      <c r="AI162" s="29"/>
      <c r="AJ162" s="29"/>
      <c r="AK162" s="29"/>
      <c r="AL162" s="29"/>
    </row>
    <row r="163" spans="1:38" ht="14.1" customHeight="1">
      <c r="A163" s="116" t="e">
        <f>+'Estimate Details'!#REF!</f>
        <v>#REF!</v>
      </c>
      <c r="B163" s="116"/>
      <c r="C163" s="116"/>
      <c r="D163" s="248"/>
      <c r="E163" s="158" t="e">
        <f>+'Estimate Details'!#REF!</f>
        <v>#REF!</v>
      </c>
      <c r="F163" s="41"/>
      <c r="G163" s="117" t="e">
        <f>+'Estimate Details'!#REF!</f>
        <v>#REF!</v>
      </c>
      <c r="H163" s="41" t="e">
        <f>+'Estimate Details'!#REF!</f>
        <v>#REF!</v>
      </c>
      <c r="I163" s="217" t="e">
        <f>+'Estimate Details'!#REF!</f>
        <v>#REF!</v>
      </c>
      <c r="J163" s="42" t="e">
        <f>+'Estimate Details'!#REF!</f>
        <v>#REF!</v>
      </c>
      <c r="K163" s="42" t="e">
        <f>+'Estimate Details'!#REF!</f>
        <v>#REF!</v>
      </c>
      <c r="L163" s="42" t="e">
        <f>+'Estimate Details'!#REF!</f>
        <v>#REF!</v>
      </c>
      <c r="M163" s="195" t="e">
        <f>+'Estimate Details'!#REF!</f>
        <v>#REF!</v>
      </c>
      <c r="N163" s="170" t="e">
        <f>+'Estimate Details'!#REF!</f>
        <v>#REF!</v>
      </c>
      <c r="O163" s="171" t="e">
        <f>+'Estimate Details'!#REF!</f>
        <v>#REF!</v>
      </c>
      <c r="P163" s="172" t="e">
        <f>+'Estimate Details'!#REF!</f>
        <v>#REF!</v>
      </c>
      <c r="Q163" s="173" t="e">
        <f>+'Estimate Details'!#REF!</f>
        <v>#REF!</v>
      </c>
      <c r="R163" s="174" t="e">
        <f>+'Estimate Details'!#REF!</f>
        <v>#REF!</v>
      </c>
      <c r="S163" s="507"/>
      <c r="T163" s="174" t="e">
        <f>+'Estimate Details'!#REF!</f>
        <v>#REF!</v>
      </c>
      <c r="U163" s="486" t="s">
        <v>1309</v>
      </c>
      <c r="V163" s="172" t="e">
        <f>+'Estimate Details'!#REF!</f>
        <v>#REF!</v>
      </c>
      <c r="W163" s="481" t="s">
        <v>1309</v>
      </c>
      <c r="X163" s="172" t="e">
        <f>+'Estimate Details'!#REF!</f>
        <v>#REF!</v>
      </c>
      <c r="Y163" s="172" t="e">
        <f>+'Estimate Details'!#REF!</f>
        <v>#REF!</v>
      </c>
      <c r="Z163" s="174" t="e">
        <f>+'Estimate Details'!#REF!</f>
        <v>#REF!</v>
      </c>
      <c r="AA163" s="481"/>
      <c r="AB163" s="175" t="e">
        <f>+'Estimate Details'!#REF!</f>
        <v>#REF!</v>
      </c>
      <c r="AC163" s="569"/>
      <c r="AD163" s="176" t="e">
        <f>+'Estimate Details'!#REF!</f>
        <v>#REF!</v>
      </c>
      <c r="AE163" s="156"/>
      <c r="AF163" s="215"/>
      <c r="AG163" s="156"/>
      <c r="AH163" s="156"/>
      <c r="AI163" s="29"/>
      <c r="AJ163" s="29"/>
      <c r="AK163" s="29"/>
      <c r="AL163" s="29"/>
    </row>
    <row r="164" spans="1:38" ht="14.1" customHeight="1">
      <c r="A164" s="116" t="e">
        <f>+'Estimate Details'!#REF!</f>
        <v>#REF!</v>
      </c>
      <c r="B164" s="116"/>
      <c r="C164" s="116"/>
      <c r="D164" s="248"/>
      <c r="E164" s="158" t="e">
        <f>+'Estimate Details'!#REF!</f>
        <v>#REF!</v>
      </c>
      <c r="F164" s="41"/>
      <c r="G164" s="117" t="e">
        <f>+'Estimate Details'!#REF!</f>
        <v>#REF!</v>
      </c>
      <c r="H164" s="223" t="e">
        <f>+'Estimate Details'!#REF!</f>
        <v>#REF!</v>
      </c>
      <c r="I164" s="108" t="e">
        <f>+'Estimate Details'!#REF!</f>
        <v>#REF!</v>
      </c>
      <c r="J164" s="42" t="e">
        <f>+'Estimate Details'!#REF!</f>
        <v>#REF!</v>
      </c>
      <c r="K164" s="42" t="e">
        <f>+'Estimate Details'!#REF!</f>
        <v>#REF!</v>
      </c>
      <c r="L164" s="42" t="e">
        <f>+'Estimate Details'!#REF!</f>
        <v>#REF!</v>
      </c>
      <c r="M164" s="177" t="e">
        <f>+'Estimate Details'!#REF!</f>
        <v>#REF!</v>
      </c>
      <c r="N164" s="170" t="e">
        <f>+'Estimate Details'!#REF!</f>
        <v>#REF!</v>
      </c>
      <c r="O164" s="171" t="e">
        <f>+'Estimate Details'!#REF!</f>
        <v>#REF!</v>
      </c>
      <c r="P164" s="172" t="e">
        <f>+'Estimate Details'!#REF!</f>
        <v>#REF!</v>
      </c>
      <c r="Q164" s="173" t="e">
        <f>+'Estimate Details'!#REF!</f>
        <v>#REF!</v>
      </c>
      <c r="R164" s="174" t="e">
        <f>+'Estimate Details'!#REF!</f>
        <v>#REF!</v>
      </c>
      <c r="S164" s="507"/>
      <c r="T164" s="174" t="e">
        <f>+'Estimate Details'!#REF!</f>
        <v>#REF!</v>
      </c>
      <c r="U164" s="486" t="s">
        <v>1309</v>
      </c>
      <c r="V164" s="172" t="e">
        <f>+'Estimate Details'!#REF!</f>
        <v>#REF!</v>
      </c>
      <c r="W164" s="481" t="s">
        <v>1309</v>
      </c>
      <c r="X164" s="172" t="e">
        <f>+'Estimate Details'!#REF!</f>
        <v>#REF!</v>
      </c>
      <c r="Y164" s="172" t="e">
        <f>+'Estimate Details'!#REF!</f>
        <v>#REF!</v>
      </c>
      <c r="Z164" s="174" t="e">
        <f>+'Estimate Details'!#REF!</f>
        <v>#REF!</v>
      </c>
      <c r="AA164" s="481"/>
      <c r="AB164" s="175" t="e">
        <f>+'Estimate Details'!#REF!</f>
        <v>#REF!</v>
      </c>
      <c r="AC164" s="569"/>
      <c r="AD164" s="176" t="e">
        <f>+'Estimate Details'!#REF!</f>
        <v>#REF!</v>
      </c>
      <c r="AE164" s="156"/>
      <c r="AF164" s="215"/>
      <c r="AG164" s="156"/>
      <c r="AH164" s="156"/>
      <c r="AI164" s="29"/>
      <c r="AJ164" s="29"/>
      <c r="AK164" s="29"/>
      <c r="AL164" s="29"/>
    </row>
    <row r="165" spans="1:38" ht="14.1" customHeight="1">
      <c r="A165" s="116" t="e">
        <f>+'Estimate Details'!#REF!</f>
        <v>#REF!</v>
      </c>
      <c r="B165" s="116"/>
      <c r="C165" s="116"/>
      <c r="D165" s="248"/>
      <c r="E165" s="158" t="e">
        <f>+'Estimate Details'!#REF!</f>
        <v>#REF!</v>
      </c>
      <c r="F165" s="41"/>
      <c r="G165" s="117" t="e">
        <f>+'Estimate Details'!#REF!</f>
        <v>#REF!</v>
      </c>
      <c r="H165" s="223" t="e">
        <f>+'Estimate Details'!#REF!</f>
        <v>#REF!</v>
      </c>
      <c r="I165" s="108" t="e">
        <f>+'Estimate Details'!#REF!</f>
        <v>#REF!</v>
      </c>
      <c r="J165" s="42" t="e">
        <f>+'Estimate Details'!#REF!</f>
        <v>#REF!</v>
      </c>
      <c r="K165" s="42" t="e">
        <f>+'Estimate Details'!#REF!</f>
        <v>#REF!</v>
      </c>
      <c r="L165" s="42" t="e">
        <f>+'Estimate Details'!#REF!</f>
        <v>#REF!</v>
      </c>
      <c r="M165" s="177" t="e">
        <f>+'Estimate Details'!#REF!</f>
        <v>#REF!</v>
      </c>
      <c r="N165" s="170" t="e">
        <f>+'Estimate Details'!#REF!</f>
        <v>#REF!</v>
      </c>
      <c r="O165" s="171" t="e">
        <f>+'Estimate Details'!#REF!</f>
        <v>#REF!</v>
      </c>
      <c r="P165" s="172" t="e">
        <f>+'Estimate Details'!#REF!</f>
        <v>#REF!</v>
      </c>
      <c r="Q165" s="173" t="e">
        <f>+'Estimate Details'!#REF!</f>
        <v>#REF!</v>
      </c>
      <c r="R165" s="174" t="e">
        <f>+'Estimate Details'!#REF!</f>
        <v>#REF!</v>
      </c>
      <c r="S165" s="507"/>
      <c r="T165" s="174" t="e">
        <f>+'Estimate Details'!#REF!</f>
        <v>#REF!</v>
      </c>
      <c r="U165" s="486" t="s">
        <v>1309</v>
      </c>
      <c r="V165" s="172" t="e">
        <f>+'Estimate Details'!#REF!</f>
        <v>#REF!</v>
      </c>
      <c r="W165" s="481" t="s">
        <v>1309</v>
      </c>
      <c r="X165" s="172" t="e">
        <f>+'Estimate Details'!#REF!</f>
        <v>#REF!</v>
      </c>
      <c r="Y165" s="172" t="e">
        <f>+'Estimate Details'!#REF!</f>
        <v>#REF!</v>
      </c>
      <c r="Z165" s="174" t="e">
        <f>+'Estimate Details'!#REF!</f>
        <v>#REF!</v>
      </c>
      <c r="AA165" s="481"/>
      <c r="AB165" s="175" t="e">
        <f>+'Estimate Details'!#REF!</f>
        <v>#REF!</v>
      </c>
      <c r="AC165" s="569"/>
      <c r="AD165" s="176" t="e">
        <f>+'Estimate Details'!#REF!</f>
        <v>#REF!</v>
      </c>
      <c r="AE165" s="156"/>
      <c r="AF165" s="215"/>
      <c r="AG165" s="156"/>
      <c r="AH165" s="156"/>
      <c r="AI165" s="29"/>
      <c r="AJ165" s="29"/>
      <c r="AK165" s="29"/>
      <c r="AL165" s="29"/>
    </row>
    <row r="166" spans="1:38" ht="14.1" customHeight="1">
      <c r="A166" s="116" t="e">
        <f>+'Estimate Details'!#REF!</f>
        <v>#REF!</v>
      </c>
      <c r="B166" s="116"/>
      <c r="C166" s="116"/>
      <c r="D166" s="248"/>
      <c r="E166" s="158" t="e">
        <f>+'Estimate Details'!#REF!</f>
        <v>#REF!</v>
      </c>
      <c r="F166" s="41"/>
      <c r="G166" s="117" t="e">
        <f>+'Estimate Details'!#REF!</f>
        <v>#REF!</v>
      </c>
      <c r="H166" s="223" t="e">
        <f>+'Estimate Details'!#REF!</f>
        <v>#REF!</v>
      </c>
      <c r="I166" s="108" t="e">
        <f>+'Estimate Details'!#REF!</f>
        <v>#REF!</v>
      </c>
      <c r="J166" s="42" t="e">
        <f>+'Estimate Details'!#REF!</f>
        <v>#REF!</v>
      </c>
      <c r="K166" s="42" t="e">
        <f>+'Estimate Details'!#REF!</f>
        <v>#REF!</v>
      </c>
      <c r="L166" s="42" t="e">
        <f>+'Estimate Details'!#REF!</f>
        <v>#REF!</v>
      </c>
      <c r="M166" s="177" t="e">
        <f>+'Estimate Details'!#REF!</f>
        <v>#REF!</v>
      </c>
      <c r="N166" s="170" t="e">
        <f>+'Estimate Details'!#REF!</f>
        <v>#REF!</v>
      </c>
      <c r="O166" s="171" t="e">
        <f>+'Estimate Details'!#REF!</f>
        <v>#REF!</v>
      </c>
      <c r="P166" s="172" t="e">
        <f>+'Estimate Details'!#REF!</f>
        <v>#REF!</v>
      </c>
      <c r="Q166" s="173" t="e">
        <f>+'Estimate Details'!#REF!</f>
        <v>#REF!</v>
      </c>
      <c r="R166" s="174" t="e">
        <f>+'Estimate Details'!#REF!</f>
        <v>#REF!</v>
      </c>
      <c r="S166" s="507"/>
      <c r="T166" s="174" t="e">
        <f>+'Estimate Details'!#REF!</f>
        <v>#REF!</v>
      </c>
      <c r="U166" s="486" t="s">
        <v>1309</v>
      </c>
      <c r="V166" s="172" t="e">
        <f>+'Estimate Details'!#REF!</f>
        <v>#REF!</v>
      </c>
      <c r="W166" s="481" t="s">
        <v>1309</v>
      </c>
      <c r="X166" s="172" t="e">
        <f>+'Estimate Details'!#REF!</f>
        <v>#REF!</v>
      </c>
      <c r="Y166" s="172" t="e">
        <f>+'Estimate Details'!#REF!</f>
        <v>#REF!</v>
      </c>
      <c r="Z166" s="174" t="e">
        <f>+'Estimate Details'!#REF!</f>
        <v>#REF!</v>
      </c>
      <c r="AA166" s="481"/>
      <c r="AB166" s="175" t="e">
        <f>+'Estimate Details'!#REF!</f>
        <v>#REF!</v>
      </c>
      <c r="AC166" s="569"/>
      <c r="AD166" s="176" t="e">
        <f>+'Estimate Details'!#REF!</f>
        <v>#REF!</v>
      </c>
      <c r="AE166" s="156"/>
      <c r="AF166" s="215"/>
      <c r="AG166" s="156"/>
      <c r="AH166" s="156"/>
      <c r="AI166" s="29"/>
      <c r="AJ166" s="29"/>
      <c r="AK166" s="29"/>
      <c r="AL166" s="29"/>
    </row>
    <row r="167" spans="1:38" ht="14.1" customHeight="1">
      <c r="A167" s="116" t="e">
        <f>+'Estimate Details'!#REF!</f>
        <v>#REF!</v>
      </c>
      <c r="B167" s="116"/>
      <c r="C167" s="116"/>
      <c r="D167" s="248"/>
      <c r="E167" s="158" t="e">
        <f>+'Estimate Details'!#REF!</f>
        <v>#REF!</v>
      </c>
      <c r="F167" s="41"/>
      <c r="G167" s="117" t="e">
        <f>+'Estimate Details'!#REF!</f>
        <v>#REF!</v>
      </c>
      <c r="H167" s="41" t="e">
        <f>+'Estimate Details'!#REF!</f>
        <v>#REF!</v>
      </c>
      <c r="I167" s="108" t="e">
        <f>+'Estimate Details'!#REF!</f>
        <v>#REF!</v>
      </c>
      <c r="J167" s="192" t="e">
        <f>+'Estimate Details'!#REF!</f>
        <v>#REF!</v>
      </c>
      <c r="K167" s="42" t="e">
        <f>+'Estimate Details'!#REF!</f>
        <v>#REF!</v>
      </c>
      <c r="L167" s="42" t="e">
        <f>+'Estimate Details'!#REF!</f>
        <v>#REF!</v>
      </c>
      <c r="M167" s="177" t="e">
        <f>+'Estimate Details'!#REF!</f>
        <v>#REF!</v>
      </c>
      <c r="N167" s="170" t="e">
        <f>+'Estimate Details'!#REF!</f>
        <v>#REF!</v>
      </c>
      <c r="O167" s="171" t="e">
        <f>+'Estimate Details'!#REF!</f>
        <v>#REF!</v>
      </c>
      <c r="P167" s="172" t="e">
        <f>+'Estimate Details'!#REF!</f>
        <v>#REF!</v>
      </c>
      <c r="Q167" s="173" t="e">
        <f>+'Estimate Details'!#REF!</f>
        <v>#REF!</v>
      </c>
      <c r="R167" s="174" t="e">
        <f>+'Estimate Details'!#REF!</f>
        <v>#REF!</v>
      </c>
      <c r="S167" s="507"/>
      <c r="T167" s="174" t="e">
        <f>+'Estimate Details'!#REF!</f>
        <v>#REF!</v>
      </c>
      <c r="U167" s="486" t="s">
        <v>1310</v>
      </c>
      <c r="V167" s="172" t="e">
        <f>+'Estimate Details'!#REF!</f>
        <v>#REF!</v>
      </c>
      <c r="W167" s="481" t="s">
        <v>1310</v>
      </c>
      <c r="X167" s="172" t="e">
        <f>+'Estimate Details'!#REF!</f>
        <v>#REF!</v>
      </c>
      <c r="Y167" s="172" t="e">
        <f>+'Estimate Details'!#REF!</f>
        <v>#REF!</v>
      </c>
      <c r="Z167" s="174" t="e">
        <f>+'Estimate Details'!#REF!</f>
        <v>#REF!</v>
      </c>
      <c r="AA167" s="481"/>
      <c r="AB167" s="175" t="e">
        <f>+'Estimate Details'!#REF!</f>
        <v>#REF!</v>
      </c>
      <c r="AC167" s="569"/>
      <c r="AD167" s="176" t="e">
        <f>+'Estimate Details'!#REF!</f>
        <v>#REF!</v>
      </c>
      <c r="AE167" s="156"/>
      <c r="AF167" s="215"/>
      <c r="AG167" s="156"/>
      <c r="AH167" s="156"/>
      <c r="AI167" s="29"/>
      <c r="AJ167" s="29"/>
      <c r="AK167" s="29"/>
      <c r="AL167" s="29"/>
    </row>
    <row r="168" spans="1:38" ht="14.1" customHeight="1">
      <c r="A168" s="116" t="e">
        <f>+'Estimate Details'!#REF!</f>
        <v>#REF!</v>
      </c>
      <c r="B168" s="116"/>
      <c r="C168" s="116"/>
      <c r="D168" s="248"/>
      <c r="E168" s="158" t="e">
        <f>+'Estimate Details'!#REF!</f>
        <v>#REF!</v>
      </c>
      <c r="F168" s="41"/>
      <c r="G168" s="117" t="e">
        <f>+'Estimate Details'!#REF!</f>
        <v>#REF!</v>
      </c>
      <c r="H168" s="41" t="e">
        <f>+'Estimate Details'!#REF!</f>
        <v>#REF!</v>
      </c>
      <c r="I168" s="108" t="e">
        <f>+'Estimate Details'!#REF!</f>
        <v>#REF!</v>
      </c>
      <c r="J168" s="192" t="e">
        <f>+'Estimate Details'!#REF!</f>
        <v>#REF!</v>
      </c>
      <c r="K168" s="42" t="e">
        <f>+'Estimate Details'!#REF!</f>
        <v>#REF!</v>
      </c>
      <c r="L168" s="42" t="e">
        <f>+'Estimate Details'!#REF!</f>
        <v>#REF!</v>
      </c>
      <c r="M168" s="177" t="e">
        <f>+'Estimate Details'!#REF!</f>
        <v>#REF!</v>
      </c>
      <c r="N168" s="170" t="e">
        <f>+'Estimate Details'!#REF!</f>
        <v>#REF!</v>
      </c>
      <c r="O168" s="171" t="e">
        <f>+'Estimate Details'!#REF!</f>
        <v>#REF!</v>
      </c>
      <c r="P168" s="172" t="e">
        <f>+'Estimate Details'!#REF!</f>
        <v>#REF!</v>
      </c>
      <c r="Q168" s="173" t="e">
        <f>+'Estimate Details'!#REF!</f>
        <v>#REF!</v>
      </c>
      <c r="R168" s="174" t="e">
        <f>+'Estimate Details'!#REF!</f>
        <v>#REF!</v>
      </c>
      <c r="S168" s="507"/>
      <c r="T168" s="174" t="e">
        <f>+'Estimate Details'!#REF!</f>
        <v>#REF!</v>
      </c>
      <c r="U168" s="486" t="s">
        <v>1310</v>
      </c>
      <c r="V168" s="172" t="e">
        <f>+'Estimate Details'!#REF!</f>
        <v>#REF!</v>
      </c>
      <c r="W168" s="481" t="s">
        <v>1310</v>
      </c>
      <c r="X168" s="172" t="e">
        <f>+'Estimate Details'!#REF!</f>
        <v>#REF!</v>
      </c>
      <c r="Y168" s="172" t="e">
        <f>+'Estimate Details'!#REF!</f>
        <v>#REF!</v>
      </c>
      <c r="Z168" s="174" t="e">
        <f>+'Estimate Details'!#REF!</f>
        <v>#REF!</v>
      </c>
      <c r="AA168" s="481"/>
      <c r="AB168" s="175" t="e">
        <f>+'Estimate Details'!#REF!</f>
        <v>#REF!</v>
      </c>
      <c r="AC168" s="569"/>
      <c r="AD168" s="176" t="e">
        <f>+'Estimate Details'!#REF!</f>
        <v>#REF!</v>
      </c>
      <c r="AE168" s="156"/>
      <c r="AF168" s="215"/>
      <c r="AG168" s="156"/>
      <c r="AH168" s="156"/>
      <c r="AI168" s="29"/>
      <c r="AJ168" s="29"/>
      <c r="AK168" s="29"/>
      <c r="AL168" s="29"/>
    </row>
    <row r="169" spans="1:38" ht="13.5" customHeight="1">
      <c r="A169" s="116" t="e">
        <f>+'Estimate Details'!#REF!</f>
        <v>#REF!</v>
      </c>
      <c r="B169" s="116"/>
      <c r="C169" s="116"/>
      <c r="D169" s="248"/>
      <c r="E169" s="158" t="e">
        <f>+'Estimate Details'!#REF!</f>
        <v>#REF!</v>
      </c>
      <c r="F169" s="41"/>
      <c r="G169" s="117" t="e">
        <f>+'Estimate Details'!#REF!</f>
        <v>#REF!</v>
      </c>
      <c r="H169" s="41" t="e">
        <f>+'Estimate Details'!#REF!</f>
        <v>#REF!</v>
      </c>
      <c r="I169" s="108" t="e">
        <f>+'Estimate Details'!#REF!</f>
        <v>#REF!</v>
      </c>
      <c r="J169" s="192" t="e">
        <f>+'Estimate Details'!#REF!</f>
        <v>#REF!</v>
      </c>
      <c r="K169" s="42" t="e">
        <f>+'Estimate Details'!#REF!</f>
        <v>#REF!</v>
      </c>
      <c r="L169" s="42" t="e">
        <f>+'Estimate Details'!#REF!</f>
        <v>#REF!</v>
      </c>
      <c r="M169" s="177" t="e">
        <f>+'Estimate Details'!#REF!</f>
        <v>#REF!</v>
      </c>
      <c r="N169" s="170" t="e">
        <f>+'Estimate Details'!#REF!</f>
        <v>#REF!</v>
      </c>
      <c r="O169" s="171" t="e">
        <f>+'Estimate Details'!#REF!</f>
        <v>#REF!</v>
      </c>
      <c r="P169" s="172" t="e">
        <f>+'Estimate Details'!#REF!</f>
        <v>#REF!</v>
      </c>
      <c r="Q169" s="173" t="e">
        <f>+'Estimate Details'!#REF!</f>
        <v>#REF!</v>
      </c>
      <c r="R169" s="174" t="e">
        <f>+'Estimate Details'!#REF!</f>
        <v>#REF!</v>
      </c>
      <c r="S169" s="507"/>
      <c r="T169" s="174" t="e">
        <f>+'Estimate Details'!#REF!</f>
        <v>#REF!</v>
      </c>
      <c r="U169" s="486" t="s">
        <v>1310</v>
      </c>
      <c r="V169" s="172" t="e">
        <f>+'Estimate Details'!#REF!</f>
        <v>#REF!</v>
      </c>
      <c r="W169" s="481" t="s">
        <v>1310</v>
      </c>
      <c r="X169" s="172" t="e">
        <f>+'Estimate Details'!#REF!</f>
        <v>#REF!</v>
      </c>
      <c r="Y169" s="172" t="e">
        <f>+'Estimate Details'!#REF!</f>
        <v>#REF!</v>
      </c>
      <c r="Z169" s="174" t="e">
        <f>+'Estimate Details'!#REF!</f>
        <v>#REF!</v>
      </c>
      <c r="AA169" s="481"/>
      <c r="AB169" s="175" t="e">
        <f>+'Estimate Details'!#REF!</f>
        <v>#REF!</v>
      </c>
      <c r="AC169" s="569"/>
      <c r="AD169" s="176" t="e">
        <f>+'Estimate Details'!#REF!</f>
        <v>#REF!</v>
      </c>
      <c r="AE169" s="156"/>
      <c r="AF169" s="215"/>
      <c r="AG169" s="156"/>
      <c r="AH169" s="156"/>
      <c r="AI169" s="29"/>
      <c r="AJ169" s="29"/>
      <c r="AK169" s="29"/>
      <c r="AL169" s="29"/>
    </row>
    <row r="170" spans="1:38" ht="14.1" customHeight="1">
      <c r="A170" s="116" t="e">
        <f>+'Estimate Details'!#REF!</f>
        <v>#REF!</v>
      </c>
      <c r="B170" s="116"/>
      <c r="C170" s="116"/>
      <c r="D170" s="248"/>
      <c r="E170" s="158" t="e">
        <f>+'Estimate Details'!#REF!</f>
        <v>#REF!</v>
      </c>
      <c r="F170" s="41"/>
      <c r="G170" s="117" t="e">
        <f>+'Estimate Details'!#REF!</f>
        <v>#REF!</v>
      </c>
      <c r="H170" s="41" t="e">
        <f>+'Estimate Details'!#REF!</f>
        <v>#REF!</v>
      </c>
      <c r="I170" s="108" t="e">
        <f>+'Estimate Details'!#REF!</f>
        <v>#REF!</v>
      </c>
      <c r="J170" s="42" t="e">
        <f>+'Estimate Details'!#REF!</f>
        <v>#REF!</v>
      </c>
      <c r="K170" s="42" t="e">
        <f>+'Estimate Details'!#REF!</f>
        <v>#REF!</v>
      </c>
      <c r="L170" s="42" t="e">
        <f>+'Estimate Details'!#REF!</f>
        <v>#REF!</v>
      </c>
      <c r="M170" s="177" t="e">
        <f>+'Estimate Details'!#REF!</f>
        <v>#REF!</v>
      </c>
      <c r="N170" s="170" t="e">
        <f>+'Estimate Details'!#REF!</f>
        <v>#REF!</v>
      </c>
      <c r="O170" s="171" t="e">
        <f>+'Estimate Details'!#REF!</f>
        <v>#REF!</v>
      </c>
      <c r="P170" s="172" t="e">
        <f>+'Estimate Details'!#REF!</f>
        <v>#REF!</v>
      </c>
      <c r="Q170" s="173" t="e">
        <f>+'Estimate Details'!#REF!</f>
        <v>#REF!</v>
      </c>
      <c r="R170" s="174" t="e">
        <f>+'Estimate Details'!#REF!</f>
        <v>#REF!</v>
      </c>
      <c r="S170" s="507"/>
      <c r="T170" s="174" t="e">
        <f>+'Estimate Details'!#REF!</f>
        <v>#REF!</v>
      </c>
      <c r="U170" s="481"/>
      <c r="V170" s="172" t="e">
        <f>+'Estimate Details'!#REF!</f>
        <v>#REF!</v>
      </c>
      <c r="W170" s="481"/>
      <c r="X170" s="172" t="e">
        <f>+'Estimate Details'!#REF!</f>
        <v>#REF!</v>
      </c>
      <c r="Y170" s="172" t="e">
        <f>+'Estimate Details'!#REF!</f>
        <v>#REF!</v>
      </c>
      <c r="Z170" s="174" t="e">
        <f>+'Estimate Details'!#REF!</f>
        <v>#REF!</v>
      </c>
      <c r="AA170" s="481" t="s">
        <v>1310</v>
      </c>
      <c r="AB170" s="175" t="e">
        <f>+'Estimate Details'!#REF!</f>
        <v>#REF!</v>
      </c>
      <c r="AC170" s="569"/>
      <c r="AD170" s="176" t="e">
        <f>+'Estimate Details'!#REF!</f>
        <v>#REF!</v>
      </c>
      <c r="AE170" s="156"/>
      <c r="AF170" s="215"/>
      <c r="AG170" s="156"/>
      <c r="AH170" s="156"/>
      <c r="AI170" s="29"/>
      <c r="AJ170" s="29"/>
      <c r="AK170" s="29"/>
      <c r="AL170" s="29"/>
    </row>
    <row r="171" spans="1:38" ht="14.1" customHeight="1">
      <c r="A171" s="116" t="e">
        <f>+'Estimate Details'!#REF!</f>
        <v>#REF!</v>
      </c>
      <c r="B171" s="116"/>
      <c r="C171" s="116"/>
      <c r="D171" s="248"/>
      <c r="E171" s="158" t="e">
        <f>+'Estimate Details'!#REF!</f>
        <v>#REF!</v>
      </c>
      <c r="F171" s="41"/>
      <c r="G171" s="117" t="e">
        <f>+'Estimate Details'!#REF!</f>
        <v>#REF!</v>
      </c>
      <c r="H171" s="118" t="e">
        <f>+'Estimate Details'!#REF!</f>
        <v>#REF!</v>
      </c>
      <c r="I171" s="108" t="e">
        <f>+'Estimate Details'!#REF!</f>
        <v>#REF!</v>
      </c>
      <c r="J171" s="168" t="e">
        <f>+'Estimate Details'!#REF!</f>
        <v>#REF!</v>
      </c>
      <c r="K171" s="42" t="e">
        <f>+'Estimate Details'!#REF!</f>
        <v>#REF!</v>
      </c>
      <c r="L171" s="42" t="e">
        <f>+'Estimate Details'!#REF!</f>
        <v>#REF!</v>
      </c>
      <c r="M171" s="204" t="e">
        <f>+'Estimate Details'!#REF!</f>
        <v>#REF!</v>
      </c>
      <c r="N171" s="170" t="e">
        <f>+'Estimate Details'!#REF!</f>
        <v>#REF!</v>
      </c>
      <c r="O171" s="171" t="e">
        <f>+'Estimate Details'!#REF!</f>
        <v>#REF!</v>
      </c>
      <c r="P171" s="172" t="e">
        <f>+'Estimate Details'!#REF!</f>
        <v>#REF!</v>
      </c>
      <c r="Q171" s="173" t="e">
        <f>+'Estimate Details'!#REF!</f>
        <v>#REF!</v>
      </c>
      <c r="R171" s="174" t="e">
        <f>+'Estimate Details'!#REF!</f>
        <v>#REF!</v>
      </c>
      <c r="S171" s="507"/>
      <c r="T171" s="174" t="e">
        <f>+'Estimate Details'!#REF!</f>
        <v>#REF!</v>
      </c>
      <c r="U171" s="486" t="s">
        <v>1309</v>
      </c>
      <c r="V171" s="172" t="e">
        <f>+'Estimate Details'!#REF!</f>
        <v>#REF!</v>
      </c>
      <c r="W171" s="481" t="s">
        <v>1309</v>
      </c>
      <c r="X171" s="172" t="e">
        <f>+'Estimate Details'!#REF!</f>
        <v>#REF!</v>
      </c>
      <c r="Y171" s="172" t="e">
        <f>+'Estimate Details'!#REF!</f>
        <v>#REF!</v>
      </c>
      <c r="Z171" s="174" t="e">
        <f>+'Estimate Details'!#REF!</f>
        <v>#REF!</v>
      </c>
      <c r="AA171" s="481"/>
      <c r="AB171" s="175" t="e">
        <f>+'Estimate Details'!#REF!</f>
        <v>#REF!</v>
      </c>
      <c r="AC171" s="569"/>
      <c r="AD171" s="176" t="e">
        <f>+'Estimate Details'!#REF!</f>
        <v>#REF!</v>
      </c>
      <c r="AE171" s="156"/>
      <c r="AF171" s="215"/>
      <c r="AG171" s="156"/>
      <c r="AH171" s="156"/>
      <c r="AI171" s="29"/>
      <c r="AJ171" s="29"/>
      <c r="AK171" s="29"/>
      <c r="AL171" s="29"/>
    </row>
    <row r="172" spans="1:38" ht="14.1" customHeight="1">
      <c r="A172" s="116" t="e">
        <f>+'Estimate Details'!#REF!</f>
        <v>#REF!</v>
      </c>
      <c r="B172" s="116"/>
      <c r="C172" s="116"/>
      <c r="D172" s="248"/>
      <c r="E172" s="158" t="e">
        <f>+'Estimate Details'!#REF!</f>
        <v>#REF!</v>
      </c>
      <c r="F172" s="41"/>
      <c r="G172" s="117" t="e">
        <f>+'Estimate Details'!#REF!</f>
        <v>#REF!</v>
      </c>
      <c r="H172" s="206" t="e">
        <f>+'Estimate Details'!#REF!</f>
        <v>#REF!</v>
      </c>
      <c r="I172" s="108" t="e">
        <f>+'Estimate Details'!#REF!</f>
        <v>#REF!</v>
      </c>
      <c r="J172" s="168" t="e">
        <f>+'Estimate Details'!#REF!</f>
        <v>#REF!</v>
      </c>
      <c r="K172" s="42" t="e">
        <f>+'Estimate Details'!#REF!</f>
        <v>#REF!</v>
      </c>
      <c r="L172" s="42" t="e">
        <f>+'Estimate Details'!#REF!</f>
        <v>#REF!</v>
      </c>
      <c r="M172" s="177" t="e">
        <f>+'Estimate Details'!#REF!</f>
        <v>#REF!</v>
      </c>
      <c r="N172" s="170" t="e">
        <f>+'Estimate Details'!#REF!</f>
        <v>#REF!</v>
      </c>
      <c r="O172" s="171" t="e">
        <f>+'Estimate Details'!#REF!</f>
        <v>#REF!</v>
      </c>
      <c r="P172" s="172" t="e">
        <f>+'Estimate Details'!#REF!</f>
        <v>#REF!</v>
      </c>
      <c r="Q172" s="173" t="e">
        <f>+'Estimate Details'!#REF!</f>
        <v>#REF!</v>
      </c>
      <c r="R172" s="174" t="e">
        <f>+'Estimate Details'!#REF!</f>
        <v>#REF!</v>
      </c>
      <c r="S172" s="507"/>
      <c r="T172" s="174" t="e">
        <f>+'Estimate Details'!#REF!</f>
        <v>#REF!</v>
      </c>
      <c r="U172" s="486" t="s">
        <v>1309</v>
      </c>
      <c r="V172" s="172" t="e">
        <f>+'Estimate Details'!#REF!</f>
        <v>#REF!</v>
      </c>
      <c r="W172" s="481" t="s">
        <v>1309</v>
      </c>
      <c r="X172" s="172" t="e">
        <f>+'Estimate Details'!#REF!</f>
        <v>#REF!</v>
      </c>
      <c r="Y172" s="172" t="e">
        <f>+'Estimate Details'!#REF!</f>
        <v>#REF!</v>
      </c>
      <c r="Z172" s="174" t="e">
        <f>+'Estimate Details'!#REF!</f>
        <v>#REF!</v>
      </c>
      <c r="AA172" s="481"/>
      <c r="AB172" s="175" t="e">
        <f>+'Estimate Details'!#REF!</f>
        <v>#REF!</v>
      </c>
      <c r="AC172" s="569"/>
      <c r="AD172" s="176" t="e">
        <f>+'Estimate Details'!#REF!</f>
        <v>#REF!</v>
      </c>
      <c r="AE172" s="156"/>
      <c r="AF172" s="215"/>
      <c r="AG172" s="156"/>
      <c r="AH172" s="156"/>
      <c r="AI172" s="29"/>
      <c r="AJ172" s="29"/>
      <c r="AK172" s="29"/>
      <c r="AL172" s="29"/>
    </row>
    <row r="173" spans="1:38" ht="14.1" customHeight="1">
      <c r="A173" s="116" t="e">
        <f>+'Estimate Details'!#REF!</f>
        <v>#REF!</v>
      </c>
      <c r="B173" s="116"/>
      <c r="C173" s="116"/>
      <c r="D173" s="248"/>
      <c r="E173" s="158" t="e">
        <f>+'Estimate Details'!#REF!</f>
        <v>#REF!</v>
      </c>
      <c r="F173" s="41"/>
      <c r="G173" s="117" t="e">
        <f>+'Estimate Details'!#REF!</f>
        <v>#REF!</v>
      </c>
      <c r="H173" s="206" t="e">
        <f>+'Estimate Details'!#REF!</f>
        <v>#REF!</v>
      </c>
      <c r="I173" s="108" t="e">
        <f>+'Estimate Details'!#REF!</f>
        <v>#REF!</v>
      </c>
      <c r="J173" s="42" t="e">
        <f>+'Estimate Details'!#REF!</f>
        <v>#REF!</v>
      </c>
      <c r="K173" s="42" t="e">
        <f>+'Estimate Details'!#REF!</f>
        <v>#REF!</v>
      </c>
      <c r="L173" s="42" t="e">
        <f>+'Estimate Details'!#REF!</f>
        <v>#REF!</v>
      </c>
      <c r="M173" s="177" t="e">
        <f>+'Estimate Details'!#REF!</f>
        <v>#REF!</v>
      </c>
      <c r="N173" s="170" t="e">
        <f>+'Estimate Details'!#REF!</f>
        <v>#REF!</v>
      </c>
      <c r="O173" s="171" t="e">
        <f>+'Estimate Details'!#REF!</f>
        <v>#REF!</v>
      </c>
      <c r="P173" s="172" t="e">
        <f>+'Estimate Details'!#REF!</f>
        <v>#REF!</v>
      </c>
      <c r="Q173" s="173" t="e">
        <f>+'Estimate Details'!#REF!</f>
        <v>#REF!</v>
      </c>
      <c r="R173" s="174" t="e">
        <f>+'Estimate Details'!#REF!</f>
        <v>#REF!</v>
      </c>
      <c r="S173" s="507"/>
      <c r="T173" s="174" t="e">
        <f>+'Estimate Details'!#REF!</f>
        <v>#REF!</v>
      </c>
      <c r="U173" s="486" t="s">
        <v>1309</v>
      </c>
      <c r="V173" s="172" t="e">
        <f>+'Estimate Details'!#REF!</f>
        <v>#REF!</v>
      </c>
      <c r="W173" s="481" t="s">
        <v>1309</v>
      </c>
      <c r="X173" s="172" t="e">
        <f>+'Estimate Details'!#REF!</f>
        <v>#REF!</v>
      </c>
      <c r="Y173" s="172" t="e">
        <f>+'Estimate Details'!#REF!</f>
        <v>#REF!</v>
      </c>
      <c r="Z173" s="174" t="e">
        <f>+'Estimate Details'!#REF!</f>
        <v>#REF!</v>
      </c>
      <c r="AA173" s="481"/>
      <c r="AB173" s="175" t="e">
        <f>+'Estimate Details'!#REF!</f>
        <v>#REF!</v>
      </c>
      <c r="AC173" s="569"/>
      <c r="AD173" s="176" t="e">
        <f>+'Estimate Details'!#REF!</f>
        <v>#REF!</v>
      </c>
      <c r="AE173" s="156"/>
      <c r="AF173" s="215"/>
      <c r="AG173" s="156"/>
      <c r="AH173" s="156"/>
      <c r="AI173" s="29"/>
      <c r="AJ173" s="29"/>
      <c r="AK173" s="29"/>
      <c r="AL173" s="29"/>
    </row>
    <row r="174" spans="1:38" ht="14.1" customHeight="1">
      <c r="A174" s="116" t="e">
        <f>+'Estimate Details'!#REF!</f>
        <v>#REF!</v>
      </c>
      <c r="B174" s="116"/>
      <c r="C174" s="116"/>
      <c r="D174" s="248"/>
      <c r="E174" s="158" t="e">
        <f>+'Estimate Details'!#REF!</f>
        <v>#REF!</v>
      </c>
      <c r="F174" s="41"/>
      <c r="G174" s="117" t="e">
        <f>+'Estimate Details'!#REF!</f>
        <v>#REF!</v>
      </c>
      <c r="H174" s="206" t="e">
        <f>+'Estimate Details'!#REF!</f>
        <v>#REF!</v>
      </c>
      <c r="I174" s="108" t="e">
        <f>+'Estimate Details'!#REF!</f>
        <v>#REF!</v>
      </c>
      <c r="J174" s="42" t="e">
        <f>+'Estimate Details'!#REF!</f>
        <v>#REF!</v>
      </c>
      <c r="K174" s="42" t="e">
        <f>+'Estimate Details'!#REF!</f>
        <v>#REF!</v>
      </c>
      <c r="L174" s="42" t="e">
        <f>+'Estimate Details'!#REF!</f>
        <v>#REF!</v>
      </c>
      <c r="M174" s="177" t="e">
        <f>+'Estimate Details'!#REF!</f>
        <v>#REF!</v>
      </c>
      <c r="N174" s="170" t="e">
        <f>+'Estimate Details'!#REF!</f>
        <v>#REF!</v>
      </c>
      <c r="O174" s="171" t="e">
        <f>+'Estimate Details'!#REF!</f>
        <v>#REF!</v>
      </c>
      <c r="P174" s="172" t="e">
        <f>+'Estimate Details'!#REF!</f>
        <v>#REF!</v>
      </c>
      <c r="Q174" s="173" t="e">
        <f>+'Estimate Details'!#REF!</f>
        <v>#REF!</v>
      </c>
      <c r="R174" s="174" t="e">
        <f>+'Estimate Details'!#REF!</f>
        <v>#REF!</v>
      </c>
      <c r="S174" s="507"/>
      <c r="T174" s="174" t="e">
        <f>+'Estimate Details'!#REF!</f>
        <v>#REF!</v>
      </c>
      <c r="U174" s="486" t="s">
        <v>1309</v>
      </c>
      <c r="V174" s="172" t="e">
        <f>+'Estimate Details'!#REF!</f>
        <v>#REF!</v>
      </c>
      <c r="W174" s="481" t="s">
        <v>1309</v>
      </c>
      <c r="X174" s="172" t="e">
        <f>+'Estimate Details'!#REF!</f>
        <v>#REF!</v>
      </c>
      <c r="Y174" s="172" t="e">
        <f>+'Estimate Details'!#REF!</f>
        <v>#REF!</v>
      </c>
      <c r="Z174" s="174" t="e">
        <f>+'Estimate Details'!#REF!</f>
        <v>#REF!</v>
      </c>
      <c r="AA174" s="481"/>
      <c r="AB174" s="175" t="e">
        <f>+'Estimate Details'!#REF!</f>
        <v>#REF!</v>
      </c>
      <c r="AC174" s="569"/>
      <c r="AD174" s="176" t="e">
        <f>+'Estimate Details'!#REF!</f>
        <v>#REF!</v>
      </c>
      <c r="AE174" s="156"/>
      <c r="AF174" s="215"/>
      <c r="AG174" s="156"/>
      <c r="AH174" s="156"/>
      <c r="AI174" s="29"/>
      <c r="AJ174" s="29"/>
      <c r="AK174" s="29"/>
      <c r="AL174" s="29"/>
    </row>
    <row r="175" spans="1:38" ht="14.1" customHeight="1">
      <c r="A175" s="116" t="e">
        <f>+'Estimate Details'!#REF!</f>
        <v>#REF!</v>
      </c>
      <c r="B175" s="116"/>
      <c r="C175" s="116"/>
      <c r="D175" s="248"/>
      <c r="E175" s="158" t="e">
        <f>+'Estimate Details'!#REF!</f>
        <v>#REF!</v>
      </c>
      <c r="F175" s="41"/>
      <c r="G175" s="117" t="e">
        <f>+'Estimate Details'!#REF!</f>
        <v>#REF!</v>
      </c>
      <c r="H175" s="206" t="e">
        <f>+'Estimate Details'!#REF!</f>
        <v>#REF!</v>
      </c>
      <c r="I175" s="108" t="e">
        <f>+'Estimate Details'!#REF!</f>
        <v>#REF!</v>
      </c>
      <c r="J175" s="42" t="e">
        <f>+'Estimate Details'!#REF!</f>
        <v>#REF!</v>
      </c>
      <c r="K175" s="42" t="e">
        <f>+'Estimate Details'!#REF!</f>
        <v>#REF!</v>
      </c>
      <c r="L175" s="42" t="e">
        <f>+'Estimate Details'!#REF!</f>
        <v>#REF!</v>
      </c>
      <c r="M175" s="177" t="e">
        <f>+'Estimate Details'!#REF!</f>
        <v>#REF!</v>
      </c>
      <c r="N175" s="170" t="e">
        <f>+'Estimate Details'!#REF!</f>
        <v>#REF!</v>
      </c>
      <c r="O175" s="171" t="e">
        <f>+'Estimate Details'!#REF!</f>
        <v>#REF!</v>
      </c>
      <c r="P175" s="172" t="e">
        <f>+'Estimate Details'!#REF!</f>
        <v>#REF!</v>
      </c>
      <c r="Q175" s="173" t="e">
        <f>+'Estimate Details'!#REF!</f>
        <v>#REF!</v>
      </c>
      <c r="R175" s="174" t="e">
        <f>+'Estimate Details'!#REF!</f>
        <v>#REF!</v>
      </c>
      <c r="S175" s="507"/>
      <c r="T175" s="174" t="e">
        <f>+'Estimate Details'!#REF!</f>
        <v>#REF!</v>
      </c>
      <c r="U175" s="486" t="s">
        <v>1309</v>
      </c>
      <c r="V175" s="172" t="e">
        <f>+'Estimate Details'!#REF!</f>
        <v>#REF!</v>
      </c>
      <c r="W175" s="481" t="s">
        <v>1309</v>
      </c>
      <c r="X175" s="172" t="e">
        <f>+'Estimate Details'!#REF!</f>
        <v>#REF!</v>
      </c>
      <c r="Y175" s="172" t="e">
        <f>+'Estimate Details'!#REF!</f>
        <v>#REF!</v>
      </c>
      <c r="Z175" s="174" t="e">
        <f>+'Estimate Details'!#REF!</f>
        <v>#REF!</v>
      </c>
      <c r="AA175" s="481"/>
      <c r="AB175" s="175" t="e">
        <f>+'Estimate Details'!#REF!</f>
        <v>#REF!</v>
      </c>
      <c r="AC175" s="569"/>
      <c r="AD175" s="176" t="e">
        <f>+'Estimate Details'!#REF!</f>
        <v>#REF!</v>
      </c>
      <c r="AE175" s="156"/>
      <c r="AF175" s="215"/>
      <c r="AG175" s="156"/>
      <c r="AH175" s="156"/>
      <c r="AI175" s="29"/>
      <c r="AJ175" s="29"/>
      <c r="AK175" s="29"/>
      <c r="AL175" s="29"/>
    </row>
    <row r="176" spans="1:38" ht="14.1" customHeight="1">
      <c r="A176" s="116" t="e">
        <f>+'Estimate Details'!#REF!</f>
        <v>#REF!</v>
      </c>
      <c r="B176" s="116"/>
      <c r="C176" s="116"/>
      <c r="D176" s="248"/>
      <c r="E176" s="158" t="e">
        <f>+'Estimate Details'!#REF!</f>
        <v>#REF!</v>
      </c>
      <c r="F176" s="41"/>
      <c r="G176" s="117" t="e">
        <f>+'Estimate Details'!#REF!</f>
        <v>#REF!</v>
      </c>
      <c r="H176" s="206" t="e">
        <f>+'Estimate Details'!#REF!</f>
        <v>#REF!</v>
      </c>
      <c r="I176" s="108" t="e">
        <f>+'Estimate Details'!#REF!</f>
        <v>#REF!</v>
      </c>
      <c r="J176" s="42" t="e">
        <f>+'Estimate Details'!#REF!</f>
        <v>#REF!</v>
      </c>
      <c r="K176" s="42" t="e">
        <f>+'Estimate Details'!#REF!</f>
        <v>#REF!</v>
      </c>
      <c r="L176" s="42" t="e">
        <f>+'Estimate Details'!#REF!</f>
        <v>#REF!</v>
      </c>
      <c r="M176" s="177" t="e">
        <f>+'Estimate Details'!#REF!</f>
        <v>#REF!</v>
      </c>
      <c r="N176" s="170" t="e">
        <f>+'Estimate Details'!#REF!</f>
        <v>#REF!</v>
      </c>
      <c r="O176" s="171" t="e">
        <f>+'Estimate Details'!#REF!</f>
        <v>#REF!</v>
      </c>
      <c r="P176" s="172" t="e">
        <f>+'Estimate Details'!#REF!</f>
        <v>#REF!</v>
      </c>
      <c r="Q176" s="173" t="e">
        <f>+'Estimate Details'!#REF!</f>
        <v>#REF!</v>
      </c>
      <c r="R176" s="174" t="e">
        <f>+'Estimate Details'!#REF!</f>
        <v>#REF!</v>
      </c>
      <c r="S176" s="507"/>
      <c r="T176" s="174" t="e">
        <f>+'Estimate Details'!#REF!</f>
        <v>#REF!</v>
      </c>
      <c r="U176" s="486" t="s">
        <v>1309</v>
      </c>
      <c r="V176" s="172" t="e">
        <f>+'Estimate Details'!#REF!</f>
        <v>#REF!</v>
      </c>
      <c r="W176" s="481" t="s">
        <v>1309</v>
      </c>
      <c r="X176" s="172" t="e">
        <f>+'Estimate Details'!#REF!</f>
        <v>#REF!</v>
      </c>
      <c r="Y176" s="172" t="e">
        <f>+'Estimate Details'!#REF!</f>
        <v>#REF!</v>
      </c>
      <c r="Z176" s="174" t="e">
        <f>+'Estimate Details'!#REF!</f>
        <v>#REF!</v>
      </c>
      <c r="AA176" s="481"/>
      <c r="AB176" s="175" t="e">
        <f>+'Estimate Details'!#REF!</f>
        <v>#REF!</v>
      </c>
      <c r="AC176" s="569"/>
      <c r="AD176" s="176" t="e">
        <f>+'Estimate Details'!#REF!</f>
        <v>#REF!</v>
      </c>
      <c r="AE176" s="156"/>
      <c r="AF176" s="215"/>
      <c r="AG176" s="156"/>
      <c r="AH176" s="156"/>
      <c r="AI176" s="29"/>
      <c r="AJ176" s="29"/>
      <c r="AK176" s="29"/>
      <c r="AL176" s="29"/>
    </row>
    <row r="177" spans="1:38" ht="13.5" customHeight="1">
      <c r="A177" s="116" t="e">
        <f>+'Estimate Details'!#REF!</f>
        <v>#REF!</v>
      </c>
      <c r="B177" s="116"/>
      <c r="C177" s="116"/>
      <c r="D177" s="248"/>
      <c r="E177" s="158" t="e">
        <f>+'Estimate Details'!#REF!</f>
        <v>#REF!</v>
      </c>
      <c r="F177" s="41"/>
      <c r="G177" s="117" t="e">
        <f>+'Estimate Details'!#REF!</f>
        <v>#REF!</v>
      </c>
      <c r="H177" s="206" t="e">
        <f>+'Estimate Details'!#REF!</f>
        <v>#REF!</v>
      </c>
      <c r="I177" s="108" t="e">
        <f>+'Estimate Details'!#REF!</f>
        <v>#REF!</v>
      </c>
      <c r="J177" s="42" t="e">
        <f>+'Estimate Details'!#REF!</f>
        <v>#REF!</v>
      </c>
      <c r="K177" s="42" t="e">
        <f>+'Estimate Details'!#REF!</f>
        <v>#REF!</v>
      </c>
      <c r="L177" s="42" t="e">
        <f>+'Estimate Details'!#REF!</f>
        <v>#REF!</v>
      </c>
      <c r="M177" s="177" t="e">
        <f>+'Estimate Details'!#REF!</f>
        <v>#REF!</v>
      </c>
      <c r="N177" s="170" t="e">
        <f>+'Estimate Details'!#REF!</f>
        <v>#REF!</v>
      </c>
      <c r="O177" s="171" t="e">
        <f>+'Estimate Details'!#REF!</f>
        <v>#REF!</v>
      </c>
      <c r="P177" s="172" t="e">
        <f>+'Estimate Details'!#REF!</f>
        <v>#REF!</v>
      </c>
      <c r="Q177" s="173" t="e">
        <f>+'Estimate Details'!#REF!</f>
        <v>#REF!</v>
      </c>
      <c r="R177" s="174" t="e">
        <f>+'Estimate Details'!#REF!</f>
        <v>#REF!</v>
      </c>
      <c r="S177" s="507"/>
      <c r="T177" s="174" t="e">
        <f>+'Estimate Details'!#REF!</f>
        <v>#REF!</v>
      </c>
      <c r="U177" s="486" t="s">
        <v>1309</v>
      </c>
      <c r="V177" s="172" t="e">
        <f>+'Estimate Details'!#REF!</f>
        <v>#REF!</v>
      </c>
      <c r="W177" s="481" t="s">
        <v>1309</v>
      </c>
      <c r="X177" s="172" t="e">
        <f>+'Estimate Details'!#REF!</f>
        <v>#REF!</v>
      </c>
      <c r="Y177" s="172" t="e">
        <f>+'Estimate Details'!#REF!</f>
        <v>#REF!</v>
      </c>
      <c r="Z177" s="174" t="e">
        <f>+'Estimate Details'!#REF!</f>
        <v>#REF!</v>
      </c>
      <c r="AA177" s="481"/>
      <c r="AB177" s="175" t="e">
        <f>+'Estimate Details'!#REF!</f>
        <v>#REF!</v>
      </c>
      <c r="AC177" s="569"/>
      <c r="AD177" s="176" t="e">
        <f>+'Estimate Details'!#REF!</f>
        <v>#REF!</v>
      </c>
      <c r="AE177" s="156"/>
      <c r="AF177" s="215"/>
      <c r="AG177" s="156"/>
      <c r="AH177" s="156"/>
      <c r="AI177" s="29"/>
      <c r="AJ177" s="29"/>
      <c r="AK177" s="29"/>
      <c r="AL177" s="29"/>
    </row>
    <row r="178" spans="1:38" ht="14.1" customHeight="1">
      <c r="A178" s="116" t="e">
        <f>+'Estimate Details'!#REF!</f>
        <v>#REF!</v>
      </c>
      <c r="B178" s="116"/>
      <c r="C178" s="116"/>
      <c r="D178" s="248"/>
      <c r="E178" s="158" t="e">
        <f>+'Estimate Details'!#REF!</f>
        <v>#REF!</v>
      </c>
      <c r="F178" s="41"/>
      <c r="G178" s="117" t="e">
        <f>+'Estimate Details'!#REF!</f>
        <v>#REF!</v>
      </c>
      <c r="H178" s="206" t="e">
        <f>+'Estimate Details'!#REF!</f>
        <v>#REF!</v>
      </c>
      <c r="I178" s="108" t="e">
        <f>+'Estimate Details'!#REF!</f>
        <v>#REF!</v>
      </c>
      <c r="J178" s="42" t="e">
        <f>+'Estimate Details'!#REF!</f>
        <v>#REF!</v>
      </c>
      <c r="K178" s="42" t="e">
        <f>+'Estimate Details'!#REF!</f>
        <v>#REF!</v>
      </c>
      <c r="L178" s="42" t="e">
        <f>+'Estimate Details'!#REF!</f>
        <v>#REF!</v>
      </c>
      <c r="M178" s="177" t="e">
        <f>+'Estimate Details'!#REF!</f>
        <v>#REF!</v>
      </c>
      <c r="N178" s="170" t="e">
        <f>+'Estimate Details'!#REF!</f>
        <v>#REF!</v>
      </c>
      <c r="O178" s="171" t="e">
        <f>+'Estimate Details'!#REF!</f>
        <v>#REF!</v>
      </c>
      <c r="P178" s="172" t="e">
        <f>+'Estimate Details'!#REF!</f>
        <v>#REF!</v>
      </c>
      <c r="Q178" s="173" t="e">
        <f>+'Estimate Details'!#REF!</f>
        <v>#REF!</v>
      </c>
      <c r="R178" s="174" t="e">
        <f>+'Estimate Details'!#REF!</f>
        <v>#REF!</v>
      </c>
      <c r="S178" s="507"/>
      <c r="T178" s="174" t="e">
        <f>+'Estimate Details'!#REF!</f>
        <v>#REF!</v>
      </c>
      <c r="U178" s="486" t="s">
        <v>1309</v>
      </c>
      <c r="V178" s="172" t="e">
        <f>+'Estimate Details'!#REF!</f>
        <v>#REF!</v>
      </c>
      <c r="W178" s="481" t="s">
        <v>1309</v>
      </c>
      <c r="X178" s="172" t="e">
        <f>+'Estimate Details'!#REF!</f>
        <v>#REF!</v>
      </c>
      <c r="Y178" s="172" t="e">
        <f>+'Estimate Details'!#REF!</f>
        <v>#REF!</v>
      </c>
      <c r="Z178" s="174" t="e">
        <f>+'Estimate Details'!#REF!</f>
        <v>#REF!</v>
      </c>
      <c r="AA178" s="481"/>
      <c r="AB178" s="175" t="e">
        <f>+'Estimate Details'!#REF!</f>
        <v>#REF!</v>
      </c>
      <c r="AC178" s="569"/>
      <c r="AD178" s="176" t="e">
        <f>+'Estimate Details'!#REF!</f>
        <v>#REF!</v>
      </c>
      <c r="AE178" s="156"/>
      <c r="AF178" s="215"/>
      <c r="AG178" s="156"/>
      <c r="AH178" s="156"/>
      <c r="AI178" s="29"/>
      <c r="AJ178" s="29"/>
      <c r="AK178" s="29"/>
      <c r="AL178" s="29"/>
    </row>
    <row r="179" spans="1:38" ht="14.1" customHeight="1">
      <c r="A179" s="116" t="e">
        <f>+'Estimate Details'!#REF!</f>
        <v>#REF!</v>
      </c>
      <c r="B179" s="116"/>
      <c r="C179" s="116"/>
      <c r="D179" s="248"/>
      <c r="E179" s="158" t="e">
        <f>+'Estimate Details'!#REF!</f>
        <v>#REF!</v>
      </c>
      <c r="F179" s="41"/>
      <c r="G179" s="117" t="e">
        <f>+'Estimate Details'!#REF!</f>
        <v>#REF!</v>
      </c>
      <c r="H179" s="206" t="e">
        <f>+'Estimate Details'!#REF!</f>
        <v>#REF!</v>
      </c>
      <c r="I179" s="108" t="e">
        <f>+'Estimate Details'!#REF!</f>
        <v>#REF!</v>
      </c>
      <c r="J179" s="42" t="e">
        <f>+'Estimate Details'!#REF!</f>
        <v>#REF!</v>
      </c>
      <c r="K179" s="42" t="e">
        <f>+'Estimate Details'!#REF!</f>
        <v>#REF!</v>
      </c>
      <c r="L179" s="42" t="e">
        <f>+'Estimate Details'!#REF!</f>
        <v>#REF!</v>
      </c>
      <c r="M179" s="177" t="e">
        <f>+'Estimate Details'!#REF!</f>
        <v>#REF!</v>
      </c>
      <c r="N179" s="170" t="e">
        <f>+'Estimate Details'!#REF!</f>
        <v>#REF!</v>
      </c>
      <c r="O179" s="171" t="e">
        <f>+'Estimate Details'!#REF!</f>
        <v>#REF!</v>
      </c>
      <c r="P179" s="172" t="e">
        <f>+'Estimate Details'!#REF!</f>
        <v>#REF!</v>
      </c>
      <c r="Q179" s="173" t="e">
        <f>+'Estimate Details'!#REF!</f>
        <v>#REF!</v>
      </c>
      <c r="R179" s="174" t="e">
        <f>+'Estimate Details'!#REF!</f>
        <v>#REF!</v>
      </c>
      <c r="S179" s="507"/>
      <c r="T179" s="174" t="e">
        <f>+'Estimate Details'!#REF!</f>
        <v>#REF!</v>
      </c>
      <c r="U179" s="486" t="s">
        <v>1309</v>
      </c>
      <c r="V179" s="172" t="e">
        <f>+'Estimate Details'!#REF!</f>
        <v>#REF!</v>
      </c>
      <c r="W179" s="481" t="s">
        <v>1309</v>
      </c>
      <c r="X179" s="172" t="e">
        <f>+'Estimate Details'!#REF!</f>
        <v>#REF!</v>
      </c>
      <c r="Y179" s="172" t="e">
        <f>+'Estimate Details'!#REF!</f>
        <v>#REF!</v>
      </c>
      <c r="Z179" s="174" t="e">
        <f>+'Estimate Details'!#REF!</f>
        <v>#REF!</v>
      </c>
      <c r="AA179" s="481"/>
      <c r="AB179" s="175" t="e">
        <f>+'Estimate Details'!#REF!</f>
        <v>#REF!</v>
      </c>
      <c r="AC179" s="569"/>
      <c r="AD179" s="176" t="e">
        <f>+'Estimate Details'!#REF!</f>
        <v>#REF!</v>
      </c>
      <c r="AE179" s="156"/>
      <c r="AF179" s="215"/>
      <c r="AG179" s="156"/>
      <c r="AH179" s="156"/>
      <c r="AI179" s="29"/>
      <c r="AJ179" s="29"/>
      <c r="AK179" s="29"/>
      <c r="AL179" s="29"/>
    </row>
    <row r="180" spans="1:38" ht="13.5" customHeight="1">
      <c r="A180" s="116" t="e">
        <f>+'Estimate Details'!#REF!</f>
        <v>#REF!</v>
      </c>
      <c r="B180" s="116"/>
      <c r="C180" s="116"/>
      <c r="D180" s="248"/>
      <c r="E180" s="158" t="e">
        <f>+'Estimate Details'!#REF!</f>
        <v>#REF!</v>
      </c>
      <c r="F180" s="41"/>
      <c r="G180" s="117" t="e">
        <f>+'Estimate Details'!#REF!</f>
        <v>#REF!</v>
      </c>
      <c r="H180" s="223" t="e">
        <f>+'Estimate Details'!#REF!</f>
        <v>#REF!</v>
      </c>
      <c r="I180" s="108" t="e">
        <f>+'Estimate Details'!#REF!</f>
        <v>#REF!</v>
      </c>
      <c r="J180" s="42" t="e">
        <f>+'Estimate Details'!#REF!</f>
        <v>#REF!</v>
      </c>
      <c r="K180" s="42" t="e">
        <f>+'Estimate Details'!#REF!</f>
        <v>#REF!</v>
      </c>
      <c r="L180" s="42" t="e">
        <f>+'Estimate Details'!#REF!</f>
        <v>#REF!</v>
      </c>
      <c r="M180" s="177" t="e">
        <f>+'Estimate Details'!#REF!</f>
        <v>#REF!</v>
      </c>
      <c r="N180" s="170" t="e">
        <f>+'Estimate Details'!#REF!</f>
        <v>#REF!</v>
      </c>
      <c r="O180" s="171" t="e">
        <f>+'Estimate Details'!#REF!</f>
        <v>#REF!</v>
      </c>
      <c r="P180" s="172" t="e">
        <f>+'Estimate Details'!#REF!</f>
        <v>#REF!</v>
      </c>
      <c r="Q180" s="173" t="e">
        <f>+'Estimate Details'!#REF!</f>
        <v>#REF!</v>
      </c>
      <c r="R180" s="174" t="e">
        <f>+'Estimate Details'!#REF!</f>
        <v>#REF!</v>
      </c>
      <c r="S180" s="507"/>
      <c r="T180" s="174" t="e">
        <f>+'Estimate Details'!#REF!</f>
        <v>#REF!</v>
      </c>
      <c r="U180" s="486" t="s">
        <v>1309</v>
      </c>
      <c r="V180" s="172" t="e">
        <f>+'Estimate Details'!#REF!</f>
        <v>#REF!</v>
      </c>
      <c r="W180" s="481" t="s">
        <v>1309</v>
      </c>
      <c r="X180" s="172" t="e">
        <f>+'Estimate Details'!#REF!</f>
        <v>#REF!</v>
      </c>
      <c r="Y180" s="172" t="e">
        <f>+'Estimate Details'!#REF!</f>
        <v>#REF!</v>
      </c>
      <c r="Z180" s="174" t="e">
        <f>+'Estimate Details'!#REF!</f>
        <v>#REF!</v>
      </c>
      <c r="AA180" s="481"/>
      <c r="AB180" s="175" t="e">
        <f>+'Estimate Details'!#REF!</f>
        <v>#REF!</v>
      </c>
      <c r="AC180" s="569"/>
      <c r="AD180" s="176" t="e">
        <f>+'Estimate Details'!#REF!</f>
        <v>#REF!</v>
      </c>
      <c r="AE180" s="156"/>
      <c r="AF180" s="215"/>
      <c r="AG180" s="156"/>
      <c r="AH180" s="156"/>
      <c r="AI180" s="29"/>
      <c r="AJ180" s="29"/>
      <c r="AK180" s="29"/>
      <c r="AL180" s="29"/>
    </row>
    <row r="181" spans="1:38" ht="14.1" customHeight="1">
      <c r="A181" s="116" t="e">
        <f>+'Estimate Details'!#REF!</f>
        <v>#REF!</v>
      </c>
      <c r="B181" s="116"/>
      <c r="C181" s="116"/>
      <c r="D181" s="248"/>
      <c r="E181" s="158" t="e">
        <f>+'Estimate Details'!#REF!</f>
        <v>#REF!</v>
      </c>
      <c r="F181" s="41"/>
      <c r="G181" s="205" t="e">
        <f>+'Estimate Details'!#REF!</f>
        <v>#REF!</v>
      </c>
      <c r="H181" s="206" t="e">
        <f>+'Estimate Details'!#REF!</f>
        <v>#REF!</v>
      </c>
      <c r="I181" s="108" t="e">
        <f>+'Estimate Details'!#REF!</f>
        <v>#REF!</v>
      </c>
      <c r="J181" s="224" t="e">
        <f>+'Estimate Details'!#REF!</f>
        <v>#REF!</v>
      </c>
      <c r="K181" s="42" t="e">
        <f>+'Estimate Details'!#REF!</f>
        <v>#REF!</v>
      </c>
      <c r="L181" s="42" t="e">
        <f>+'Estimate Details'!#REF!</f>
        <v>#REF!</v>
      </c>
      <c r="M181" s="177" t="e">
        <f>+'Estimate Details'!#REF!</f>
        <v>#REF!</v>
      </c>
      <c r="N181" s="170" t="e">
        <f>+'Estimate Details'!#REF!</f>
        <v>#REF!</v>
      </c>
      <c r="O181" s="171" t="e">
        <f>+'Estimate Details'!#REF!</f>
        <v>#REF!</v>
      </c>
      <c r="P181" s="172" t="e">
        <f>+'Estimate Details'!#REF!</f>
        <v>#REF!</v>
      </c>
      <c r="Q181" s="173" t="e">
        <f>+'Estimate Details'!#REF!</f>
        <v>#REF!</v>
      </c>
      <c r="R181" s="174" t="e">
        <f>+'Estimate Details'!#REF!</f>
        <v>#REF!</v>
      </c>
      <c r="S181" s="507"/>
      <c r="T181" s="174" t="e">
        <f>+'Estimate Details'!#REF!</f>
        <v>#REF!</v>
      </c>
      <c r="U181" s="486" t="s">
        <v>1309</v>
      </c>
      <c r="V181" s="172" t="e">
        <f>+'Estimate Details'!#REF!</f>
        <v>#REF!</v>
      </c>
      <c r="W181" s="481" t="s">
        <v>1309</v>
      </c>
      <c r="X181" s="172" t="e">
        <f>+'Estimate Details'!#REF!</f>
        <v>#REF!</v>
      </c>
      <c r="Y181" s="172" t="e">
        <f>+'Estimate Details'!#REF!</f>
        <v>#REF!</v>
      </c>
      <c r="Z181" s="174" t="e">
        <f>+'Estimate Details'!#REF!</f>
        <v>#REF!</v>
      </c>
      <c r="AA181" s="481"/>
      <c r="AB181" s="175" t="e">
        <f>+'Estimate Details'!#REF!</f>
        <v>#REF!</v>
      </c>
      <c r="AC181" s="569"/>
      <c r="AD181" s="176" t="e">
        <f>+'Estimate Details'!#REF!</f>
        <v>#REF!</v>
      </c>
      <c r="AE181" s="156"/>
      <c r="AF181" s="215"/>
      <c r="AG181" s="156"/>
      <c r="AH181" s="156"/>
      <c r="AI181" s="29"/>
      <c r="AJ181" s="29"/>
      <c r="AK181" s="29"/>
      <c r="AL181" s="29"/>
    </row>
    <row r="182" spans="1:38" ht="14.1" customHeight="1">
      <c r="A182" s="116" t="e">
        <f>+'Estimate Details'!#REF!</f>
        <v>#REF!</v>
      </c>
      <c r="B182" s="116"/>
      <c r="C182" s="116"/>
      <c r="D182" s="248"/>
      <c r="E182" s="158" t="e">
        <f>+'Estimate Details'!#REF!</f>
        <v>#REF!</v>
      </c>
      <c r="F182" s="41"/>
      <c r="G182" s="117" t="e">
        <f>+'Estimate Details'!#REF!</f>
        <v>#REF!</v>
      </c>
      <c r="H182" s="41" t="e">
        <f>+'Estimate Details'!#REF!</f>
        <v>#REF!</v>
      </c>
      <c r="I182" s="217" t="e">
        <f>+'Estimate Details'!#REF!</f>
        <v>#REF!</v>
      </c>
      <c r="J182" s="42" t="e">
        <f>+'Estimate Details'!#REF!</f>
        <v>#REF!</v>
      </c>
      <c r="K182" s="42" t="e">
        <f>+'Estimate Details'!#REF!</f>
        <v>#REF!</v>
      </c>
      <c r="L182" s="42" t="e">
        <f>+'Estimate Details'!#REF!</f>
        <v>#REF!</v>
      </c>
      <c r="M182" s="177" t="e">
        <f>+'Estimate Details'!#REF!</f>
        <v>#REF!</v>
      </c>
      <c r="N182" s="170" t="e">
        <f>+'Estimate Details'!#REF!</f>
        <v>#REF!</v>
      </c>
      <c r="O182" s="171" t="e">
        <f>+'Estimate Details'!#REF!</f>
        <v>#REF!</v>
      </c>
      <c r="P182" s="172" t="e">
        <f>+'Estimate Details'!#REF!</f>
        <v>#REF!</v>
      </c>
      <c r="Q182" s="173" t="e">
        <f>+'Estimate Details'!#REF!</f>
        <v>#REF!</v>
      </c>
      <c r="R182" s="174" t="e">
        <f>+'Estimate Details'!#REF!</f>
        <v>#REF!</v>
      </c>
      <c r="S182" s="507"/>
      <c r="T182" s="174" t="e">
        <f>+'Estimate Details'!#REF!</f>
        <v>#REF!</v>
      </c>
      <c r="U182" s="481"/>
      <c r="V182" s="172" t="e">
        <f>+'Estimate Details'!#REF!</f>
        <v>#REF!</v>
      </c>
      <c r="W182" s="481"/>
      <c r="X182" s="172" t="e">
        <f>+'Estimate Details'!#REF!</f>
        <v>#REF!</v>
      </c>
      <c r="Y182" s="172" t="e">
        <f>+'Estimate Details'!#REF!</f>
        <v>#REF!</v>
      </c>
      <c r="Z182" s="174" t="e">
        <f>+'Estimate Details'!#REF!</f>
        <v>#REF!</v>
      </c>
      <c r="AA182" s="481" t="s">
        <v>1302</v>
      </c>
      <c r="AB182" s="175" t="e">
        <f>+'Estimate Details'!#REF!</f>
        <v>#REF!</v>
      </c>
      <c r="AC182" s="569"/>
      <c r="AD182" s="176" t="e">
        <f>+'Estimate Details'!#REF!</f>
        <v>#REF!</v>
      </c>
      <c r="AE182" s="156"/>
      <c r="AF182" s="215"/>
      <c r="AG182" s="156"/>
      <c r="AH182" s="156"/>
      <c r="AI182" s="29"/>
      <c r="AJ182" s="29"/>
      <c r="AK182" s="29"/>
      <c r="AL182" s="29"/>
    </row>
    <row r="183" spans="1:38" ht="14.1" customHeight="1">
      <c r="A183" s="116" t="e">
        <f>+'Estimate Details'!#REF!</f>
        <v>#REF!</v>
      </c>
      <c r="B183" s="116"/>
      <c r="C183" s="116"/>
      <c r="D183" s="248"/>
      <c r="E183" s="158" t="e">
        <f>+'Estimate Details'!#REF!</f>
        <v>#REF!</v>
      </c>
      <c r="F183" s="41"/>
      <c r="G183" s="117" t="e">
        <f>+'Estimate Details'!#REF!</f>
        <v>#REF!</v>
      </c>
      <c r="H183" s="223" t="e">
        <f>+'Estimate Details'!#REF!</f>
        <v>#REF!</v>
      </c>
      <c r="I183" s="108" t="e">
        <f>+'Estimate Details'!#REF!</f>
        <v>#REF!</v>
      </c>
      <c r="J183" s="42" t="e">
        <f>+'Estimate Details'!#REF!</f>
        <v>#REF!</v>
      </c>
      <c r="K183" s="42" t="e">
        <f>+'Estimate Details'!#REF!</f>
        <v>#REF!</v>
      </c>
      <c r="L183" s="42" t="e">
        <f>+'Estimate Details'!#REF!</f>
        <v>#REF!</v>
      </c>
      <c r="M183" s="177" t="e">
        <f>+'Estimate Details'!#REF!</f>
        <v>#REF!</v>
      </c>
      <c r="N183" s="170" t="e">
        <f>+'Estimate Details'!#REF!</f>
        <v>#REF!</v>
      </c>
      <c r="O183" s="171" t="e">
        <f>+'Estimate Details'!#REF!</f>
        <v>#REF!</v>
      </c>
      <c r="P183" s="172" t="e">
        <f>+'Estimate Details'!#REF!</f>
        <v>#REF!</v>
      </c>
      <c r="Q183" s="173" t="e">
        <f>+'Estimate Details'!#REF!</f>
        <v>#REF!</v>
      </c>
      <c r="R183" s="174" t="e">
        <f>+'Estimate Details'!#REF!</f>
        <v>#REF!</v>
      </c>
      <c r="S183" s="507"/>
      <c r="T183" s="174" t="e">
        <f>+'Estimate Details'!#REF!</f>
        <v>#REF!</v>
      </c>
      <c r="U183" s="486" t="s">
        <v>1309</v>
      </c>
      <c r="V183" s="172" t="e">
        <f>+'Estimate Details'!#REF!</f>
        <v>#REF!</v>
      </c>
      <c r="W183" s="481" t="s">
        <v>1309</v>
      </c>
      <c r="X183" s="172" t="e">
        <f>+'Estimate Details'!#REF!</f>
        <v>#REF!</v>
      </c>
      <c r="Y183" s="172" t="e">
        <f>+'Estimate Details'!#REF!</f>
        <v>#REF!</v>
      </c>
      <c r="Z183" s="174" t="e">
        <f>+'Estimate Details'!#REF!</f>
        <v>#REF!</v>
      </c>
      <c r="AA183" s="481"/>
      <c r="AB183" s="175" t="e">
        <f>+'Estimate Details'!#REF!</f>
        <v>#REF!</v>
      </c>
      <c r="AC183" s="569"/>
      <c r="AD183" s="176" t="e">
        <f>+'Estimate Details'!#REF!</f>
        <v>#REF!</v>
      </c>
      <c r="AE183" s="156"/>
      <c r="AF183" s="215"/>
      <c r="AG183" s="156"/>
      <c r="AH183" s="156"/>
      <c r="AI183" s="29"/>
      <c r="AJ183" s="29"/>
      <c r="AK183" s="29"/>
      <c r="AL183" s="29"/>
    </row>
    <row r="184" spans="1:38" ht="14.1" customHeight="1">
      <c r="A184" s="116" t="e">
        <f>+'Estimate Details'!#REF!</f>
        <v>#REF!</v>
      </c>
      <c r="B184" s="116"/>
      <c r="C184" s="116"/>
      <c r="D184" s="248"/>
      <c r="E184" s="158" t="e">
        <f>+'Estimate Details'!#REF!</f>
        <v>#REF!</v>
      </c>
      <c r="F184" s="41"/>
      <c r="G184" s="117" t="e">
        <f>+'Estimate Details'!#REF!</f>
        <v>#REF!</v>
      </c>
      <c r="H184" s="41" t="e">
        <f>+'Estimate Details'!#REF!</f>
        <v>#REF!</v>
      </c>
      <c r="I184" s="108" t="e">
        <f>+'Estimate Details'!#REF!</f>
        <v>#REF!</v>
      </c>
      <c r="J184" s="192" t="e">
        <f>+'Estimate Details'!#REF!</f>
        <v>#REF!</v>
      </c>
      <c r="K184" s="42" t="e">
        <f>+'Estimate Details'!#REF!</f>
        <v>#REF!</v>
      </c>
      <c r="L184" s="42" t="e">
        <f>+'Estimate Details'!#REF!</f>
        <v>#REF!</v>
      </c>
      <c r="M184" s="177" t="e">
        <f>+'Estimate Details'!#REF!</f>
        <v>#REF!</v>
      </c>
      <c r="N184" s="170" t="e">
        <f>+'Estimate Details'!#REF!</f>
        <v>#REF!</v>
      </c>
      <c r="O184" s="171" t="e">
        <f>+'Estimate Details'!#REF!</f>
        <v>#REF!</v>
      </c>
      <c r="P184" s="172" t="e">
        <f>+'Estimate Details'!#REF!</f>
        <v>#REF!</v>
      </c>
      <c r="Q184" s="173" t="e">
        <f>+'Estimate Details'!#REF!</f>
        <v>#REF!</v>
      </c>
      <c r="R184" s="174" t="e">
        <f>+'Estimate Details'!#REF!</f>
        <v>#REF!</v>
      </c>
      <c r="S184" s="507"/>
      <c r="T184" s="174" t="e">
        <f>+'Estimate Details'!#REF!</f>
        <v>#REF!</v>
      </c>
      <c r="U184" s="486" t="s">
        <v>1309</v>
      </c>
      <c r="V184" s="172" t="e">
        <f>+'Estimate Details'!#REF!</f>
        <v>#REF!</v>
      </c>
      <c r="W184" s="481" t="s">
        <v>1309</v>
      </c>
      <c r="X184" s="172" t="e">
        <f>+'Estimate Details'!#REF!</f>
        <v>#REF!</v>
      </c>
      <c r="Y184" s="172" t="e">
        <f>+'Estimate Details'!#REF!</f>
        <v>#REF!</v>
      </c>
      <c r="Z184" s="174" t="e">
        <f>+'Estimate Details'!#REF!</f>
        <v>#REF!</v>
      </c>
      <c r="AA184" s="481"/>
      <c r="AB184" s="175" t="e">
        <f>+'Estimate Details'!#REF!</f>
        <v>#REF!</v>
      </c>
      <c r="AC184" s="569"/>
      <c r="AD184" s="176" t="e">
        <f>+'Estimate Details'!#REF!</f>
        <v>#REF!</v>
      </c>
      <c r="AE184" s="156"/>
      <c r="AF184" s="215"/>
      <c r="AG184" s="156"/>
      <c r="AH184" s="156"/>
      <c r="AI184" s="29"/>
      <c r="AJ184" s="29"/>
      <c r="AK184" s="29"/>
      <c r="AL184" s="29"/>
    </row>
    <row r="185" spans="1:38" ht="14.1" customHeight="1">
      <c r="A185" s="116" t="e">
        <f>+'Estimate Details'!#REF!</f>
        <v>#REF!</v>
      </c>
      <c r="B185" s="116"/>
      <c r="C185" s="116"/>
      <c r="D185" s="248"/>
      <c r="E185" s="158" t="e">
        <f>+'Estimate Details'!#REF!</f>
        <v>#REF!</v>
      </c>
      <c r="F185" s="41"/>
      <c r="G185" s="117" t="e">
        <f>+'Estimate Details'!#REF!</f>
        <v>#REF!</v>
      </c>
      <c r="H185" s="206" t="e">
        <f>+'Estimate Details'!#REF!</f>
        <v>#REF!</v>
      </c>
      <c r="I185" s="108" t="e">
        <f>+'Estimate Details'!#REF!</f>
        <v>#REF!</v>
      </c>
      <c r="J185" s="42" t="e">
        <f>+'Estimate Details'!#REF!</f>
        <v>#REF!</v>
      </c>
      <c r="K185" s="42" t="e">
        <f>+'Estimate Details'!#REF!</f>
        <v>#REF!</v>
      </c>
      <c r="L185" s="42" t="e">
        <f>+'Estimate Details'!#REF!</f>
        <v>#REF!</v>
      </c>
      <c r="M185" s="177" t="e">
        <f>+'Estimate Details'!#REF!</f>
        <v>#REF!</v>
      </c>
      <c r="N185" s="170" t="e">
        <f>+'Estimate Details'!#REF!</f>
        <v>#REF!</v>
      </c>
      <c r="O185" s="171" t="e">
        <f>+'Estimate Details'!#REF!</f>
        <v>#REF!</v>
      </c>
      <c r="P185" s="172" t="e">
        <f>+'Estimate Details'!#REF!</f>
        <v>#REF!</v>
      </c>
      <c r="Q185" s="173" t="e">
        <f>+'Estimate Details'!#REF!</f>
        <v>#REF!</v>
      </c>
      <c r="R185" s="174" t="e">
        <f>+'Estimate Details'!#REF!</f>
        <v>#REF!</v>
      </c>
      <c r="S185" s="507"/>
      <c r="T185" s="174" t="e">
        <f>+'Estimate Details'!#REF!</f>
        <v>#REF!</v>
      </c>
      <c r="U185" s="486" t="s">
        <v>1309</v>
      </c>
      <c r="V185" s="172" t="e">
        <f>+'Estimate Details'!#REF!</f>
        <v>#REF!</v>
      </c>
      <c r="W185" s="481" t="s">
        <v>1309</v>
      </c>
      <c r="X185" s="172" t="e">
        <f>+'Estimate Details'!#REF!</f>
        <v>#REF!</v>
      </c>
      <c r="Y185" s="172" t="e">
        <f>+'Estimate Details'!#REF!</f>
        <v>#REF!</v>
      </c>
      <c r="Z185" s="174" t="e">
        <f>+'Estimate Details'!#REF!</f>
        <v>#REF!</v>
      </c>
      <c r="AA185" s="481"/>
      <c r="AB185" s="175" t="e">
        <f>+'Estimate Details'!#REF!</f>
        <v>#REF!</v>
      </c>
      <c r="AC185" s="569"/>
      <c r="AD185" s="176" t="e">
        <f>+'Estimate Details'!#REF!</f>
        <v>#REF!</v>
      </c>
      <c r="AE185" s="156"/>
      <c r="AF185" s="215"/>
      <c r="AG185" s="156"/>
      <c r="AH185" s="156"/>
      <c r="AI185" s="29"/>
      <c r="AJ185" s="29"/>
      <c r="AK185" s="29"/>
      <c r="AL185" s="29"/>
    </row>
    <row r="186" spans="1:38" ht="13.5" customHeight="1">
      <c r="A186" s="116" t="e">
        <f>+'Estimate Details'!#REF!</f>
        <v>#REF!</v>
      </c>
      <c r="B186" s="116"/>
      <c r="C186" s="116"/>
      <c r="D186" s="248"/>
      <c r="E186" s="158" t="e">
        <f>+'Estimate Details'!#REF!</f>
        <v>#REF!</v>
      </c>
      <c r="F186" s="41"/>
      <c r="G186" s="117" t="e">
        <f>+'Estimate Details'!#REF!</f>
        <v>#REF!</v>
      </c>
      <c r="H186" s="41" t="e">
        <f>+'Estimate Details'!#REF!</f>
        <v>#REF!</v>
      </c>
      <c r="I186" s="108" t="e">
        <f>+'Estimate Details'!#REF!</f>
        <v>#REF!</v>
      </c>
      <c r="J186" s="192" t="e">
        <f>+'Estimate Details'!#REF!</f>
        <v>#REF!</v>
      </c>
      <c r="K186" s="42" t="e">
        <f>+'Estimate Details'!#REF!</f>
        <v>#REF!</v>
      </c>
      <c r="L186" s="42" t="e">
        <f>+'Estimate Details'!#REF!</f>
        <v>#REF!</v>
      </c>
      <c r="M186" s="177" t="e">
        <f>+'Estimate Details'!#REF!</f>
        <v>#REF!</v>
      </c>
      <c r="N186" s="170" t="e">
        <f>+'Estimate Details'!#REF!</f>
        <v>#REF!</v>
      </c>
      <c r="O186" s="171" t="e">
        <f>+'Estimate Details'!#REF!</f>
        <v>#REF!</v>
      </c>
      <c r="P186" s="172" t="e">
        <f>+'Estimate Details'!#REF!</f>
        <v>#REF!</v>
      </c>
      <c r="Q186" s="173" t="e">
        <f>+'Estimate Details'!#REF!</f>
        <v>#REF!</v>
      </c>
      <c r="R186" s="174" t="e">
        <f>+'Estimate Details'!#REF!</f>
        <v>#REF!</v>
      </c>
      <c r="S186" s="507"/>
      <c r="T186" s="174" t="e">
        <f>+'Estimate Details'!#REF!</f>
        <v>#REF!</v>
      </c>
      <c r="U186" s="486" t="s">
        <v>1309</v>
      </c>
      <c r="V186" s="172" t="e">
        <f>+'Estimate Details'!#REF!</f>
        <v>#REF!</v>
      </c>
      <c r="W186" s="481" t="s">
        <v>1310</v>
      </c>
      <c r="X186" s="172" t="e">
        <f>+'Estimate Details'!#REF!</f>
        <v>#REF!</v>
      </c>
      <c r="Y186" s="172" t="e">
        <f>+'Estimate Details'!#REF!</f>
        <v>#REF!</v>
      </c>
      <c r="Z186" s="174" t="e">
        <f>+'Estimate Details'!#REF!</f>
        <v>#REF!</v>
      </c>
      <c r="AA186" s="481"/>
      <c r="AB186" s="175" t="e">
        <f>+'Estimate Details'!#REF!</f>
        <v>#REF!</v>
      </c>
      <c r="AC186" s="569"/>
      <c r="AD186" s="176" t="e">
        <f>+'Estimate Details'!#REF!</f>
        <v>#REF!</v>
      </c>
      <c r="AE186" s="156"/>
      <c r="AF186" s="215"/>
      <c r="AG186" s="156"/>
      <c r="AH186" s="156"/>
      <c r="AI186" s="29"/>
      <c r="AJ186" s="29"/>
      <c r="AK186" s="29"/>
      <c r="AL186" s="29"/>
    </row>
    <row r="187" spans="1:38" ht="14.1" customHeight="1">
      <c r="A187" s="116" t="e">
        <f>+'Estimate Details'!#REF!</f>
        <v>#REF!</v>
      </c>
      <c r="B187" s="116"/>
      <c r="C187" s="116"/>
      <c r="D187" s="248"/>
      <c r="E187" s="158" t="e">
        <f>+'Estimate Details'!#REF!</f>
        <v>#REF!</v>
      </c>
      <c r="F187" s="41"/>
      <c r="G187" s="117" t="e">
        <f>+'Estimate Details'!#REF!</f>
        <v>#REF!</v>
      </c>
      <c r="H187" s="206" t="e">
        <f>+'Estimate Details'!#REF!</f>
        <v>#REF!</v>
      </c>
      <c r="I187" s="108" t="e">
        <f>+'Estimate Details'!#REF!</f>
        <v>#REF!</v>
      </c>
      <c r="J187" s="42" t="e">
        <f>+'Estimate Details'!#REF!</f>
        <v>#REF!</v>
      </c>
      <c r="K187" s="42" t="e">
        <f>+'Estimate Details'!#REF!</f>
        <v>#REF!</v>
      </c>
      <c r="L187" s="42" t="e">
        <f>+'Estimate Details'!#REF!</f>
        <v>#REF!</v>
      </c>
      <c r="M187" s="177" t="e">
        <f>+'Estimate Details'!#REF!</f>
        <v>#REF!</v>
      </c>
      <c r="N187" s="170" t="e">
        <f>+'Estimate Details'!#REF!</f>
        <v>#REF!</v>
      </c>
      <c r="O187" s="171" t="e">
        <f>+'Estimate Details'!#REF!</f>
        <v>#REF!</v>
      </c>
      <c r="P187" s="172" t="e">
        <f>+'Estimate Details'!#REF!</f>
        <v>#REF!</v>
      </c>
      <c r="Q187" s="173" t="e">
        <f>+'Estimate Details'!#REF!</f>
        <v>#REF!</v>
      </c>
      <c r="R187" s="174" t="e">
        <f>+'Estimate Details'!#REF!</f>
        <v>#REF!</v>
      </c>
      <c r="S187" s="507"/>
      <c r="T187" s="174" t="e">
        <f>+'Estimate Details'!#REF!</f>
        <v>#REF!</v>
      </c>
      <c r="U187" s="481" t="s">
        <v>1310</v>
      </c>
      <c r="V187" s="172" t="e">
        <f>+'Estimate Details'!#REF!</f>
        <v>#REF!</v>
      </c>
      <c r="W187" s="481" t="s">
        <v>1309</v>
      </c>
      <c r="X187" s="172" t="e">
        <f>+'Estimate Details'!#REF!</f>
        <v>#REF!</v>
      </c>
      <c r="Y187" s="172" t="e">
        <f>+'Estimate Details'!#REF!</f>
        <v>#REF!</v>
      </c>
      <c r="Z187" s="174" t="e">
        <f>+'Estimate Details'!#REF!</f>
        <v>#REF!</v>
      </c>
      <c r="AA187" s="481"/>
      <c r="AB187" s="175" t="e">
        <f>+'Estimate Details'!#REF!</f>
        <v>#REF!</v>
      </c>
      <c r="AC187" s="569"/>
      <c r="AD187" s="176" t="e">
        <f>+'Estimate Details'!#REF!</f>
        <v>#REF!</v>
      </c>
      <c r="AE187" s="156"/>
      <c r="AF187" s="215"/>
      <c r="AG187" s="156"/>
      <c r="AH187" s="156"/>
      <c r="AI187" s="29"/>
      <c r="AJ187" s="29"/>
      <c r="AK187" s="29"/>
      <c r="AL187" s="29"/>
    </row>
    <row r="188" spans="1:38" ht="14.1" customHeight="1">
      <c r="A188" s="116" t="e">
        <f>+'Estimate Details'!#REF!</f>
        <v>#REF!</v>
      </c>
      <c r="B188" s="116"/>
      <c r="C188" s="116"/>
      <c r="D188" s="248"/>
      <c r="E188" s="158" t="e">
        <f>+'Estimate Details'!#REF!</f>
        <v>#REF!</v>
      </c>
      <c r="F188" s="41"/>
      <c r="G188" s="117" t="e">
        <f>+'Estimate Details'!#REF!</f>
        <v>#REF!</v>
      </c>
      <c r="H188" s="223" t="e">
        <f>+'Estimate Details'!#REF!</f>
        <v>#REF!</v>
      </c>
      <c r="I188" s="108" t="e">
        <f>+'Estimate Details'!#REF!</f>
        <v>#REF!</v>
      </c>
      <c r="J188" s="42" t="e">
        <f>+'Estimate Details'!#REF!</f>
        <v>#REF!</v>
      </c>
      <c r="K188" s="42" t="e">
        <f>+'Estimate Details'!#REF!</f>
        <v>#REF!</v>
      </c>
      <c r="L188" s="42" t="e">
        <f>+'Estimate Details'!#REF!</f>
        <v>#REF!</v>
      </c>
      <c r="M188" s="177" t="e">
        <f>+'Estimate Details'!#REF!</f>
        <v>#REF!</v>
      </c>
      <c r="N188" s="170" t="e">
        <f>+'Estimate Details'!#REF!</f>
        <v>#REF!</v>
      </c>
      <c r="O188" s="171" t="e">
        <f>+'Estimate Details'!#REF!</f>
        <v>#REF!</v>
      </c>
      <c r="P188" s="172" t="e">
        <f>+'Estimate Details'!#REF!</f>
        <v>#REF!</v>
      </c>
      <c r="Q188" s="173" t="e">
        <f>+'Estimate Details'!#REF!</f>
        <v>#REF!</v>
      </c>
      <c r="R188" s="174" t="e">
        <f>+'Estimate Details'!#REF!</f>
        <v>#REF!</v>
      </c>
      <c r="S188" s="507"/>
      <c r="T188" s="174" t="e">
        <f>+'Estimate Details'!#REF!</f>
        <v>#REF!</v>
      </c>
      <c r="U188" s="486" t="s">
        <v>1309</v>
      </c>
      <c r="V188" s="172" t="e">
        <f>+'Estimate Details'!#REF!</f>
        <v>#REF!</v>
      </c>
      <c r="W188" s="481" t="s">
        <v>1309</v>
      </c>
      <c r="X188" s="172" t="e">
        <f>+'Estimate Details'!#REF!</f>
        <v>#REF!</v>
      </c>
      <c r="Y188" s="172" t="e">
        <f>+'Estimate Details'!#REF!</f>
        <v>#REF!</v>
      </c>
      <c r="Z188" s="174" t="e">
        <f>+'Estimate Details'!#REF!</f>
        <v>#REF!</v>
      </c>
      <c r="AA188" s="481"/>
      <c r="AB188" s="175" t="e">
        <f>+'Estimate Details'!#REF!</f>
        <v>#REF!</v>
      </c>
      <c r="AC188" s="569"/>
      <c r="AD188" s="176" t="e">
        <f>+'Estimate Details'!#REF!</f>
        <v>#REF!</v>
      </c>
      <c r="AE188" s="156"/>
      <c r="AF188" s="215"/>
      <c r="AG188" s="156"/>
      <c r="AH188" s="156"/>
      <c r="AI188" s="29"/>
      <c r="AJ188" s="29"/>
      <c r="AK188" s="29"/>
      <c r="AL188" s="29"/>
    </row>
    <row r="189" spans="1:38" ht="14.1" customHeight="1">
      <c r="A189" s="116" t="e">
        <f>+'Estimate Details'!#REF!</f>
        <v>#REF!</v>
      </c>
      <c r="B189" s="116"/>
      <c r="C189" s="116"/>
      <c r="D189" s="248"/>
      <c r="E189" s="158" t="e">
        <f>+'Estimate Details'!#REF!</f>
        <v>#REF!</v>
      </c>
      <c r="F189" s="41"/>
      <c r="G189" s="117" t="e">
        <f>+'Estimate Details'!#REF!</f>
        <v>#REF!</v>
      </c>
      <c r="H189" s="223" t="e">
        <f>+'Estimate Details'!#REF!</f>
        <v>#REF!</v>
      </c>
      <c r="I189" s="108" t="e">
        <f>+'Estimate Details'!#REF!</f>
        <v>#REF!</v>
      </c>
      <c r="J189" s="42" t="e">
        <f>+'Estimate Details'!#REF!</f>
        <v>#REF!</v>
      </c>
      <c r="K189" s="42" t="e">
        <f>+'Estimate Details'!#REF!</f>
        <v>#REF!</v>
      </c>
      <c r="L189" s="42" t="e">
        <f>+'Estimate Details'!#REF!</f>
        <v>#REF!</v>
      </c>
      <c r="M189" s="177" t="e">
        <f>+'Estimate Details'!#REF!</f>
        <v>#REF!</v>
      </c>
      <c r="N189" s="170" t="e">
        <f>+'Estimate Details'!#REF!</f>
        <v>#REF!</v>
      </c>
      <c r="O189" s="171" t="e">
        <f>+'Estimate Details'!#REF!</f>
        <v>#REF!</v>
      </c>
      <c r="P189" s="172" t="e">
        <f>+'Estimate Details'!#REF!</f>
        <v>#REF!</v>
      </c>
      <c r="Q189" s="173" t="e">
        <f>+'Estimate Details'!#REF!</f>
        <v>#REF!</v>
      </c>
      <c r="R189" s="174" t="e">
        <f>+'Estimate Details'!#REF!</f>
        <v>#REF!</v>
      </c>
      <c r="S189" s="507"/>
      <c r="T189" s="174" t="e">
        <f>+'Estimate Details'!#REF!</f>
        <v>#REF!</v>
      </c>
      <c r="U189" s="486" t="s">
        <v>1309</v>
      </c>
      <c r="V189" s="172" t="e">
        <f>+'Estimate Details'!#REF!</f>
        <v>#REF!</v>
      </c>
      <c r="W189" s="481" t="s">
        <v>1309</v>
      </c>
      <c r="X189" s="172" t="e">
        <f>+'Estimate Details'!#REF!</f>
        <v>#REF!</v>
      </c>
      <c r="Y189" s="172" t="e">
        <f>+'Estimate Details'!#REF!</f>
        <v>#REF!</v>
      </c>
      <c r="Z189" s="174" t="e">
        <f>+'Estimate Details'!#REF!</f>
        <v>#REF!</v>
      </c>
      <c r="AA189" s="481"/>
      <c r="AB189" s="175" t="e">
        <f>+'Estimate Details'!#REF!</f>
        <v>#REF!</v>
      </c>
      <c r="AC189" s="569"/>
      <c r="AD189" s="176" t="e">
        <f>+'Estimate Details'!#REF!</f>
        <v>#REF!</v>
      </c>
      <c r="AE189" s="156"/>
      <c r="AF189" s="215"/>
      <c r="AG189" s="156"/>
      <c r="AH189" s="156"/>
      <c r="AI189" s="29"/>
      <c r="AJ189" s="29"/>
      <c r="AK189" s="29"/>
      <c r="AL189" s="29"/>
    </row>
    <row r="190" spans="1:38" ht="14.1" customHeight="1">
      <c r="A190" s="116" t="e">
        <f>+'Estimate Details'!#REF!</f>
        <v>#REF!</v>
      </c>
      <c r="B190" s="116"/>
      <c r="C190" s="116"/>
      <c r="D190" s="248"/>
      <c r="E190" s="158" t="e">
        <f>+'Estimate Details'!#REF!</f>
        <v>#REF!</v>
      </c>
      <c r="F190" s="41"/>
      <c r="G190" s="117" t="e">
        <f>+'Estimate Details'!#REF!</f>
        <v>#REF!</v>
      </c>
      <c r="H190" s="223" t="e">
        <f>+'Estimate Details'!#REF!</f>
        <v>#REF!</v>
      </c>
      <c r="I190" s="108" t="e">
        <f>+'Estimate Details'!#REF!</f>
        <v>#REF!</v>
      </c>
      <c r="J190" s="42" t="e">
        <f>+'Estimate Details'!#REF!</f>
        <v>#REF!</v>
      </c>
      <c r="K190" s="42" t="e">
        <f>+'Estimate Details'!#REF!</f>
        <v>#REF!</v>
      </c>
      <c r="L190" s="42" t="e">
        <f>+'Estimate Details'!#REF!</f>
        <v>#REF!</v>
      </c>
      <c r="M190" s="177" t="e">
        <f>+'Estimate Details'!#REF!</f>
        <v>#REF!</v>
      </c>
      <c r="N190" s="170" t="e">
        <f>+'Estimate Details'!#REF!</f>
        <v>#REF!</v>
      </c>
      <c r="O190" s="171" t="e">
        <f>+'Estimate Details'!#REF!</f>
        <v>#REF!</v>
      </c>
      <c r="P190" s="172" t="e">
        <f>+'Estimate Details'!#REF!</f>
        <v>#REF!</v>
      </c>
      <c r="Q190" s="173" t="e">
        <f>+'Estimate Details'!#REF!</f>
        <v>#REF!</v>
      </c>
      <c r="R190" s="174" t="e">
        <f>+'Estimate Details'!#REF!</f>
        <v>#REF!</v>
      </c>
      <c r="S190" s="507"/>
      <c r="T190" s="174" t="e">
        <f>+'Estimate Details'!#REF!</f>
        <v>#REF!</v>
      </c>
      <c r="U190" s="486" t="s">
        <v>1309</v>
      </c>
      <c r="V190" s="172" t="e">
        <f>+'Estimate Details'!#REF!</f>
        <v>#REF!</v>
      </c>
      <c r="W190" s="481" t="s">
        <v>1309</v>
      </c>
      <c r="X190" s="172" t="e">
        <f>+'Estimate Details'!#REF!</f>
        <v>#REF!</v>
      </c>
      <c r="Y190" s="172" t="e">
        <f>+'Estimate Details'!#REF!</f>
        <v>#REF!</v>
      </c>
      <c r="Z190" s="174" t="e">
        <f>+'Estimate Details'!#REF!</f>
        <v>#REF!</v>
      </c>
      <c r="AA190" s="481"/>
      <c r="AB190" s="175" t="e">
        <f>+'Estimate Details'!#REF!</f>
        <v>#REF!</v>
      </c>
      <c r="AC190" s="569"/>
      <c r="AD190" s="176" t="e">
        <f>+'Estimate Details'!#REF!</f>
        <v>#REF!</v>
      </c>
      <c r="AE190" s="156"/>
      <c r="AF190" s="215"/>
      <c r="AG190" s="156"/>
      <c r="AH190" s="156"/>
      <c r="AI190" s="29"/>
      <c r="AJ190" s="29"/>
      <c r="AK190" s="29"/>
      <c r="AL190" s="29"/>
    </row>
    <row r="191" spans="1:38" ht="14.1" customHeight="1">
      <c r="A191" s="116" t="e">
        <f>+'Estimate Details'!#REF!</f>
        <v>#REF!</v>
      </c>
      <c r="B191" s="116"/>
      <c r="C191" s="116"/>
      <c r="D191" s="248"/>
      <c r="E191" s="158" t="e">
        <f>+'Estimate Details'!#REF!</f>
        <v>#REF!</v>
      </c>
      <c r="F191" s="41"/>
      <c r="G191" s="117" t="e">
        <f>+'Estimate Details'!#REF!</f>
        <v>#REF!</v>
      </c>
      <c r="H191" s="206" t="e">
        <f>+'Estimate Details'!#REF!</f>
        <v>#REF!</v>
      </c>
      <c r="I191" s="108" t="e">
        <f>+'Estimate Details'!#REF!</f>
        <v>#REF!</v>
      </c>
      <c r="J191" s="42" t="e">
        <f>+'Estimate Details'!#REF!</f>
        <v>#REF!</v>
      </c>
      <c r="K191" s="42" t="e">
        <f>+'Estimate Details'!#REF!</f>
        <v>#REF!</v>
      </c>
      <c r="L191" s="42" t="e">
        <f>+'Estimate Details'!#REF!</f>
        <v>#REF!</v>
      </c>
      <c r="M191" s="177" t="e">
        <f>+'Estimate Details'!#REF!</f>
        <v>#REF!</v>
      </c>
      <c r="N191" s="170" t="e">
        <f>+'Estimate Details'!#REF!</f>
        <v>#REF!</v>
      </c>
      <c r="O191" s="171" t="e">
        <f>+'Estimate Details'!#REF!</f>
        <v>#REF!</v>
      </c>
      <c r="P191" s="172" t="e">
        <f>+'Estimate Details'!#REF!</f>
        <v>#REF!</v>
      </c>
      <c r="Q191" s="173" t="e">
        <f>+'Estimate Details'!#REF!</f>
        <v>#REF!</v>
      </c>
      <c r="R191" s="174" t="e">
        <f>+'Estimate Details'!#REF!</f>
        <v>#REF!</v>
      </c>
      <c r="S191" s="507"/>
      <c r="T191" s="174" t="e">
        <f>+'Estimate Details'!#REF!</f>
        <v>#REF!</v>
      </c>
      <c r="U191" s="486" t="s">
        <v>1309</v>
      </c>
      <c r="V191" s="172" t="e">
        <f>+'Estimate Details'!#REF!</f>
        <v>#REF!</v>
      </c>
      <c r="W191" s="481" t="s">
        <v>1309</v>
      </c>
      <c r="X191" s="172" t="e">
        <f>+'Estimate Details'!#REF!</f>
        <v>#REF!</v>
      </c>
      <c r="Y191" s="172" t="e">
        <f>+'Estimate Details'!#REF!</f>
        <v>#REF!</v>
      </c>
      <c r="Z191" s="174" t="e">
        <f>+'Estimate Details'!#REF!</f>
        <v>#REF!</v>
      </c>
      <c r="AA191" s="481"/>
      <c r="AB191" s="175" t="e">
        <f>+'Estimate Details'!#REF!</f>
        <v>#REF!</v>
      </c>
      <c r="AC191" s="569"/>
      <c r="AD191" s="176" t="e">
        <f>+'Estimate Details'!#REF!</f>
        <v>#REF!</v>
      </c>
      <c r="AE191" s="156"/>
      <c r="AF191" s="215"/>
      <c r="AG191" s="156"/>
      <c r="AH191" s="156"/>
      <c r="AI191" s="29"/>
      <c r="AJ191" s="29"/>
      <c r="AK191" s="29"/>
      <c r="AL191" s="29"/>
    </row>
    <row r="192" spans="1:38" ht="14.1" customHeight="1">
      <c r="A192" s="116" t="e">
        <f>+'Estimate Details'!#REF!</f>
        <v>#REF!</v>
      </c>
      <c r="B192" s="116"/>
      <c r="C192" s="116"/>
      <c r="D192" s="248"/>
      <c r="E192" s="158" t="e">
        <f>+'Estimate Details'!#REF!</f>
        <v>#REF!</v>
      </c>
      <c r="F192" s="41"/>
      <c r="G192" s="117" t="e">
        <f>+'Estimate Details'!#REF!</f>
        <v>#REF!</v>
      </c>
      <c r="H192" s="118" t="e">
        <f>+'Estimate Details'!#REF!</f>
        <v>#REF!</v>
      </c>
      <c r="I192" s="217" t="e">
        <f>+'Estimate Details'!#REF!</f>
        <v>#REF!</v>
      </c>
      <c r="J192" s="42" t="e">
        <f>+'Estimate Details'!#REF!</f>
        <v>#REF!</v>
      </c>
      <c r="K192" s="42" t="e">
        <f>+'Estimate Details'!#REF!</f>
        <v>#REF!</v>
      </c>
      <c r="L192" s="42" t="e">
        <f>+'Estimate Details'!#REF!</f>
        <v>#REF!</v>
      </c>
      <c r="M192" s="195" t="e">
        <f>+'Estimate Details'!#REF!</f>
        <v>#REF!</v>
      </c>
      <c r="N192" s="170" t="e">
        <f>+'Estimate Details'!#REF!</f>
        <v>#REF!</v>
      </c>
      <c r="O192" s="171" t="e">
        <f>+'Estimate Details'!#REF!</f>
        <v>#REF!</v>
      </c>
      <c r="P192" s="172" t="e">
        <f>+'Estimate Details'!#REF!</f>
        <v>#REF!</v>
      </c>
      <c r="Q192" s="173" t="e">
        <f>+'Estimate Details'!#REF!</f>
        <v>#REF!</v>
      </c>
      <c r="R192" s="174" t="e">
        <f>+'Estimate Details'!#REF!</f>
        <v>#REF!</v>
      </c>
      <c r="S192" s="507"/>
      <c r="T192" s="174" t="e">
        <f>+'Estimate Details'!#REF!</f>
        <v>#REF!</v>
      </c>
      <c r="U192" s="486" t="s">
        <v>1309</v>
      </c>
      <c r="V192" s="172" t="e">
        <f>+'Estimate Details'!#REF!</f>
        <v>#REF!</v>
      </c>
      <c r="W192" s="481" t="s">
        <v>1309</v>
      </c>
      <c r="X192" s="172" t="e">
        <f>+'Estimate Details'!#REF!</f>
        <v>#REF!</v>
      </c>
      <c r="Y192" s="172" t="e">
        <f>+'Estimate Details'!#REF!</f>
        <v>#REF!</v>
      </c>
      <c r="Z192" s="174" t="e">
        <f>+'Estimate Details'!#REF!</f>
        <v>#REF!</v>
      </c>
      <c r="AA192" s="481"/>
      <c r="AB192" s="175" t="e">
        <f>+'Estimate Details'!#REF!</f>
        <v>#REF!</v>
      </c>
      <c r="AC192" s="569"/>
      <c r="AD192" s="176" t="e">
        <f>+'Estimate Details'!#REF!</f>
        <v>#REF!</v>
      </c>
      <c r="AE192" s="156"/>
      <c r="AF192" s="215"/>
      <c r="AG192" s="156"/>
      <c r="AH192" s="156"/>
      <c r="AI192" s="29"/>
      <c r="AJ192" s="29"/>
      <c r="AK192" s="29"/>
      <c r="AL192" s="29"/>
    </row>
    <row r="193" spans="1:38" ht="14.1" customHeight="1">
      <c r="A193" s="116" t="e">
        <f>+'Estimate Details'!#REF!</f>
        <v>#REF!</v>
      </c>
      <c r="B193" s="116"/>
      <c r="C193" s="116"/>
      <c r="D193" s="225"/>
      <c r="E193" s="158" t="e">
        <f>+'Estimate Details'!#REF!</f>
        <v>#REF!</v>
      </c>
      <c r="F193" s="41"/>
      <c r="G193" s="117" t="e">
        <f>+'Estimate Details'!#REF!</f>
        <v>#REF!</v>
      </c>
      <c r="H193" s="214" t="e">
        <f>+'Estimate Details'!#REF!</f>
        <v>#REF!</v>
      </c>
      <c r="I193" s="108" t="e">
        <f>+'Estimate Details'!#REF!</f>
        <v>#REF!</v>
      </c>
      <c r="J193" s="42" t="e">
        <f>+'Estimate Details'!#REF!</f>
        <v>#REF!</v>
      </c>
      <c r="K193" s="42" t="e">
        <f>+'Estimate Details'!#REF!</f>
        <v>#REF!</v>
      </c>
      <c r="L193" s="42" t="e">
        <f>+'Estimate Details'!#REF!</f>
        <v>#REF!</v>
      </c>
      <c r="M193" s="177" t="e">
        <f>+'Estimate Details'!#REF!</f>
        <v>#REF!</v>
      </c>
      <c r="N193" s="170" t="e">
        <f>+'Estimate Details'!#REF!</f>
        <v>#REF!</v>
      </c>
      <c r="O193" s="171" t="e">
        <f>+'Estimate Details'!#REF!</f>
        <v>#REF!</v>
      </c>
      <c r="P193" s="172" t="e">
        <f>+'Estimate Details'!#REF!</f>
        <v>#REF!</v>
      </c>
      <c r="Q193" s="173" t="e">
        <f>+'Estimate Details'!#REF!</f>
        <v>#REF!</v>
      </c>
      <c r="R193" s="174" t="e">
        <f>+'Estimate Details'!#REF!</f>
        <v>#REF!</v>
      </c>
      <c r="S193" s="507"/>
      <c r="T193" s="174" t="e">
        <f>+'Estimate Details'!#REF!</f>
        <v>#REF!</v>
      </c>
      <c r="U193" s="486" t="s">
        <v>1309</v>
      </c>
      <c r="V193" s="172" t="e">
        <f>+'Estimate Details'!#REF!</f>
        <v>#REF!</v>
      </c>
      <c r="W193" s="481" t="s">
        <v>1309</v>
      </c>
      <c r="X193" s="172" t="e">
        <f>+'Estimate Details'!#REF!</f>
        <v>#REF!</v>
      </c>
      <c r="Y193" s="172" t="e">
        <f>+'Estimate Details'!#REF!</f>
        <v>#REF!</v>
      </c>
      <c r="Z193" s="174" t="e">
        <f>+'Estimate Details'!#REF!</f>
        <v>#REF!</v>
      </c>
      <c r="AA193" s="481"/>
      <c r="AB193" s="175" t="e">
        <f>+'Estimate Details'!#REF!</f>
        <v>#REF!</v>
      </c>
      <c r="AC193" s="569"/>
      <c r="AD193" s="176" t="e">
        <f>+'Estimate Details'!#REF!</f>
        <v>#REF!</v>
      </c>
      <c r="AE193" s="156"/>
      <c r="AF193" s="215"/>
      <c r="AG193" s="156"/>
      <c r="AH193" s="156"/>
      <c r="AI193" s="29"/>
      <c r="AJ193" s="29"/>
      <c r="AK193" s="29"/>
      <c r="AL193" s="29"/>
    </row>
    <row r="194" spans="1:38" ht="14.1" customHeight="1">
      <c r="A194" s="116" t="e">
        <f>+'Estimate Details'!#REF!</f>
        <v>#REF!</v>
      </c>
      <c r="B194" s="116"/>
      <c r="C194" s="116"/>
      <c r="D194" s="158"/>
      <c r="E194" s="158" t="e">
        <f>+'Estimate Details'!#REF!</f>
        <v>#REF!</v>
      </c>
      <c r="F194" s="41"/>
      <c r="G194" s="117" t="e">
        <f>+'Estimate Details'!#REF!</f>
        <v>#REF!</v>
      </c>
      <c r="H194" s="223" t="e">
        <f>+'Estimate Details'!#REF!</f>
        <v>#REF!</v>
      </c>
      <c r="I194" s="108" t="e">
        <f>+'Estimate Details'!#REF!</f>
        <v>#REF!</v>
      </c>
      <c r="J194" s="42" t="e">
        <f>+'Estimate Details'!#REF!</f>
        <v>#REF!</v>
      </c>
      <c r="K194" s="42" t="e">
        <f>+'Estimate Details'!#REF!</f>
        <v>#REF!</v>
      </c>
      <c r="L194" s="42" t="e">
        <f>+'Estimate Details'!#REF!</f>
        <v>#REF!</v>
      </c>
      <c r="M194" s="177" t="e">
        <f>+'Estimate Details'!#REF!</f>
        <v>#REF!</v>
      </c>
      <c r="N194" s="170" t="e">
        <f>+'Estimate Details'!#REF!</f>
        <v>#REF!</v>
      </c>
      <c r="O194" s="171" t="e">
        <f>+'Estimate Details'!#REF!</f>
        <v>#REF!</v>
      </c>
      <c r="P194" s="172" t="e">
        <f>+'Estimate Details'!#REF!</f>
        <v>#REF!</v>
      </c>
      <c r="Q194" s="173" t="e">
        <f>+'Estimate Details'!#REF!</f>
        <v>#REF!</v>
      </c>
      <c r="R194" s="174" t="e">
        <f>+'Estimate Details'!#REF!</f>
        <v>#REF!</v>
      </c>
      <c r="S194" s="507"/>
      <c r="T194" s="174" t="e">
        <f>+'Estimate Details'!#REF!</f>
        <v>#REF!</v>
      </c>
      <c r="U194" s="486" t="s">
        <v>1309</v>
      </c>
      <c r="V194" s="172" t="e">
        <f>+'Estimate Details'!#REF!</f>
        <v>#REF!</v>
      </c>
      <c r="W194" s="481" t="s">
        <v>1309</v>
      </c>
      <c r="X194" s="172" t="e">
        <f>+'Estimate Details'!#REF!</f>
        <v>#REF!</v>
      </c>
      <c r="Y194" s="172" t="e">
        <f>+'Estimate Details'!#REF!</f>
        <v>#REF!</v>
      </c>
      <c r="Z194" s="174" t="e">
        <f>+'Estimate Details'!#REF!</f>
        <v>#REF!</v>
      </c>
      <c r="AA194" s="481"/>
      <c r="AB194" s="175" t="e">
        <f>+'Estimate Details'!#REF!</f>
        <v>#REF!</v>
      </c>
      <c r="AC194" s="569"/>
      <c r="AD194" s="155" t="e">
        <f>+'Estimate Details'!#REF!</f>
        <v>#REF!</v>
      </c>
      <c r="AE194" s="156"/>
      <c r="AF194" s="215"/>
      <c r="AG194" s="156"/>
      <c r="AH194" s="156"/>
      <c r="AI194" s="29"/>
      <c r="AJ194" s="29"/>
      <c r="AK194" s="29"/>
      <c r="AL194" s="29"/>
    </row>
    <row r="195" spans="1:38" ht="14.1" customHeight="1">
      <c r="A195" s="116" t="e">
        <f>+'Estimate Details'!#REF!</f>
        <v>#REF!</v>
      </c>
      <c r="B195" s="116"/>
      <c r="C195" s="116"/>
      <c r="D195" s="345"/>
      <c r="E195" s="158" t="e">
        <f>+'Estimate Details'!#REF!</f>
        <v>#REF!</v>
      </c>
      <c r="F195" s="160"/>
      <c r="G195" s="197" t="e">
        <f>+'Estimate Details'!#REF!</f>
        <v>#REF!</v>
      </c>
      <c r="H195" s="384" t="e">
        <f>+'Estimate Details'!#REF!</f>
        <v>#REF!</v>
      </c>
      <c r="I195" s="211" t="e">
        <f>+'Estimate Details'!#REF!</f>
        <v>#REF!</v>
      </c>
      <c r="J195" s="158" t="e">
        <f>+'Estimate Details'!#REF!</f>
        <v>#REF!</v>
      </c>
      <c r="K195" s="158" t="e">
        <f>+'Estimate Details'!#REF!</f>
        <v>#REF!</v>
      </c>
      <c r="L195" s="158" t="e">
        <f>+'Estimate Details'!#REF!</f>
        <v>#REF!</v>
      </c>
      <c r="M195" s="201" t="e">
        <f>+'Estimate Details'!#REF!</f>
        <v>#REF!</v>
      </c>
      <c r="N195" s="213" t="e">
        <f>+'Estimate Details'!#REF!</f>
        <v>#REF!</v>
      </c>
      <c r="O195" s="162" t="e">
        <f>+'Estimate Details'!#REF!</f>
        <v>#REF!</v>
      </c>
      <c r="P195" s="163" t="e">
        <f>+'Estimate Details'!#REF!</f>
        <v>#REF!</v>
      </c>
      <c r="Q195" s="203" t="e">
        <f>+'Estimate Details'!#REF!</f>
        <v>#REF!</v>
      </c>
      <c r="R195" s="164" t="e">
        <f>+'Estimate Details'!#REF!</f>
        <v>#REF!</v>
      </c>
      <c r="S195" s="506"/>
      <c r="T195" s="164" t="e">
        <f>+'Estimate Details'!#REF!</f>
        <v>#REF!</v>
      </c>
      <c r="U195" s="486" t="s">
        <v>1309</v>
      </c>
      <c r="V195" s="163" t="e">
        <f>+'Estimate Details'!#REF!</f>
        <v>#REF!</v>
      </c>
      <c r="W195" s="486" t="s">
        <v>1309</v>
      </c>
      <c r="X195" s="163" t="e">
        <f>+'Estimate Details'!#REF!</f>
        <v>#REF!</v>
      </c>
      <c r="Y195" s="163" t="e">
        <f>+'Estimate Details'!#REF!</f>
        <v>#REF!</v>
      </c>
      <c r="Z195" s="164" t="e">
        <f>+'Estimate Details'!#REF!</f>
        <v>#REF!</v>
      </c>
      <c r="AA195" s="486"/>
      <c r="AB195" s="165" t="e">
        <f>+'Estimate Details'!#REF!</f>
        <v>#REF!</v>
      </c>
      <c r="AC195" s="568"/>
      <c r="AD195" s="155" t="e">
        <f>+'Estimate Details'!#REF!</f>
        <v>#REF!</v>
      </c>
      <c r="AE195" s="156"/>
      <c r="AF195" s="215"/>
      <c r="AG195" s="178"/>
      <c r="AH195" s="156"/>
      <c r="AI195" s="29"/>
      <c r="AJ195" s="29"/>
      <c r="AK195" s="29"/>
      <c r="AL195" s="29"/>
    </row>
    <row r="196" spans="1:38">
      <c r="A196" s="116" t="e">
        <f>+'Estimate Details'!#REF!</f>
        <v>#REF!</v>
      </c>
      <c r="B196" s="116"/>
      <c r="C196" s="116"/>
      <c r="D196" s="345"/>
      <c r="E196" s="158" t="e">
        <f>+'Estimate Details'!#REF!</f>
        <v>#REF!</v>
      </c>
      <c r="F196" s="41"/>
      <c r="G196" s="205" t="e">
        <f>+'Estimate Details'!#REF!</f>
        <v>#REF!</v>
      </c>
      <c r="H196" s="223" t="e">
        <f>+'Estimate Details'!#REF!</f>
        <v>#REF!</v>
      </c>
      <c r="I196" s="188" t="e">
        <f>+'Estimate Details'!#REF!</f>
        <v>#REF!</v>
      </c>
      <c r="J196" s="42" t="e">
        <f>+'Estimate Details'!#REF!</f>
        <v>#REF!</v>
      </c>
      <c r="K196" s="42" t="e">
        <f>+'Estimate Details'!#REF!</f>
        <v>#REF!</v>
      </c>
      <c r="L196" s="42" t="e">
        <f>+'Estimate Details'!#REF!</f>
        <v>#REF!</v>
      </c>
      <c r="M196" s="177" t="e">
        <f>+'Estimate Details'!#REF!</f>
        <v>#REF!</v>
      </c>
      <c r="N196" s="170" t="e">
        <f>+'Estimate Details'!#REF!</f>
        <v>#REF!</v>
      </c>
      <c r="O196" s="171" t="e">
        <f>+'Estimate Details'!#REF!</f>
        <v>#REF!</v>
      </c>
      <c r="P196" s="172" t="e">
        <f>+'Estimate Details'!#REF!</f>
        <v>#REF!</v>
      </c>
      <c r="Q196" s="173" t="e">
        <f>+'Estimate Details'!#REF!</f>
        <v>#REF!</v>
      </c>
      <c r="R196" s="174" t="e">
        <f>+'Estimate Details'!#REF!</f>
        <v>#REF!</v>
      </c>
      <c r="S196" s="507"/>
      <c r="T196" s="174" t="e">
        <f>+'Estimate Details'!#REF!</f>
        <v>#REF!</v>
      </c>
      <c r="U196" s="481"/>
      <c r="V196" s="172" t="e">
        <f>+'Estimate Details'!#REF!</f>
        <v>#REF!</v>
      </c>
      <c r="W196" s="481"/>
      <c r="X196" s="172" t="e">
        <f>+'Estimate Details'!#REF!</f>
        <v>#REF!</v>
      </c>
      <c r="Y196" s="172" t="e">
        <f>+'Estimate Details'!#REF!</f>
        <v>#REF!</v>
      </c>
      <c r="Z196" s="174" t="e">
        <f>+'Estimate Details'!#REF!</f>
        <v>#REF!</v>
      </c>
      <c r="AA196" s="481"/>
      <c r="AB196" s="175" t="e">
        <f>+'Estimate Details'!#REF!</f>
        <v>#REF!</v>
      </c>
      <c r="AC196" s="569"/>
      <c r="AD196" s="176" t="e">
        <f>+'Estimate Details'!#REF!</f>
        <v>#REF!</v>
      </c>
      <c r="AE196" s="156"/>
      <c r="AF196" s="215"/>
      <c r="AG196" s="178"/>
      <c r="AH196" s="156"/>
      <c r="AI196" s="29"/>
      <c r="AJ196" s="29"/>
      <c r="AK196" s="29"/>
      <c r="AL196" s="29"/>
    </row>
    <row r="197" spans="1:38" ht="14.1" customHeight="1">
      <c r="A197" s="116" t="e">
        <f>+'Estimate Details'!#REF!</f>
        <v>#REF!</v>
      </c>
      <c r="B197" s="116"/>
      <c r="C197" s="116"/>
      <c r="D197" s="347"/>
      <c r="E197" s="158" t="e">
        <f>+'Estimate Details'!#REF!</f>
        <v>#REF!</v>
      </c>
      <c r="F197" s="41"/>
      <c r="G197" s="205" t="e">
        <f>+'Estimate Details'!#REF!</f>
        <v>#REF!</v>
      </c>
      <c r="H197" s="41" t="e">
        <f>+'Estimate Details'!#REF!</f>
        <v>#REF!</v>
      </c>
      <c r="I197" s="217" t="e">
        <f>+'Estimate Details'!#REF!</f>
        <v>#REF!</v>
      </c>
      <c r="J197" s="224" t="e">
        <f>+'Estimate Details'!#REF!</f>
        <v>#REF!</v>
      </c>
      <c r="K197" s="42" t="e">
        <f>+'Estimate Details'!#REF!</f>
        <v>#REF!</v>
      </c>
      <c r="L197" s="42" t="e">
        <f>+'Estimate Details'!#REF!</f>
        <v>#REF!</v>
      </c>
      <c r="M197" s="227" t="e">
        <f>+'Estimate Details'!#REF!</f>
        <v>#REF!</v>
      </c>
      <c r="N197" s="43" t="e">
        <f>+'Estimate Details'!#REF!</f>
        <v>#REF!</v>
      </c>
      <c r="O197" s="171" t="e">
        <f>+'Estimate Details'!#REF!</f>
        <v>#REF!</v>
      </c>
      <c r="P197" s="172" t="e">
        <f>+'Estimate Details'!#REF!</f>
        <v>#REF!</v>
      </c>
      <c r="Q197" s="173" t="e">
        <f>+'Estimate Details'!#REF!</f>
        <v>#REF!</v>
      </c>
      <c r="R197" s="174" t="e">
        <f>+'Estimate Details'!#REF!</f>
        <v>#REF!</v>
      </c>
      <c r="S197" s="507"/>
      <c r="T197" s="174" t="e">
        <f>+'Estimate Details'!#REF!</f>
        <v>#REF!</v>
      </c>
      <c r="U197" s="481" t="s">
        <v>1310</v>
      </c>
      <c r="V197" s="172" t="e">
        <f>+'Estimate Details'!#REF!</f>
        <v>#REF!</v>
      </c>
      <c r="W197" s="481" t="s">
        <v>1310</v>
      </c>
      <c r="X197" s="172" t="e">
        <f>+'Estimate Details'!#REF!</f>
        <v>#REF!</v>
      </c>
      <c r="Y197" s="172" t="e">
        <f>+'Estimate Details'!#REF!</f>
        <v>#REF!</v>
      </c>
      <c r="Z197" s="174" t="e">
        <f>+'Estimate Details'!#REF!</f>
        <v>#REF!</v>
      </c>
      <c r="AA197" s="481"/>
      <c r="AB197" s="175" t="e">
        <f>+'Estimate Details'!#REF!</f>
        <v>#REF!</v>
      </c>
      <c r="AC197" s="569"/>
      <c r="AD197" s="176" t="e">
        <f>+'Estimate Details'!#REF!</f>
        <v>#REF!</v>
      </c>
      <c r="AE197" s="156"/>
      <c r="AF197" s="156"/>
      <c r="AG197" s="156"/>
      <c r="AH197" s="156"/>
      <c r="AI197" s="29"/>
      <c r="AJ197" s="29"/>
      <c r="AK197" s="29"/>
      <c r="AL197" s="29"/>
    </row>
    <row r="198" spans="1:38" ht="14.1" customHeight="1">
      <c r="A198" s="116" t="e">
        <f>+'Estimate Details'!#REF!</f>
        <v>#REF!</v>
      </c>
      <c r="B198" s="116"/>
      <c r="C198" s="116"/>
      <c r="D198" s="166"/>
      <c r="E198" s="158" t="e">
        <f>+'Estimate Details'!#REF!</f>
        <v>#REF!</v>
      </c>
      <c r="F198" s="41"/>
      <c r="G198" s="117" t="e">
        <f>+'Estimate Details'!#REF!</f>
        <v>#REF!</v>
      </c>
      <c r="H198" s="41" t="e">
        <f>+'Estimate Details'!#REF!</f>
        <v>#REF!</v>
      </c>
      <c r="I198" s="217" t="e">
        <f>+'Estimate Details'!#REF!</f>
        <v>#REF!</v>
      </c>
      <c r="J198" s="42" t="e">
        <f>+'Estimate Details'!#REF!</f>
        <v>#REF!</v>
      </c>
      <c r="K198" s="42" t="e">
        <f>+'Estimate Details'!#REF!</f>
        <v>#REF!</v>
      </c>
      <c r="L198" s="42" t="e">
        <f>+'Estimate Details'!#REF!</f>
        <v>#REF!</v>
      </c>
      <c r="M198" s="227" t="e">
        <f>+'Estimate Details'!#REF!</f>
        <v>#REF!</v>
      </c>
      <c r="N198" s="43" t="e">
        <f>+'Estimate Details'!#REF!</f>
        <v>#REF!</v>
      </c>
      <c r="O198" s="171" t="e">
        <f>+'Estimate Details'!#REF!</f>
        <v>#REF!</v>
      </c>
      <c r="P198" s="172" t="e">
        <f>+'Estimate Details'!#REF!</f>
        <v>#REF!</v>
      </c>
      <c r="Q198" s="173" t="e">
        <f>+'Estimate Details'!#REF!</f>
        <v>#REF!</v>
      </c>
      <c r="R198" s="174" t="e">
        <f>+'Estimate Details'!#REF!</f>
        <v>#REF!</v>
      </c>
      <c r="S198" s="507"/>
      <c r="T198" s="174" t="e">
        <f>+'Estimate Details'!#REF!</f>
        <v>#REF!</v>
      </c>
      <c r="U198" s="481" t="s">
        <v>1310</v>
      </c>
      <c r="V198" s="172" t="e">
        <f>+'Estimate Details'!#REF!</f>
        <v>#REF!</v>
      </c>
      <c r="W198" s="481" t="s">
        <v>1310</v>
      </c>
      <c r="X198" s="172" t="e">
        <f>+'Estimate Details'!#REF!</f>
        <v>#REF!</v>
      </c>
      <c r="Y198" s="172" t="e">
        <f>+'Estimate Details'!#REF!</f>
        <v>#REF!</v>
      </c>
      <c r="Z198" s="174" t="e">
        <f>+'Estimate Details'!#REF!</f>
        <v>#REF!</v>
      </c>
      <c r="AA198" s="481"/>
      <c r="AB198" s="175" t="e">
        <f>+'Estimate Details'!#REF!</f>
        <v>#REF!</v>
      </c>
      <c r="AC198" s="569"/>
      <c r="AD198" s="176" t="e">
        <f>+'Estimate Details'!#REF!</f>
        <v>#REF!</v>
      </c>
      <c r="AE198" s="156"/>
      <c r="AF198" s="215"/>
      <c r="AG198" s="156"/>
      <c r="AH198" s="156"/>
      <c r="AI198" s="29"/>
      <c r="AJ198" s="29"/>
      <c r="AK198" s="29"/>
      <c r="AL198" s="29"/>
    </row>
    <row r="199" spans="1:38" ht="14.1" customHeight="1">
      <c r="A199" s="116" t="e">
        <f>+'Estimate Details'!#REF!</f>
        <v>#REF!</v>
      </c>
      <c r="B199" s="116"/>
      <c r="C199" s="116"/>
      <c r="D199" s="166"/>
      <c r="E199" s="158" t="e">
        <f>+'Estimate Details'!#REF!</f>
        <v>#REF!</v>
      </c>
      <c r="F199" s="41"/>
      <c r="G199" s="117" t="e">
        <f>+'Estimate Details'!#REF!</f>
        <v>#REF!</v>
      </c>
      <c r="H199" s="41" t="e">
        <f>+'Estimate Details'!#REF!</f>
        <v>#REF!</v>
      </c>
      <c r="I199" s="217" t="e">
        <f>+'Estimate Details'!#REF!</f>
        <v>#REF!</v>
      </c>
      <c r="J199" s="42" t="e">
        <f>+'Estimate Details'!#REF!</f>
        <v>#REF!</v>
      </c>
      <c r="K199" s="42" t="e">
        <f>+'Estimate Details'!#REF!</f>
        <v>#REF!</v>
      </c>
      <c r="L199" s="42" t="e">
        <f>+'Estimate Details'!#REF!</f>
        <v>#REF!</v>
      </c>
      <c r="M199" s="227" t="e">
        <f>+'Estimate Details'!#REF!</f>
        <v>#REF!</v>
      </c>
      <c r="N199" s="228" t="e">
        <f>+'Estimate Details'!#REF!</f>
        <v>#REF!</v>
      </c>
      <c r="O199" s="171" t="e">
        <f>+'Estimate Details'!#REF!</f>
        <v>#REF!</v>
      </c>
      <c r="P199" s="172" t="e">
        <f>+'Estimate Details'!#REF!</f>
        <v>#REF!</v>
      </c>
      <c r="Q199" s="173" t="e">
        <f>+'Estimate Details'!#REF!</f>
        <v>#REF!</v>
      </c>
      <c r="R199" s="174" t="e">
        <f>+'Estimate Details'!#REF!</f>
        <v>#REF!</v>
      </c>
      <c r="S199" s="507"/>
      <c r="T199" s="174" t="e">
        <f>+'Estimate Details'!#REF!</f>
        <v>#REF!</v>
      </c>
      <c r="U199" s="481" t="s">
        <v>1310</v>
      </c>
      <c r="V199" s="172" t="e">
        <f>+'Estimate Details'!#REF!</f>
        <v>#REF!</v>
      </c>
      <c r="W199" s="481" t="s">
        <v>1310</v>
      </c>
      <c r="X199" s="172" t="e">
        <f>+'Estimate Details'!#REF!</f>
        <v>#REF!</v>
      </c>
      <c r="Y199" s="172" t="e">
        <f>+'Estimate Details'!#REF!</f>
        <v>#REF!</v>
      </c>
      <c r="Z199" s="174" t="e">
        <f>+'Estimate Details'!#REF!</f>
        <v>#REF!</v>
      </c>
      <c r="AA199" s="481"/>
      <c r="AB199" s="175" t="e">
        <f>+'Estimate Details'!#REF!</f>
        <v>#REF!</v>
      </c>
      <c r="AC199" s="569"/>
      <c r="AD199" s="176" t="e">
        <f>+'Estimate Details'!#REF!</f>
        <v>#REF!</v>
      </c>
      <c r="AE199" s="156"/>
      <c r="AF199" s="215"/>
      <c r="AG199" s="156"/>
      <c r="AH199" s="156"/>
      <c r="AI199" s="29"/>
      <c r="AJ199" s="29"/>
      <c r="AK199" s="29"/>
      <c r="AL199" s="29"/>
    </row>
    <row r="200" spans="1:38" ht="14.1" customHeight="1">
      <c r="A200" s="116" t="e">
        <f>+'Estimate Details'!#REF!</f>
        <v>#REF!</v>
      </c>
      <c r="B200" s="116"/>
      <c r="C200" s="116"/>
      <c r="D200" s="166"/>
      <c r="E200" s="158" t="e">
        <f>+'Estimate Details'!#REF!</f>
        <v>#REF!</v>
      </c>
      <c r="F200" s="41"/>
      <c r="G200" s="205" t="e">
        <f>+'Estimate Details'!#REF!</f>
        <v>#REF!</v>
      </c>
      <c r="H200" s="41" t="e">
        <f>+'Estimate Details'!#REF!</f>
        <v>#REF!</v>
      </c>
      <c r="I200" s="217" t="e">
        <f>+'Estimate Details'!#REF!</f>
        <v>#REF!</v>
      </c>
      <c r="J200" s="224" t="e">
        <f>+'Estimate Details'!#REF!</f>
        <v>#REF!</v>
      </c>
      <c r="K200" s="42" t="e">
        <f>+'Estimate Details'!#REF!</f>
        <v>#REF!</v>
      </c>
      <c r="L200" s="42" t="e">
        <f>+'Estimate Details'!#REF!</f>
        <v>#REF!</v>
      </c>
      <c r="M200" s="227" t="e">
        <f>+'Estimate Details'!#REF!</f>
        <v>#REF!</v>
      </c>
      <c r="N200" s="195" t="e">
        <f>+'Estimate Details'!#REF!</f>
        <v>#REF!</v>
      </c>
      <c r="O200" s="171" t="e">
        <f>+'Estimate Details'!#REF!</f>
        <v>#REF!</v>
      </c>
      <c r="P200" s="172" t="e">
        <f>+'Estimate Details'!#REF!</f>
        <v>#REF!</v>
      </c>
      <c r="Q200" s="173" t="e">
        <f>+'Estimate Details'!#REF!</f>
        <v>#REF!</v>
      </c>
      <c r="R200" s="174" t="e">
        <f>+'Estimate Details'!#REF!</f>
        <v>#REF!</v>
      </c>
      <c r="S200" s="507"/>
      <c r="T200" s="174" t="e">
        <f>+'Estimate Details'!#REF!</f>
        <v>#REF!</v>
      </c>
      <c r="U200" s="481" t="s">
        <v>1310</v>
      </c>
      <c r="V200" s="172" t="e">
        <f>+'Estimate Details'!#REF!</f>
        <v>#REF!</v>
      </c>
      <c r="W200" s="481" t="s">
        <v>1310</v>
      </c>
      <c r="X200" s="172" t="e">
        <f>+'Estimate Details'!#REF!</f>
        <v>#REF!</v>
      </c>
      <c r="Y200" s="172" t="e">
        <f>+'Estimate Details'!#REF!</f>
        <v>#REF!</v>
      </c>
      <c r="Z200" s="174" t="e">
        <f>+'Estimate Details'!#REF!</f>
        <v>#REF!</v>
      </c>
      <c r="AA200" s="481"/>
      <c r="AB200" s="175" t="e">
        <f>+'Estimate Details'!#REF!</f>
        <v>#REF!</v>
      </c>
      <c r="AC200" s="569"/>
      <c r="AD200" s="176" t="e">
        <f>+'Estimate Details'!#REF!</f>
        <v>#REF!</v>
      </c>
      <c r="AE200" s="156"/>
      <c r="AF200" s="215"/>
      <c r="AG200" s="156"/>
      <c r="AH200" s="156"/>
      <c r="AI200" s="29"/>
      <c r="AJ200" s="29"/>
      <c r="AK200" s="29"/>
      <c r="AL200" s="29"/>
    </row>
    <row r="201" spans="1:38" ht="14.1" customHeight="1">
      <c r="A201" s="116" t="e">
        <f>+'Estimate Details'!#REF!</f>
        <v>#REF!</v>
      </c>
      <c r="B201" s="116"/>
      <c r="C201" s="116"/>
      <c r="D201" s="166"/>
      <c r="E201" s="158" t="e">
        <f>+'Estimate Details'!#REF!</f>
        <v>#REF!</v>
      </c>
      <c r="F201" s="41"/>
      <c r="G201" s="205" t="e">
        <f>+'Estimate Details'!#REF!</f>
        <v>#REF!</v>
      </c>
      <c r="H201" s="41" t="e">
        <f>+'Estimate Details'!#REF!</f>
        <v>#REF!</v>
      </c>
      <c r="I201" s="217" t="e">
        <f>+'Estimate Details'!#REF!</f>
        <v>#REF!</v>
      </c>
      <c r="J201" s="224" t="e">
        <f>+'Estimate Details'!#REF!</f>
        <v>#REF!</v>
      </c>
      <c r="K201" s="42" t="e">
        <f>+'Estimate Details'!#REF!</f>
        <v>#REF!</v>
      </c>
      <c r="L201" s="42" t="e">
        <f>+'Estimate Details'!#REF!</f>
        <v>#REF!</v>
      </c>
      <c r="M201" s="227" t="e">
        <f>+'Estimate Details'!#REF!</f>
        <v>#REF!</v>
      </c>
      <c r="N201" s="195" t="e">
        <f>+'Estimate Details'!#REF!</f>
        <v>#REF!</v>
      </c>
      <c r="O201" s="171" t="e">
        <f>+'Estimate Details'!#REF!</f>
        <v>#REF!</v>
      </c>
      <c r="P201" s="172" t="e">
        <f>+'Estimate Details'!#REF!</f>
        <v>#REF!</v>
      </c>
      <c r="Q201" s="173" t="e">
        <f>+'Estimate Details'!#REF!</f>
        <v>#REF!</v>
      </c>
      <c r="R201" s="174" t="e">
        <f>+'Estimate Details'!#REF!</f>
        <v>#REF!</v>
      </c>
      <c r="S201" s="507"/>
      <c r="T201" s="174" t="e">
        <f>+'Estimate Details'!#REF!</f>
        <v>#REF!</v>
      </c>
      <c r="U201" s="481" t="s">
        <v>1310</v>
      </c>
      <c r="V201" s="172" t="e">
        <f>+'Estimate Details'!#REF!</f>
        <v>#REF!</v>
      </c>
      <c r="W201" s="481" t="s">
        <v>1310</v>
      </c>
      <c r="X201" s="172" t="e">
        <f>+'Estimate Details'!#REF!</f>
        <v>#REF!</v>
      </c>
      <c r="Y201" s="172" t="e">
        <f>+'Estimate Details'!#REF!</f>
        <v>#REF!</v>
      </c>
      <c r="Z201" s="174" t="e">
        <f>+'Estimate Details'!#REF!</f>
        <v>#REF!</v>
      </c>
      <c r="AA201" s="481"/>
      <c r="AB201" s="175" t="e">
        <f>+'Estimate Details'!#REF!</f>
        <v>#REF!</v>
      </c>
      <c r="AC201" s="569"/>
      <c r="AD201" s="176" t="e">
        <f>+'Estimate Details'!#REF!</f>
        <v>#REF!</v>
      </c>
      <c r="AE201" s="156"/>
      <c r="AF201" s="215"/>
      <c r="AG201" s="156"/>
      <c r="AH201" s="156"/>
      <c r="AI201" s="29"/>
      <c r="AJ201" s="29"/>
      <c r="AK201" s="29"/>
      <c r="AL201" s="29"/>
    </row>
    <row r="202" spans="1:38" ht="14.1" customHeight="1">
      <c r="A202" s="116" t="e">
        <f>+'Estimate Details'!#REF!</f>
        <v>#REF!</v>
      </c>
      <c r="B202" s="116"/>
      <c r="C202" s="116"/>
      <c r="D202" s="166"/>
      <c r="E202" s="158" t="e">
        <f>+'Estimate Details'!#REF!</f>
        <v>#REF!</v>
      </c>
      <c r="F202" s="41"/>
      <c r="G202" s="205" t="e">
        <f>+'Estimate Details'!#REF!</f>
        <v>#REF!</v>
      </c>
      <c r="H202" s="41" t="e">
        <f>+'Estimate Details'!#REF!</f>
        <v>#REF!</v>
      </c>
      <c r="I202" s="217" t="e">
        <f>+'Estimate Details'!#REF!</f>
        <v>#REF!</v>
      </c>
      <c r="J202" s="224" t="e">
        <f>+'Estimate Details'!#REF!</f>
        <v>#REF!</v>
      </c>
      <c r="K202" s="42" t="e">
        <f>+'Estimate Details'!#REF!</f>
        <v>#REF!</v>
      </c>
      <c r="L202" s="42" t="e">
        <f>+'Estimate Details'!#REF!</f>
        <v>#REF!</v>
      </c>
      <c r="M202" s="227" t="e">
        <f>+'Estimate Details'!#REF!</f>
        <v>#REF!</v>
      </c>
      <c r="N202" s="195" t="e">
        <f>+'Estimate Details'!#REF!</f>
        <v>#REF!</v>
      </c>
      <c r="O202" s="171" t="e">
        <f>+'Estimate Details'!#REF!</f>
        <v>#REF!</v>
      </c>
      <c r="P202" s="172" t="e">
        <f>+'Estimate Details'!#REF!</f>
        <v>#REF!</v>
      </c>
      <c r="Q202" s="173" t="e">
        <f>+'Estimate Details'!#REF!</f>
        <v>#REF!</v>
      </c>
      <c r="R202" s="174" t="e">
        <f>+'Estimate Details'!#REF!</f>
        <v>#REF!</v>
      </c>
      <c r="S202" s="507"/>
      <c r="T202" s="174" t="e">
        <f>+'Estimate Details'!#REF!</f>
        <v>#REF!</v>
      </c>
      <c r="U202" s="481" t="s">
        <v>1310</v>
      </c>
      <c r="V202" s="172" t="e">
        <f>+'Estimate Details'!#REF!</f>
        <v>#REF!</v>
      </c>
      <c r="W202" s="481" t="s">
        <v>1310</v>
      </c>
      <c r="X202" s="172" t="e">
        <f>+'Estimate Details'!#REF!</f>
        <v>#REF!</v>
      </c>
      <c r="Y202" s="172" t="e">
        <f>+'Estimate Details'!#REF!</f>
        <v>#REF!</v>
      </c>
      <c r="Z202" s="174" t="e">
        <f>+'Estimate Details'!#REF!</f>
        <v>#REF!</v>
      </c>
      <c r="AA202" s="481"/>
      <c r="AB202" s="175" t="e">
        <f>+'Estimate Details'!#REF!</f>
        <v>#REF!</v>
      </c>
      <c r="AC202" s="569"/>
      <c r="AD202" s="176" t="e">
        <f>+'Estimate Details'!#REF!</f>
        <v>#REF!</v>
      </c>
      <c r="AE202" s="156"/>
      <c r="AF202" s="215"/>
      <c r="AG202" s="156"/>
      <c r="AH202" s="156"/>
      <c r="AI202" s="29"/>
      <c r="AJ202" s="29"/>
      <c r="AK202" s="29"/>
      <c r="AL202" s="29"/>
    </row>
    <row r="203" spans="1:38" ht="14.1" customHeight="1">
      <c r="A203" s="116" t="e">
        <f>+'Estimate Details'!#REF!</f>
        <v>#REF!</v>
      </c>
      <c r="B203" s="116"/>
      <c r="C203" s="116"/>
      <c r="D203" s="166"/>
      <c r="E203" s="158" t="e">
        <f>+'Estimate Details'!#REF!</f>
        <v>#REF!</v>
      </c>
      <c r="F203" s="41"/>
      <c r="G203" s="117" t="e">
        <f>+'Estimate Details'!#REF!</f>
        <v>#REF!</v>
      </c>
      <c r="H203" s="41" t="e">
        <f>+'Estimate Details'!#REF!</f>
        <v>#REF!</v>
      </c>
      <c r="I203" s="217" t="e">
        <f>+'Estimate Details'!#REF!</f>
        <v>#REF!</v>
      </c>
      <c r="J203" s="42" t="e">
        <f>+'Estimate Details'!#REF!</f>
        <v>#REF!</v>
      </c>
      <c r="K203" s="42" t="e">
        <f>+'Estimate Details'!#REF!</f>
        <v>#REF!</v>
      </c>
      <c r="L203" s="42" t="e">
        <f>+'Estimate Details'!#REF!</f>
        <v>#REF!</v>
      </c>
      <c r="M203" s="227" t="e">
        <f>+'Estimate Details'!#REF!</f>
        <v>#REF!</v>
      </c>
      <c r="N203" s="195" t="e">
        <f>+'Estimate Details'!#REF!</f>
        <v>#REF!</v>
      </c>
      <c r="O203" s="171" t="e">
        <f>+'Estimate Details'!#REF!</f>
        <v>#REF!</v>
      </c>
      <c r="P203" s="172" t="e">
        <f>+'Estimate Details'!#REF!</f>
        <v>#REF!</v>
      </c>
      <c r="Q203" s="173" t="e">
        <f>+'Estimate Details'!#REF!</f>
        <v>#REF!</v>
      </c>
      <c r="R203" s="174" t="e">
        <f>+'Estimate Details'!#REF!</f>
        <v>#REF!</v>
      </c>
      <c r="S203" s="507"/>
      <c r="T203" s="174" t="e">
        <f>+'Estimate Details'!#REF!</f>
        <v>#REF!</v>
      </c>
      <c r="U203" s="481" t="s">
        <v>1310</v>
      </c>
      <c r="V203" s="172" t="e">
        <f>+'Estimate Details'!#REF!</f>
        <v>#REF!</v>
      </c>
      <c r="W203" s="481" t="s">
        <v>1310</v>
      </c>
      <c r="X203" s="172" t="e">
        <f>+'Estimate Details'!#REF!</f>
        <v>#REF!</v>
      </c>
      <c r="Y203" s="172" t="e">
        <f>+'Estimate Details'!#REF!</f>
        <v>#REF!</v>
      </c>
      <c r="Z203" s="174" t="e">
        <f>+'Estimate Details'!#REF!</f>
        <v>#REF!</v>
      </c>
      <c r="AA203" s="481"/>
      <c r="AB203" s="175" t="e">
        <f>+'Estimate Details'!#REF!</f>
        <v>#REF!</v>
      </c>
      <c r="AC203" s="569"/>
      <c r="AD203" s="176" t="e">
        <f>+'Estimate Details'!#REF!</f>
        <v>#REF!</v>
      </c>
      <c r="AE203" s="156"/>
      <c r="AF203" s="215"/>
      <c r="AG203" s="156"/>
      <c r="AH203" s="156"/>
      <c r="AI203" s="29"/>
      <c r="AJ203" s="29"/>
      <c r="AK203" s="29"/>
      <c r="AL203" s="29"/>
    </row>
    <row r="204" spans="1:38" ht="14.1" customHeight="1">
      <c r="A204" s="116" t="e">
        <f>+'Estimate Details'!#REF!</f>
        <v>#REF!</v>
      </c>
      <c r="B204" s="116"/>
      <c r="C204" s="116"/>
      <c r="D204" s="166"/>
      <c r="E204" s="158" t="e">
        <f>+'Estimate Details'!#REF!</f>
        <v>#REF!</v>
      </c>
      <c r="F204" s="41"/>
      <c r="G204" s="117" t="e">
        <f>+'Estimate Details'!#REF!</f>
        <v>#REF!</v>
      </c>
      <c r="H204" s="41" t="e">
        <f>+'Estimate Details'!#REF!</f>
        <v>#REF!</v>
      </c>
      <c r="I204" s="217" t="e">
        <f>+'Estimate Details'!#REF!</f>
        <v>#REF!</v>
      </c>
      <c r="J204" s="42" t="e">
        <f>+'Estimate Details'!#REF!</f>
        <v>#REF!</v>
      </c>
      <c r="K204" s="42" t="e">
        <f>+'Estimate Details'!#REF!</f>
        <v>#REF!</v>
      </c>
      <c r="L204" s="42" t="e">
        <f>+'Estimate Details'!#REF!</f>
        <v>#REF!</v>
      </c>
      <c r="M204" s="227" t="e">
        <f>+'Estimate Details'!#REF!</f>
        <v>#REF!</v>
      </c>
      <c r="N204" s="195" t="e">
        <f>+'Estimate Details'!#REF!</f>
        <v>#REF!</v>
      </c>
      <c r="O204" s="171" t="e">
        <f>+'Estimate Details'!#REF!</f>
        <v>#REF!</v>
      </c>
      <c r="P204" s="172" t="e">
        <f>+'Estimate Details'!#REF!</f>
        <v>#REF!</v>
      </c>
      <c r="Q204" s="173" t="e">
        <f>+'Estimate Details'!#REF!</f>
        <v>#REF!</v>
      </c>
      <c r="R204" s="174" t="e">
        <f>+'Estimate Details'!#REF!</f>
        <v>#REF!</v>
      </c>
      <c r="S204" s="507"/>
      <c r="T204" s="174" t="e">
        <f>+'Estimate Details'!#REF!</f>
        <v>#REF!</v>
      </c>
      <c r="U204" s="481" t="s">
        <v>1310</v>
      </c>
      <c r="V204" s="172" t="e">
        <f>+'Estimate Details'!#REF!</f>
        <v>#REF!</v>
      </c>
      <c r="W204" s="481" t="s">
        <v>1310</v>
      </c>
      <c r="X204" s="172" t="e">
        <f>+'Estimate Details'!#REF!</f>
        <v>#REF!</v>
      </c>
      <c r="Y204" s="172" t="e">
        <f>+'Estimate Details'!#REF!</f>
        <v>#REF!</v>
      </c>
      <c r="Z204" s="174" t="e">
        <f>+'Estimate Details'!#REF!</f>
        <v>#REF!</v>
      </c>
      <c r="AA204" s="481"/>
      <c r="AB204" s="175" t="e">
        <f>+'Estimate Details'!#REF!</f>
        <v>#REF!</v>
      </c>
      <c r="AC204" s="569"/>
      <c r="AD204" s="176" t="e">
        <f>+'Estimate Details'!#REF!</f>
        <v>#REF!</v>
      </c>
      <c r="AE204" s="156"/>
      <c r="AF204" s="215"/>
      <c r="AG204" s="156"/>
      <c r="AH204" s="156"/>
      <c r="AI204" s="29"/>
      <c r="AJ204" s="29"/>
      <c r="AK204" s="29"/>
      <c r="AL204" s="29"/>
    </row>
    <row r="205" spans="1:38" ht="14.1" customHeight="1">
      <c r="A205" s="116" t="e">
        <f>+'Estimate Details'!#REF!</f>
        <v>#REF!</v>
      </c>
      <c r="B205" s="116"/>
      <c r="C205" s="116"/>
      <c r="D205" s="166"/>
      <c r="E205" s="158" t="e">
        <f>+'Estimate Details'!#REF!</f>
        <v>#REF!</v>
      </c>
      <c r="F205" s="41"/>
      <c r="G205" s="205" t="e">
        <f>+'Estimate Details'!#REF!</f>
        <v>#REF!</v>
      </c>
      <c r="H205" s="41" t="e">
        <f>+'Estimate Details'!#REF!</f>
        <v>#REF!</v>
      </c>
      <c r="I205" s="217" t="e">
        <f>+'Estimate Details'!#REF!</f>
        <v>#REF!</v>
      </c>
      <c r="J205" s="224" t="e">
        <f>+'Estimate Details'!#REF!</f>
        <v>#REF!</v>
      </c>
      <c r="K205" s="42" t="e">
        <f>+'Estimate Details'!#REF!</f>
        <v>#REF!</v>
      </c>
      <c r="L205" s="42" t="e">
        <f>+'Estimate Details'!#REF!</f>
        <v>#REF!</v>
      </c>
      <c r="M205" s="227" t="e">
        <f>+'Estimate Details'!#REF!</f>
        <v>#REF!</v>
      </c>
      <c r="N205" s="195" t="e">
        <f>+'Estimate Details'!#REF!</f>
        <v>#REF!</v>
      </c>
      <c r="O205" s="171" t="e">
        <f>+'Estimate Details'!#REF!</f>
        <v>#REF!</v>
      </c>
      <c r="P205" s="172" t="e">
        <f>+'Estimate Details'!#REF!</f>
        <v>#REF!</v>
      </c>
      <c r="Q205" s="173" t="e">
        <f>+'Estimate Details'!#REF!</f>
        <v>#REF!</v>
      </c>
      <c r="R205" s="174" t="e">
        <f>+'Estimate Details'!#REF!</f>
        <v>#REF!</v>
      </c>
      <c r="S205" s="507"/>
      <c r="T205" s="174" t="e">
        <f>+'Estimate Details'!#REF!</f>
        <v>#REF!</v>
      </c>
      <c r="U205" s="481" t="s">
        <v>1310</v>
      </c>
      <c r="V205" s="172" t="e">
        <f>+'Estimate Details'!#REF!</f>
        <v>#REF!</v>
      </c>
      <c r="W205" s="481" t="s">
        <v>1310</v>
      </c>
      <c r="X205" s="172" t="e">
        <f>+'Estimate Details'!#REF!</f>
        <v>#REF!</v>
      </c>
      <c r="Y205" s="172" t="e">
        <f>+'Estimate Details'!#REF!</f>
        <v>#REF!</v>
      </c>
      <c r="Z205" s="174" t="e">
        <f>+'Estimate Details'!#REF!</f>
        <v>#REF!</v>
      </c>
      <c r="AA205" s="481"/>
      <c r="AB205" s="175" t="e">
        <f>+'Estimate Details'!#REF!</f>
        <v>#REF!</v>
      </c>
      <c r="AC205" s="569"/>
      <c r="AD205" s="176" t="e">
        <f>+'Estimate Details'!#REF!</f>
        <v>#REF!</v>
      </c>
      <c r="AE205" s="156"/>
      <c r="AF205" s="215"/>
      <c r="AG205" s="156"/>
      <c r="AH205" s="156"/>
      <c r="AI205" s="29"/>
      <c r="AJ205" s="29"/>
      <c r="AK205" s="29"/>
      <c r="AL205" s="29"/>
    </row>
    <row r="206" spans="1:38" ht="14.1" customHeight="1">
      <c r="A206" s="116" t="e">
        <f>+'Estimate Details'!#REF!</f>
        <v>#REF!</v>
      </c>
      <c r="B206" s="116"/>
      <c r="C206" s="116"/>
      <c r="D206" s="166"/>
      <c r="E206" s="158" t="e">
        <f>+'Estimate Details'!#REF!</f>
        <v>#REF!</v>
      </c>
      <c r="F206" s="41"/>
      <c r="G206" s="205" t="e">
        <f>+'Estimate Details'!#REF!</f>
        <v>#REF!</v>
      </c>
      <c r="H206" s="41" t="e">
        <f>+'Estimate Details'!#REF!</f>
        <v>#REF!</v>
      </c>
      <c r="I206" s="217" t="e">
        <f>+'Estimate Details'!#REF!</f>
        <v>#REF!</v>
      </c>
      <c r="J206" s="224" t="e">
        <f>+'Estimate Details'!#REF!</f>
        <v>#REF!</v>
      </c>
      <c r="K206" s="42" t="e">
        <f>+'Estimate Details'!#REF!</f>
        <v>#REF!</v>
      </c>
      <c r="L206" s="42" t="e">
        <f>+'Estimate Details'!#REF!</f>
        <v>#REF!</v>
      </c>
      <c r="M206" s="227" t="e">
        <f>+'Estimate Details'!#REF!</f>
        <v>#REF!</v>
      </c>
      <c r="N206" s="195" t="e">
        <f>+'Estimate Details'!#REF!</f>
        <v>#REF!</v>
      </c>
      <c r="O206" s="171" t="e">
        <f>+'Estimate Details'!#REF!</f>
        <v>#REF!</v>
      </c>
      <c r="P206" s="172" t="e">
        <f>+'Estimate Details'!#REF!</f>
        <v>#REF!</v>
      </c>
      <c r="Q206" s="173" t="e">
        <f>+'Estimate Details'!#REF!</f>
        <v>#REF!</v>
      </c>
      <c r="R206" s="174" t="e">
        <f>+'Estimate Details'!#REF!</f>
        <v>#REF!</v>
      </c>
      <c r="S206" s="507"/>
      <c r="T206" s="174" t="e">
        <f>+'Estimate Details'!#REF!</f>
        <v>#REF!</v>
      </c>
      <c r="U206" s="481" t="s">
        <v>1310</v>
      </c>
      <c r="V206" s="172" t="e">
        <f>+'Estimate Details'!#REF!</f>
        <v>#REF!</v>
      </c>
      <c r="W206" s="481" t="s">
        <v>1310</v>
      </c>
      <c r="X206" s="172" t="e">
        <f>+'Estimate Details'!#REF!</f>
        <v>#REF!</v>
      </c>
      <c r="Y206" s="172" t="e">
        <f>+'Estimate Details'!#REF!</f>
        <v>#REF!</v>
      </c>
      <c r="Z206" s="174" t="e">
        <f>+'Estimate Details'!#REF!</f>
        <v>#REF!</v>
      </c>
      <c r="AA206" s="481"/>
      <c r="AB206" s="175" t="e">
        <f>+'Estimate Details'!#REF!</f>
        <v>#REF!</v>
      </c>
      <c r="AC206" s="569"/>
      <c r="AD206" s="176" t="e">
        <f>+'Estimate Details'!#REF!</f>
        <v>#REF!</v>
      </c>
      <c r="AE206" s="156"/>
      <c r="AF206" s="215"/>
      <c r="AG206" s="156"/>
      <c r="AH206" s="156"/>
      <c r="AI206" s="29"/>
      <c r="AJ206" s="29"/>
      <c r="AK206" s="29"/>
      <c r="AL206" s="29"/>
    </row>
    <row r="207" spans="1:38" ht="14.1" customHeight="1">
      <c r="A207" s="116" t="e">
        <f>+'Estimate Details'!#REF!</f>
        <v>#REF!</v>
      </c>
      <c r="B207" s="116"/>
      <c r="C207" s="116"/>
      <c r="D207" s="166"/>
      <c r="E207" s="158" t="e">
        <f>+'Estimate Details'!#REF!</f>
        <v>#REF!</v>
      </c>
      <c r="F207" s="41"/>
      <c r="G207" s="205" t="e">
        <f>+'Estimate Details'!#REF!</f>
        <v>#REF!</v>
      </c>
      <c r="H207" s="41" t="e">
        <f>+'Estimate Details'!#REF!</f>
        <v>#REF!</v>
      </c>
      <c r="I207" s="217" t="e">
        <f>+'Estimate Details'!#REF!</f>
        <v>#REF!</v>
      </c>
      <c r="J207" s="224" t="e">
        <f>+'Estimate Details'!#REF!</f>
        <v>#REF!</v>
      </c>
      <c r="K207" s="42" t="e">
        <f>+'Estimate Details'!#REF!</f>
        <v>#REF!</v>
      </c>
      <c r="L207" s="42" t="e">
        <f>+'Estimate Details'!#REF!</f>
        <v>#REF!</v>
      </c>
      <c r="M207" s="227" t="e">
        <f>+'Estimate Details'!#REF!</f>
        <v>#REF!</v>
      </c>
      <c r="N207" s="195" t="e">
        <f>+'Estimate Details'!#REF!</f>
        <v>#REF!</v>
      </c>
      <c r="O207" s="171" t="e">
        <f>+'Estimate Details'!#REF!</f>
        <v>#REF!</v>
      </c>
      <c r="P207" s="172" t="e">
        <f>+'Estimate Details'!#REF!</f>
        <v>#REF!</v>
      </c>
      <c r="Q207" s="173" t="e">
        <f>+'Estimate Details'!#REF!</f>
        <v>#REF!</v>
      </c>
      <c r="R207" s="174" t="e">
        <f>+'Estimate Details'!#REF!</f>
        <v>#REF!</v>
      </c>
      <c r="S207" s="507"/>
      <c r="T207" s="174" t="e">
        <f>+'Estimate Details'!#REF!</f>
        <v>#REF!</v>
      </c>
      <c r="U207" s="481" t="s">
        <v>1310</v>
      </c>
      <c r="V207" s="172" t="e">
        <f>+'Estimate Details'!#REF!</f>
        <v>#REF!</v>
      </c>
      <c r="W207" s="481" t="s">
        <v>1310</v>
      </c>
      <c r="X207" s="172" t="e">
        <f>+'Estimate Details'!#REF!</f>
        <v>#REF!</v>
      </c>
      <c r="Y207" s="172" t="e">
        <f>+'Estimate Details'!#REF!</f>
        <v>#REF!</v>
      </c>
      <c r="Z207" s="174" t="e">
        <f>+'Estimate Details'!#REF!</f>
        <v>#REF!</v>
      </c>
      <c r="AA207" s="481"/>
      <c r="AB207" s="175" t="e">
        <f>+'Estimate Details'!#REF!</f>
        <v>#REF!</v>
      </c>
      <c r="AC207" s="569"/>
      <c r="AD207" s="176" t="e">
        <f>+'Estimate Details'!#REF!</f>
        <v>#REF!</v>
      </c>
      <c r="AE207" s="156"/>
      <c r="AF207" s="215"/>
      <c r="AG207" s="156"/>
      <c r="AH207" s="156"/>
      <c r="AI207" s="29"/>
      <c r="AJ207" s="29"/>
      <c r="AK207" s="29"/>
      <c r="AL207" s="29"/>
    </row>
    <row r="208" spans="1:38" ht="14.1" customHeight="1">
      <c r="A208" s="116" t="e">
        <f>+'Estimate Details'!#REF!</f>
        <v>#REF!</v>
      </c>
      <c r="B208" s="116"/>
      <c r="C208" s="116"/>
      <c r="D208" s="166"/>
      <c r="E208" s="158" t="e">
        <f>+'Estimate Details'!#REF!</f>
        <v>#REF!</v>
      </c>
      <c r="F208" s="41"/>
      <c r="G208" s="205" t="e">
        <f>+'Estimate Details'!#REF!</f>
        <v>#REF!</v>
      </c>
      <c r="H208" s="41" t="e">
        <f>+'Estimate Details'!#REF!</f>
        <v>#REF!</v>
      </c>
      <c r="I208" s="217" t="e">
        <f>+'Estimate Details'!#REF!</f>
        <v>#REF!</v>
      </c>
      <c r="J208" s="224" t="e">
        <f>+'Estimate Details'!#REF!</f>
        <v>#REF!</v>
      </c>
      <c r="K208" s="42" t="e">
        <f>+'Estimate Details'!#REF!</f>
        <v>#REF!</v>
      </c>
      <c r="L208" s="42" t="e">
        <f>+'Estimate Details'!#REF!</f>
        <v>#REF!</v>
      </c>
      <c r="M208" s="227" t="e">
        <f>+'Estimate Details'!#REF!</f>
        <v>#REF!</v>
      </c>
      <c r="N208" s="195" t="e">
        <f>+'Estimate Details'!#REF!</f>
        <v>#REF!</v>
      </c>
      <c r="O208" s="171" t="e">
        <f>+'Estimate Details'!#REF!</f>
        <v>#REF!</v>
      </c>
      <c r="P208" s="172" t="e">
        <f>+'Estimate Details'!#REF!</f>
        <v>#REF!</v>
      </c>
      <c r="Q208" s="173" t="e">
        <f>+'Estimate Details'!#REF!</f>
        <v>#REF!</v>
      </c>
      <c r="R208" s="174" t="e">
        <f>+'Estimate Details'!#REF!</f>
        <v>#REF!</v>
      </c>
      <c r="S208" s="507"/>
      <c r="T208" s="174" t="e">
        <f>+'Estimate Details'!#REF!</f>
        <v>#REF!</v>
      </c>
      <c r="U208" s="481" t="s">
        <v>1310</v>
      </c>
      <c r="V208" s="172" t="e">
        <f>+'Estimate Details'!#REF!</f>
        <v>#REF!</v>
      </c>
      <c r="W208" s="481" t="s">
        <v>1310</v>
      </c>
      <c r="X208" s="172" t="e">
        <f>+'Estimate Details'!#REF!</f>
        <v>#REF!</v>
      </c>
      <c r="Y208" s="172" t="e">
        <f>+'Estimate Details'!#REF!</f>
        <v>#REF!</v>
      </c>
      <c r="Z208" s="174" t="e">
        <f>+'Estimate Details'!#REF!</f>
        <v>#REF!</v>
      </c>
      <c r="AA208" s="481"/>
      <c r="AB208" s="175" t="e">
        <f>+'Estimate Details'!#REF!</f>
        <v>#REF!</v>
      </c>
      <c r="AC208" s="569"/>
      <c r="AD208" s="176" t="e">
        <f>+'Estimate Details'!#REF!</f>
        <v>#REF!</v>
      </c>
      <c r="AE208" s="156"/>
      <c r="AF208" s="215"/>
      <c r="AG208" s="156"/>
      <c r="AH208" s="156"/>
      <c r="AI208" s="29"/>
      <c r="AJ208" s="29"/>
      <c r="AK208" s="29"/>
      <c r="AL208" s="29"/>
    </row>
    <row r="209" spans="1:44" ht="14.1" customHeight="1">
      <c r="A209" s="116" t="e">
        <f>+'Estimate Details'!#REF!</f>
        <v>#REF!</v>
      </c>
      <c r="B209" s="116"/>
      <c r="C209" s="116"/>
      <c r="D209" s="166"/>
      <c r="E209" s="158" t="e">
        <f>+'Estimate Details'!#REF!</f>
        <v>#REF!</v>
      </c>
      <c r="F209" s="41"/>
      <c r="G209" s="205" t="e">
        <f>+'Estimate Details'!#REF!</f>
        <v>#REF!</v>
      </c>
      <c r="H209" s="41" t="e">
        <f>+'Estimate Details'!#REF!</f>
        <v>#REF!</v>
      </c>
      <c r="I209" s="217" t="e">
        <f>+'Estimate Details'!#REF!</f>
        <v>#REF!</v>
      </c>
      <c r="J209" s="224" t="e">
        <f>+'Estimate Details'!#REF!</f>
        <v>#REF!</v>
      </c>
      <c r="K209" s="42" t="e">
        <f>+'Estimate Details'!#REF!</f>
        <v>#REF!</v>
      </c>
      <c r="L209" s="42" t="e">
        <f>+'Estimate Details'!#REF!</f>
        <v>#REF!</v>
      </c>
      <c r="M209" s="227" t="e">
        <f>+'Estimate Details'!#REF!</f>
        <v>#REF!</v>
      </c>
      <c r="N209" s="195" t="e">
        <f>+'Estimate Details'!#REF!</f>
        <v>#REF!</v>
      </c>
      <c r="O209" s="171" t="e">
        <f>+'Estimate Details'!#REF!</f>
        <v>#REF!</v>
      </c>
      <c r="P209" s="172" t="e">
        <f>+'Estimate Details'!#REF!</f>
        <v>#REF!</v>
      </c>
      <c r="Q209" s="173" t="e">
        <f>+'Estimate Details'!#REF!</f>
        <v>#REF!</v>
      </c>
      <c r="R209" s="174" t="e">
        <f>+'Estimate Details'!#REF!</f>
        <v>#REF!</v>
      </c>
      <c r="S209" s="507"/>
      <c r="T209" s="174" t="e">
        <f>+'Estimate Details'!#REF!</f>
        <v>#REF!</v>
      </c>
      <c r="U209" s="481" t="s">
        <v>1310</v>
      </c>
      <c r="V209" s="172" t="e">
        <f>+'Estimate Details'!#REF!</f>
        <v>#REF!</v>
      </c>
      <c r="W209" s="481" t="s">
        <v>1310</v>
      </c>
      <c r="X209" s="172" t="e">
        <f>+'Estimate Details'!#REF!</f>
        <v>#REF!</v>
      </c>
      <c r="Y209" s="172" t="e">
        <f>+'Estimate Details'!#REF!</f>
        <v>#REF!</v>
      </c>
      <c r="Z209" s="174" t="e">
        <f>+'Estimate Details'!#REF!</f>
        <v>#REF!</v>
      </c>
      <c r="AA209" s="481"/>
      <c r="AB209" s="175" t="e">
        <f>+'Estimate Details'!#REF!</f>
        <v>#REF!</v>
      </c>
      <c r="AC209" s="569"/>
      <c r="AD209" s="176" t="e">
        <f>+'Estimate Details'!#REF!</f>
        <v>#REF!</v>
      </c>
      <c r="AE209" s="156"/>
      <c r="AF209" s="215"/>
      <c r="AG209" s="156"/>
      <c r="AH209" s="156"/>
      <c r="AI209" s="29"/>
      <c r="AJ209" s="29"/>
      <c r="AK209" s="29"/>
      <c r="AL209" s="29"/>
    </row>
    <row r="210" spans="1:44" ht="14.1" customHeight="1">
      <c r="A210" s="116" t="e">
        <f>+'Estimate Details'!#REF!</f>
        <v>#REF!</v>
      </c>
      <c r="B210" s="116"/>
      <c r="C210" s="116"/>
      <c r="D210" s="166"/>
      <c r="E210" s="158" t="e">
        <f>+'Estimate Details'!#REF!</f>
        <v>#REF!</v>
      </c>
      <c r="F210" s="41"/>
      <c r="G210" s="205" t="e">
        <f>+'Estimate Details'!#REF!</f>
        <v>#REF!</v>
      </c>
      <c r="H210" s="41" t="e">
        <f>+'Estimate Details'!#REF!</f>
        <v>#REF!</v>
      </c>
      <c r="I210" s="217" t="e">
        <f>+'Estimate Details'!#REF!</f>
        <v>#REF!</v>
      </c>
      <c r="J210" s="224" t="e">
        <f>+'Estimate Details'!#REF!</f>
        <v>#REF!</v>
      </c>
      <c r="K210" s="42" t="e">
        <f>+'Estimate Details'!#REF!</f>
        <v>#REF!</v>
      </c>
      <c r="L210" s="42" t="e">
        <f>+'Estimate Details'!#REF!</f>
        <v>#REF!</v>
      </c>
      <c r="M210" s="227" t="e">
        <f>+'Estimate Details'!#REF!</f>
        <v>#REF!</v>
      </c>
      <c r="N210" s="195" t="e">
        <f>+'Estimate Details'!#REF!</f>
        <v>#REF!</v>
      </c>
      <c r="O210" s="171" t="e">
        <f>+'Estimate Details'!#REF!</f>
        <v>#REF!</v>
      </c>
      <c r="P210" s="172" t="e">
        <f>+'Estimate Details'!#REF!</f>
        <v>#REF!</v>
      </c>
      <c r="Q210" s="173" t="e">
        <f>+'Estimate Details'!#REF!</f>
        <v>#REF!</v>
      </c>
      <c r="R210" s="174" t="e">
        <f>+'Estimate Details'!#REF!</f>
        <v>#REF!</v>
      </c>
      <c r="S210" s="507"/>
      <c r="T210" s="174" t="e">
        <f>+'Estimate Details'!#REF!</f>
        <v>#REF!</v>
      </c>
      <c r="U210" s="481" t="s">
        <v>1310</v>
      </c>
      <c r="V210" s="172" t="e">
        <f>+'Estimate Details'!#REF!</f>
        <v>#REF!</v>
      </c>
      <c r="W210" s="481" t="s">
        <v>1310</v>
      </c>
      <c r="X210" s="172" t="e">
        <f>+'Estimate Details'!#REF!</f>
        <v>#REF!</v>
      </c>
      <c r="Y210" s="172" t="e">
        <f>+'Estimate Details'!#REF!</f>
        <v>#REF!</v>
      </c>
      <c r="Z210" s="174" t="e">
        <f>+'Estimate Details'!#REF!</f>
        <v>#REF!</v>
      </c>
      <c r="AA210" s="481"/>
      <c r="AB210" s="175" t="e">
        <f>+'Estimate Details'!#REF!</f>
        <v>#REF!</v>
      </c>
      <c r="AC210" s="569"/>
      <c r="AD210" s="176" t="e">
        <f>+'Estimate Details'!#REF!</f>
        <v>#REF!</v>
      </c>
      <c r="AE210" s="156"/>
      <c r="AF210" s="215"/>
      <c r="AG210" s="156"/>
      <c r="AH210" s="156"/>
      <c r="AI210" s="29"/>
      <c r="AJ210" s="29"/>
      <c r="AK210" s="29"/>
      <c r="AL210" s="29"/>
    </row>
    <row r="211" spans="1:44" ht="14.1" customHeight="1">
      <c r="A211" s="116" t="e">
        <f>+'Estimate Details'!#REF!</f>
        <v>#REF!</v>
      </c>
      <c r="B211" s="116"/>
      <c r="C211" s="116"/>
      <c r="D211" s="166"/>
      <c r="E211" s="158" t="e">
        <f>+'Estimate Details'!#REF!</f>
        <v>#REF!</v>
      </c>
      <c r="F211" s="41"/>
      <c r="G211" s="205" t="e">
        <f>+'Estimate Details'!#REF!</f>
        <v>#REF!</v>
      </c>
      <c r="H211" s="41" t="e">
        <f>+'Estimate Details'!#REF!</f>
        <v>#REF!</v>
      </c>
      <c r="I211" s="217" t="e">
        <f>+'Estimate Details'!#REF!</f>
        <v>#REF!</v>
      </c>
      <c r="J211" s="224" t="e">
        <f>+'Estimate Details'!#REF!</f>
        <v>#REF!</v>
      </c>
      <c r="K211" s="42" t="e">
        <f>+'Estimate Details'!#REF!</f>
        <v>#REF!</v>
      </c>
      <c r="L211" s="42" t="e">
        <f>+'Estimate Details'!#REF!</f>
        <v>#REF!</v>
      </c>
      <c r="M211" s="227" t="e">
        <f>+'Estimate Details'!#REF!</f>
        <v>#REF!</v>
      </c>
      <c r="N211" s="195" t="e">
        <f>+'Estimate Details'!#REF!</f>
        <v>#REF!</v>
      </c>
      <c r="O211" s="171" t="e">
        <f>+'Estimate Details'!#REF!</f>
        <v>#REF!</v>
      </c>
      <c r="P211" s="172" t="e">
        <f>+'Estimate Details'!#REF!</f>
        <v>#REF!</v>
      </c>
      <c r="Q211" s="173" t="e">
        <f>+'Estimate Details'!#REF!</f>
        <v>#REF!</v>
      </c>
      <c r="R211" s="174" t="e">
        <f>+'Estimate Details'!#REF!</f>
        <v>#REF!</v>
      </c>
      <c r="S211" s="507"/>
      <c r="T211" s="174" t="e">
        <f>+'Estimate Details'!#REF!</f>
        <v>#REF!</v>
      </c>
      <c r="U211" s="481" t="s">
        <v>1310</v>
      </c>
      <c r="V211" s="172" t="e">
        <f>+'Estimate Details'!#REF!</f>
        <v>#REF!</v>
      </c>
      <c r="W211" s="481" t="s">
        <v>1310</v>
      </c>
      <c r="X211" s="172" t="e">
        <f>+'Estimate Details'!#REF!</f>
        <v>#REF!</v>
      </c>
      <c r="Y211" s="172" t="e">
        <f>+'Estimate Details'!#REF!</f>
        <v>#REF!</v>
      </c>
      <c r="Z211" s="174" t="e">
        <f>+'Estimate Details'!#REF!</f>
        <v>#REF!</v>
      </c>
      <c r="AA211" s="481"/>
      <c r="AB211" s="175" t="e">
        <f>+'Estimate Details'!#REF!</f>
        <v>#REF!</v>
      </c>
      <c r="AC211" s="569"/>
      <c r="AD211" s="176" t="e">
        <f>+'Estimate Details'!#REF!</f>
        <v>#REF!</v>
      </c>
      <c r="AE211" s="156"/>
      <c r="AF211" s="215"/>
      <c r="AG211" s="156"/>
      <c r="AH211" s="156"/>
      <c r="AI211" s="29"/>
      <c r="AJ211" s="29"/>
      <c r="AK211" s="29"/>
      <c r="AL211" s="29"/>
    </row>
    <row r="212" spans="1:44" ht="14.1" customHeight="1">
      <c r="A212" s="116" t="e">
        <f>+'Estimate Details'!#REF!</f>
        <v>#REF!</v>
      </c>
      <c r="B212" s="116"/>
      <c r="C212" s="116"/>
      <c r="D212" s="166"/>
      <c r="E212" s="158" t="e">
        <f>+'Estimate Details'!#REF!</f>
        <v>#REF!</v>
      </c>
      <c r="F212" s="41"/>
      <c r="G212" s="205" t="e">
        <f>+'Estimate Details'!#REF!</f>
        <v>#REF!</v>
      </c>
      <c r="H212" s="41" t="e">
        <f>+'Estimate Details'!#REF!</f>
        <v>#REF!</v>
      </c>
      <c r="I212" s="217" t="e">
        <f>+'Estimate Details'!#REF!</f>
        <v>#REF!</v>
      </c>
      <c r="J212" s="224" t="e">
        <f>+'Estimate Details'!#REF!</f>
        <v>#REF!</v>
      </c>
      <c r="K212" s="42" t="e">
        <f>+'Estimate Details'!#REF!</f>
        <v>#REF!</v>
      </c>
      <c r="L212" s="42" t="e">
        <f>+'Estimate Details'!#REF!</f>
        <v>#REF!</v>
      </c>
      <c r="M212" s="227" t="e">
        <f>+'Estimate Details'!#REF!</f>
        <v>#REF!</v>
      </c>
      <c r="N212" s="195" t="e">
        <f>+'Estimate Details'!#REF!</f>
        <v>#REF!</v>
      </c>
      <c r="O212" s="171" t="e">
        <f>+'Estimate Details'!#REF!</f>
        <v>#REF!</v>
      </c>
      <c r="P212" s="172" t="e">
        <f>+'Estimate Details'!#REF!</f>
        <v>#REF!</v>
      </c>
      <c r="Q212" s="173" t="e">
        <f>+'Estimate Details'!#REF!</f>
        <v>#REF!</v>
      </c>
      <c r="R212" s="174" t="e">
        <f>+'Estimate Details'!#REF!</f>
        <v>#REF!</v>
      </c>
      <c r="S212" s="507"/>
      <c r="T212" s="174" t="e">
        <f>+'Estimate Details'!#REF!</f>
        <v>#REF!</v>
      </c>
      <c r="U212" s="481" t="s">
        <v>1310</v>
      </c>
      <c r="V212" s="172" t="e">
        <f>+'Estimate Details'!#REF!</f>
        <v>#REF!</v>
      </c>
      <c r="W212" s="481" t="s">
        <v>1310</v>
      </c>
      <c r="X212" s="172" t="e">
        <f>+'Estimate Details'!#REF!</f>
        <v>#REF!</v>
      </c>
      <c r="Y212" s="172" t="e">
        <f>+'Estimate Details'!#REF!</f>
        <v>#REF!</v>
      </c>
      <c r="Z212" s="174" t="e">
        <f>+'Estimate Details'!#REF!</f>
        <v>#REF!</v>
      </c>
      <c r="AA212" s="481"/>
      <c r="AB212" s="175" t="e">
        <f>+'Estimate Details'!#REF!</f>
        <v>#REF!</v>
      </c>
      <c r="AC212" s="569"/>
      <c r="AD212" s="176" t="e">
        <f>+'Estimate Details'!#REF!</f>
        <v>#REF!</v>
      </c>
      <c r="AE212" s="156"/>
      <c r="AF212" s="215"/>
      <c r="AG212" s="156"/>
      <c r="AH212" s="156"/>
      <c r="AI212" s="29"/>
      <c r="AJ212" s="29"/>
      <c r="AK212" s="29"/>
      <c r="AL212" s="29"/>
    </row>
    <row r="213" spans="1:44" ht="14.1" customHeight="1">
      <c r="A213" s="116" t="e">
        <f>+'Estimate Details'!#REF!</f>
        <v>#REF!</v>
      </c>
      <c r="B213" s="116"/>
      <c r="C213" s="116"/>
      <c r="D213" s="166"/>
      <c r="E213" s="158" t="e">
        <f>+'Estimate Details'!#REF!</f>
        <v>#REF!</v>
      </c>
      <c r="F213" s="41"/>
      <c r="G213" s="205" t="e">
        <f>+'Estimate Details'!#REF!</f>
        <v>#REF!</v>
      </c>
      <c r="H213" s="41" t="e">
        <f>+'Estimate Details'!#REF!</f>
        <v>#REF!</v>
      </c>
      <c r="I213" s="217" t="e">
        <f>+'Estimate Details'!#REF!</f>
        <v>#REF!</v>
      </c>
      <c r="J213" s="365" t="e">
        <f>+'Estimate Details'!#REF!</f>
        <v>#REF!</v>
      </c>
      <c r="K213" s="42" t="e">
        <f>+'Estimate Details'!#REF!</f>
        <v>#REF!</v>
      </c>
      <c r="L213" s="42" t="e">
        <f>+'Estimate Details'!#REF!</f>
        <v>#REF!</v>
      </c>
      <c r="M213" s="48" t="e">
        <f>+'Estimate Details'!#REF!</f>
        <v>#REF!</v>
      </c>
      <c r="N213" s="226" t="e">
        <f>+'Estimate Details'!#REF!</f>
        <v>#REF!</v>
      </c>
      <c r="O213" s="171" t="e">
        <f>+'Estimate Details'!#REF!</f>
        <v>#REF!</v>
      </c>
      <c r="P213" s="172" t="e">
        <f>+'Estimate Details'!#REF!</f>
        <v>#REF!</v>
      </c>
      <c r="Q213" s="173" t="e">
        <f>+'Estimate Details'!#REF!</f>
        <v>#REF!</v>
      </c>
      <c r="R213" s="174" t="e">
        <f>+'Estimate Details'!#REF!</f>
        <v>#REF!</v>
      </c>
      <c r="S213" s="507"/>
      <c r="T213" s="174" t="e">
        <f>+'Estimate Details'!#REF!</f>
        <v>#REF!</v>
      </c>
      <c r="U213" s="481"/>
      <c r="V213" s="172" t="e">
        <f>+'Estimate Details'!#REF!</f>
        <v>#REF!</v>
      </c>
      <c r="W213" s="481"/>
      <c r="X213" s="172" t="e">
        <f>+'Estimate Details'!#REF!</f>
        <v>#REF!</v>
      </c>
      <c r="Y213" s="172" t="e">
        <f>+'Estimate Details'!#REF!</f>
        <v>#REF!</v>
      </c>
      <c r="Z213" s="174" t="e">
        <f>+'Estimate Details'!#REF!</f>
        <v>#REF!</v>
      </c>
      <c r="AA213" s="481" t="s">
        <v>1310</v>
      </c>
      <c r="AB213" s="175" t="e">
        <f>+'Estimate Details'!#REF!</f>
        <v>#REF!</v>
      </c>
      <c r="AC213" s="569"/>
      <c r="AD213" s="176" t="e">
        <f>+'Estimate Details'!#REF!</f>
        <v>#REF!</v>
      </c>
      <c r="AE213" s="156"/>
      <c r="AF213" s="215"/>
      <c r="AG213" s="156"/>
      <c r="AH213" s="156"/>
      <c r="AI213" s="29"/>
      <c r="AJ213" s="29"/>
      <c r="AK213" s="29"/>
      <c r="AL213" s="29"/>
    </row>
    <row r="214" spans="1:44" s="692" customFormat="1" ht="14.1" customHeight="1">
      <c r="A214" s="673" t="e">
        <f>+'Estimate Details'!#REF!</f>
        <v>#REF!</v>
      </c>
      <c r="B214" s="673"/>
      <c r="C214" s="673"/>
      <c r="D214" s="674"/>
      <c r="E214" s="675" t="e">
        <f>+'Estimate Details'!#REF!</f>
        <v>#REF!</v>
      </c>
      <c r="F214" s="676"/>
      <c r="G214" s="693"/>
      <c r="H214" s="676" t="e">
        <f>+'Estimate Details'!#REF!</f>
        <v>#REF!</v>
      </c>
      <c r="I214" s="679" t="e">
        <f>+'Estimate Details'!#REF!</f>
        <v>#REF!</v>
      </c>
      <c r="J214" s="694" t="e">
        <f>+'Estimate Details'!#REF!</f>
        <v>#REF!</v>
      </c>
      <c r="K214" s="673" t="e">
        <f>+'Estimate Details'!#REF!</f>
        <v>#REF!</v>
      </c>
      <c r="L214" s="673" t="e">
        <f>+'Estimate Details'!#REF!</f>
        <v>#REF!</v>
      </c>
      <c r="M214" s="695"/>
      <c r="N214" s="676"/>
      <c r="O214" s="681"/>
      <c r="P214" s="682"/>
      <c r="Q214" s="683"/>
      <c r="R214" s="684" t="e">
        <f>+'Estimate Details'!#REF!</f>
        <v>#REF!</v>
      </c>
      <c r="S214" s="685"/>
      <c r="T214" s="684" t="e">
        <f>+'Estimate Details'!#REF!</f>
        <v>#REF!</v>
      </c>
      <c r="U214" s="686" t="s">
        <v>1305</v>
      </c>
      <c r="V214" s="682" t="e">
        <f>+'Estimate Details'!#REF!</f>
        <v>#REF!</v>
      </c>
      <c r="W214" s="686" t="s">
        <v>1305</v>
      </c>
      <c r="X214" s="682"/>
      <c r="Y214" s="682"/>
      <c r="Z214" s="684" t="e">
        <f>+'Estimate Details'!#REF!</f>
        <v>#REF!</v>
      </c>
      <c r="AA214" s="686"/>
      <c r="AB214" s="687" t="e">
        <f>+'Estimate Details'!#REF!</f>
        <v>#REF!</v>
      </c>
      <c r="AC214" s="688"/>
      <c r="AD214" s="696" t="e">
        <f>+'Estimate Details'!#REF!</f>
        <v>#REF!</v>
      </c>
      <c r="AE214" s="689"/>
      <c r="AF214" s="697"/>
      <c r="AG214" s="689"/>
      <c r="AH214" s="689"/>
      <c r="AI214" s="690"/>
      <c r="AJ214" s="690"/>
      <c r="AK214" s="690"/>
      <c r="AL214" s="690"/>
      <c r="AM214" s="691"/>
      <c r="AN214" s="691"/>
      <c r="AO214" s="691"/>
      <c r="AP214" s="691"/>
      <c r="AQ214" s="691"/>
      <c r="AR214" s="691"/>
    </row>
    <row r="215" spans="1:44" ht="14.1" customHeight="1">
      <c r="A215" s="673" t="e">
        <f>+'Estimate Details'!#REF!</f>
        <v>#REF!</v>
      </c>
      <c r="B215" s="673"/>
      <c r="C215" s="673"/>
      <c r="D215" s="674"/>
      <c r="E215" s="675" t="e">
        <f>+'Estimate Details'!#REF!</f>
        <v>#REF!</v>
      </c>
      <c r="F215" s="676"/>
      <c r="G215" s="693"/>
      <c r="H215" s="676" t="e">
        <f>+'Estimate Details'!#REF!</f>
        <v>#REF!</v>
      </c>
      <c r="I215" s="679" t="e">
        <f>+'Estimate Details'!#REF!</f>
        <v>#REF!</v>
      </c>
      <c r="J215" s="694" t="e">
        <f>+'Estimate Details'!#REF!</f>
        <v>#REF!</v>
      </c>
      <c r="K215" s="673" t="e">
        <f>+'Estimate Details'!#REF!</f>
        <v>#REF!</v>
      </c>
      <c r="L215" s="673" t="e">
        <f>+'Estimate Details'!#REF!</f>
        <v>#REF!</v>
      </c>
      <c r="M215" s="695"/>
      <c r="N215" s="676"/>
      <c r="O215" s="681"/>
      <c r="P215" s="682"/>
      <c r="Q215" s="683"/>
      <c r="R215" s="684" t="e">
        <f>+'Estimate Details'!#REF!</f>
        <v>#REF!</v>
      </c>
      <c r="S215" s="685"/>
      <c r="T215" s="684" t="e">
        <f>+'Estimate Details'!#REF!</f>
        <v>#REF!</v>
      </c>
      <c r="U215" s="686" t="s">
        <v>1305</v>
      </c>
      <c r="V215" s="682" t="e">
        <f>+'Estimate Details'!#REF!</f>
        <v>#REF!</v>
      </c>
      <c r="W215" s="686" t="s">
        <v>1305</v>
      </c>
      <c r="X215" s="682"/>
      <c r="Y215" s="682"/>
      <c r="Z215" s="684" t="e">
        <f>+'Estimate Details'!#REF!</f>
        <v>#REF!</v>
      </c>
      <c r="AA215" s="686"/>
      <c r="AB215" s="687" t="e">
        <f>+'Estimate Details'!#REF!</f>
        <v>#REF!</v>
      </c>
      <c r="AC215" s="688"/>
      <c r="AD215" s="696" t="e">
        <f>+'Estimate Details'!#REF!</f>
        <v>#REF!</v>
      </c>
      <c r="AE215" s="156"/>
      <c r="AF215" s="215"/>
      <c r="AG215" s="156"/>
      <c r="AH215" s="156"/>
      <c r="AI215" s="29"/>
      <c r="AJ215" s="29"/>
      <c r="AK215" s="29"/>
      <c r="AL215" s="29"/>
    </row>
    <row r="216" spans="1:44" ht="14.1" customHeight="1">
      <c r="A216" s="116" t="e">
        <f>+'Estimate Details'!#REF!</f>
        <v>#REF!</v>
      </c>
      <c r="B216" s="116"/>
      <c r="C216" s="116"/>
      <c r="D216" s="166"/>
      <c r="E216" s="158" t="e">
        <f>+'Estimate Details'!#REF!</f>
        <v>#REF!</v>
      </c>
      <c r="F216" s="41"/>
      <c r="G216" s="205" t="e">
        <f>+'Estimate Details'!#REF!</f>
        <v>#REF!</v>
      </c>
      <c r="H216" s="118" t="e">
        <f>+'Estimate Details'!#REF!</f>
        <v>#REF!</v>
      </c>
      <c r="I216" s="108" t="e">
        <f>+'Estimate Details'!#REF!</f>
        <v>#REF!</v>
      </c>
      <c r="J216" s="379" t="e">
        <f>+'Estimate Details'!#REF!</f>
        <v>#REF!</v>
      </c>
      <c r="K216" s="116" t="e">
        <f>+'Estimate Details'!#REF!</f>
        <v>#REF!</v>
      </c>
      <c r="L216" s="116" t="e">
        <f>+'Estimate Details'!#REF!</f>
        <v>#REF!</v>
      </c>
      <c r="M216" s="204" t="e">
        <f>+'Estimate Details'!#REF!</f>
        <v>#REF!</v>
      </c>
      <c r="N216" s="218" t="e">
        <f>+'Estimate Details'!#REF!</f>
        <v>#REF!</v>
      </c>
      <c r="O216" s="171" t="e">
        <f>+'Estimate Details'!#REF!</f>
        <v>#REF!</v>
      </c>
      <c r="P216" s="172" t="e">
        <f>+'Estimate Details'!#REF!</f>
        <v>#REF!</v>
      </c>
      <c r="Q216" s="173" t="e">
        <f>+'Estimate Details'!#REF!</f>
        <v>#REF!</v>
      </c>
      <c r="R216" s="174" t="e">
        <f>+'Estimate Details'!#REF!</f>
        <v>#REF!</v>
      </c>
      <c r="S216" s="507"/>
      <c r="T216" s="174" t="e">
        <f>+'Estimate Details'!#REF!</f>
        <v>#REF!</v>
      </c>
      <c r="U216" s="481" t="s">
        <v>1305</v>
      </c>
      <c r="V216" s="172" t="e">
        <f>+'Estimate Details'!#REF!</f>
        <v>#REF!</v>
      </c>
      <c r="W216" s="481" t="s">
        <v>1305</v>
      </c>
      <c r="X216" s="172" t="e">
        <f>+'Estimate Details'!#REF!</f>
        <v>#REF!</v>
      </c>
      <c r="Y216" s="172" t="e">
        <f>+'Estimate Details'!#REF!</f>
        <v>#REF!</v>
      </c>
      <c r="Z216" s="174" t="e">
        <f>+'Estimate Details'!#REF!</f>
        <v>#REF!</v>
      </c>
      <c r="AA216" s="481"/>
      <c r="AB216" s="175" t="e">
        <f>+'Estimate Details'!#REF!</f>
        <v>#REF!</v>
      </c>
      <c r="AC216" s="569"/>
      <c r="AD216" s="183" t="e">
        <f>+'Estimate Details'!#REF!</f>
        <v>#REF!</v>
      </c>
      <c r="AE216" s="156"/>
      <c r="AF216" s="215"/>
      <c r="AG216" s="156"/>
      <c r="AH216" s="156"/>
      <c r="AI216" s="29"/>
      <c r="AJ216" s="29"/>
      <c r="AK216" s="29"/>
      <c r="AL216" s="29"/>
    </row>
    <row r="217" spans="1:44" ht="14.1" customHeight="1">
      <c r="A217" s="116" t="e">
        <f>+'Estimate Details'!#REF!</f>
        <v>#REF!</v>
      </c>
      <c r="B217" s="116"/>
      <c r="C217" s="116"/>
      <c r="D217" s="166"/>
      <c r="E217" s="158" t="e">
        <f>+'Estimate Details'!#REF!</f>
        <v>#REF!</v>
      </c>
      <c r="F217" s="41"/>
      <c r="G217" s="205" t="e">
        <f>+'Estimate Details'!#REF!</f>
        <v>#REF!</v>
      </c>
      <c r="H217" s="118" t="e">
        <f>+'Estimate Details'!#REF!</f>
        <v>#REF!</v>
      </c>
      <c r="I217" s="108" t="e">
        <f>+'Estimate Details'!#REF!</f>
        <v>#REF!</v>
      </c>
      <c r="J217" s="379" t="e">
        <f>+'Estimate Details'!#REF!</f>
        <v>#REF!</v>
      </c>
      <c r="K217" s="116" t="e">
        <f>+'Estimate Details'!#REF!</f>
        <v>#REF!</v>
      </c>
      <c r="L217" s="116" t="e">
        <f>+'Estimate Details'!#REF!</f>
        <v>#REF!</v>
      </c>
      <c r="M217" s="204" t="e">
        <f>+'Estimate Details'!#REF!</f>
        <v>#REF!</v>
      </c>
      <c r="N217" s="218" t="e">
        <f>+'Estimate Details'!#REF!</f>
        <v>#REF!</v>
      </c>
      <c r="O217" s="171" t="e">
        <f>+'Estimate Details'!#REF!</f>
        <v>#REF!</v>
      </c>
      <c r="P217" s="172" t="e">
        <f>+'Estimate Details'!#REF!</f>
        <v>#REF!</v>
      </c>
      <c r="Q217" s="173" t="e">
        <f>+'Estimate Details'!#REF!</f>
        <v>#REF!</v>
      </c>
      <c r="R217" s="174" t="e">
        <f>+'Estimate Details'!#REF!</f>
        <v>#REF!</v>
      </c>
      <c r="S217" s="507"/>
      <c r="T217" s="174" t="e">
        <f>+'Estimate Details'!#REF!</f>
        <v>#REF!</v>
      </c>
      <c r="U217" s="481" t="s">
        <v>1305</v>
      </c>
      <c r="V217" s="172" t="e">
        <f>+'Estimate Details'!#REF!</f>
        <v>#REF!</v>
      </c>
      <c r="W217" s="481" t="s">
        <v>1305</v>
      </c>
      <c r="X217" s="172" t="e">
        <f>+'Estimate Details'!#REF!</f>
        <v>#REF!</v>
      </c>
      <c r="Y217" s="172" t="e">
        <f>+'Estimate Details'!#REF!</f>
        <v>#REF!</v>
      </c>
      <c r="Z217" s="174" t="e">
        <f>+'Estimate Details'!#REF!</f>
        <v>#REF!</v>
      </c>
      <c r="AA217" s="481"/>
      <c r="AB217" s="175" t="e">
        <f>+'Estimate Details'!#REF!</f>
        <v>#REF!</v>
      </c>
      <c r="AC217" s="569"/>
      <c r="AD217" s="183" t="e">
        <f>+'Estimate Details'!#REF!</f>
        <v>#REF!</v>
      </c>
      <c r="AE217" s="156"/>
      <c r="AF217" s="215"/>
      <c r="AG217" s="156"/>
      <c r="AH217" s="156"/>
      <c r="AI217" s="29"/>
      <c r="AJ217" s="29"/>
      <c r="AK217" s="29"/>
      <c r="AL217" s="29"/>
    </row>
    <row r="218" spans="1:44" ht="14.1" customHeight="1">
      <c r="A218" s="116" t="e">
        <f>+'Estimate Details'!#REF!</f>
        <v>#REF!</v>
      </c>
      <c r="B218" s="116"/>
      <c r="C218" s="116"/>
      <c r="D218" s="166"/>
      <c r="E218" s="158" t="e">
        <f>+'Estimate Details'!#REF!</f>
        <v>#REF!</v>
      </c>
      <c r="F218" s="41"/>
      <c r="G218" s="117" t="e">
        <f>+'Estimate Details'!#REF!</f>
        <v>#REF!</v>
      </c>
      <c r="H218" s="118" t="e">
        <f>+'Estimate Details'!#REF!</f>
        <v>#REF!</v>
      </c>
      <c r="I218" s="108" t="e">
        <f>+'Estimate Details'!#REF!</f>
        <v>#REF!</v>
      </c>
      <c r="J218" s="179" t="e">
        <f>+'Estimate Details'!#REF!</f>
        <v>#REF!</v>
      </c>
      <c r="K218" s="116" t="e">
        <f>+'Estimate Details'!#REF!</f>
        <v>#REF!</v>
      </c>
      <c r="L218" s="116" t="e">
        <f>+'Estimate Details'!#REF!</f>
        <v>#REF!</v>
      </c>
      <c r="M218" s="204" t="e">
        <f>+'Estimate Details'!#REF!</f>
        <v>#REF!</v>
      </c>
      <c r="N218" s="218" t="e">
        <f>+'Estimate Details'!#REF!</f>
        <v>#REF!</v>
      </c>
      <c r="O218" s="171" t="e">
        <f>+'Estimate Details'!#REF!</f>
        <v>#REF!</v>
      </c>
      <c r="P218" s="172" t="e">
        <f>+'Estimate Details'!#REF!</f>
        <v>#REF!</v>
      </c>
      <c r="Q218" s="173" t="e">
        <f>+'Estimate Details'!#REF!</f>
        <v>#REF!</v>
      </c>
      <c r="R218" s="174" t="e">
        <f>+'Estimate Details'!#REF!</f>
        <v>#REF!</v>
      </c>
      <c r="S218" s="507"/>
      <c r="T218" s="174" t="e">
        <f>+'Estimate Details'!#REF!</f>
        <v>#REF!</v>
      </c>
      <c r="U218" s="481" t="s">
        <v>1305</v>
      </c>
      <c r="V218" s="172" t="e">
        <f>+'Estimate Details'!#REF!</f>
        <v>#REF!</v>
      </c>
      <c r="W218" s="481" t="s">
        <v>1305</v>
      </c>
      <c r="X218" s="172" t="e">
        <f>+'Estimate Details'!#REF!</f>
        <v>#REF!</v>
      </c>
      <c r="Y218" s="172" t="e">
        <f>+'Estimate Details'!#REF!</f>
        <v>#REF!</v>
      </c>
      <c r="Z218" s="174" t="e">
        <f>+'Estimate Details'!#REF!</f>
        <v>#REF!</v>
      </c>
      <c r="AA218" s="481"/>
      <c r="AB218" s="175" t="e">
        <f>+'Estimate Details'!#REF!</f>
        <v>#REF!</v>
      </c>
      <c r="AC218" s="569"/>
      <c r="AD218" s="183" t="e">
        <f>+'Estimate Details'!#REF!</f>
        <v>#REF!</v>
      </c>
      <c r="AE218" s="156"/>
      <c r="AF218" s="215"/>
      <c r="AG218" s="156"/>
      <c r="AH218" s="156"/>
      <c r="AI218" s="29"/>
      <c r="AJ218" s="29"/>
      <c r="AK218" s="29"/>
      <c r="AL218" s="29"/>
    </row>
    <row r="219" spans="1:44" ht="13.5" customHeight="1">
      <c r="A219" s="116" t="e">
        <f>+'Estimate Details'!#REF!</f>
        <v>#REF!</v>
      </c>
      <c r="B219" s="116"/>
      <c r="C219" s="116"/>
      <c r="D219" s="166"/>
      <c r="E219" s="158" t="e">
        <f>+'Estimate Details'!#REF!</f>
        <v>#REF!</v>
      </c>
      <c r="F219" s="41"/>
      <c r="G219" s="117" t="e">
        <f>+'Estimate Details'!#REF!</f>
        <v>#REF!</v>
      </c>
      <c r="H219" s="118" t="e">
        <f>+'Estimate Details'!#REF!</f>
        <v>#REF!</v>
      </c>
      <c r="I219" s="108" t="e">
        <f>+'Estimate Details'!#REF!</f>
        <v>#REF!</v>
      </c>
      <c r="J219" s="179" t="e">
        <f>+'Estimate Details'!#REF!</f>
        <v>#REF!</v>
      </c>
      <c r="K219" s="116" t="e">
        <f>+'Estimate Details'!#REF!</f>
        <v>#REF!</v>
      </c>
      <c r="L219" s="116" t="e">
        <f>+'Estimate Details'!#REF!</f>
        <v>#REF!</v>
      </c>
      <c r="M219" s="204" t="e">
        <f>+'Estimate Details'!#REF!</f>
        <v>#REF!</v>
      </c>
      <c r="N219" s="218" t="e">
        <f>+'Estimate Details'!#REF!</f>
        <v>#REF!</v>
      </c>
      <c r="O219" s="171" t="e">
        <f>+'Estimate Details'!#REF!</f>
        <v>#REF!</v>
      </c>
      <c r="P219" s="172" t="e">
        <f>+'Estimate Details'!#REF!</f>
        <v>#REF!</v>
      </c>
      <c r="Q219" s="173" t="e">
        <f>+'Estimate Details'!#REF!</f>
        <v>#REF!</v>
      </c>
      <c r="R219" s="174" t="e">
        <f>+'Estimate Details'!#REF!</f>
        <v>#REF!</v>
      </c>
      <c r="S219" s="507"/>
      <c r="T219" s="174" t="e">
        <f>+'Estimate Details'!#REF!</f>
        <v>#REF!</v>
      </c>
      <c r="U219" s="481" t="s">
        <v>1306</v>
      </c>
      <c r="V219" s="172" t="e">
        <f>+'Estimate Details'!#REF!</f>
        <v>#REF!</v>
      </c>
      <c r="W219" s="481" t="s">
        <v>1306</v>
      </c>
      <c r="X219" s="172" t="e">
        <f>+'Estimate Details'!#REF!</f>
        <v>#REF!</v>
      </c>
      <c r="Y219" s="172" t="e">
        <f>+'Estimate Details'!#REF!</f>
        <v>#REF!</v>
      </c>
      <c r="Z219" s="174" t="e">
        <f>+'Estimate Details'!#REF!</f>
        <v>#REF!</v>
      </c>
      <c r="AA219" s="481"/>
      <c r="AB219" s="175" t="e">
        <f>+'Estimate Details'!#REF!</f>
        <v>#REF!</v>
      </c>
      <c r="AC219" s="569"/>
      <c r="AD219" s="183" t="e">
        <f>+'Estimate Details'!#REF!</f>
        <v>#REF!</v>
      </c>
      <c r="AE219" s="156"/>
      <c r="AF219" s="215"/>
      <c r="AG219" s="156"/>
      <c r="AH219" s="156"/>
      <c r="AI219" s="29"/>
      <c r="AJ219" s="29"/>
      <c r="AK219" s="29"/>
      <c r="AL219" s="29"/>
    </row>
    <row r="220" spans="1:44" ht="13.5" customHeight="1">
      <c r="A220" s="116" t="e">
        <f>+'Estimate Details'!#REF!</f>
        <v>#REF!</v>
      </c>
      <c r="B220" s="116"/>
      <c r="C220" s="116"/>
      <c r="D220" s="166"/>
      <c r="E220" s="158" t="e">
        <f>+'Estimate Details'!#REF!</f>
        <v>#REF!</v>
      </c>
      <c r="F220" s="41"/>
      <c r="G220" s="117" t="e">
        <f>+'Estimate Details'!#REF!</f>
        <v>#REF!</v>
      </c>
      <c r="H220" s="118" t="e">
        <f>+'Estimate Details'!#REF!</f>
        <v>#REF!</v>
      </c>
      <c r="I220" s="108" t="e">
        <f>+'Estimate Details'!#REF!</f>
        <v>#REF!</v>
      </c>
      <c r="J220" s="179" t="e">
        <f>+'Estimate Details'!#REF!</f>
        <v>#REF!</v>
      </c>
      <c r="K220" s="116" t="e">
        <f>+'Estimate Details'!#REF!</f>
        <v>#REF!</v>
      </c>
      <c r="L220" s="116" t="e">
        <f>+'Estimate Details'!#REF!</f>
        <v>#REF!</v>
      </c>
      <c r="M220" s="204" t="e">
        <f>+'Estimate Details'!#REF!</f>
        <v>#REF!</v>
      </c>
      <c r="N220" s="218" t="e">
        <f>+'Estimate Details'!#REF!</f>
        <v>#REF!</v>
      </c>
      <c r="O220" s="171" t="e">
        <f>+'Estimate Details'!#REF!</f>
        <v>#REF!</v>
      </c>
      <c r="P220" s="172" t="e">
        <f>+'Estimate Details'!#REF!</f>
        <v>#REF!</v>
      </c>
      <c r="Q220" s="173" t="e">
        <f>+'Estimate Details'!#REF!</f>
        <v>#REF!</v>
      </c>
      <c r="R220" s="174" t="e">
        <f>+'Estimate Details'!#REF!</f>
        <v>#REF!</v>
      </c>
      <c r="S220" s="507"/>
      <c r="T220" s="174" t="e">
        <f>+'Estimate Details'!#REF!</f>
        <v>#REF!</v>
      </c>
      <c r="U220" s="481" t="s">
        <v>1307</v>
      </c>
      <c r="V220" s="172" t="e">
        <f>+'Estimate Details'!#REF!</f>
        <v>#REF!</v>
      </c>
      <c r="W220" s="481" t="s">
        <v>1307</v>
      </c>
      <c r="X220" s="172" t="e">
        <f>+'Estimate Details'!#REF!</f>
        <v>#REF!</v>
      </c>
      <c r="Y220" s="172" t="e">
        <f>+'Estimate Details'!#REF!</f>
        <v>#REF!</v>
      </c>
      <c r="Z220" s="174" t="e">
        <f>+'Estimate Details'!#REF!</f>
        <v>#REF!</v>
      </c>
      <c r="AA220" s="481"/>
      <c r="AB220" s="175" t="e">
        <f>+'Estimate Details'!#REF!</f>
        <v>#REF!</v>
      </c>
      <c r="AC220" s="569"/>
      <c r="AD220" s="183" t="e">
        <f>+'Estimate Details'!#REF!</f>
        <v>#REF!</v>
      </c>
      <c r="AE220" s="156"/>
      <c r="AF220" s="215"/>
      <c r="AG220" s="156"/>
      <c r="AH220" s="156"/>
      <c r="AI220" s="29"/>
      <c r="AJ220" s="29"/>
      <c r="AK220" s="29"/>
      <c r="AL220" s="29"/>
    </row>
    <row r="221" spans="1:44" ht="14.1" customHeight="1">
      <c r="A221" s="116" t="e">
        <f>+'Estimate Details'!#REF!</f>
        <v>#REF!</v>
      </c>
      <c r="B221" s="116"/>
      <c r="C221" s="116"/>
      <c r="D221" s="166"/>
      <c r="E221" s="158" t="e">
        <f>+'Estimate Details'!#REF!</f>
        <v>#REF!</v>
      </c>
      <c r="F221" s="41"/>
      <c r="G221" s="117" t="e">
        <f>+'Estimate Details'!#REF!</f>
        <v>#REF!</v>
      </c>
      <c r="H221" s="118" t="e">
        <f>+'Estimate Details'!#REF!</f>
        <v>#REF!</v>
      </c>
      <c r="I221" s="108" t="e">
        <f>+'Estimate Details'!#REF!</f>
        <v>#REF!</v>
      </c>
      <c r="J221" s="179" t="e">
        <f>+'Estimate Details'!#REF!</f>
        <v>#REF!</v>
      </c>
      <c r="K221" s="116" t="e">
        <f>+'Estimate Details'!#REF!</f>
        <v>#REF!</v>
      </c>
      <c r="L221" s="116" t="e">
        <f>+'Estimate Details'!#REF!</f>
        <v>#REF!</v>
      </c>
      <c r="M221" s="204" t="e">
        <f>+'Estimate Details'!#REF!</f>
        <v>#REF!</v>
      </c>
      <c r="N221" s="218" t="e">
        <f>+'Estimate Details'!#REF!</f>
        <v>#REF!</v>
      </c>
      <c r="O221" s="171" t="e">
        <f>+'Estimate Details'!#REF!</f>
        <v>#REF!</v>
      </c>
      <c r="P221" s="172" t="e">
        <f>+'Estimate Details'!#REF!</f>
        <v>#REF!</v>
      </c>
      <c r="Q221" s="173" t="e">
        <f>+'Estimate Details'!#REF!</f>
        <v>#REF!</v>
      </c>
      <c r="R221" s="174" t="e">
        <f>+'Estimate Details'!#REF!</f>
        <v>#REF!</v>
      </c>
      <c r="S221" s="507"/>
      <c r="T221" s="174" t="e">
        <f>+'Estimate Details'!#REF!</f>
        <v>#REF!</v>
      </c>
      <c r="U221" s="481" t="s">
        <v>1308</v>
      </c>
      <c r="V221" s="172" t="e">
        <f>+'Estimate Details'!#REF!</f>
        <v>#REF!</v>
      </c>
      <c r="W221" s="481" t="s">
        <v>1308</v>
      </c>
      <c r="X221" s="172" t="e">
        <f>+'Estimate Details'!#REF!</f>
        <v>#REF!</v>
      </c>
      <c r="Y221" s="172" t="e">
        <f>+'Estimate Details'!#REF!</f>
        <v>#REF!</v>
      </c>
      <c r="Z221" s="174" t="e">
        <f>+'Estimate Details'!#REF!</f>
        <v>#REF!</v>
      </c>
      <c r="AA221" s="481"/>
      <c r="AB221" s="175" t="e">
        <f>+'Estimate Details'!#REF!</f>
        <v>#REF!</v>
      </c>
      <c r="AC221" s="569"/>
      <c r="AD221" s="183" t="e">
        <f>+'Estimate Details'!#REF!</f>
        <v>#REF!</v>
      </c>
      <c r="AE221" s="156"/>
      <c r="AF221" s="215"/>
      <c r="AG221" s="156"/>
      <c r="AH221" s="156"/>
      <c r="AI221" s="29"/>
      <c r="AJ221" s="29"/>
      <c r="AK221" s="29"/>
      <c r="AL221" s="29"/>
    </row>
    <row r="222" spans="1:44" ht="13.5" customHeight="1">
      <c r="A222" s="116" t="e">
        <f>+'Estimate Details'!#REF!</f>
        <v>#REF!</v>
      </c>
      <c r="B222" s="116"/>
      <c r="C222" s="116"/>
      <c r="D222" s="166"/>
      <c r="E222" s="158" t="e">
        <f>+'Estimate Details'!#REF!</f>
        <v>#REF!</v>
      </c>
      <c r="F222" s="41"/>
      <c r="G222" s="117" t="e">
        <f>+'Estimate Details'!#REF!</f>
        <v>#REF!</v>
      </c>
      <c r="H222" s="118" t="e">
        <f>+'Estimate Details'!#REF!</f>
        <v>#REF!</v>
      </c>
      <c r="I222" s="108" t="e">
        <f>+'Estimate Details'!#REF!</f>
        <v>#REF!</v>
      </c>
      <c r="J222" s="179" t="e">
        <f>+'Estimate Details'!#REF!</f>
        <v>#REF!</v>
      </c>
      <c r="K222" s="116" t="e">
        <f>+'Estimate Details'!#REF!</f>
        <v>#REF!</v>
      </c>
      <c r="L222" s="116" t="e">
        <f>+'Estimate Details'!#REF!</f>
        <v>#REF!</v>
      </c>
      <c r="M222" s="204" t="e">
        <f>+'Estimate Details'!#REF!</f>
        <v>#REF!</v>
      </c>
      <c r="N222" s="218" t="e">
        <f>+'Estimate Details'!#REF!</f>
        <v>#REF!</v>
      </c>
      <c r="O222" s="171" t="e">
        <f>+'Estimate Details'!#REF!</f>
        <v>#REF!</v>
      </c>
      <c r="P222" s="172" t="e">
        <f>+'Estimate Details'!#REF!</f>
        <v>#REF!</v>
      </c>
      <c r="Q222" s="173" t="e">
        <f>+'Estimate Details'!#REF!</f>
        <v>#REF!</v>
      </c>
      <c r="R222" s="174" t="e">
        <f>+'Estimate Details'!#REF!</f>
        <v>#REF!</v>
      </c>
      <c r="S222" s="507"/>
      <c r="T222" s="174" t="e">
        <f>+'Estimate Details'!#REF!</f>
        <v>#REF!</v>
      </c>
      <c r="U222" s="481" t="s">
        <v>1309</v>
      </c>
      <c r="V222" s="172" t="e">
        <f>+'Estimate Details'!#REF!</f>
        <v>#REF!</v>
      </c>
      <c r="W222" s="481" t="s">
        <v>1309</v>
      </c>
      <c r="X222" s="172" t="e">
        <f>+'Estimate Details'!#REF!</f>
        <v>#REF!</v>
      </c>
      <c r="Y222" s="172" t="e">
        <f>+'Estimate Details'!#REF!</f>
        <v>#REF!</v>
      </c>
      <c r="Z222" s="174" t="e">
        <f>+'Estimate Details'!#REF!</f>
        <v>#REF!</v>
      </c>
      <c r="AA222" s="481"/>
      <c r="AB222" s="175" t="e">
        <f>+'Estimate Details'!#REF!</f>
        <v>#REF!</v>
      </c>
      <c r="AC222" s="569"/>
      <c r="AD222" s="183" t="e">
        <f>+'Estimate Details'!#REF!</f>
        <v>#REF!</v>
      </c>
      <c r="AE222" s="156"/>
      <c r="AF222" s="215"/>
      <c r="AG222" s="156"/>
      <c r="AH222" s="156"/>
      <c r="AI222" s="29"/>
      <c r="AJ222" s="29"/>
      <c r="AK222" s="29"/>
      <c r="AL222" s="29"/>
    </row>
    <row r="223" spans="1:44" ht="14.1" customHeight="1">
      <c r="A223" s="116" t="e">
        <f>+'Estimate Details'!#REF!</f>
        <v>#REF!</v>
      </c>
      <c r="B223" s="116"/>
      <c r="C223" s="116"/>
      <c r="D223" s="166"/>
      <c r="E223" s="158" t="e">
        <f>+'Estimate Details'!#REF!</f>
        <v>#REF!</v>
      </c>
      <c r="F223" s="41"/>
      <c r="G223" s="117" t="e">
        <f>+'Estimate Details'!#REF!</f>
        <v>#REF!</v>
      </c>
      <c r="H223" s="118" t="e">
        <f>+'Estimate Details'!#REF!</f>
        <v>#REF!</v>
      </c>
      <c r="I223" s="108" t="e">
        <f>+'Estimate Details'!#REF!</f>
        <v>#REF!</v>
      </c>
      <c r="J223" s="179" t="e">
        <f>+'Estimate Details'!#REF!</f>
        <v>#REF!</v>
      </c>
      <c r="K223" s="116" t="e">
        <f>+'Estimate Details'!#REF!</f>
        <v>#REF!</v>
      </c>
      <c r="L223" s="116" t="e">
        <f>+'Estimate Details'!#REF!</f>
        <v>#REF!</v>
      </c>
      <c r="M223" s="204" t="e">
        <f>+'Estimate Details'!#REF!</f>
        <v>#REF!</v>
      </c>
      <c r="N223" s="218" t="e">
        <f>+'Estimate Details'!#REF!</f>
        <v>#REF!</v>
      </c>
      <c r="O223" s="171" t="e">
        <f>+'Estimate Details'!#REF!</f>
        <v>#REF!</v>
      </c>
      <c r="P223" s="172" t="e">
        <f>+'Estimate Details'!#REF!</f>
        <v>#REF!</v>
      </c>
      <c r="Q223" s="173" t="e">
        <f>+'Estimate Details'!#REF!</f>
        <v>#REF!</v>
      </c>
      <c r="R223" s="174" t="e">
        <f>+'Estimate Details'!#REF!</f>
        <v>#REF!</v>
      </c>
      <c r="S223" s="507"/>
      <c r="T223" s="174" t="e">
        <f>+'Estimate Details'!#REF!</f>
        <v>#REF!</v>
      </c>
      <c r="U223" s="481" t="s">
        <v>1310</v>
      </c>
      <c r="V223" s="172" t="e">
        <f>+'Estimate Details'!#REF!</f>
        <v>#REF!</v>
      </c>
      <c r="W223" s="481" t="s">
        <v>1310</v>
      </c>
      <c r="X223" s="172" t="e">
        <f>+'Estimate Details'!#REF!</f>
        <v>#REF!</v>
      </c>
      <c r="Y223" s="172" t="e">
        <f>+'Estimate Details'!#REF!</f>
        <v>#REF!</v>
      </c>
      <c r="Z223" s="174" t="e">
        <f>+'Estimate Details'!#REF!</f>
        <v>#REF!</v>
      </c>
      <c r="AA223" s="481"/>
      <c r="AB223" s="175" t="e">
        <f>+'Estimate Details'!#REF!</f>
        <v>#REF!</v>
      </c>
      <c r="AC223" s="569"/>
      <c r="AD223" s="183" t="e">
        <f>+'Estimate Details'!#REF!</f>
        <v>#REF!</v>
      </c>
      <c r="AE223" s="156"/>
      <c r="AF223" s="215"/>
      <c r="AG223" s="156"/>
      <c r="AH223" s="156"/>
      <c r="AI223" s="29"/>
      <c r="AJ223" s="29"/>
      <c r="AK223" s="29"/>
      <c r="AL223" s="29"/>
    </row>
    <row r="224" spans="1:44" ht="14.1" customHeight="1">
      <c r="A224" s="116" t="e">
        <f>+'Estimate Details'!#REF!</f>
        <v>#REF!</v>
      </c>
      <c r="B224" s="116"/>
      <c r="C224" s="116"/>
      <c r="D224" s="166"/>
      <c r="E224" s="158" t="e">
        <f>+'Estimate Details'!#REF!</f>
        <v>#REF!</v>
      </c>
      <c r="F224" s="41"/>
      <c r="G224" s="205" t="e">
        <f>+'Estimate Details'!#REF!</f>
        <v>#REF!</v>
      </c>
      <c r="H224" s="118" t="e">
        <f>+'Estimate Details'!#REF!</f>
        <v>#REF!</v>
      </c>
      <c r="I224" s="108" t="e">
        <f>+'Estimate Details'!#REF!</f>
        <v>#REF!</v>
      </c>
      <c r="J224" s="379" t="e">
        <f>+'Estimate Details'!#REF!</f>
        <v>#REF!</v>
      </c>
      <c r="K224" s="116" t="e">
        <f>+'Estimate Details'!#REF!</f>
        <v>#REF!</v>
      </c>
      <c r="L224" s="116" t="e">
        <f>+'Estimate Details'!#REF!</f>
        <v>#REF!</v>
      </c>
      <c r="M224" s="204" t="e">
        <f>+'Estimate Details'!#REF!</f>
        <v>#REF!</v>
      </c>
      <c r="N224" s="194" t="e">
        <f>+'Estimate Details'!#REF!</f>
        <v>#REF!</v>
      </c>
      <c r="O224" s="171" t="e">
        <f>+'Estimate Details'!#REF!</f>
        <v>#REF!</v>
      </c>
      <c r="P224" s="172" t="e">
        <f>+'Estimate Details'!#REF!</f>
        <v>#REF!</v>
      </c>
      <c r="Q224" s="173" t="e">
        <f>+'Estimate Details'!#REF!</f>
        <v>#REF!</v>
      </c>
      <c r="R224" s="174" t="e">
        <f>+'Estimate Details'!#REF!</f>
        <v>#REF!</v>
      </c>
      <c r="S224" s="507"/>
      <c r="T224" s="174" t="e">
        <f>+'Estimate Details'!#REF!</f>
        <v>#REF!</v>
      </c>
      <c r="U224" s="481"/>
      <c r="V224" s="172" t="e">
        <f>+'Estimate Details'!#REF!</f>
        <v>#REF!</v>
      </c>
      <c r="W224" s="481"/>
      <c r="X224" s="172" t="e">
        <f>+'Estimate Details'!#REF!</f>
        <v>#REF!</v>
      </c>
      <c r="Y224" s="172" t="e">
        <f>+'Estimate Details'!#REF!</f>
        <v>#REF!</v>
      </c>
      <c r="Z224" s="174" t="e">
        <f>+'Estimate Details'!#REF!</f>
        <v>#REF!</v>
      </c>
      <c r="AA224" s="481"/>
      <c r="AB224" s="175" t="e">
        <f>+'Estimate Details'!#REF!</f>
        <v>#REF!</v>
      </c>
      <c r="AC224" s="569"/>
      <c r="AD224" s="183" t="e">
        <f>+'Estimate Details'!#REF!</f>
        <v>#REF!</v>
      </c>
      <c r="AE224" s="156"/>
      <c r="AF224" s="215"/>
      <c r="AG224" s="156"/>
      <c r="AH224" s="156"/>
      <c r="AI224" s="29"/>
      <c r="AJ224" s="29"/>
      <c r="AK224" s="29"/>
      <c r="AL224" s="29"/>
    </row>
    <row r="225" spans="1:38" ht="14.1" customHeight="1">
      <c r="A225" s="116" t="e">
        <f>+'Estimate Details'!#REF!</f>
        <v>#REF!</v>
      </c>
      <c r="B225" s="116"/>
      <c r="C225" s="116"/>
      <c r="D225" s="166"/>
      <c r="E225" s="158" t="e">
        <f>+'Estimate Details'!#REF!</f>
        <v>#REF!</v>
      </c>
      <c r="F225" s="41"/>
      <c r="G225" s="205" t="e">
        <f>+'Estimate Details'!#REF!</f>
        <v>#REF!</v>
      </c>
      <c r="H225" s="118" t="e">
        <f>+'Estimate Details'!#REF!</f>
        <v>#REF!</v>
      </c>
      <c r="I225" s="108" t="e">
        <f>+'Estimate Details'!#REF!</f>
        <v>#REF!</v>
      </c>
      <c r="J225" s="379" t="e">
        <f>+'Estimate Details'!#REF!</f>
        <v>#REF!</v>
      </c>
      <c r="K225" s="116" t="e">
        <f>+'Estimate Details'!#REF!</f>
        <v>#REF!</v>
      </c>
      <c r="L225" s="116" t="e">
        <f>+'Estimate Details'!#REF!</f>
        <v>#REF!</v>
      </c>
      <c r="M225" s="204" t="e">
        <f>+'Estimate Details'!#REF!</f>
        <v>#REF!</v>
      </c>
      <c r="N225" s="194" t="e">
        <f>+'Estimate Details'!#REF!</f>
        <v>#REF!</v>
      </c>
      <c r="O225" s="171" t="e">
        <f>+'Estimate Details'!#REF!</f>
        <v>#REF!</v>
      </c>
      <c r="P225" s="172" t="e">
        <f>+'Estimate Details'!#REF!</f>
        <v>#REF!</v>
      </c>
      <c r="Q225" s="173" t="e">
        <f>+'Estimate Details'!#REF!</f>
        <v>#REF!</v>
      </c>
      <c r="R225" s="174" t="e">
        <f>+'Estimate Details'!#REF!</f>
        <v>#REF!</v>
      </c>
      <c r="S225" s="507"/>
      <c r="T225" s="174" t="e">
        <f>+'Estimate Details'!#REF!</f>
        <v>#REF!</v>
      </c>
      <c r="U225" s="481"/>
      <c r="V225" s="172" t="e">
        <f>+'Estimate Details'!#REF!</f>
        <v>#REF!</v>
      </c>
      <c r="W225" s="481"/>
      <c r="X225" s="172" t="e">
        <f>+'Estimate Details'!#REF!</f>
        <v>#REF!</v>
      </c>
      <c r="Y225" s="172" t="e">
        <f>+'Estimate Details'!#REF!</f>
        <v>#REF!</v>
      </c>
      <c r="Z225" s="174" t="e">
        <f>+'Estimate Details'!#REF!</f>
        <v>#REF!</v>
      </c>
      <c r="AA225" s="481" t="s">
        <v>1302</v>
      </c>
      <c r="AB225" s="175" t="e">
        <f>+'Estimate Details'!#REF!</f>
        <v>#REF!</v>
      </c>
      <c r="AC225" s="569"/>
      <c r="AD225" s="183" t="e">
        <f>+'Estimate Details'!#REF!</f>
        <v>#REF!</v>
      </c>
      <c r="AE225" s="156"/>
      <c r="AF225" s="215"/>
      <c r="AG225" s="156"/>
      <c r="AH225" s="156"/>
      <c r="AI225" s="29"/>
      <c r="AJ225" s="29"/>
      <c r="AK225" s="29"/>
      <c r="AL225" s="29"/>
    </row>
    <row r="226" spans="1:38" ht="14.1" customHeight="1">
      <c r="A226" s="116" t="e">
        <f>+'Estimate Details'!#REF!</f>
        <v>#REF!</v>
      </c>
      <c r="B226" s="116"/>
      <c r="C226" s="116"/>
      <c r="D226" s="166"/>
      <c r="E226" s="158" t="e">
        <f>+'Estimate Details'!#REF!</f>
        <v>#REF!</v>
      </c>
      <c r="F226" s="41"/>
      <c r="G226" s="205" t="e">
        <f>+'Estimate Details'!#REF!</f>
        <v>#REF!</v>
      </c>
      <c r="H226" s="118" t="e">
        <f>+'Estimate Details'!#REF!</f>
        <v>#REF!</v>
      </c>
      <c r="I226" s="108" t="e">
        <f>+'Estimate Details'!#REF!</f>
        <v>#REF!</v>
      </c>
      <c r="J226" s="379" t="e">
        <f>+'Estimate Details'!#REF!</f>
        <v>#REF!</v>
      </c>
      <c r="K226" s="116" t="e">
        <f>+'Estimate Details'!#REF!</f>
        <v>#REF!</v>
      </c>
      <c r="L226" s="116" t="e">
        <f>+'Estimate Details'!#REF!</f>
        <v>#REF!</v>
      </c>
      <c r="M226" s="204" t="e">
        <f>+'Estimate Details'!#REF!</f>
        <v>#REF!</v>
      </c>
      <c r="N226" s="194" t="e">
        <f>+'Estimate Details'!#REF!</f>
        <v>#REF!</v>
      </c>
      <c r="O226" s="171" t="e">
        <f>+'Estimate Details'!#REF!</f>
        <v>#REF!</v>
      </c>
      <c r="P226" s="172" t="e">
        <f>+'Estimate Details'!#REF!</f>
        <v>#REF!</v>
      </c>
      <c r="Q226" s="173" t="e">
        <f>+'Estimate Details'!#REF!</f>
        <v>#REF!</v>
      </c>
      <c r="R226" s="174" t="e">
        <f>+'Estimate Details'!#REF!</f>
        <v>#REF!</v>
      </c>
      <c r="S226" s="507"/>
      <c r="T226" s="174" t="e">
        <f>+'Estimate Details'!#REF!</f>
        <v>#REF!</v>
      </c>
      <c r="U226" s="481"/>
      <c r="V226" s="172" t="e">
        <f>+'Estimate Details'!#REF!</f>
        <v>#REF!</v>
      </c>
      <c r="W226" s="481"/>
      <c r="X226" s="172" t="e">
        <f>+'Estimate Details'!#REF!</f>
        <v>#REF!</v>
      </c>
      <c r="Y226" s="172" t="e">
        <f>+'Estimate Details'!#REF!</f>
        <v>#REF!</v>
      </c>
      <c r="Z226" s="174" t="e">
        <f>+'Estimate Details'!#REF!</f>
        <v>#REF!</v>
      </c>
      <c r="AA226" s="481" t="s">
        <v>1306</v>
      </c>
      <c r="AB226" s="175" t="e">
        <f>+'Estimate Details'!#REF!</f>
        <v>#REF!</v>
      </c>
      <c r="AC226" s="569"/>
      <c r="AD226" s="176" t="e">
        <f>+'Estimate Details'!#REF!</f>
        <v>#REF!</v>
      </c>
      <c r="AE226" s="156"/>
      <c r="AF226" s="215"/>
      <c r="AG226" s="156"/>
      <c r="AH226" s="156"/>
      <c r="AI226" s="29"/>
      <c r="AJ226" s="29"/>
      <c r="AK226" s="29"/>
      <c r="AL226" s="29"/>
    </row>
    <row r="227" spans="1:38" ht="14.1" customHeight="1">
      <c r="A227" s="116" t="e">
        <f>+'Estimate Details'!#REF!</f>
        <v>#REF!</v>
      </c>
      <c r="B227" s="116"/>
      <c r="C227" s="116"/>
      <c r="D227" s="166"/>
      <c r="E227" s="158" t="e">
        <f>+'Estimate Details'!#REF!</f>
        <v>#REF!</v>
      </c>
      <c r="F227" s="41"/>
      <c r="G227" s="205" t="e">
        <f>+'Estimate Details'!#REF!</f>
        <v>#REF!</v>
      </c>
      <c r="H227" s="118" t="e">
        <f>+'Estimate Details'!#REF!</f>
        <v>#REF!</v>
      </c>
      <c r="I227" s="108" t="e">
        <f>+'Estimate Details'!#REF!</f>
        <v>#REF!</v>
      </c>
      <c r="J227" s="379" t="e">
        <f>+'Estimate Details'!#REF!</f>
        <v>#REF!</v>
      </c>
      <c r="K227" s="116" t="e">
        <f>+'Estimate Details'!#REF!</f>
        <v>#REF!</v>
      </c>
      <c r="L227" s="116" t="e">
        <f>+'Estimate Details'!#REF!</f>
        <v>#REF!</v>
      </c>
      <c r="M227" s="204" t="e">
        <f>+'Estimate Details'!#REF!</f>
        <v>#REF!</v>
      </c>
      <c r="N227" s="218" t="e">
        <f>+'Estimate Details'!#REF!</f>
        <v>#REF!</v>
      </c>
      <c r="O227" s="171" t="e">
        <f>+'Estimate Details'!#REF!</f>
        <v>#REF!</v>
      </c>
      <c r="P227" s="172" t="e">
        <f>+'Estimate Details'!#REF!</f>
        <v>#REF!</v>
      </c>
      <c r="Q227" s="173" t="e">
        <f>+'Estimate Details'!#REF!</f>
        <v>#REF!</v>
      </c>
      <c r="R227" s="174" t="e">
        <f>+'Estimate Details'!#REF!</f>
        <v>#REF!</v>
      </c>
      <c r="S227" s="507" t="s">
        <v>1302</v>
      </c>
      <c r="T227" s="174" t="e">
        <f>+'Estimate Details'!#REF!</f>
        <v>#REF!</v>
      </c>
      <c r="U227" s="481"/>
      <c r="V227" s="172" t="e">
        <f>+'Estimate Details'!#REF!</f>
        <v>#REF!</v>
      </c>
      <c r="W227" s="481"/>
      <c r="X227" s="172" t="e">
        <f>+'Estimate Details'!#REF!</f>
        <v>#REF!</v>
      </c>
      <c r="Y227" s="172" t="e">
        <f>+'Estimate Details'!#REF!</f>
        <v>#REF!</v>
      </c>
      <c r="Z227" s="174" t="e">
        <f>+'Estimate Details'!#REF!</f>
        <v>#REF!</v>
      </c>
      <c r="AA227" s="481"/>
      <c r="AB227" s="175" t="e">
        <f>+'Estimate Details'!#REF!</f>
        <v>#REF!</v>
      </c>
      <c r="AC227" s="569"/>
      <c r="AD227" s="183" t="e">
        <f>+'Estimate Details'!#REF!</f>
        <v>#REF!</v>
      </c>
      <c r="AE227" s="156"/>
      <c r="AF227" s="215"/>
      <c r="AG227" s="156"/>
      <c r="AH227" s="156"/>
      <c r="AI227" s="29"/>
      <c r="AJ227" s="29"/>
      <c r="AK227" s="29"/>
      <c r="AL227" s="29"/>
    </row>
    <row r="228" spans="1:38" ht="14.1" customHeight="1">
      <c r="A228" s="116" t="e">
        <f>+'Estimate Details'!#REF!</f>
        <v>#REF!</v>
      </c>
      <c r="B228" s="116"/>
      <c r="C228" s="116"/>
      <c r="D228" s="166"/>
      <c r="E228" s="158" t="e">
        <f>+'Estimate Details'!#REF!</f>
        <v>#REF!</v>
      </c>
      <c r="F228" s="41"/>
      <c r="G228" s="205" t="e">
        <f>+'Estimate Details'!#REF!</f>
        <v>#REF!</v>
      </c>
      <c r="H228" s="118" t="e">
        <f>+'Estimate Details'!#REF!</f>
        <v>#REF!</v>
      </c>
      <c r="I228" s="108" t="e">
        <f>+'Estimate Details'!#REF!</f>
        <v>#REF!</v>
      </c>
      <c r="J228" s="379" t="e">
        <f>+'Estimate Details'!#REF!</f>
        <v>#REF!</v>
      </c>
      <c r="K228" s="116" t="e">
        <f>+'Estimate Details'!#REF!</f>
        <v>#REF!</v>
      </c>
      <c r="L228" s="116" t="e">
        <f>+'Estimate Details'!#REF!</f>
        <v>#REF!</v>
      </c>
      <c r="M228" s="204" t="e">
        <f>+'Estimate Details'!#REF!</f>
        <v>#REF!</v>
      </c>
      <c r="N228" s="218" t="e">
        <f>+'Estimate Details'!#REF!</f>
        <v>#REF!</v>
      </c>
      <c r="O228" s="171" t="e">
        <f>+'Estimate Details'!#REF!</f>
        <v>#REF!</v>
      </c>
      <c r="P228" s="172" t="e">
        <f>+'Estimate Details'!#REF!</f>
        <v>#REF!</v>
      </c>
      <c r="Q228" s="173" t="e">
        <f>+'Estimate Details'!#REF!</f>
        <v>#REF!</v>
      </c>
      <c r="R228" s="174" t="e">
        <f>+'Estimate Details'!#REF!</f>
        <v>#REF!</v>
      </c>
      <c r="S228" s="507"/>
      <c r="T228" s="174" t="e">
        <f>+'Estimate Details'!#REF!</f>
        <v>#REF!</v>
      </c>
      <c r="U228" s="481"/>
      <c r="V228" s="172" t="e">
        <f>+'Estimate Details'!#REF!</f>
        <v>#REF!</v>
      </c>
      <c r="W228" s="481" t="s">
        <v>1305</v>
      </c>
      <c r="X228" s="172" t="e">
        <f>+'Estimate Details'!#REF!</f>
        <v>#REF!</v>
      </c>
      <c r="Y228" s="172" t="e">
        <f>+'Estimate Details'!#REF!</f>
        <v>#REF!</v>
      </c>
      <c r="Z228" s="174" t="e">
        <f>+'Estimate Details'!#REF!</f>
        <v>#REF!</v>
      </c>
      <c r="AA228" s="481"/>
      <c r="AB228" s="175" t="e">
        <f>+'Estimate Details'!#REF!</f>
        <v>#REF!</v>
      </c>
      <c r="AC228" s="569"/>
      <c r="AD228" s="183" t="e">
        <f>+'Estimate Details'!#REF!</f>
        <v>#REF!</v>
      </c>
      <c r="AE228" s="156"/>
      <c r="AF228" s="215"/>
      <c r="AG228" s="156"/>
      <c r="AH228" s="156"/>
      <c r="AI228" s="29"/>
      <c r="AJ228" s="29"/>
      <c r="AK228" s="29"/>
      <c r="AL228" s="29"/>
    </row>
    <row r="229" spans="1:38" ht="14.1" customHeight="1">
      <c r="A229" s="116" t="e">
        <f>+'Estimate Details'!#REF!</f>
        <v>#REF!</v>
      </c>
      <c r="B229" s="116"/>
      <c r="C229" s="116"/>
      <c r="D229" s="166"/>
      <c r="E229" s="158" t="e">
        <f>+'Estimate Details'!#REF!</f>
        <v>#REF!</v>
      </c>
      <c r="F229" s="41"/>
      <c r="G229" s="205" t="e">
        <f>+'Estimate Details'!#REF!</f>
        <v>#REF!</v>
      </c>
      <c r="H229" s="118" t="e">
        <f>+'Estimate Details'!#REF!</f>
        <v>#REF!</v>
      </c>
      <c r="I229" s="108" t="e">
        <f>+'Estimate Details'!#REF!</f>
        <v>#REF!</v>
      </c>
      <c r="J229" s="379" t="e">
        <f>+'Estimate Details'!#REF!</f>
        <v>#REF!</v>
      </c>
      <c r="K229" s="116" t="e">
        <f>+'Estimate Details'!#REF!</f>
        <v>#REF!</v>
      </c>
      <c r="L229" s="116" t="e">
        <f>+'Estimate Details'!#REF!</f>
        <v>#REF!</v>
      </c>
      <c r="M229" s="204" t="e">
        <f>+'Estimate Details'!#REF!</f>
        <v>#REF!</v>
      </c>
      <c r="N229" s="194" t="e">
        <f>+'Estimate Details'!#REF!</f>
        <v>#REF!</v>
      </c>
      <c r="O229" s="171" t="e">
        <f>+'Estimate Details'!#REF!</f>
        <v>#REF!</v>
      </c>
      <c r="P229" s="172" t="e">
        <f>+'Estimate Details'!#REF!</f>
        <v>#REF!</v>
      </c>
      <c r="Q229" s="173" t="e">
        <f>+'Estimate Details'!#REF!</f>
        <v>#REF!</v>
      </c>
      <c r="R229" s="174" t="e">
        <f>+'Estimate Details'!#REF!</f>
        <v>#REF!</v>
      </c>
      <c r="S229" s="507"/>
      <c r="T229" s="174" t="e">
        <f>+'Estimate Details'!#REF!</f>
        <v>#REF!</v>
      </c>
      <c r="U229" s="481" t="s">
        <v>1302</v>
      </c>
      <c r="V229" s="172" t="e">
        <f>+'Estimate Details'!#REF!</f>
        <v>#REF!</v>
      </c>
      <c r="W229" s="481" t="s">
        <v>1310</v>
      </c>
      <c r="X229" s="172" t="e">
        <f>+'Estimate Details'!#REF!</f>
        <v>#REF!</v>
      </c>
      <c r="Y229" s="172" t="e">
        <f>+'Estimate Details'!#REF!</f>
        <v>#REF!</v>
      </c>
      <c r="Z229" s="174" t="e">
        <f>+'Estimate Details'!#REF!</f>
        <v>#REF!</v>
      </c>
      <c r="AA229" s="481"/>
      <c r="AB229" s="175" t="e">
        <f>+'Estimate Details'!#REF!</f>
        <v>#REF!</v>
      </c>
      <c r="AC229" s="569"/>
      <c r="AD229" s="176" t="e">
        <f>+'Estimate Details'!#REF!</f>
        <v>#REF!</v>
      </c>
      <c r="AE229" s="156"/>
      <c r="AF229" s="215"/>
      <c r="AG229" s="156"/>
      <c r="AH229" s="156"/>
      <c r="AI229" s="29"/>
      <c r="AJ229" s="29"/>
      <c r="AK229" s="29"/>
      <c r="AL229" s="29"/>
    </row>
    <row r="230" spans="1:38" ht="14.1" customHeight="1">
      <c r="A230" s="116" t="e">
        <f>+'Estimate Details'!#REF!</f>
        <v>#REF!</v>
      </c>
      <c r="B230" s="116"/>
      <c r="C230" s="116"/>
      <c r="D230" s="166"/>
      <c r="E230" s="158" t="e">
        <f>+'Estimate Details'!#REF!</f>
        <v>#REF!</v>
      </c>
      <c r="F230" s="41"/>
      <c r="G230" s="205" t="e">
        <f>+'Estimate Details'!#REF!</f>
        <v>#REF!</v>
      </c>
      <c r="H230" s="118" t="e">
        <f>+'Estimate Details'!#REF!</f>
        <v>#REF!</v>
      </c>
      <c r="I230" s="108" t="e">
        <f>+'Estimate Details'!#REF!</f>
        <v>#REF!</v>
      </c>
      <c r="J230" s="379" t="e">
        <f>+'Estimate Details'!#REF!</f>
        <v>#REF!</v>
      </c>
      <c r="K230" s="116" t="e">
        <f>+'Estimate Details'!#REF!</f>
        <v>#REF!</v>
      </c>
      <c r="L230" s="116" t="e">
        <f>+'Estimate Details'!#REF!</f>
        <v>#REF!</v>
      </c>
      <c r="M230" s="204" t="e">
        <f>+'Estimate Details'!#REF!</f>
        <v>#REF!</v>
      </c>
      <c r="N230" s="194" t="e">
        <f>+'Estimate Details'!#REF!</f>
        <v>#REF!</v>
      </c>
      <c r="O230" s="171" t="e">
        <f>+'Estimate Details'!#REF!</f>
        <v>#REF!</v>
      </c>
      <c r="P230" s="172" t="e">
        <f>+'Estimate Details'!#REF!</f>
        <v>#REF!</v>
      </c>
      <c r="Q230" s="173" t="e">
        <f>+'Estimate Details'!#REF!</f>
        <v>#REF!</v>
      </c>
      <c r="R230" s="174" t="e">
        <f>+'Estimate Details'!#REF!</f>
        <v>#REF!</v>
      </c>
      <c r="S230" s="507"/>
      <c r="T230" s="174" t="e">
        <f>+'Estimate Details'!#REF!</f>
        <v>#REF!</v>
      </c>
      <c r="U230" s="481" t="s">
        <v>1298</v>
      </c>
      <c r="V230" s="172" t="e">
        <f>+'Estimate Details'!#REF!</f>
        <v>#REF!</v>
      </c>
      <c r="W230" s="481" t="s">
        <v>1310</v>
      </c>
      <c r="X230" s="172" t="e">
        <f>+'Estimate Details'!#REF!</f>
        <v>#REF!</v>
      </c>
      <c r="Y230" s="172" t="e">
        <f>+'Estimate Details'!#REF!</f>
        <v>#REF!</v>
      </c>
      <c r="Z230" s="174" t="e">
        <f>+'Estimate Details'!#REF!</f>
        <v>#REF!</v>
      </c>
      <c r="AA230" s="481"/>
      <c r="AB230" s="175" t="e">
        <f>+'Estimate Details'!#REF!</f>
        <v>#REF!</v>
      </c>
      <c r="AC230" s="569"/>
      <c r="AD230" s="176" t="e">
        <f>+'Estimate Details'!#REF!</f>
        <v>#REF!</v>
      </c>
      <c r="AE230" s="156"/>
      <c r="AF230" s="215"/>
      <c r="AG230" s="156"/>
      <c r="AH230" s="156"/>
      <c r="AI230" s="29"/>
      <c r="AJ230" s="29"/>
      <c r="AK230" s="29"/>
      <c r="AL230" s="29"/>
    </row>
    <row r="231" spans="1:38" ht="14.1" customHeight="1">
      <c r="A231" s="116" t="e">
        <f>+'Estimate Details'!#REF!</f>
        <v>#REF!</v>
      </c>
      <c r="B231" s="116"/>
      <c r="C231" s="116"/>
      <c r="D231" s="166"/>
      <c r="E231" s="158" t="e">
        <f>+'Estimate Details'!#REF!</f>
        <v>#REF!</v>
      </c>
      <c r="F231" s="41"/>
      <c r="G231" s="205" t="e">
        <f>+'Estimate Details'!#REF!</f>
        <v>#REF!</v>
      </c>
      <c r="H231" s="118" t="e">
        <f>+'Estimate Details'!#REF!</f>
        <v>#REF!</v>
      </c>
      <c r="I231" s="108" t="e">
        <f>+'Estimate Details'!#REF!</f>
        <v>#REF!</v>
      </c>
      <c r="J231" s="379" t="e">
        <f>+'Estimate Details'!#REF!</f>
        <v>#REF!</v>
      </c>
      <c r="K231" s="116" t="e">
        <f>+'Estimate Details'!#REF!</f>
        <v>#REF!</v>
      </c>
      <c r="L231" s="116" t="e">
        <f>+'Estimate Details'!#REF!</f>
        <v>#REF!</v>
      </c>
      <c r="M231" s="204" t="e">
        <f>+'Estimate Details'!#REF!</f>
        <v>#REF!</v>
      </c>
      <c r="N231" s="194" t="e">
        <f>+'Estimate Details'!#REF!</f>
        <v>#REF!</v>
      </c>
      <c r="O231" s="171" t="e">
        <f>+'Estimate Details'!#REF!</f>
        <v>#REF!</v>
      </c>
      <c r="P231" s="172" t="e">
        <f>+'Estimate Details'!#REF!</f>
        <v>#REF!</v>
      </c>
      <c r="Q231" s="173" t="e">
        <f>+'Estimate Details'!#REF!</f>
        <v>#REF!</v>
      </c>
      <c r="R231" s="174" t="e">
        <f>+'Estimate Details'!#REF!</f>
        <v>#REF!</v>
      </c>
      <c r="S231" s="507"/>
      <c r="T231" s="174" t="e">
        <f>+'Estimate Details'!#REF!</f>
        <v>#REF!</v>
      </c>
      <c r="U231" s="481" t="s">
        <v>1298</v>
      </c>
      <c r="V231" s="172" t="e">
        <f>+'Estimate Details'!#REF!</f>
        <v>#REF!</v>
      </c>
      <c r="W231" s="481" t="s">
        <v>1310</v>
      </c>
      <c r="X231" s="172" t="e">
        <f>+'Estimate Details'!#REF!</f>
        <v>#REF!</v>
      </c>
      <c r="Y231" s="172" t="e">
        <f>+'Estimate Details'!#REF!</f>
        <v>#REF!</v>
      </c>
      <c r="Z231" s="174" t="e">
        <f>+'Estimate Details'!#REF!</f>
        <v>#REF!</v>
      </c>
      <c r="AA231" s="481"/>
      <c r="AB231" s="175" t="e">
        <f>+'Estimate Details'!#REF!</f>
        <v>#REF!</v>
      </c>
      <c r="AC231" s="569"/>
      <c r="AD231" s="176" t="e">
        <f>+'Estimate Details'!#REF!</f>
        <v>#REF!</v>
      </c>
      <c r="AE231" s="156"/>
      <c r="AF231" s="215"/>
      <c r="AG231" s="156"/>
      <c r="AH231" s="156"/>
      <c r="AI231" s="29"/>
      <c r="AJ231" s="29"/>
      <c r="AK231" s="29"/>
      <c r="AL231" s="29"/>
    </row>
    <row r="232" spans="1:38" ht="14.1" customHeight="1">
      <c r="A232" s="116" t="e">
        <f>+'Estimate Details'!#REF!</f>
        <v>#REF!</v>
      </c>
      <c r="B232" s="116"/>
      <c r="C232" s="116"/>
      <c r="D232" s="166"/>
      <c r="E232" s="158" t="e">
        <f>+'Estimate Details'!#REF!</f>
        <v>#REF!</v>
      </c>
      <c r="F232" s="41"/>
      <c r="G232" s="205" t="e">
        <f>+'Estimate Details'!#REF!</f>
        <v>#REF!</v>
      </c>
      <c r="H232" s="118" t="e">
        <f>+'Estimate Details'!#REF!</f>
        <v>#REF!</v>
      </c>
      <c r="I232" s="108" t="e">
        <f>+'Estimate Details'!#REF!</f>
        <v>#REF!</v>
      </c>
      <c r="J232" s="379" t="e">
        <f>+'Estimate Details'!#REF!</f>
        <v>#REF!</v>
      </c>
      <c r="K232" s="116" t="e">
        <f>+'Estimate Details'!#REF!</f>
        <v>#REF!</v>
      </c>
      <c r="L232" s="116" t="e">
        <f>+'Estimate Details'!#REF!</f>
        <v>#REF!</v>
      </c>
      <c r="M232" s="204" t="e">
        <f>+'Estimate Details'!#REF!</f>
        <v>#REF!</v>
      </c>
      <c r="N232" s="194" t="e">
        <f>+'Estimate Details'!#REF!</f>
        <v>#REF!</v>
      </c>
      <c r="O232" s="171" t="e">
        <f>+'Estimate Details'!#REF!</f>
        <v>#REF!</v>
      </c>
      <c r="P232" s="172" t="e">
        <f>+'Estimate Details'!#REF!</f>
        <v>#REF!</v>
      </c>
      <c r="Q232" s="173" t="e">
        <f>+'Estimate Details'!#REF!</f>
        <v>#REF!</v>
      </c>
      <c r="R232" s="174" t="e">
        <f>+'Estimate Details'!#REF!</f>
        <v>#REF!</v>
      </c>
      <c r="S232" s="507"/>
      <c r="T232" s="174" t="e">
        <f>+'Estimate Details'!#REF!</f>
        <v>#REF!</v>
      </c>
      <c r="U232" s="481" t="s">
        <v>1310</v>
      </c>
      <c r="V232" s="172" t="e">
        <f>+'Estimate Details'!#REF!</f>
        <v>#REF!</v>
      </c>
      <c r="W232" s="481" t="s">
        <v>1310</v>
      </c>
      <c r="X232" s="172" t="e">
        <f>+'Estimate Details'!#REF!</f>
        <v>#REF!</v>
      </c>
      <c r="Y232" s="172" t="e">
        <f>+'Estimate Details'!#REF!</f>
        <v>#REF!</v>
      </c>
      <c r="Z232" s="174" t="e">
        <f>+'Estimate Details'!#REF!</f>
        <v>#REF!</v>
      </c>
      <c r="AA232" s="481"/>
      <c r="AB232" s="175" t="e">
        <f>+'Estimate Details'!#REF!</f>
        <v>#REF!</v>
      </c>
      <c r="AC232" s="569"/>
      <c r="AD232" s="176" t="e">
        <f>+'Estimate Details'!#REF!</f>
        <v>#REF!</v>
      </c>
      <c r="AE232" s="156"/>
      <c r="AF232" s="215"/>
      <c r="AG232" s="156"/>
      <c r="AH232" s="156"/>
      <c r="AI232" s="29"/>
      <c r="AJ232" s="29"/>
      <c r="AK232" s="29"/>
      <c r="AL232" s="29"/>
    </row>
    <row r="233" spans="1:38" ht="14.1" customHeight="1">
      <c r="A233" s="116" t="e">
        <f>+'Estimate Details'!#REF!</f>
        <v>#REF!</v>
      </c>
      <c r="B233" s="116"/>
      <c r="C233" s="116"/>
      <c r="D233" s="166"/>
      <c r="E233" s="158" t="e">
        <f>+'Estimate Details'!#REF!</f>
        <v>#REF!</v>
      </c>
      <c r="F233" s="41"/>
      <c r="G233" s="205" t="e">
        <f>+'Estimate Details'!#REF!</f>
        <v>#REF!</v>
      </c>
      <c r="H233" s="118" t="e">
        <f>+'Estimate Details'!#REF!</f>
        <v>#REF!</v>
      </c>
      <c r="I233" s="108" t="e">
        <f>+'Estimate Details'!#REF!</f>
        <v>#REF!</v>
      </c>
      <c r="J233" s="379" t="e">
        <f>+'Estimate Details'!#REF!</f>
        <v>#REF!</v>
      </c>
      <c r="K233" s="116" t="e">
        <f>+'Estimate Details'!#REF!</f>
        <v>#REF!</v>
      </c>
      <c r="L233" s="116" t="e">
        <f>+'Estimate Details'!#REF!</f>
        <v>#REF!</v>
      </c>
      <c r="M233" s="204" t="e">
        <f>+'Estimate Details'!#REF!</f>
        <v>#REF!</v>
      </c>
      <c r="N233" s="194" t="e">
        <f>+'Estimate Details'!#REF!</f>
        <v>#REF!</v>
      </c>
      <c r="O233" s="171" t="e">
        <f>+'Estimate Details'!#REF!</f>
        <v>#REF!</v>
      </c>
      <c r="P233" s="172" t="e">
        <f>+'Estimate Details'!#REF!</f>
        <v>#REF!</v>
      </c>
      <c r="Q233" s="173" t="e">
        <f>+'Estimate Details'!#REF!</f>
        <v>#REF!</v>
      </c>
      <c r="R233" s="174" t="e">
        <f>+'Estimate Details'!#REF!</f>
        <v>#REF!</v>
      </c>
      <c r="S233" s="507"/>
      <c r="T233" s="174" t="e">
        <f>+'Estimate Details'!#REF!</f>
        <v>#REF!</v>
      </c>
      <c r="U233" s="481" t="s">
        <v>1310</v>
      </c>
      <c r="V233" s="172" t="e">
        <f>+'Estimate Details'!#REF!</f>
        <v>#REF!</v>
      </c>
      <c r="W233" s="481" t="s">
        <v>1310</v>
      </c>
      <c r="X233" s="172" t="e">
        <f>+'Estimate Details'!#REF!</f>
        <v>#REF!</v>
      </c>
      <c r="Y233" s="172" t="e">
        <f>+'Estimate Details'!#REF!</f>
        <v>#REF!</v>
      </c>
      <c r="Z233" s="174" t="e">
        <f>+'Estimate Details'!#REF!</f>
        <v>#REF!</v>
      </c>
      <c r="AA233" s="481"/>
      <c r="AB233" s="175" t="e">
        <f>+'Estimate Details'!#REF!</f>
        <v>#REF!</v>
      </c>
      <c r="AC233" s="569"/>
      <c r="AD233" s="176" t="e">
        <f>+'Estimate Details'!#REF!</f>
        <v>#REF!</v>
      </c>
      <c r="AE233" s="156"/>
      <c r="AF233" s="215"/>
      <c r="AG233" s="156"/>
      <c r="AH233" s="156"/>
      <c r="AI233" s="29"/>
      <c r="AJ233" s="29"/>
      <c r="AK233" s="29"/>
      <c r="AL233" s="29"/>
    </row>
    <row r="234" spans="1:38" ht="14.1" customHeight="1">
      <c r="A234" s="116" t="e">
        <f>+'Estimate Details'!#REF!</f>
        <v>#REF!</v>
      </c>
      <c r="B234" s="116"/>
      <c r="C234" s="116"/>
      <c r="D234" s="166"/>
      <c r="E234" s="158" t="e">
        <f>+'Estimate Details'!#REF!</f>
        <v>#REF!</v>
      </c>
      <c r="F234" s="41"/>
      <c r="G234" s="205" t="e">
        <f>+'Estimate Details'!#REF!</f>
        <v>#REF!</v>
      </c>
      <c r="H234" s="118" t="e">
        <f>+'Estimate Details'!#REF!</f>
        <v>#REF!</v>
      </c>
      <c r="I234" s="108" t="e">
        <f>+'Estimate Details'!#REF!</f>
        <v>#REF!</v>
      </c>
      <c r="J234" s="379" t="e">
        <f>+'Estimate Details'!#REF!</f>
        <v>#REF!</v>
      </c>
      <c r="K234" s="116" t="e">
        <f>+'Estimate Details'!#REF!</f>
        <v>#REF!</v>
      </c>
      <c r="L234" s="116" t="e">
        <f>+'Estimate Details'!#REF!</f>
        <v>#REF!</v>
      </c>
      <c r="M234" s="204" t="e">
        <f>+'Estimate Details'!#REF!</f>
        <v>#REF!</v>
      </c>
      <c r="N234" s="194" t="e">
        <f>+'Estimate Details'!#REF!</f>
        <v>#REF!</v>
      </c>
      <c r="O234" s="171" t="e">
        <f>+'Estimate Details'!#REF!</f>
        <v>#REF!</v>
      </c>
      <c r="P234" s="172" t="e">
        <f>+'Estimate Details'!#REF!</f>
        <v>#REF!</v>
      </c>
      <c r="Q234" s="173" t="e">
        <f>+'Estimate Details'!#REF!</f>
        <v>#REF!</v>
      </c>
      <c r="R234" s="174" t="e">
        <f>+'Estimate Details'!#REF!</f>
        <v>#REF!</v>
      </c>
      <c r="S234" s="507"/>
      <c r="T234" s="174" t="e">
        <f>+'Estimate Details'!#REF!</f>
        <v>#REF!</v>
      </c>
      <c r="U234" s="481" t="s">
        <v>1310</v>
      </c>
      <c r="V234" s="172" t="e">
        <f>+'Estimate Details'!#REF!</f>
        <v>#REF!</v>
      </c>
      <c r="W234" s="481" t="s">
        <v>1310</v>
      </c>
      <c r="X234" s="172" t="e">
        <f>+'Estimate Details'!#REF!</f>
        <v>#REF!</v>
      </c>
      <c r="Y234" s="172" t="e">
        <f>+'Estimate Details'!#REF!</f>
        <v>#REF!</v>
      </c>
      <c r="Z234" s="174" t="e">
        <f>+'Estimate Details'!#REF!</f>
        <v>#REF!</v>
      </c>
      <c r="AA234" s="481"/>
      <c r="AB234" s="175" t="e">
        <f>+'Estimate Details'!#REF!</f>
        <v>#REF!</v>
      </c>
      <c r="AC234" s="569"/>
      <c r="AD234" s="176" t="e">
        <f>+'Estimate Details'!#REF!</f>
        <v>#REF!</v>
      </c>
      <c r="AE234" s="156"/>
      <c r="AF234" s="215"/>
      <c r="AG234" s="156"/>
      <c r="AH234" s="156"/>
      <c r="AI234" s="29"/>
      <c r="AJ234" s="29"/>
      <c r="AK234" s="29"/>
      <c r="AL234" s="29"/>
    </row>
    <row r="235" spans="1:38" ht="14.1" customHeight="1">
      <c r="A235" s="116" t="e">
        <f>+'Estimate Details'!#REF!</f>
        <v>#REF!</v>
      </c>
      <c r="B235" s="116"/>
      <c r="C235" s="116"/>
      <c r="D235" s="166"/>
      <c r="E235" s="158" t="e">
        <f>+'Estimate Details'!#REF!</f>
        <v>#REF!</v>
      </c>
      <c r="F235" s="41"/>
      <c r="G235" s="205" t="e">
        <f>+'Estimate Details'!#REF!</f>
        <v>#REF!</v>
      </c>
      <c r="H235" s="118" t="e">
        <f>+'Estimate Details'!#REF!</f>
        <v>#REF!</v>
      </c>
      <c r="I235" s="108" t="e">
        <f>+'Estimate Details'!#REF!</f>
        <v>#REF!</v>
      </c>
      <c r="J235" s="379" t="e">
        <f>+'Estimate Details'!#REF!</f>
        <v>#REF!</v>
      </c>
      <c r="K235" s="116" t="e">
        <f>+'Estimate Details'!#REF!</f>
        <v>#REF!</v>
      </c>
      <c r="L235" s="116" t="e">
        <f>+'Estimate Details'!#REF!</f>
        <v>#REF!</v>
      </c>
      <c r="M235" s="204" t="e">
        <f>+'Estimate Details'!#REF!</f>
        <v>#REF!</v>
      </c>
      <c r="N235" s="194" t="e">
        <f>+'Estimate Details'!#REF!</f>
        <v>#REF!</v>
      </c>
      <c r="O235" s="171" t="e">
        <f>+'Estimate Details'!#REF!</f>
        <v>#REF!</v>
      </c>
      <c r="P235" s="172" t="e">
        <f>+'Estimate Details'!#REF!</f>
        <v>#REF!</v>
      </c>
      <c r="Q235" s="173" t="e">
        <f>+'Estimate Details'!#REF!</f>
        <v>#REF!</v>
      </c>
      <c r="R235" s="174" t="e">
        <f>+'Estimate Details'!#REF!</f>
        <v>#REF!</v>
      </c>
      <c r="S235" s="507"/>
      <c r="T235" s="174" t="e">
        <f>+'Estimate Details'!#REF!</f>
        <v>#REF!</v>
      </c>
      <c r="U235" s="481" t="s">
        <v>1310</v>
      </c>
      <c r="V235" s="172" t="e">
        <f>+'Estimate Details'!#REF!</f>
        <v>#REF!</v>
      </c>
      <c r="W235" s="481" t="s">
        <v>1310</v>
      </c>
      <c r="X235" s="172" t="e">
        <f>+'Estimate Details'!#REF!</f>
        <v>#REF!</v>
      </c>
      <c r="Y235" s="172" t="e">
        <f>+'Estimate Details'!#REF!</f>
        <v>#REF!</v>
      </c>
      <c r="Z235" s="174" t="e">
        <f>+'Estimate Details'!#REF!</f>
        <v>#REF!</v>
      </c>
      <c r="AA235" s="481"/>
      <c r="AB235" s="175" t="e">
        <f>+'Estimate Details'!#REF!</f>
        <v>#REF!</v>
      </c>
      <c r="AC235" s="569"/>
      <c r="AD235" s="176" t="e">
        <f>+'Estimate Details'!#REF!</f>
        <v>#REF!</v>
      </c>
      <c r="AE235" s="156"/>
      <c r="AF235" s="215"/>
      <c r="AG235" s="156"/>
      <c r="AH235" s="156"/>
      <c r="AI235" s="29"/>
      <c r="AJ235" s="29"/>
      <c r="AK235" s="29"/>
      <c r="AL235" s="29"/>
    </row>
    <row r="236" spans="1:38" ht="14.1" customHeight="1">
      <c r="A236" s="116" t="e">
        <f>+'Estimate Details'!#REF!</f>
        <v>#REF!</v>
      </c>
      <c r="B236" s="116"/>
      <c r="C236" s="116"/>
      <c r="D236" s="166"/>
      <c r="E236" s="158" t="e">
        <f>+'Estimate Details'!#REF!</f>
        <v>#REF!</v>
      </c>
      <c r="F236" s="41"/>
      <c r="G236" s="205" t="e">
        <f>+'Estimate Details'!#REF!</f>
        <v>#REF!</v>
      </c>
      <c r="H236" s="118" t="e">
        <f>+'Estimate Details'!#REF!</f>
        <v>#REF!</v>
      </c>
      <c r="I236" s="108" t="e">
        <f>+'Estimate Details'!#REF!</f>
        <v>#REF!</v>
      </c>
      <c r="J236" s="379" t="e">
        <f>+'Estimate Details'!#REF!</f>
        <v>#REF!</v>
      </c>
      <c r="K236" s="116" t="e">
        <f>+'Estimate Details'!#REF!</f>
        <v>#REF!</v>
      </c>
      <c r="L236" s="116" t="e">
        <f>+'Estimate Details'!#REF!</f>
        <v>#REF!</v>
      </c>
      <c r="M236" s="204" t="e">
        <f>+'Estimate Details'!#REF!</f>
        <v>#REF!</v>
      </c>
      <c r="N236" s="194" t="e">
        <f>+'Estimate Details'!#REF!</f>
        <v>#REF!</v>
      </c>
      <c r="O236" s="171" t="e">
        <f>+'Estimate Details'!#REF!</f>
        <v>#REF!</v>
      </c>
      <c r="P236" s="172" t="e">
        <f>+'Estimate Details'!#REF!</f>
        <v>#REF!</v>
      </c>
      <c r="Q236" s="173" t="e">
        <f>+'Estimate Details'!#REF!</f>
        <v>#REF!</v>
      </c>
      <c r="R236" s="174" t="e">
        <f>+'Estimate Details'!#REF!</f>
        <v>#REF!</v>
      </c>
      <c r="S236" s="507"/>
      <c r="T236" s="174" t="e">
        <f>+'Estimate Details'!#REF!</f>
        <v>#REF!</v>
      </c>
      <c r="U236" s="481" t="s">
        <v>1310</v>
      </c>
      <c r="V236" s="172" t="e">
        <f>+'Estimate Details'!#REF!</f>
        <v>#REF!</v>
      </c>
      <c r="W236" s="481" t="s">
        <v>1310</v>
      </c>
      <c r="X236" s="172" t="e">
        <f>+'Estimate Details'!#REF!</f>
        <v>#REF!</v>
      </c>
      <c r="Y236" s="172" t="e">
        <f>+'Estimate Details'!#REF!</f>
        <v>#REF!</v>
      </c>
      <c r="Z236" s="174" t="e">
        <f>+'Estimate Details'!#REF!</f>
        <v>#REF!</v>
      </c>
      <c r="AA236" s="481"/>
      <c r="AB236" s="175" t="e">
        <f>+'Estimate Details'!#REF!</f>
        <v>#REF!</v>
      </c>
      <c r="AC236" s="569"/>
      <c r="AD236" s="176" t="e">
        <f>+'Estimate Details'!#REF!</f>
        <v>#REF!</v>
      </c>
      <c r="AE236" s="156"/>
      <c r="AF236" s="215"/>
      <c r="AG236" s="156"/>
      <c r="AH236" s="156"/>
      <c r="AI236" s="29"/>
      <c r="AJ236" s="29"/>
      <c r="AK236" s="29"/>
      <c r="AL236" s="29"/>
    </row>
    <row r="237" spans="1:38" ht="14.1" customHeight="1">
      <c r="A237" s="116" t="e">
        <f>+'Estimate Details'!#REF!</f>
        <v>#REF!</v>
      </c>
      <c r="B237" s="116"/>
      <c r="C237" s="116"/>
      <c r="D237" s="166"/>
      <c r="E237" s="158" t="e">
        <f>+'Estimate Details'!#REF!</f>
        <v>#REF!</v>
      </c>
      <c r="F237" s="41"/>
      <c r="G237" s="205" t="e">
        <f>+'Estimate Details'!#REF!</f>
        <v>#REF!</v>
      </c>
      <c r="H237" s="118" t="e">
        <f>+'Estimate Details'!#REF!</f>
        <v>#REF!</v>
      </c>
      <c r="I237" s="108" t="e">
        <f>+'Estimate Details'!#REF!</f>
        <v>#REF!</v>
      </c>
      <c r="J237" s="379" t="e">
        <f>+'Estimate Details'!#REF!</f>
        <v>#REF!</v>
      </c>
      <c r="K237" s="116" t="e">
        <f>+'Estimate Details'!#REF!</f>
        <v>#REF!</v>
      </c>
      <c r="L237" s="116" t="e">
        <f>+'Estimate Details'!#REF!</f>
        <v>#REF!</v>
      </c>
      <c r="M237" s="204" t="e">
        <f>+'Estimate Details'!#REF!</f>
        <v>#REF!</v>
      </c>
      <c r="N237" s="194" t="e">
        <f>+'Estimate Details'!#REF!</f>
        <v>#REF!</v>
      </c>
      <c r="O237" s="171" t="e">
        <f>+'Estimate Details'!#REF!</f>
        <v>#REF!</v>
      </c>
      <c r="P237" s="172" t="e">
        <f>+'Estimate Details'!#REF!</f>
        <v>#REF!</v>
      </c>
      <c r="Q237" s="173" t="e">
        <f>+'Estimate Details'!#REF!</f>
        <v>#REF!</v>
      </c>
      <c r="R237" s="174" t="e">
        <f>+'Estimate Details'!#REF!</f>
        <v>#REF!</v>
      </c>
      <c r="S237" s="507"/>
      <c r="T237" s="174" t="e">
        <f>+'Estimate Details'!#REF!</f>
        <v>#REF!</v>
      </c>
      <c r="U237" s="481" t="s">
        <v>1301</v>
      </c>
      <c r="V237" s="172" t="e">
        <f>+'Estimate Details'!#REF!</f>
        <v>#REF!</v>
      </c>
      <c r="W237" s="481" t="s">
        <v>1310</v>
      </c>
      <c r="X237" s="172" t="e">
        <f>+'Estimate Details'!#REF!</f>
        <v>#REF!</v>
      </c>
      <c r="Y237" s="172" t="e">
        <f>+'Estimate Details'!#REF!</f>
        <v>#REF!</v>
      </c>
      <c r="Z237" s="174" t="e">
        <f>+'Estimate Details'!#REF!</f>
        <v>#REF!</v>
      </c>
      <c r="AA237" s="481"/>
      <c r="AB237" s="175" t="e">
        <f>+'Estimate Details'!#REF!</f>
        <v>#REF!</v>
      </c>
      <c r="AC237" s="569"/>
      <c r="AD237" s="176" t="e">
        <f>+'Estimate Details'!#REF!</f>
        <v>#REF!</v>
      </c>
      <c r="AE237" s="156"/>
      <c r="AF237" s="215"/>
      <c r="AG237" s="156"/>
      <c r="AH237" s="156"/>
      <c r="AI237" s="29"/>
      <c r="AJ237" s="29"/>
      <c r="AK237" s="29"/>
      <c r="AL237" s="29"/>
    </row>
    <row r="238" spans="1:38" ht="14.1" customHeight="1">
      <c r="A238" s="116" t="e">
        <f>+'Estimate Details'!#REF!</f>
        <v>#REF!</v>
      </c>
      <c r="B238" s="116"/>
      <c r="C238" s="116"/>
      <c r="D238" s="166"/>
      <c r="E238" s="158" t="e">
        <f>+'Estimate Details'!#REF!</f>
        <v>#REF!</v>
      </c>
      <c r="F238" s="41"/>
      <c r="G238" s="205" t="e">
        <f>+'Estimate Details'!#REF!</f>
        <v>#REF!</v>
      </c>
      <c r="H238" s="118" t="e">
        <f>+'Estimate Details'!#REF!</f>
        <v>#REF!</v>
      </c>
      <c r="I238" s="108" t="e">
        <f>+'Estimate Details'!#REF!</f>
        <v>#REF!</v>
      </c>
      <c r="J238" s="379" t="e">
        <f>+'Estimate Details'!#REF!</f>
        <v>#REF!</v>
      </c>
      <c r="K238" s="116" t="e">
        <f>+'Estimate Details'!#REF!</f>
        <v>#REF!</v>
      </c>
      <c r="L238" s="116" t="e">
        <f>+'Estimate Details'!#REF!</f>
        <v>#REF!</v>
      </c>
      <c r="M238" s="204" t="e">
        <f>+'Estimate Details'!#REF!</f>
        <v>#REF!</v>
      </c>
      <c r="N238" s="194" t="e">
        <f>+'Estimate Details'!#REF!</f>
        <v>#REF!</v>
      </c>
      <c r="O238" s="171" t="e">
        <f>+'Estimate Details'!#REF!</f>
        <v>#REF!</v>
      </c>
      <c r="P238" s="172" t="e">
        <f>+'Estimate Details'!#REF!</f>
        <v>#REF!</v>
      </c>
      <c r="Q238" s="173" t="e">
        <f>+'Estimate Details'!#REF!</f>
        <v>#REF!</v>
      </c>
      <c r="R238" s="174" t="e">
        <f>+'Estimate Details'!#REF!</f>
        <v>#REF!</v>
      </c>
      <c r="S238" s="507"/>
      <c r="T238" s="174" t="e">
        <f>+'Estimate Details'!#REF!</f>
        <v>#REF!</v>
      </c>
      <c r="U238" s="481" t="s">
        <v>1301</v>
      </c>
      <c r="V238" s="172" t="e">
        <f>+'Estimate Details'!#REF!</f>
        <v>#REF!</v>
      </c>
      <c r="W238" s="481" t="s">
        <v>1310</v>
      </c>
      <c r="X238" s="172" t="e">
        <f>+'Estimate Details'!#REF!</f>
        <v>#REF!</v>
      </c>
      <c r="Y238" s="172" t="e">
        <f>+'Estimate Details'!#REF!</f>
        <v>#REF!</v>
      </c>
      <c r="Z238" s="174" t="e">
        <f>+'Estimate Details'!#REF!</f>
        <v>#REF!</v>
      </c>
      <c r="AA238" s="481"/>
      <c r="AB238" s="175" t="e">
        <f>+'Estimate Details'!#REF!</f>
        <v>#REF!</v>
      </c>
      <c r="AC238" s="569"/>
      <c r="AD238" s="176" t="e">
        <f>+'Estimate Details'!#REF!</f>
        <v>#REF!</v>
      </c>
      <c r="AE238" s="156"/>
      <c r="AF238" s="215"/>
      <c r="AG238" s="156"/>
      <c r="AH238" s="156"/>
      <c r="AI238" s="29"/>
      <c r="AJ238" s="29"/>
      <c r="AK238" s="29"/>
      <c r="AL238" s="29"/>
    </row>
    <row r="239" spans="1:38" ht="14.1" customHeight="1">
      <c r="A239" s="116" t="e">
        <f>+'Estimate Details'!#REF!</f>
        <v>#REF!</v>
      </c>
      <c r="B239" s="116"/>
      <c r="C239" s="116"/>
      <c r="D239" s="166"/>
      <c r="E239" s="158" t="e">
        <f>+'Estimate Details'!#REF!</f>
        <v>#REF!</v>
      </c>
      <c r="F239" s="41"/>
      <c r="G239" s="205" t="e">
        <f>+'Estimate Details'!#REF!</f>
        <v>#REF!</v>
      </c>
      <c r="H239" s="118" t="e">
        <f>+'Estimate Details'!#REF!</f>
        <v>#REF!</v>
      </c>
      <c r="I239" s="108" t="e">
        <f>+'Estimate Details'!#REF!</f>
        <v>#REF!</v>
      </c>
      <c r="J239" s="379" t="e">
        <f>+'Estimate Details'!#REF!</f>
        <v>#REF!</v>
      </c>
      <c r="K239" s="116" t="e">
        <f>+'Estimate Details'!#REF!</f>
        <v>#REF!</v>
      </c>
      <c r="L239" s="116" t="e">
        <f>+'Estimate Details'!#REF!</f>
        <v>#REF!</v>
      </c>
      <c r="M239" s="204" t="e">
        <f>+'Estimate Details'!#REF!</f>
        <v>#REF!</v>
      </c>
      <c r="N239" s="194" t="e">
        <f>+'Estimate Details'!#REF!</f>
        <v>#REF!</v>
      </c>
      <c r="O239" s="171" t="e">
        <f>+'Estimate Details'!#REF!</f>
        <v>#REF!</v>
      </c>
      <c r="P239" s="172" t="e">
        <f>+'Estimate Details'!#REF!</f>
        <v>#REF!</v>
      </c>
      <c r="Q239" s="173" t="e">
        <f>+'Estimate Details'!#REF!</f>
        <v>#REF!</v>
      </c>
      <c r="R239" s="174" t="e">
        <f>+'Estimate Details'!#REF!</f>
        <v>#REF!</v>
      </c>
      <c r="S239" s="507"/>
      <c r="T239" s="174" t="e">
        <f>+'Estimate Details'!#REF!</f>
        <v>#REF!</v>
      </c>
      <c r="U239" s="481" t="s">
        <v>1301</v>
      </c>
      <c r="V239" s="172" t="e">
        <f>+'Estimate Details'!#REF!</f>
        <v>#REF!</v>
      </c>
      <c r="W239" s="481" t="s">
        <v>1310</v>
      </c>
      <c r="X239" s="172" t="e">
        <f>+'Estimate Details'!#REF!</f>
        <v>#REF!</v>
      </c>
      <c r="Y239" s="172" t="e">
        <f>+'Estimate Details'!#REF!</f>
        <v>#REF!</v>
      </c>
      <c r="Z239" s="174" t="e">
        <f>+'Estimate Details'!#REF!</f>
        <v>#REF!</v>
      </c>
      <c r="AA239" s="481"/>
      <c r="AB239" s="175" t="e">
        <f>+'Estimate Details'!#REF!</f>
        <v>#REF!</v>
      </c>
      <c r="AC239" s="569"/>
      <c r="AD239" s="176" t="e">
        <f>+'Estimate Details'!#REF!</f>
        <v>#REF!</v>
      </c>
      <c r="AE239" s="156"/>
      <c r="AF239" s="215"/>
      <c r="AG239" s="156"/>
      <c r="AH239" s="156"/>
      <c r="AI239" s="29"/>
      <c r="AJ239" s="29"/>
      <c r="AK239" s="29"/>
      <c r="AL239" s="29"/>
    </row>
    <row r="240" spans="1:38" ht="14.1" customHeight="1">
      <c r="A240" s="116" t="e">
        <f>+'Estimate Details'!#REF!</f>
        <v>#REF!</v>
      </c>
      <c r="B240" s="116"/>
      <c r="C240" s="116"/>
      <c r="D240" s="166"/>
      <c r="E240" s="158" t="e">
        <f>+'Estimate Details'!#REF!</f>
        <v>#REF!</v>
      </c>
      <c r="F240" s="41"/>
      <c r="G240" s="205" t="e">
        <f>+'Estimate Details'!#REF!</f>
        <v>#REF!</v>
      </c>
      <c r="H240" s="118" t="e">
        <f>+'Estimate Details'!#REF!</f>
        <v>#REF!</v>
      </c>
      <c r="I240" s="108" t="e">
        <f>+'Estimate Details'!#REF!</f>
        <v>#REF!</v>
      </c>
      <c r="J240" s="379" t="e">
        <f>+'Estimate Details'!#REF!</f>
        <v>#REF!</v>
      </c>
      <c r="K240" s="116" t="e">
        <f>+'Estimate Details'!#REF!</f>
        <v>#REF!</v>
      </c>
      <c r="L240" s="116" t="e">
        <f>+'Estimate Details'!#REF!</f>
        <v>#REF!</v>
      </c>
      <c r="M240" s="204" t="e">
        <f>+'Estimate Details'!#REF!</f>
        <v>#REF!</v>
      </c>
      <c r="N240" s="194" t="e">
        <f>+'Estimate Details'!#REF!</f>
        <v>#REF!</v>
      </c>
      <c r="O240" s="171" t="e">
        <f>+'Estimate Details'!#REF!</f>
        <v>#REF!</v>
      </c>
      <c r="P240" s="172" t="e">
        <f>+'Estimate Details'!#REF!</f>
        <v>#REF!</v>
      </c>
      <c r="Q240" s="173" t="e">
        <f>+'Estimate Details'!#REF!</f>
        <v>#REF!</v>
      </c>
      <c r="R240" s="174" t="e">
        <f>+'Estimate Details'!#REF!</f>
        <v>#REF!</v>
      </c>
      <c r="S240" s="507"/>
      <c r="T240" s="174" t="e">
        <f>+'Estimate Details'!#REF!</f>
        <v>#REF!</v>
      </c>
      <c r="U240" s="481" t="s">
        <v>1310</v>
      </c>
      <c r="V240" s="172" t="e">
        <f>+'Estimate Details'!#REF!</f>
        <v>#REF!</v>
      </c>
      <c r="W240" s="481" t="s">
        <v>1310</v>
      </c>
      <c r="X240" s="172" t="e">
        <f>+'Estimate Details'!#REF!</f>
        <v>#REF!</v>
      </c>
      <c r="Y240" s="172" t="e">
        <f>+'Estimate Details'!#REF!</f>
        <v>#REF!</v>
      </c>
      <c r="Z240" s="174" t="e">
        <f>+'Estimate Details'!#REF!</f>
        <v>#REF!</v>
      </c>
      <c r="AA240" s="481"/>
      <c r="AB240" s="175" t="e">
        <f>+'Estimate Details'!#REF!</f>
        <v>#REF!</v>
      </c>
      <c r="AC240" s="569"/>
      <c r="AD240" s="176" t="e">
        <f>+'Estimate Details'!#REF!</f>
        <v>#REF!</v>
      </c>
      <c r="AE240" s="156"/>
      <c r="AF240" s="215"/>
      <c r="AG240" s="156"/>
      <c r="AH240" s="156"/>
      <c r="AI240" s="29"/>
      <c r="AJ240" s="29"/>
      <c r="AK240" s="29"/>
      <c r="AL240" s="29"/>
    </row>
    <row r="241" spans="1:44" ht="14.1" customHeight="1">
      <c r="A241" s="116" t="e">
        <f>+'Estimate Details'!#REF!</f>
        <v>#REF!</v>
      </c>
      <c r="B241" s="116"/>
      <c r="C241" s="116"/>
      <c r="D241" s="166"/>
      <c r="E241" s="158" t="e">
        <f>+'Estimate Details'!#REF!</f>
        <v>#REF!</v>
      </c>
      <c r="F241" s="41"/>
      <c r="G241" s="205" t="e">
        <f>+'Estimate Details'!#REF!</f>
        <v>#REF!</v>
      </c>
      <c r="H241" s="118" t="e">
        <f>+'Estimate Details'!#REF!</f>
        <v>#REF!</v>
      </c>
      <c r="I241" s="108" t="e">
        <f>+'Estimate Details'!#REF!</f>
        <v>#REF!</v>
      </c>
      <c r="J241" s="379" t="e">
        <f>+'Estimate Details'!#REF!</f>
        <v>#REF!</v>
      </c>
      <c r="K241" s="116" t="e">
        <f>+'Estimate Details'!#REF!</f>
        <v>#REF!</v>
      </c>
      <c r="L241" s="116" t="e">
        <f>+'Estimate Details'!#REF!</f>
        <v>#REF!</v>
      </c>
      <c r="M241" s="204" t="e">
        <f>+'Estimate Details'!#REF!</f>
        <v>#REF!</v>
      </c>
      <c r="N241" s="194" t="e">
        <f>+'Estimate Details'!#REF!</f>
        <v>#REF!</v>
      </c>
      <c r="O241" s="171" t="e">
        <f>+'Estimate Details'!#REF!</f>
        <v>#REF!</v>
      </c>
      <c r="P241" s="172" t="e">
        <f>+'Estimate Details'!#REF!</f>
        <v>#REF!</v>
      </c>
      <c r="Q241" s="173" t="e">
        <f>+'Estimate Details'!#REF!</f>
        <v>#REF!</v>
      </c>
      <c r="R241" s="174" t="e">
        <f>+'Estimate Details'!#REF!</f>
        <v>#REF!</v>
      </c>
      <c r="S241" s="507"/>
      <c r="T241" s="174" t="e">
        <f>+'Estimate Details'!#REF!</f>
        <v>#REF!</v>
      </c>
      <c r="U241" s="481" t="s">
        <v>1301</v>
      </c>
      <c r="V241" s="172" t="e">
        <f>+'Estimate Details'!#REF!</f>
        <v>#REF!</v>
      </c>
      <c r="W241" s="481" t="s">
        <v>1310</v>
      </c>
      <c r="X241" s="172" t="e">
        <f>+'Estimate Details'!#REF!</f>
        <v>#REF!</v>
      </c>
      <c r="Y241" s="172" t="e">
        <f>+'Estimate Details'!#REF!</f>
        <v>#REF!</v>
      </c>
      <c r="Z241" s="174" t="e">
        <f>+'Estimate Details'!#REF!</f>
        <v>#REF!</v>
      </c>
      <c r="AA241" s="481"/>
      <c r="AB241" s="175" t="e">
        <f>+'Estimate Details'!#REF!</f>
        <v>#REF!</v>
      </c>
      <c r="AC241" s="569"/>
      <c r="AD241" s="176" t="e">
        <f>+'Estimate Details'!#REF!</f>
        <v>#REF!</v>
      </c>
      <c r="AE241" s="156"/>
      <c r="AF241" s="215"/>
      <c r="AG241" s="156"/>
      <c r="AH241" s="156"/>
      <c r="AI241" s="29"/>
      <c r="AJ241" s="29"/>
      <c r="AK241" s="29"/>
      <c r="AL241" s="29"/>
    </row>
    <row r="242" spans="1:44" ht="14.1" customHeight="1">
      <c r="A242" s="116" t="e">
        <f>+'Estimate Details'!#REF!</f>
        <v>#REF!</v>
      </c>
      <c r="B242" s="116"/>
      <c r="C242" s="116"/>
      <c r="D242" s="166"/>
      <c r="E242" s="158" t="e">
        <f>+'Estimate Details'!#REF!</f>
        <v>#REF!</v>
      </c>
      <c r="F242" s="41"/>
      <c r="G242" s="205" t="e">
        <f>+'Estimate Details'!#REF!</f>
        <v>#REF!</v>
      </c>
      <c r="H242" s="118" t="e">
        <f>+'Estimate Details'!#REF!</f>
        <v>#REF!</v>
      </c>
      <c r="I242" s="108" t="e">
        <f>+'Estimate Details'!#REF!</f>
        <v>#REF!</v>
      </c>
      <c r="J242" s="379" t="e">
        <f>+'Estimate Details'!#REF!</f>
        <v>#REF!</v>
      </c>
      <c r="K242" s="116" t="e">
        <f>+'Estimate Details'!#REF!</f>
        <v>#REF!</v>
      </c>
      <c r="L242" s="116" t="e">
        <f>+'Estimate Details'!#REF!</f>
        <v>#REF!</v>
      </c>
      <c r="M242" s="204" t="e">
        <f>+'Estimate Details'!#REF!</f>
        <v>#REF!</v>
      </c>
      <c r="N242" s="194" t="e">
        <f>+'Estimate Details'!#REF!</f>
        <v>#REF!</v>
      </c>
      <c r="O242" s="171" t="e">
        <f>+'Estimate Details'!#REF!</f>
        <v>#REF!</v>
      </c>
      <c r="P242" s="172" t="e">
        <f>+'Estimate Details'!#REF!</f>
        <v>#REF!</v>
      </c>
      <c r="Q242" s="173" t="e">
        <f>+'Estimate Details'!#REF!</f>
        <v>#REF!</v>
      </c>
      <c r="R242" s="174" t="e">
        <f>+'Estimate Details'!#REF!</f>
        <v>#REF!</v>
      </c>
      <c r="S242" s="507"/>
      <c r="T242" s="174" t="e">
        <f>+'Estimate Details'!#REF!</f>
        <v>#REF!</v>
      </c>
      <c r="U242" s="481" t="s">
        <v>1301</v>
      </c>
      <c r="V242" s="172" t="e">
        <f>+'Estimate Details'!#REF!</f>
        <v>#REF!</v>
      </c>
      <c r="W242" s="481" t="s">
        <v>1310</v>
      </c>
      <c r="X242" s="172" t="e">
        <f>+'Estimate Details'!#REF!</f>
        <v>#REF!</v>
      </c>
      <c r="Y242" s="172" t="e">
        <f>+'Estimate Details'!#REF!</f>
        <v>#REF!</v>
      </c>
      <c r="Z242" s="174" t="e">
        <f>+'Estimate Details'!#REF!</f>
        <v>#REF!</v>
      </c>
      <c r="AA242" s="481"/>
      <c r="AB242" s="175" t="e">
        <f>+'Estimate Details'!#REF!</f>
        <v>#REF!</v>
      </c>
      <c r="AC242" s="569"/>
      <c r="AD242" s="176" t="e">
        <f>+'Estimate Details'!#REF!</f>
        <v>#REF!</v>
      </c>
      <c r="AE242" s="156"/>
      <c r="AF242" s="215"/>
      <c r="AG242" s="156"/>
      <c r="AH242" s="156"/>
      <c r="AI242" s="29"/>
      <c r="AJ242" s="29"/>
      <c r="AK242" s="29"/>
      <c r="AL242" s="29"/>
    </row>
    <row r="243" spans="1:44" ht="14.1" customHeight="1">
      <c r="A243" s="116" t="e">
        <f>+'Estimate Details'!#REF!</f>
        <v>#REF!</v>
      </c>
      <c r="B243" s="116"/>
      <c r="C243" s="116"/>
      <c r="D243" s="166"/>
      <c r="E243" s="158" t="e">
        <f>+'Estimate Details'!#REF!</f>
        <v>#REF!</v>
      </c>
      <c r="F243" s="41"/>
      <c r="G243" s="205" t="e">
        <f>+'Estimate Details'!#REF!</f>
        <v>#REF!</v>
      </c>
      <c r="H243" s="118" t="e">
        <f>+'Estimate Details'!#REF!</f>
        <v>#REF!</v>
      </c>
      <c r="I243" s="108" t="e">
        <f>+'Estimate Details'!#REF!</f>
        <v>#REF!</v>
      </c>
      <c r="J243" s="379" t="e">
        <f>+'Estimate Details'!#REF!</f>
        <v>#REF!</v>
      </c>
      <c r="K243" s="116" t="e">
        <f>+'Estimate Details'!#REF!</f>
        <v>#REF!</v>
      </c>
      <c r="L243" s="116" t="e">
        <f>+'Estimate Details'!#REF!</f>
        <v>#REF!</v>
      </c>
      <c r="M243" s="204" t="e">
        <f>+'Estimate Details'!#REF!</f>
        <v>#REF!</v>
      </c>
      <c r="N243" s="194" t="e">
        <f>+'Estimate Details'!#REF!</f>
        <v>#REF!</v>
      </c>
      <c r="O243" s="171" t="e">
        <f>+'Estimate Details'!#REF!</f>
        <v>#REF!</v>
      </c>
      <c r="P243" s="172" t="e">
        <f>+'Estimate Details'!#REF!</f>
        <v>#REF!</v>
      </c>
      <c r="Q243" s="173" t="e">
        <f>+'Estimate Details'!#REF!</f>
        <v>#REF!</v>
      </c>
      <c r="R243" s="174" t="e">
        <f>+'Estimate Details'!#REF!</f>
        <v>#REF!</v>
      </c>
      <c r="S243" s="507"/>
      <c r="T243" s="174" t="e">
        <f>+'Estimate Details'!#REF!</f>
        <v>#REF!</v>
      </c>
      <c r="U243" s="481" t="s">
        <v>1301</v>
      </c>
      <c r="V243" s="172" t="e">
        <f>+'Estimate Details'!#REF!</f>
        <v>#REF!</v>
      </c>
      <c r="W243" s="481" t="s">
        <v>1310</v>
      </c>
      <c r="X243" s="172" t="e">
        <f>+'Estimate Details'!#REF!</f>
        <v>#REF!</v>
      </c>
      <c r="Y243" s="172" t="e">
        <f>+'Estimate Details'!#REF!</f>
        <v>#REF!</v>
      </c>
      <c r="Z243" s="174" t="e">
        <f>+'Estimate Details'!#REF!</f>
        <v>#REF!</v>
      </c>
      <c r="AA243" s="481"/>
      <c r="AB243" s="175" t="e">
        <f>+'Estimate Details'!#REF!</f>
        <v>#REF!</v>
      </c>
      <c r="AC243" s="569"/>
      <c r="AD243" s="176" t="e">
        <f>+'Estimate Details'!#REF!</f>
        <v>#REF!</v>
      </c>
      <c r="AE243" s="156"/>
      <c r="AF243" s="215"/>
      <c r="AG243" s="156"/>
      <c r="AH243" s="156"/>
      <c r="AI243" s="29"/>
      <c r="AJ243" s="29"/>
      <c r="AK243" s="29"/>
      <c r="AL243" s="29"/>
    </row>
    <row r="244" spans="1:44" s="692" customFormat="1" ht="14.1" customHeight="1">
      <c r="A244" s="673" t="e">
        <f>+'Estimate Details'!#REF!</f>
        <v>#REF!</v>
      </c>
      <c r="B244" s="673"/>
      <c r="C244" s="673"/>
      <c r="D244" s="674"/>
      <c r="E244" s="675" t="e">
        <f>+'Estimate Details'!#REF!</f>
        <v>#REF!</v>
      </c>
      <c r="F244" s="676"/>
      <c r="G244" s="693" t="e">
        <f>+'Estimate Details'!#REF!</f>
        <v>#REF!</v>
      </c>
      <c r="H244" s="678" t="e">
        <f>+'Estimate Details'!#REF!</f>
        <v>#REF!</v>
      </c>
      <c r="I244" s="679" t="e">
        <f>+'Estimate Details'!#REF!</f>
        <v>#REF!</v>
      </c>
      <c r="J244" s="698" t="e">
        <f>+'Estimate Details'!#REF!</f>
        <v>#REF!</v>
      </c>
      <c r="K244" s="673" t="e">
        <f>+'Estimate Details'!#REF!</f>
        <v>#REF!</v>
      </c>
      <c r="L244" s="673" t="e">
        <f>+'Estimate Details'!#REF!</f>
        <v>#REF!</v>
      </c>
      <c r="M244" s="236" t="e">
        <f>+'Estimate Details'!#REF!</f>
        <v>#REF!</v>
      </c>
      <c r="N244" s="699" t="e">
        <f>+'Estimate Details'!#REF!</f>
        <v>#REF!</v>
      </c>
      <c r="O244" s="681" t="e">
        <f>+'Estimate Details'!#REF!</f>
        <v>#REF!</v>
      </c>
      <c r="P244" s="682" t="e">
        <f>+'Estimate Details'!#REF!</f>
        <v>#REF!</v>
      </c>
      <c r="Q244" s="683" t="e">
        <f>+'Estimate Details'!#REF!</f>
        <v>#REF!</v>
      </c>
      <c r="R244" s="684" t="e">
        <f>+'Estimate Details'!#REF!</f>
        <v>#REF!</v>
      </c>
      <c r="S244" s="685"/>
      <c r="T244" s="684" t="e">
        <f>+'Estimate Details'!#REF!</f>
        <v>#REF!</v>
      </c>
      <c r="U244" s="686" t="s">
        <v>1298</v>
      </c>
      <c r="V244" s="682" t="e">
        <f>+'Estimate Details'!#REF!</f>
        <v>#REF!</v>
      </c>
      <c r="W244" s="686" t="s">
        <v>1310</v>
      </c>
      <c r="X244" s="682" t="e">
        <f>+'Estimate Details'!#REF!</f>
        <v>#REF!</v>
      </c>
      <c r="Y244" s="682" t="e">
        <f>+'Estimate Details'!#REF!</f>
        <v>#REF!</v>
      </c>
      <c r="Z244" s="684" t="e">
        <f>+'Estimate Details'!#REF!</f>
        <v>#REF!</v>
      </c>
      <c r="AA244" s="686"/>
      <c r="AB244" s="687" t="e">
        <f>+'Estimate Details'!#REF!</f>
        <v>#REF!</v>
      </c>
      <c r="AC244" s="688"/>
      <c r="AD244" s="696" t="e">
        <f>+'Estimate Details'!#REF!</f>
        <v>#REF!</v>
      </c>
      <c r="AE244" s="689"/>
      <c r="AF244" s="697"/>
      <c r="AG244" s="689"/>
      <c r="AH244" s="689"/>
      <c r="AI244" s="690"/>
      <c r="AJ244" s="690"/>
      <c r="AK244" s="690"/>
      <c r="AL244" s="690"/>
      <c r="AM244" s="691"/>
      <c r="AN244" s="691"/>
      <c r="AO244" s="691"/>
      <c r="AP244" s="691"/>
      <c r="AQ244" s="691"/>
      <c r="AR244" s="691"/>
    </row>
    <row r="245" spans="1:44" ht="14.1" customHeight="1">
      <c r="A245" s="116" t="e">
        <f>+'Estimate Details'!#REF!</f>
        <v>#REF!</v>
      </c>
      <c r="B245" s="116"/>
      <c r="C245" s="116"/>
      <c r="D245" s="166"/>
      <c r="E245" s="158" t="e">
        <f>+'Estimate Details'!#REF!</f>
        <v>#REF!</v>
      </c>
      <c r="F245" s="41"/>
      <c r="G245" s="205" t="e">
        <f>+'Estimate Details'!#REF!</f>
        <v>#REF!</v>
      </c>
      <c r="H245" s="118" t="e">
        <f>+'Estimate Details'!#REF!</f>
        <v>#REF!</v>
      </c>
      <c r="I245" s="108" t="e">
        <f>+'Estimate Details'!#REF!</f>
        <v>#REF!</v>
      </c>
      <c r="J245" s="379" t="e">
        <f>+'Estimate Details'!#REF!</f>
        <v>#REF!</v>
      </c>
      <c r="K245" s="116" t="e">
        <f>+'Estimate Details'!#REF!</f>
        <v>#REF!</v>
      </c>
      <c r="L245" s="116" t="e">
        <f>+'Estimate Details'!#REF!</f>
        <v>#REF!</v>
      </c>
      <c r="M245" s="204" t="e">
        <f>+'Estimate Details'!#REF!</f>
        <v>#REF!</v>
      </c>
      <c r="N245" s="194" t="e">
        <f>+'Estimate Details'!#REF!</f>
        <v>#REF!</v>
      </c>
      <c r="O245" s="171" t="e">
        <f>+'Estimate Details'!#REF!</f>
        <v>#REF!</v>
      </c>
      <c r="P245" s="172" t="e">
        <f>+'Estimate Details'!#REF!</f>
        <v>#REF!</v>
      </c>
      <c r="Q245" s="173" t="e">
        <f>+'Estimate Details'!#REF!</f>
        <v>#REF!</v>
      </c>
      <c r="R245" s="174" t="e">
        <f>+'Estimate Details'!#REF!</f>
        <v>#REF!</v>
      </c>
      <c r="S245" s="507"/>
      <c r="T245" s="174" t="e">
        <f>+'Estimate Details'!#REF!</f>
        <v>#REF!</v>
      </c>
      <c r="U245" s="481" t="s">
        <v>1298</v>
      </c>
      <c r="V245" s="172" t="e">
        <f>+'Estimate Details'!#REF!</f>
        <v>#REF!</v>
      </c>
      <c r="W245" s="481" t="s">
        <v>1310</v>
      </c>
      <c r="X245" s="172" t="e">
        <f>+'Estimate Details'!#REF!</f>
        <v>#REF!</v>
      </c>
      <c r="Y245" s="172" t="e">
        <f>+'Estimate Details'!#REF!</f>
        <v>#REF!</v>
      </c>
      <c r="Z245" s="174" t="e">
        <f>+'Estimate Details'!#REF!</f>
        <v>#REF!</v>
      </c>
      <c r="AA245" s="481"/>
      <c r="AB245" s="175" t="e">
        <f>+'Estimate Details'!#REF!</f>
        <v>#REF!</v>
      </c>
      <c r="AC245" s="569"/>
      <c r="AD245" s="176" t="e">
        <f>+'Estimate Details'!#REF!</f>
        <v>#REF!</v>
      </c>
      <c r="AE245" s="156"/>
      <c r="AF245" s="215"/>
      <c r="AG245" s="156"/>
      <c r="AH245" s="156"/>
      <c r="AI245" s="29"/>
      <c r="AJ245" s="29"/>
      <c r="AK245" s="29"/>
      <c r="AL245" s="29"/>
    </row>
    <row r="246" spans="1:44" ht="14.1" customHeight="1">
      <c r="A246" s="116" t="e">
        <f>+'Estimate Details'!#REF!</f>
        <v>#REF!</v>
      </c>
      <c r="B246" s="116"/>
      <c r="C246" s="116"/>
      <c r="D246" s="166"/>
      <c r="E246" s="158" t="e">
        <f>+'Estimate Details'!#REF!</f>
        <v>#REF!</v>
      </c>
      <c r="F246" s="41"/>
      <c r="G246" s="205" t="e">
        <f>+'Estimate Details'!#REF!</f>
        <v>#REF!</v>
      </c>
      <c r="H246" s="118" t="e">
        <f>+'Estimate Details'!#REF!</f>
        <v>#REF!</v>
      </c>
      <c r="I246" s="108" t="e">
        <f>+'Estimate Details'!#REF!</f>
        <v>#REF!</v>
      </c>
      <c r="J246" s="379" t="e">
        <f>+'Estimate Details'!#REF!</f>
        <v>#REF!</v>
      </c>
      <c r="K246" s="116" t="e">
        <f>+'Estimate Details'!#REF!</f>
        <v>#REF!</v>
      </c>
      <c r="L246" s="116" t="e">
        <f>+'Estimate Details'!#REF!</f>
        <v>#REF!</v>
      </c>
      <c r="M246" s="204" t="e">
        <f>+'Estimate Details'!#REF!</f>
        <v>#REF!</v>
      </c>
      <c r="N246" s="194" t="e">
        <f>+'Estimate Details'!#REF!</f>
        <v>#REF!</v>
      </c>
      <c r="O246" s="171" t="e">
        <f>+'Estimate Details'!#REF!</f>
        <v>#REF!</v>
      </c>
      <c r="P246" s="172" t="e">
        <f>+'Estimate Details'!#REF!</f>
        <v>#REF!</v>
      </c>
      <c r="Q246" s="173" t="e">
        <f>+'Estimate Details'!#REF!</f>
        <v>#REF!</v>
      </c>
      <c r="R246" s="174" t="e">
        <f>+'Estimate Details'!#REF!</f>
        <v>#REF!</v>
      </c>
      <c r="S246" s="507"/>
      <c r="T246" s="174" t="e">
        <f>+'Estimate Details'!#REF!</f>
        <v>#REF!</v>
      </c>
      <c r="U246" s="481" t="s">
        <v>1301</v>
      </c>
      <c r="V246" s="172" t="e">
        <f>+'Estimate Details'!#REF!</f>
        <v>#REF!</v>
      </c>
      <c r="W246" s="481" t="s">
        <v>1310</v>
      </c>
      <c r="X246" s="172" t="e">
        <f>+'Estimate Details'!#REF!</f>
        <v>#REF!</v>
      </c>
      <c r="Y246" s="172" t="e">
        <f>+'Estimate Details'!#REF!</f>
        <v>#REF!</v>
      </c>
      <c r="Z246" s="174" t="e">
        <f>+'Estimate Details'!#REF!</f>
        <v>#REF!</v>
      </c>
      <c r="AA246" s="481"/>
      <c r="AB246" s="175" t="e">
        <f>+'Estimate Details'!#REF!</f>
        <v>#REF!</v>
      </c>
      <c r="AC246" s="569"/>
      <c r="AD246" s="176" t="e">
        <f>+'Estimate Details'!#REF!</f>
        <v>#REF!</v>
      </c>
      <c r="AE246" s="156"/>
      <c r="AF246" s="215"/>
      <c r="AG246" s="156"/>
      <c r="AH246" s="156"/>
      <c r="AI246" s="29"/>
      <c r="AJ246" s="29"/>
      <c r="AK246" s="29"/>
      <c r="AL246" s="29"/>
    </row>
    <row r="247" spans="1:44" ht="14.1" customHeight="1">
      <c r="A247" s="116" t="e">
        <f>+'Estimate Details'!#REF!</f>
        <v>#REF!</v>
      </c>
      <c r="B247" s="116"/>
      <c r="C247" s="116"/>
      <c r="D247" s="166"/>
      <c r="E247" s="158" t="e">
        <f>+'Estimate Details'!#REF!</f>
        <v>#REF!</v>
      </c>
      <c r="F247" s="41"/>
      <c r="G247" s="205" t="e">
        <f>+'Estimate Details'!#REF!</f>
        <v>#REF!</v>
      </c>
      <c r="H247" s="118" t="e">
        <f>+'Estimate Details'!#REF!</f>
        <v>#REF!</v>
      </c>
      <c r="I247" s="108" t="e">
        <f>+'Estimate Details'!#REF!</f>
        <v>#REF!</v>
      </c>
      <c r="J247" s="379" t="e">
        <f>+'Estimate Details'!#REF!</f>
        <v>#REF!</v>
      </c>
      <c r="K247" s="116" t="e">
        <f>+'Estimate Details'!#REF!</f>
        <v>#REF!</v>
      </c>
      <c r="L247" s="116" t="e">
        <f>+'Estimate Details'!#REF!</f>
        <v>#REF!</v>
      </c>
      <c r="M247" s="204" t="e">
        <f>+'Estimate Details'!#REF!</f>
        <v>#REF!</v>
      </c>
      <c r="N247" s="194" t="e">
        <f>+'Estimate Details'!#REF!</f>
        <v>#REF!</v>
      </c>
      <c r="O247" s="171" t="e">
        <f>+'Estimate Details'!#REF!</f>
        <v>#REF!</v>
      </c>
      <c r="P247" s="172" t="e">
        <f>+'Estimate Details'!#REF!</f>
        <v>#REF!</v>
      </c>
      <c r="Q247" s="173" t="e">
        <f>+'Estimate Details'!#REF!</f>
        <v>#REF!</v>
      </c>
      <c r="R247" s="174" t="e">
        <f>+'Estimate Details'!#REF!</f>
        <v>#REF!</v>
      </c>
      <c r="S247" s="507"/>
      <c r="T247" s="174" t="e">
        <f>+'Estimate Details'!#REF!</f>
        <v>#REF!</v>
      </c>
      <c r="U247" s="481" t="s">
        <v>1298</v>
      </c>
      <c r="V247" s="172" t="e">
        <f>+'Estimate Details'!#REF!</f>
        <v>#REF!</v>
      </c>
      <c r="W247" s="481" t="s">
        <v>1310</v>
      </c>
      <c r="X247" s="172" t="e">
        <f>+'Estimate Details'!#REF!</f>
        <v>#REF!</v>
      </c>
      <c r="Y247" s="172" t="e">
        <f>+'Estimate Details'!#REF!</f>
        <v>#REF!</v>
      </c>
      <c r="Z247" s="174" t="e">
        <f>+'Estimate Details'!#REF!</f>
        <v>#REF!</v>
      </c>
      <c r="AA247" s="481"/>
      <c r="AB247" s="175" t="e">
        <f>+'Estimate Details'!#REF!</f>
        <v>#REF!</v>
      </c>
      <c r="AC247" s="569"/>
      <c r="AD247" s="176" t="e">
        <f>+'Estimate Details'!#REF!</f>
        <v>#REF!</v>
      </c>
      <c r="AE247" s="156"/>
      <c r="AF247" s="215"/>
      <c r="AG247" s="156"/>
      <c r="AH247" s="156"/>
      <c r="AI247" s="29"/>
      <c r="AJ247" s="29"/>
      <c r="AK247" s="29"/>
      <c r="AL247" s="29"/>
    </row>
    <row r="248" spans="1:44" ht="14.1" customHeight="1">
      <c r="A248" s="116" t="e">
        <f>+'Estimate Details'!#REF!</f>
        <v>#REF!</v>
      </c>
      <c r="B248" s="116"/>
      <c r="C248" s="116"/>
      <c r="D248" s="166"/>
      <c r="E248" s="158" t="e">
        <f>+'Estimate Details'!#REF!</f>
        <v>#REF!</v>
      </c>
      <c r="F248" s="41"/>
      <c r="G248" s="205" t="e">
        <f>+'Estimate Details'!#REF!</f>
        <v>#REF!</v>
      </c>
      <c r="H248" s="118" t="e">
        <f>+'Estimate Details'!#REF!</f>
        <v>#REF!</v>
      </c>
      <c r="I248" s="108" t="e">
        <f>+'Estimate Details'!#REF!</f>
        <v>#REF!</v>
      </c>
      <c r="J248" s="379" t="e">
        <f>+'Estimate Details'!#REF!</f>
        <v>#REF!</v>
      </c>
      <c r="K248" s="116" t="e">
        <f>+'Estimate Details'!#REF!</f>
        <v>#REF!</v>
      </c>
      <c r="L248" s="116" t="e">
        <f>+'Estimate Details'!#REF!</f>
        <v>#REF!</v>
      </c>
      <c r="M248" s="204" t="e">
        <f>+'Estimate Details'!#REF!</f>
        <v>#REF!</v>
      </c>
      <c r="N248" s="194" t="e">
        <f>+'Estimate Details'!#REF!</f>
        <v>#REF!</v>
      </c>
      <c r="O248" s="171" t="e">
        <f>+'Estimate Details'!#REF!</f>
        <v>#REF!</v>
      </c>
      <c r="P248" s="172" t="e">
        <f>+'Estimate Details'!#REF!</f>
        <v>#REF!</v>
      </c>
      <c r="Q248" s="173" t="e">
        <f>+'Estimate Details'!#REF!</f>
        <v>#REF!</v>
      </c>
      <c r="R248" s="174" t="e">
        <f>+'Estimate Details'!#REF!</f>
        <v>#REF!</v>
      </c>
      <c r="S248" s="507"/>
      <c r="T248" s="174" t="e">
        <f>+'Estimate Details'!#REF!</f>
        <v>#REF!</v>
      </c>
      <c r="U248" s="481" t="s">
        <v>1298</v>
      </c>
      <c r="V248" s="172" t="e">
        <f>+'Estimate Details'!#REF!</f>
        <v>#REF!</v>
      </c>
      <c r="W248" s="481" t="s">
        <v>1310</v>
      </c>
      <c r="X248" s="172" t="e">
        <f>+'Estimate Details'!#REF!</f>
        <v>#REF!</v>
      </c>
      <c r="Y248" s="172" t="e">
        <f>+'Estimate Details'!#REF!</f>
        <v>#REF!</v>
      </c>
      <c r="Z248" s="174" t="e">
        <f>+'Estimate Details'!#REF!</f>
        <v>#REF!</v>
      </c>
      <c r="AA248" s="481"/>
      <c r="AB248" s="175" t="e">
        <f>+'Estimate Details'!#REF!</f>
        <v>#REF!</v>
      </c>
      <c r="AC248" s="569"/>
      <c r="AD248" s="176" t="e">
        <f>+'Estimate Details'!#REF!</f>
        <v>#REF!</v>
      </c>
      <c r="AE248" s="156"/>
      <c r="AF248" s="215"/>
      <c r="AG248" s="156"/>
      <c r="AH248" s="156"/>
      <c r="AI248" s="29"/>
      <c r="AJ248" s="29"/>
      <c r="AK248" s="29"/>
      <c r="AL248" s="29"/>
    </row>
    <row r="249" spans="1:44" ht="14.1" customHeight="1">
      <c r="A249" s="116" t="e">
        <f>+'Estimate Details'!#REF!</f>
        <v>#REF!</v>
      </c>
      <c r="B249" s="116"/>
      <c r="C249" s="116"/>
      <c r="D249" s="166"/>
      <c r="E249" s="158" t="e">
        <f>+'Estimate Details'!#REF!</f>
        <v>#REF!</v>
      </c>
      <c r="F249" s="41"/>
      <c r="G249" s="205" t="e">
        <f>+'Estimate Details'!#REF!</f>
        <v>#REF!</v>
      </c>
      <c r="H249" s="118" t="e">
        <f>+'Estimate Details'!#REF!</f>
        <v>#REF!</v>
      </c>
      <c r="I249" s="108" t="e">
        <f>+'Estimate Details'!#REF!</f>
        <v>#REF!</v>
      </c>
      <c r="J249" s="379" t="e">
        <f>+'Estimate Details'!#REF!</f>
        <v>#REF!</v>
      </c>
      <c r="K249" s="116" t="e">
        <f>+'Estimate Details'!#REF!</f>
        <v>#REF!</v>
      </c>
      <c r="L249" s="116" t="e">
        <f>+'Estimate Details'!#REF!</f>
        <v>#REF!</v>
      </c>
      <c r="M249" s="204" t="e">
        <f>+'Estimate Details'!#REF!</f>
        <v>#REF!</v>
      </c>
      <c r="N249" s="194" t="e">
        <f>+'Estimate Details'!#REF!</f>
        <v>#REF!</v>
      </c>
      <c r="O249" s="171" t="e">
        <f>+'Estimate Details'!#REF!</f>
        <v>#REF!</v>
      </c>
      <c r="P249" s="172" t="e">
        <f>+'Estimate Details'!#REF!</f>
        <v>#REF!</v>
      </c>
      <c r="Q249" s="173" t="e">
        <f>+'Estimate Details'!#REF!</f>
        <v>#REF!</v>
      </c>
      <c r="R249" s="174" t="e">
        <f>+'Estimate Details'!#REF!</f>
        <v>#REF!</v>
      </c>
      <c r="S249" s="507"/>
      <c r="T249" s="174" t="e">
        <f>+'Estimate Details'!#REF!</f>
        <v>#REF!</v>
      </c>
      <c r="U249" s="481" t="s">
        <v>1298</v>
      </c>
      <c r="V249" s="172" t="e">
        <f>+'Estimate Details'!#REF!</f>
        <v>#REF!</v>
      </c>
      <c r="W249" s="481" t="s">
        <v>1310</v>
      </c>
      <c r="X249" s="172" t="e">
        <f>+'Estimate Details'!#REF!</f>
        <v>#REF!</v>
      </c>
      <c r="Y249" s="172" t="e">
        <f>+'Estimate Details'!#REF!</f>
        <v>#REF!</v>
      </c>
      <c r="Z249" s="174" t="e">
        <f>+'Estimate Details'!#REF!</f>
        <v>#REF!</v>
      </c>
      <c r="AA249" s="481"/>
      <c r="AB249" s="175" t="e">
        <f>+'Estimate Details'!#REF!</f>
        <v>#REF!</v>
      </c>
      <c r="AC249" s="569"/>
      <c r="AD249" s="176" t="e">
        <f>+'Estimate Details'!#REF!</f>
        <v>#REF!</v>
      </c>
      <c r="AE249" s="156"/>
      <c r="AF249" s="215"/>
      <c r="AG249" s="156"/>
      <c r="AH249" s="156"/>
      <c r="AI249" s="29"/>
      <c r="AJ249" s="29"/>
      <c r="AK249" s="29"/>
      <c r="AL249" s="29"/>
    </row>
    <row r="250" spans="1:44" ht="14.1" customHeight="1">
      <c r="A250" s="116" t="e">
        <f>+'Estimate Details'!#REF!</f>
        <v>#REF!</v>
      </c>
      <c r="B250" s="116"/>
      <c r="C250" s="116"/>
      <c r="D250" s="166"/>
      <c r="E250" s="158" t="e">
        <f>+'Estimate Details'!#REF!</f>
        <v>#REF!</v>
      </c>
      <c r="F250" s="41"/>
      <c r="G250" s="205" t="e">
        <f>+'Estimate Details'!#REF!</f>
        <v>#REF!</v>
      </c>
      <c r="H250" s="118" t="e">
        <f>+'Estimate Details'!#REF!</f>
        <v>#REF!</v>
      </c>
      <c r="I250" s="108" t="e">
        <f>+'Estimate Details'!#REF!</f>
        <v>#REF!</v>
      </c>
      <c r="J250" s="379" t="e">
        <f>+'Estimate Details'!#REF!</f>
        <v>#REF!</v>
      </c>
      <c r="K250" s="116" t="e">
        <f>+'Estimate Details'!#REF!</f>
        <v>#REF!</v>
      </c>
      <c r="L250" s="116" t="e">
        <f>+'Estimate Details'!#REF!</f>
        <v>#REF!</v>
      </c>
      <c r="M250" s="204" t="e">
        <f>+'Estimate Details'!#REF!</f>
        <v>#REF!</v>
      </c>
      <c r="N250" s="194" t="e">
        <f>+'Estimate Details'!#REF!</f>
        <v>#REF!</v>
      </c>
      <c r="O250" s="171" t="e">
        <f>+'Estimate Details'!#REF!</f>
        <v>#REF!</v>
      </c>
      <c r="P250" s="172" t="e">
        <f>+'Estimate Details'!#REF!</f>
        <v>#REF!</v>
      </c>
      <c r="Q250" s="173" t="e">
        <f>+'Estimate Details'!#REF!</f>
        <v>#REF!</v>
      </c>
      <c r="R250" s="174" t="e">
        <f>+'Estimate Details'!#REF!</f>
        <v>#REF!</v>
      </c>
      <c r="S250" s="507"/>
      <c r="T250" s="174" t="e">
        <f>+'Estimate Details'!#REF!</f>
        <v>#REF!</v>
      </c>
      <c r="U250" s="481" t="s">
        <v>1298</v>
      </c>
      <c r="V250" s="172" t="e">
        <f>+'Estimate Details'!#REF!</f>
        <v>#REF!</v>
      </c>
      <c r="W250" s="481" t="s">
        <v>1310</v>
      </c>
      <c r="X250" s="172" t="e">
        <f>+'Estimate Details'!#REF!</f>
        <v>#REF!</v>
      </c>
      <c r="Y250" s="172" t="e">
        <f>+'Estimate Details'!#REF!</f>
        <v>#REF!</v>
      </c>
      <c r="Z250" s="174" t="e">
        <f>+'Estimate Details'!#REF!</f>
        <v>#REF!</v>
      </c>
      <c r="AA250" s="481"/>
      <c r="AB250" s="175" t="e">
        <f>+'Estimate Details'!#REF!</f>
        <v>#REF!</v>
      </c>
      <c r="AC250" s="569"/>
      <c r="AD250" s="176" t="e">
        <f>+'Estimate Details'!#REF!</f>
        <v>#REF!</v>
      </c>
      <c r="AE250" s="156"/>
      <c r="AF250" s="215"/>
      <c r="AG250" s="156"/>
      <c r="AH250" s="156"/>
      <c r="AI250" s="29"/>
      <c r="AJ250" s="29"/>
      <c r="AK250" s="29"/>
      <c r="AL250" s="29"/>
    </row>
    <row r="251" spans="1:44" ht="14.1" customHeight="1">
      <c r="A251" s="116" t="e">
        <f>+'Estimate Details'!#REF!</f>
        <v>#REF!</v>
      </c>
      <c r="B251" s="116"/>
      <c r="C251" s="116"/>
      <c r="D251" s="166"/>
      <c r="E251" s="158" t="e">
        <f>+'Estimate Details'!#REF!</f>
        <v>#REF!</v>
      </c>
      <c r="F251" s="41"/>
      <c r="G251" s="205" t="e">
        <f>+'Estimate Details'!#REF!</f>
        <v>#REF!</v>
      </c>
      <c r="H251" s="118" t="e">
        <f>+'Estimate Details'!#REF!</f>
        <v>#REF!</v>
      </c>
      <c r="I251" s="108" t="e">
        <f>+'Estimate Details'!#REF!</f>
        <v>#REF!</v>
      </c>
      <c r="J251" s="379" t="e">
        <f>+'Estimate Details'!#REF!</f>
        <v>#REF!</v>
      </c>
      <c r="K251" s="116" t="e">
        <f>+'Estimate Details'!#REF!</f>
        <v>#REF!</v>
      </c>
      <c r="L251" s="116" t="e">
        <f>+'Estimate Details'!#REF!</f>
        <v>#REF!</v>
      </c>
      <c r="M251" s="204" t="e">
        <f>+'Estimate Details'!#REF!</f>
        <v>#REF!</v>
      </c>
      <c r="N251" s="194" t="e">
        <f>+'Estimate Details'!#REF!</f>
        <v>#REF!</v>
      </c>
      <c r="O251" s="171" t="e">
        <f>+'Estimate Details'!#REF!</f>
        <v>#REF!</v>
      </c>
      <c r="P251" s="172" t="e">
        <f>+'Estimate Details'!#REF!</f>
        <v>#REF!</v>
      </c>
      <c r="Q251" s="173" t="e">
        <f>+'Estimate Details'!#REF!</f>
        <v>#REF!</v>
      </c>
      <c r="R251" s="174" t="e">
        <f>+'Estimate Details'!#REF!</f>
        <v>#REF!</v>
      </c>
      <c r="S251" s="507"/>
      <c r="T251" s="174" t="e">
        <f>+'Estimate Details'!#REF!</f>
        <v>#REF!</v>
      </c>
      <c r="U251" s="481" t="s">
        <v>1298</v>
      </c>
      <c r="V251" s="172" t="e">
        <f>+'Estimate Details'!#REF!</f>
        <v>#REF!</v>
      </c>
      <c r="W251" s="481" t="s">
        <v>1310</v>
      </c>
      <c r="X251" s="172" t="e">
        <f>+'Estimate Details'!#REF!</f>
        <v>#REF!</v>
      </c>
      <c r="Y251" s="172" t="e">
        <f>+'Estimate Details'!#REF!</f>
        <v>#REF!</v>
      </c>
      <c r="Z251" s="174" t="e">
        <f>+'Estimate Details'!#REF!</f>
        <v>#REF!</v>
      </c>
      <c r="AA251" s="481"/>
      <c r="AB251" s="175" t="e">
        <f>+'Estimate Details'!#REF!</f>
        <v>#REF!</v>
      </c>
      <c r="AC251" s="569"/>
      <c r="AD251" s="176" t="e">
        <f>+'Estimate Details'!#REF!</f>
        <v>#REF!</v>
      </c>
      <c r="AE251" s="156"/>
      <c r="AF251" s="215"/>
      <c r="AG251" s="156"/>
      <c r="AH251" s="156"/>
      <c r="AI251" s="29"/>
      <c r="AJ251" s="29"/>
      <c r="AK251" s="29"/>
      <c r="AL251" s="29"/>
    </row>
    <row r="252" spans="1:44" ht="14.1" customHeight="1">
      <c r="A252" s="116" t="e">
        <f>+'Estimate Details'!#REF!</f>
        <v>#REF!</v>
      </c>
      <c r="B252" s="116"/>
      <c r="C252" s="116"/>
      <c r="D252" s="166"/>
      <c r="E252" s="158" t="e">
        <f>+'Estimate Details'!#REF!</f>
        <v>#REF!</v>
      </c>
      <c r="F252" s="41"/>
      <c r="G252" s="205" t="e">
        <f>+'Estimate Details'!#REF!</f>
        <v>#REF!</v>
      </c>
      <c r="H252" s="118" t="e">
        <f>+'Estimate Details'!#REF!</f>
        <v>#REF!</v>
      </c>
      <c r="I252" s="108" t="e">
        <f>+'Estimate Details'!#REF!</f>
        <v>#REF!</v>
      </c>
      <c r="J252" s="379" t="e">
        <f>+'Estimate Details'!#REF!</f>
        <v>#REF!</v>
      </c>
      <c r="K252" s="116" t="e">
        <f>+'Estimate Details'!#REF!</f>
        <v>#REF!</v>
      </c>
      <c r="L252" s="116" t="e">
        <f>+'Estimate Details'!#REF!</f>
        <v>#REF!</v>
      </c>
      <c r="M252" s="204" t="e">
        <f>+'Estimate Details'!#REF!</f>
        <v>#REF!</v>
      </c>
      <c r="N252" s="194" t="e">
        <f>+'Estimate Details'!#REF!</f>
        <v>#REF!</v>
      </c>
      <c r="O252" s="171" t="e">
        <f>+'Estimate Details'!#REF!</f>
        <v>#REF!</v>
      </c>
      <c r="P252" s="172" t="e">
        <f>+'Estimate Details'!#REF!</f>
        <v>#REF!</v>
      </c>
      <c r="Q252" s="173" t="e">
        <f>+'Estimate Details'!#REF!</f>
        <v>#REF!</v>
      </c>
      <c r="R252" s="174" t="e">
        <f>+'Estimate Details'!#REF!</f>
        <v>#REF!</v>
      </c>
      <c r="S252" s="507"/>
      <c r="T252" s="174" t="e">
        <f>+'Estimate Details'!#REF!</f>
        <v>#REF!</v>
      </c>
      <c r="U252" s="481" t="s">
        <v>1298</v>
      </c>
      <c r="V252" s="172" t="e">
        <f>+'Estimate Details'!#REF!</f>
        <v>#REF!</v>
      </c>
      <c r="W252" s="481" t="s">
        <v>1310</v>
      </c>
      <c r="X252" s="172" t="e">
        <f>+'Estimate Details'!#REF!</f>
        <v>#REF!</v>
      </c>
      <c r="Y252" s="172" t="e">
        <f>+'Estimate Details'!#REF!</f>
        <v>#REF!</v>
      </c>
      <c r="Z252" s="174" t="e">
        <f>+'Estimate Details'!#REF!</f>
        <v>#REF!</v>
      </c>
      <c r="AA252" s="481"/>
      <c r="AB252" s="175" t="e">
        <f>+'Estimate Details'!#REF!</f>
        <v>#REF!</v>
      </c>
      <c r="AC252" s="569"/>
      <c r="AD252" s="176" t="e">
        <f>+'Estimate Details'!#REF!</f>
        <v>#REF!</v>
      </c>
      <c r="AE252" s="156"/>
      <c r="AF252" s="215"/>
      <c r="AG252" s="156"/>
      <c r="AH252" s="156"/>
      <c r="AI252" s="29"/>
      <c r="AJ252" s="29"/>
      <c r="AK252" s="29"/>
      <c r="AL252" s="29"/>
    </row>
    <row r="253" spans="1:44" ht="14.1" customHeight="1">
      <c r="A253" s="116" t="e">
        <f>+'Estimate Details'!#REF!</f>
        <v>#REF!</v>
      </c>
      <c r="B253" s="116"/>
      <c r="C253" s="116"/>
      <c r="D253" s="166"/>
      <c r="E253" s="158" t="e">
        <f>+'Estimate Details'!#REF!</f>
        <v>#REF!</v>
      </c>
      <c r="F253" s="41"/>
      <c r="G253" s="205" t="e">
        <f>+'Estimate Details'!#REF!</f>
        <v>#REF!</v>
      </c>
      <c r="H253" s="118" t="e">
        <f>+'Estimate Details'!#REF!</f>
        <v>#REF!</v>
      </c>
      <c r="I253" s="108" t="e">
        <f>+'Estimate Details'!#REF!</f>
        <v>#REF!</v>
      </c>
      <c r="J253" s="379" t="e">
        <f>+'Estimate Details'!#REF!</f>
        <v>#REF!</v>
      </c>
      <c r="K253" s="116" t="e">
        <f>+'Estimate Details'!#REF!</f>
        <v>#REF!</v>
      </c>
      <c r="L253" s="116" t="e">
        <f>+'Estimate Details'!#REF!</f>
        <v>#REF!</v>
      </c>
      <c r="M253" s="204" t="e">
        <f>+'Estimate Details'!#REF!</f>
        <v>#REF!</v>
      </c>
      <c r="N253" s="194" t="e">
        <f>+'Estimate Details'!#REF!</f>
        <v>#REF!</v>
      </c>
      <c r="O253" s="171" t="e">
        <f>+'Estimate Details'!#REF!</f>
        <v>#REF!</v>
      </c>
      <c r="P253" s="172" t="e">
        <f>+'Estimate Details'!#REF!</f>
        <v>#REF!</v>
      </c>
      <c r="Q253" s="173" t="e">
        <f>+'Estimate Details'!#REF!</f>
        <v>#REF!</v>
      </c>
      <c r="R253" s="174" t="e">
        <f>+'Estimate Details'!#REF!</f>
        <v>#REF!</v>
      </c>
      <c r="S253" s="507"/>
      <c r="T253" s="174" t="e">
        <f>+'Estimate Details'!#REF!</f>
        <v>#REF!</v>
      </c>
      <c r="U253" s="481" t="s">
        <v>1301</v>
      </c>
      <c r="V253" s="172" t="e">
        <f>+'Estimate Details'!#REF!</f>
        <v>#REF!</v>
      </c>
      <c r="W253" s="481" t="s">
        <v>1310</v>
      </c>
      <c r="X253" s="172" t="e">
        <f>+'Estimate Details'!#REF!</f>
        <v>#REF!</v>
      </c>
      <c r="Y253" s="172" t="e">
        <f>+'Estimate Details'!#REF!</f>
        <v>#REF!</v>
      </c>
      <c r="Z253" s="174" t="e">
        <f>+'Estimate Details'!#REF!</f>
        <v>#REF!</v>
      </c>
      <c r="AA253" s="481"/>
      <c r="AB253" s="175" t="e">
        <f>+'Estimate Details'!#REF!</f>
        <v>#REF!</v>
      </c>
      <c r="AC253" s="569"/>
      <c r="AD253" s="176" t="e">
        <f>+'Estimate Details'!#REF!</f>
        <v>#REF!</v>
      </c>
      <c r="AE253" s="156"/>
      <c r="AF253" s="215"/>
      <c r="AG253" s="156"/>
      <c r="AH253" s="156"/>
      <c r="AI253" s="29"/>
      <c r="AJ253" s="29"/>
      <c r="AK253" s="29"/>
      <c r="AL253" s="29"/>
    </row>
    <row r="254" spans="1:44" ht="14.1" customHeight="1">
      <c r="A254" s="116" t="e">
        <f>+'Estimate Details'!#REF!</f>
        <v>#REF!</v>
      </c>
      <c r="B254" s="116"/>
      <c r="C254" s="116"/>
      <c r="D254" s="166"/>
      <c r="E254" s="158" t="e">
        <f>+'Estimate Details'!#REF!</f>
        <v>#REF!</v>
      </c>
      <c r="F254" s="41"/>
      <c r="G254" s="205" t="e">
        <f>+'Estimate Details'!#REF!</f>
        <v>#REF!</v>
      </c>
      <c r="H254" s="118" t="e">
        <f>+'Estimate Details'!#REF!</f>
        <v>#REF!</v>
      </c>
      <c r="I254" s="108" t="e">
        <f>+'Estimate Details'!#REF!</f>
        <v>#REF!</v>
      </c>
      <c r="J254" s="379" t="e">
        <f>+'Estimate Details'!#REF!</f>
        <v>#REF!</v>
      </c>
      <c r="K254" s="116" t="e">
        <f>+'Estimate Details'!#REF!</f>
        <v>#REF!</v>
      </c>
      <c r="L254" s="116" t="e">
        <f>+'Estimate Details'!#REF!</f>
        <v>#REF!</v>
      </c>
      <c r="M254" s="204" t="e">
        <f>+'Estimate Details'!#REF!</f>
        <v>#REF!</v>
      </c>
      <c r="N254" s="194" t="e">
        <f>+'Estimate Details'!#REF!</f>
        <v>#REF!</v>
      </c>
      <c r="O254" s="171" t="e">
        <f>+'Estimate Details'!#REF!</f>
        <v>#REF!</v>
      </c>
      <c r="P254" s="172" t="e">
        <f>+'Estimate Details'!#REF!</f>
        <v>#REF!</v>
      </c>
      <c r="Q254" s="173" t="e">
        <f>+'Estimate Details'!#REF!</f>
        <v>#REF!</v>
      </c>
      <c r="R254" s="174" t="e">
        <f>+'Estimate Details'!#REF!</f>
        <v>#REF!</v>
      </c>
      <c r="S254" s="507"/>
      <c r="T254" s="174" t="e">
        <f>+'Estimate Details'!#REF!</f>
        <v>#REF!</v>
      </c>
      <c r="U254" s="481" t="s">
        <v>1310</v>
      </c>
      <c r="V254" s="172" t="e">
        <f>+'Estimate Details'!#REF!</f>
        <v>#REF!</v>
      </c>
      <c r="W254" s="481" t="s">
        <v>1310</v>
      </c>
      <c r="X254" s="172" t="e">
        <f>+'Estimate Details'!#REF!</f>
        <v>#REF!</v>
      </c>
      <c r="Y254" s="172" t="e">
        <f>+'Estimate Details'!#REF!</f>
        <v>#REF!</v>
      </c>
      <c r="Z254" s="174" t="e">
        <f>+'Estimate Details'!#REF!</f>
        <v>#REF!</v>
      </c>
      <c r="AA254" s="481"/>
      <c r="AB254" s="175" t="e">
        <f>+'Estimate Details'!#REF!</f>
        <v>#REF!</v>
      </c>
      <c r="AC254" s="569"/>
      <c r="AD254" s="176" t="e">
        <f>+'Estimate Details'!#REF!</f>
        <v>#REF!</v>
      </c>
      <c r="AE254" s="156"/>
      <c r="AF254" s="215"/>
      <c r="AG254" s="156"/>
      <c r="AH254" s="156"/>
      <c r="AI254" s="29"/>
      <c r="AJ254" s="29"/>
      <c r="AK254" s="29"/>
      <c r="AL254" s="29"/>
    </row>
    <row r="255" spans="1:44" ht="14.1" customHeight="1">
      <c r="A255" s="116" t="e">
        <f>+'Estimate Details'!#REF!</f>
        <v>#REF!</v>
      </c>
      <c r="B255" s="116"/>
      <c r="C255" s="116"/>
      <c r="D255" s="166"/>
      <c r="E255" s="158" t="e">
        <f>+'Estimate Details'!#REF!</f>
        <v>#REF!</v>
      </c>
      <c r="F255" s="41"/>
      <c r="G255" s="205" t="e">
        <f>+'Estimate Details'!#REF!</f>
        <v>#REF!</v>
      </c>
      <c r="H255" s="118" t="e">
        <f>+'Estimate Details'!#REF!</f>
        <v>#REF!</v>
      </c>
      <c r="I255" s="108" t="e">
        <f>+'Estimate Details'!#REF!</f>
        <v>#REF!</v>
      </c>
      <c r="J255" s="379" t="e">
        <f>+'Estimate Details'!#REF!</f>
        <v>#REF!</v>
      </c>
      <c r="K255" s="116" t="e">
        <f>+'Estimate Details'!#REF!</f>
        <v>#REF!</v>
      </c>
      <c r="L255" s="116" t="e">
        <f>+'Estimate Details'!#REF!</f>
        <v>#REF!</v>
      </c>
      <c r="M255" s="204" t="e">
        <f>+'Estimate Details'!#REF!</f>
        <v>#REF!</v>
      </c>
      <c r="N255" s="194" t="e">
        <f>+'Estimate Details'!#REF!</f>
        <v>#REF!</v>
      </c>
      <c r="O255" s="171" t="e">
        <f>+'Estimate Details'!#REF!</f>
        <v>#REF!</v>
      </c>
      <c r="P255" s="172" t="e">
        <f>+'Estimate Details'!#REF!</f>
        <v>#REF!</v>
      </c>
      <c r="Q255" s="173" t="e">
        <f>+'Estimate Details'!#REF!</f>
        <v>#REF!</v>
      </c>
      <c r="R255" s="174" t="e">
        <f>+'Estimate Details'!#REF!</f>
        <v>#REF!</v>
      </c>
      <c r="S255" s="507"/>
      <c r="T255" s="174" t="e">
        <f>+'Estimate Details'!#REF!</f>
        <v>#REF!</v>
      </c>
      <c r="U255" s="481" t="s">
        <v>1310</v>
      </c>
      <c r="V255" s="172" t="e">
        <f>+'Estimate Details'!#REF!</f>
        <v>#REF!</v>
      </c>
      <c r="W255" s="481" t="s">
        <v>1310</v>
      </c>
      <c r="X255" s="172" t="e">
        <f>+'Estimate Details'!#REF!</f>
        <v>#REF!</v>
      </c>
      <c r="Y255" s="172" t="e">
        <f>+'Estimate Details'!#REF!</f>
        <v>#REF!</v>
      </c>
      <c r="Z255" s="174" t="e">
        <f>+'Estimate Details'!#REF!</f>
        <v>#REF!</v>
      </c>
      <c r="AA255" s="481"/>
      <c r="AB255" s="175" t="e">
        <f>+'Estimate Details'!#REF!</f>
        <v>#REF!</v>
      </c>
      <c r="AC255" s="569"/>
      <c r="AD255" s="176" t="e">
        <f>+'Estimate Details'!#REF!</f>
        <v>#REF!</v>
      </c>
      <c r="AE255" s="156"/>
      <c r="AF255" s="215"/>
      <c r="AG255" s="156"/>
      <c r="AH255" s="156"/>
      <c r="AI255" s="29"/>
      <c r="AJ255" s="29"/>
      <c r="AK255" s="29"/>
      <c r="AL255" s="29"/>
    </row>
    <row r="256" spans="1:44" ht="14.1" customHeight="1">
      <c r="A256" s="116" t="e">
        <f>+'Estimate Details'!#REF!</f>
        <v>#REF!</v>
      </c>
      <c r="B256" s="116"/>
      <c r="C256" s="116"/>
      <c r="D256" s="166"/>
      <c r="E256" s="158" t="e">
        <f>+'Estimate Details'!#REF!</f>
        <v>#REF!</v>
      </c>
      <c r="F256" s="41"/>
      <c r="G256" s="205" t="e">
        <f>+'Estimate Details'!#REF!</f>
        <v>#REF!</v>
      </c>
      <c r="H256" s="118" t="e">
        <f>+'Estimate Details'!#REF!</f>
        <v>#REF!</v>
      </c>
      <c r="I256" s="108" t="e">
        <f>+'Estimate Details'!#REF!</f>
        <v>#REF!</v>
      </c>
      <c r="J256" s="379" t="e">
        <f>+'Estimate Details'!#REF!</f>
        <v>#REF!</v>
      </c>
      <c r="K256" s="116" t="e">
        <f>+'Estimate Details'!#REF!</f>
        <v>#REF!</v>
      </c>
      <c r="L256" s="116" t="e">
        <f>+'Estimate Details'!#REF!</f>
        <v>#REF!</v>
      </c>
      <c r="M256" s="204" t="e">
        <f>+'Estimate Details'!#REF!</f>
        <v>#REF!</v>
      </c>
      <c r="N256" s="194" t="e">
        <f>+'Estimate Details'!#REF!</f>
        <v>#REF!</v>
      </c>
      <c r="O256" s="171" t="e">
        <f>+'Estimate Details'!#REF!</f>
        <v>#REF!</v>
      </c>
      <c r="P256" s="172" t="e">
        <f>+'Estimate Details'!#REF!</f>
        <v>#REF!</v>
      </c>
      <c r="Q256" s="173" t="e">
        <f>+'Estimate Details'!#REF!</f>
        <v>#REF!</v>
      </c>
      <c r="R256" s="174" t="e">
        <f>+'Estimate Details'!#REF!</f>
        <v>#REF!</v>
      </c>
      <c r="S256" s="507"/>
      <c r="T256" s="174" t="e">
        <f>+'Estimate Details'!#REF!</f>
        <v>#REF!</v>
      </c>
      <c r="U256" s="481"/>
      <c r="V256" s="172" t="e">
        <f>+'Estimate Details'!#REF!</f>
        <v>#REF!</v>
      </c>
      <c r="W256" s="481"/>
      <c r="X256" s="172" t="e">
        <f>+'Estimate Details'!#REF!</f>
        <v>#REF!</v>
      </c>
      <c r="Y256" s="172" t="e">
        <f>+'Estimate Details'!#REF!</f>
        <v>#REF!</v>
      </c>
      <c r="Z256" s="174" t="e">
        <f>+'Estimate Details'!#REF!</f>
        <v>#REF!</v>
      </c>
      <c r="AA256" s="481" t="s">
        <v>1302</v>
      </c>
      <c r="AB256" s="175" t="e">
        <f>+'Estimate Details'!#REF!</f>
        <v>#REF!</v>
      </c>
      <c r="AC256" s="569"/>
      <c r="AD256" s="176" t="e">
        <f>+'Estimate Details'!#REF!</f>
        <v>#REF!</v>
      </c>
      <c r="AE256" s="156"/>
      <c r="AF256" s="215"/>
      <c r="AG256" s="156"/>
      <c r="AH256" s="156"/>
      <c r="AI256" s="29"/>
      <c r="AJ256" s="29"/>
      <c r="AK256" s="29"/>
      <c r="AL256" s="29"/>
    </row>
    <row r="257" spans="1:44" ht="14.1" customHeight="1">
      <c r="A257" s="116" t="e">
        <f>+'Estimate Details'!#REF!</f>
        <v>#REF!</v>
      </c>
      <c r="B257" s="116"/>
      <c r="C257" s="116"/>
      <c r="D257" s="166"/>
      <c r="E257" s="158" t="e">
        <f>+'Estimate Details'!#REF!</f>
        <v>#REF!</v>
      </c>
      <c r="F257" s="41"/>
      <c r="G257" s="205" t="e">
        <f>+'Estimate Details'!#REF!</f>
        <v>#REF!</v>
      </c>
      <c r="H257" s="118" t="e">
        <f>+'Estimate Details'!#REF!</f>
        <v>#REF!</v>
      </c>
      <c r="I257" s="108" t="e">
        <f>+'Estimate Details'!#REF!</f>
        <v>#REF!</v>
      </c>
      <c r="J257" s="379" t="e">
        <f>+'Estimate Details'!#REF!</f>
        <v>#REF!</v>
      </c>
      <c r="K257" s="116" t="e">
        <f>+'Estimate Details'!#REF!</f>
        <v>#REF!</v>
      </c>
      <c r="L257" s="116" t="e">
        <f>+'Estimate Details'!#REF!</f>
        <v>#REF!</v>
      </c>
      <c r="M257" s="204" t="e">
        <f>+'Estimate Details'!#REF!</f>
        <v>#REF!</v>
      </c>
      <c r="N257" s="194" t="e">
        <f>+'Estimate Details'!#REF!</f>
        <v>#REF!</v>
      </c>
      <c r="O257" s="171" t="e">
        <f>+'Estimate Details'!#REF!</f>
        <v>#REF!</v>
      </c>
      <c r="P257" s="172" t="e">
        <f>+'Estimate Details'!#REF!</f>
        <v>#REF!</v>
      </c>
      <c r="Q257" s="173" t="e">
        <f>+'Estimate Details'!#REF!</f>
        <v>#REF!</v>
      </c>
      <c r="R257" s="174" t="e">
        <f>+'Estimate Details'!#REF!</f>
        <v>#REF!</v>
      </c>
      <c r="S257" s="507"/>
      <c r="T257" s="174" t="e">
        <f>+'Estimate Details'!#REF!</f>
        <v>#REF!</v>
      </c>
      <c r="U257" s="481"/>
      <c r="V257" s="172" t="e">
        <f>+'Estimate Details'!#REF!</f>
        <v>#REF!</v>
      </c>
      <c r="W257" s="481"/>
      <c r="X257" s="172" t="e">
        <f>+'Estimate Details'!#REF!</f>
        <v>#REF!</v>
      </c>
      <c r="Y257" s="172" t="e">
        <f>+'Estimate Details'!#REF!</f>
        <v>#REF!</v>
      </c>
      <c r="Z257" s="174" t="e">
        <f>+'Estimate Details'!#REF!</f>
        <v>#REF!</v>
      </c>
      <c r="AA257" s="481" t="s">
        <v>1302</v>
      </c>
      <c r="AB257" s="175" t="e">
        <f>+'Estimate Details'!#REF!</f>
        <v>#REF!</v>
      </c>
      <c r="AC257" s="569"/>
      <c r="AD257" s="176" t="e">
        <f>+'Estimate Details'!#REF!</f>
        <v>#REF!</v>
      </c>
      <c r="AE257" s="156"/>
      <c r="AF257" s="215"/>
      <c r="AG257" s="156"/>
      <c r="AH257" s="156"/>
      <c r="AI257" s="29"/>
      <c r="AJ257" s="29"/>
      <c r="AK257" s="29"/>
      <c r="AL257" s="29"/>
    </row>
    <row r="258" spans="1:44" ht="14.1" customHeight="1">
      <c r="A258" s="116" t="e">
        <f>+'Estimate Details'!#REF!</f>
        <v>#REF!</v>
      </c>
      <c r="B258" s="116"/>
      <c r="C258" s="116"/>
      <c r="D258" s="166"/>
      <c r="E258" s="158" t="e">
        <f>+'Estimate Details'!#REF!</f>
        <v>#REF!</v>
      </c>
      <c r="F258" s="41"/>
      <c r="G258" s="205" t="e">
        <f>+'Estimate Details'!#REF!</f>
        <v>#REF!</v>
      </c>
      <c r="H258" s="118" t="e">
        <f>+'Estimate Details'!#REF!</f>
        <v>#REF!</v>
      </c>
      <c r="I258" s="108" t="e">
        <f>+'Estimate Details'!#REF!</f>
        <v>#REF!</v>
      </c>
      <c r="J258" s="379" t="e">
        <f>+'Estimate Details'!#REF!</f>
        <v>#REF!</v>
      </c>
      <c r="K258" s="116" t="e">
        <f>+'Estimate Details'!#REF!</f>
        <v>#REF!</v>
      </c>
      <c r="L258" s="116" t="e">
        <f>+'Estimate Details'!#REF!</f>
        <v>#REF!</v>
      </c>
      <c r="M258" s="204" t="e">
        <f>+'Estimate Details'!#REF!</f>
        <v>#REF!</v>
      </c>
      <c r="N258" s="194" t="e">
        <f>+'Estimate Details'!#REF!</f>
        <v>#REF!</v>
      </c>
      <c r="O258" s="171" t="e">
        <f>+'Estimate Details'!#REF!</f>
        <v>#REF!</v>
      </c>
      <c r="P258" s="172" t="e">
        <f>+'Estimate Details'!#REF!</f>
        <v>#REF!</v>
      </c>
      <c r="Q258" s="173" t="e">
        <f>+'Estimate Details'!#REF!</f>
        <v>#REF!</v>
      </c>
      <c r="R258" s="174" t="e">
        <f>+'Estimate Details'!#REF!</f>
        <v>#REF!</v>
      </c>
      <c r="S258" s="507"/>
      <c r="T258" s="174" t="e">
        <f>+'Estimate Details'!#REF!</f>
        <v>#REF!</v>
      </c>
      <c r="U258" s="481" t="s">
        <v>1310</v>
      </c>
      <c r="V258" s="172" t="e">
        <f>+'Estimate Details'!#REF!</f>
        <v>#REF!</v>
      </c>
      <c r="W258" s="481" t="s">
        <v>1310</v>
      </c>
      <c r="X258" s="172" t="e">
        <f>+'Estimate Details'!#REF!</f>
        <v>#REF!</v>
      </c>
      <c r="Y258" s="172" t="e">
        <f>+'Estimate Details'!#REF!</f>
        <v>#REF!</v>
      </c>
      <c r="Z258" s="174" t="e">
        <f>+'Estimate Details'!#REF!</f>
        <v>#REF!</v>
      </c>
      <c r="AA258" s="481"/>
      <c r="AB258" s="175" t="e">
        <f>+'Estimate Details'!#REF!</f>
        <v>#REF!</v>
      </c>
      <c r="AC258" s="569"/>
      <c r="AD258" s="176" t="e">
        <f>+'Estimate Details'!#REF!</f>
        <v>#REF!</v>
      </c>
      <c r="AE258" s="156"/>
      <c r="AF258" s="215"/>
      <c r="AG258" s="156"/>
      <c r="AH258" s="156"/>
      <c r="AI258" s="29"/>
      <c r="AJ258" s="29"/>
      <c r="AK258" s="29"/>
      <c r="AL258" s="29"/>
    </row>
    <row r="259" spans="1:44" ht="14.1" customHeight="1">
      <c r="A259" s="116" t="e">
        <f>+'Estimate Details'!#REF!</f>
        <v>#REF!</v>
      </c>
      <c r="B259" s="116"/>
      <c r="C259" s="116"/>
      <c r="D259" s="166"/>
      <c r="E259" s="158" t="e">
        <f>+'Estimate Details'!#REF!</f>
        <v>#REF!</v>
      </c>
      <c r="F259" s="41"/>
      <c r="G259" s="205" t="e">
        <f>+'Estimate Details'!#REF!</f>
        <v>#REF!</v>
      </c>
      <c r="H259" s="118" t="e">
        <f>+'Estimate Details'!#REF!</f>
        <v>#REF!</v>
      </c>
      <c r="I259" s="108" t="e">
        <f>+'Estimate Details'!#REF!</f>
        <v>#REF!</v>
      </c>
      <c r="J259" s="379" t="e">
        <f>+'Estimate Details'!#REF!</f>
        <v>#REF!</v>
      </c>
      <c r="K259" s="116" t="e">
        <f>+'Estimate Details'!#REF!</f>
        <v>#REF!</v>
      </c>
      <c r="L259" s="116" t="e">
        <f>+'Estimate Details'!#REF!</f>
        <v>#REF!</v>
      </c>
      <c r="M259" s="204" t="e">
        <f>+'Estimate Details'!#REF!</f>
        <v>#REF!</v>
      </c>
      <c r="N259" s="194" t="e">
        <f>+'Estimate Details'!#REF!</f>
        <v>#REF!</v>
      </c>
      <c r="O259" s="171" t="e">
        <f>+'Estimate Details'!#REF!</f>
        <v>#REF!</v>
      </c>
      <c r="P259" s="172" t="e">
        <f>+'Estimate Details'!#REF!</f>
        <v>#REF!</v>
      </c>
      <c r="Q259" s="173" t="e">
        <f>+'Estimate Details'!#REF!</f>
        <v>#REF!</v>
      </c>
      <c r="R259" s="174" t="e">
        <f>+'Estimate Details'!#REF!</f>
        <v>#REF!</v>
      </c>
      <c r="S259" s="507"/>
      <c r="T259" s="174" t="e">
        <f>+'Estimate Details'!#REF!</f>
        <v>#REF!</v>
      </c>
      <c r="U259" s="481"/>
      <c r="V259" s="172" t="e">
        <f>+'Estimate Details'!#REF!</f>
        <v>#REF!</v>
      </c>
      <c r="W259" s="481"/>
      <c r="X259" s="172" t="e">
        <f>+'Estimate Details'!#REF!</f>
        <v>#REF!</v>
      </c>
      <c r="Y259" s="172" t="e">
        <f>+'Estimate Details'!#REF!</f>
        <v>#REF!</v>
      </c>
      <c r="Z259" s="174" t="e">
        <f>+'Estimate Details'!#REF!</f>
        <v>#REF!</v>
      </c>
      <c r="AA259" s="481" t="s">
        <v>1302</v>
      </c>
      <c r="AB259" s="175" t="e">
        <f>+'Estimate Details'!#REF!</f>
        <v>#REF!</v>
      </c>
      <c r="AC259" s="569"/>
      <c r="AD259" s="176" t="e">
        <f>+'Estimate Details'!#REF!</f>
        <v>#REF!</v>
      </c>
      <c r="AE259" s="156"/>
      <c r="AF259" s="215"/>
      <c r="AG259" s="156"/>
      <c r="AH259" s="156"/>
      <c r="AI259" s="29"/>
      <c r="AJ259" s="29"/>
      <c r="AK259" s="29"/>
      <c r="AL259" s="29"/>
    </row>
    <row r="260" spans="1:44" ht="14.1" customHeight="1">
      <c r="A260" s="116" t="e">
        <f>+'Estimate Details'!#REF!</f>
        <v>#REF!</v>
      </c>
      <c r="B260" s="116"/>
      <c r="C260" s="116"/>
      <c r="D260" s="166"/>
      <c r="E260" s="158" t="e">
        <f>+'Estimate Details'!#REF!</f>
        <v>#REF!</v>
      </c>
      <c r="F260" s="41"/>
      <c r="G260" s="205" t="e">
        <f>+'Estimate Details'!#REF!</f>
        <v>#REF!</v>
      </c>
      <c r="H260" s="118" t="e">
        <f>+'Estimate Details'!#REF!</f>
        <v>#REF!</v>
      </c>
      <c r="I260" s="108" t="e">
        <f>+'Estimate Details'!#REF!</f>
        <v>#REF!</v>
      </c>
      <c r="J260" s="379" t="e">
        <f>+'Estimate Details'!#REF!</f>
        <v>#REF!</v>
      </c>
      <c r="K260" s="116" t="e">
        <f>+'Estimate Details'!#REF!</f>
        <v>#REF!</v>
      </c>
      <c r="L260" s="116" t="e">
        <f>+'Estimate Details'!#REF!</f>
        <v>#REF!</v>
      </c>
      <c r="M260" s="204" t="e">
        <f>+'Estimate Details'!#REF!</f>
        <v>#REF!</v>
      </c>
      <c r="N260" s="194" t="e">
        <f>+'Estimate Details'!#REF!</f>
        <v>#REF!</v>
      </c>
      <c r="O260" s="171" t="e">
        <f>+'Estimate Details'!#REF!</f>
        <v>#REF!</v>
      </c>
      <c r="P260" s="172" t="e">
        <f>+'Estimate Details'!#REF!</f>
        <v>#REF!</v>
      </c>
      <c r="Q260" s="173" t="e">
        <f>+'Estimate Details'!#REF!</f>
        <v>#REF!</v>
      </c>
      <c r="R260" s="174" t="e">
        <f>+'Estimate Details'!#REF!</f>
        <v>#REF!</v>
      </c>
      <c r="S260" s="507"/>
      <c r="T260" s="174" t="e">
        <f>+'Estimate Details'!#REF!</f>
        <v>#REF!</v>
      </c>
      <c r="U260" s="481" t="s">
        <v>1298</v>
      </c>
      <c r="V260" s="172" t="e">
        <f>+'Estimate Details'!#REF!</f>
        <v>#REF!</v>
      </c>
      <c r="W260" s="481" t="s">
        <v>1310</v>
      </c>
      <c r="X260" s="172" t="e">
        <f>+'Estimate Details'!#REF!</f>
        <v>#REF!</v>
      </c>
      <c r="Y260" s="172" t="e">
        <f>+'Estimate Details'!#REF!</f>
        <v>#REF!</v>
      </c>
      <c r="Z260" s="174" t="e">
        <f>+'Estimate Details'!#REF!</f>
        <v>#REF!</v>
      </c>
      <c r="AA260" s="481"/>
      <c r="AB260" s="175" t="e">
        <f>+'Estimate Details'!#REF!</f>
        <v>#REF!</v>
      </c>
      <c r="AC260" s="569"/>
      <c r="AD260" s="176" t="e">
        <f>+'Estimate Details'!#REF!</f>
        <v>#REF!</v>
      </c>
      <c r="AE260" s="156"/>
      <c r="AF260" s="215"/>
      <c r="AG260" s="156"/>
      <c r="AH260" s="156"/>
      <c r="AI260" s="29"/>
      <c r="AJ260" s="29"/>
      <c r="AK260" s="29"/>
      <c r="AL260" s="29"/>
    </row>
    <row r="261" spans="1:44" ht="14.1" customHeight="1">
      <c r="A261" s="116" t="e">
        <f>+'Estimate Details'!#REF!</f>
        <v>#REF!</v>
      </c>
      <c r="B261" s="116"/>
      <c r="C261" s="116"/>
      <c r="D261" s="166"/>
      <c r="E261" s="158" t="e">
        <f>+'Estimate Details'!#REF!</f>
        <v>#REF!</v>
      </c>
      <c r="F261" s="41"/>
      <c r="G261" s="117" t="e">
        <f>+'Estimate Details'!#REF!</f>
        <v>#REF!</v>
      </c>
      <c r="H261" s="118" t="e">
        <f>+'Estimate Details'!#REF!</f>
        <v>#REF!</v>
      </c>
      <c r="I261" s="108" t="e">
        <f>+'Estimate Details'!#REF!</f>
        <v>#REF!</v>
      </c>
      <c r="J261" s="179" t="e">
        <f>+'Estimate Details'!#REF!</f>
        <v>#REF!</v>
      </c>
      <c r="K261" s="116" t="e">
        <f>+'Estimate Details'!#REF!</f>
        <v>#REF!</v>
      </c>
      <c r="L261" s="116" t="e">
        <f>+'Estimate Details'!#REF!</f>
        <v>#REF!</v>
      </c>
      <c r="M261" s="204" t="e">
        <f>+'Estimate Details'!#REF!</f>
        <v>#REF!</v>
      </c>
      <c r="N261" s="194" t="e">
        <f>+'Estimate Details'!#REF!</f>
        <v>#REF!</v>
      </c>
      <c r="O261" s="171" t="e">
        <f>+'Estimate Details'!#REF!</f>
        <v>#REF!</v>
      </c>
      <c r="P261" s="172" t="e">
        <f>+'Estimate Details'!#REF!</f>
        <v>#REF!</v>
      </c>
      <c r="Q261" s="173" t="e">
        <f>+'Estimate Details'!#REF!</f>
        <v>#REF!</v>
      </c>
      <c r="R261" s="174" t="e">
        <f>+'Estimate Details'!#REF!</f>
        <v>#REF!</v>
      </c>
      <c r="S261" s="507"/>
      <c r="T261" s="174" t="e">
        <f>+'Estimate Details'!#REF!</f>
        <v>#REF!</v>
      </c>
      <c r="U261" s="481" t="s">
        <v>1307</v>
      </c>
      <c r="V261" s="172" t="e">
        <f>+'Estimate Details'!#REF!</f>
        <v>#REF!</v>
      </c>
      <c r="W261" s="481" t="s">
        <v>1307</v>
      </c>
      <c r="X261" s="172" t="e">
        <f>+'Estimate Details'!#REF!</f>
        <v>#REF!</v>
      </c>
      <c r="Y261" s="172" t="e">
        <f>+'Estimate Details'!#REF!</f>
        <v>#REF!</v>
      </c>
      <c r="Z261" s="174" t="e">
        <f>+'Estimate Details'!#REF!</f>
        <v>#REF!</v>
      </c>
      <c r="AA261" s="481"/>
      <c r="AB261" s="175" t="e">
        <f>+'Estimate Details'!#REF!</f>
        <v>#REF!</v>
      </c>
      <c r="AC261" s="569"/>
      <c r="AD261" s="176" t="e">
        <f>+'Estimate Details'!#REF!</f>
        <v>#REF!</v>
      </c>
      <c r="AE261" s="156"/>
      <c r="AF261" s="215"/>
      <c r="AG261" s="156"/>
      <c r="AH261" s="156"/>
      <c r="AI261" s="29"/>
      <c r="AJ261" s="29"/>
      <c r="AK261" s="29"/>
      <c r="AL261" s="29"/>
    </row>
    <row r="262" spans="1:44" ht="14.1" customHeight="1">
      <c r="A262" s="116" t="e">
        <f>+'Estimate Details'!#REF!</f>
        <v>#REF!</v>
      </c>
      <c r="B262" s="116"/>
      <c r="C262" s="116"/>
      <c r="D262" s="166"/>
      <c r="E262" s="158" t="e">
        <f>+'Estimate Details'!#REF!</f>
        <v>#REF!</v>
      </c>
      <c r="F262" s="41"/>
      <c r="G262" s="117" t="e">
        <f>+'Estimate Details'!#REF!</f>
        <v>#REF!</v>
      </c>
      <c r="H262" s="118" t="e">
        <f>+'Estimate Details'!#REF!</f>
        <v>#REF!</v>
      </c>
      <c r="I262" s="108" t="e">
        <f>+'Estimate Details'!#REF!</f>
        <v>#REF!</v>
      </c>
      <c r="J262" s="179" t="e">
        <f>+'Estimate Details'!#REF!</f>
        <v>#REF!</v>
      </c>
      <c r="K262" s="116" t="e">
        <f>+'Estimate Details'!#REF!</f>
        <v>#REF!</v>
      </c>
      <c r="L262" s="116" t="e">
        <f>+'Estimate Details'!#REF!</f>
        <v>#REF!</v>
      </c>
      <c r="M262" s="204" t="e">
        <f>+'Estimate Details'!#REF!</f>
        <v>#REF!</v>
      </c>
      <c r="N262" s="194" t="e">
        <f>+'Estimate Details'!#REF!</f>
        <v>#REF!</v>
      </c>
      <c r="O262" s="171" t="e">
        <f>+'Estimate Details'!#REF!</f>
        <v>#REF!</v>
      </c>
      <c r="P262" s="172" t="e">
        <f>+'Estimate Details'!#REF!</f>
        <v>#REF!</v>
      </c>
      <c r="Q262" s="173" t="e">
        <f>+'Estimate Details'!#REF!</f>
        <v>#REF!</v>
      </c>
      <c r="R262" s="174" t="e">
        <f>+'Estimate Details'!#REF!</f>
        <v>#REF!</v>
      </c>
      <c r="S262" s="507"/>
      <c r="T262" s="174" t="e">
        <f>+'Estimate Details'!#REF!</f>
        <v>#REF!</v>
      </c>
      <c r="U262" s="481" t="s">
        <v>1302</v>
      </c>
      <c r="V262" s="172" t="e">
        <f>+'Estimate Details'!#REF!</f>
        <v>#REF!</v>
      </c>
      <c r="W262" s="481" t="s">
        <v>1309</v>
      </c>
      <c r="X262" s="172" t="e">
        <f>+'Estimate Details'!#REF!</f>
        <v>#REF!</v>
      </c>
      <c r="Y262" s="172" t="e">
        <f>+'Estimate Details'!#REF!</f>
        <v>#REF!</v>
      </c>
      <c r="Z262" s="174" t="e">
        <f>+'Estimate Details'!#REF!</f>
        <v>#REF!</v>
      </c>
      <c r="AA262" s="481"/>
      <c r="AB262" s="175" t="e">
        <f>+'Estimate Details'!#REF!</f>
        <v>#REF!</v>
      </c>
      <c r="AC262" s="569"/>
      <c r="AD262" s="176" t="e">
        <f>+'Estimate Details'!#REF!</f>
        <v>#REF!</v>
      </c>
      <c r="AE262" s="156"/>
      <c r="AF262" s="215"/>
      <c r="AG262" s="156"/>
      <c r="AH262" s="156"/>
      <c r="AI262" s="29"/>
      <c r="AJ262" s="29"/>
      <c r="AK262" s="29"/>
      <c r="AL262" s="29"/>
    </row>
    <row r="263" spans="1:44" s="692" customFormat="1" ht="14.1" customHeight="1">
      <c r="A263" s="673" t="e">
        <f>+'Estimate Details'!#REF!</f>
        <v>#REF!</v>
      </c>
      <c r="B263" s="673"/>
      <c r="C263" s="673"/>
      <c r="D263" s="674"/>
      <c r="E263" s="675" t="e">
        <f>+'Estimate Details'!#REF!</f>
        <v>#REF!</v>
      </c>
      <c r="F263" s="676"/>
      <c r="G263" s="677" t="e">
        <f>+'Estimate Details'!#REF!</f>
        <v>#REF!</v>
      </c>
      <c r="H263" s="678" t="e">
        <f>+'Estimate Details'!#REF!</f>
        <v>#REF!</v>
      </c>
      <c r="I263" s="679" t="e">
        <f>+'Estimate Details'!#REF!</f>
        <v>#REF!</v>
      </c>
      <c r="J263" s="679" t="e">
        <f>+'Estimate Details'!#REF!</f>
        <v>#REF!</v>
      </c>
      <c r="K263" s="679" t="e">
        <f>+'Estimate Details'!#REF!</f>
        <v>#REF!</v>
      </c>
      <c r="L263" s="679" t="e">
        <f>+'Estimate Details'!#REF!</f>
        <v>#REF!</v>
      </c>
      <c r="M263" s="236" t="e">
        <f>+'Estimate Details'!#REF!</f>
        <v>#REF!</v>
      </c>
      <c r="N263" s="699" t="e">
        <f>+'Estimate Details'!#REF!</f>
        <v>#REF!</v>
      </c>
      <c r="O263" s="681" t="e">
        <f>+'Estimate Details'!#REF!</f>
        <v>#REF!</v>
      </c>
      <c r="P263" s="682" t="e">
        <f>+'Estimate Details'!#REF!</f>
        <v>#REF!</v>
      </c>
      <c r="Q263" s="683" t="e">
        <f>+'Estimate Details'!#REF!</f>
        <v>#REF!</v>
      </c>
      <c r="R263" s="684" t="e">
        <f>+'Estimate Details'!#REF!</f>
        <v>#REF!</v>
      </c>
      <c r="S263" s="685"/>
      <c r="T263" s="684" t="e">
        <f>+'Estimate Details'!#REF!</f>
        <v>#REF!</v>
      </c>
      <c r="U263" s="686" t="s">
        <v>1299</v>
      </c>
      <c r="V263" s="682" t="e">
        <f>+'Estimate Details'!#REF!</f>
        <v>#REF!</v>
      </c>
      <c r="W263" s="686" t="s">
        <v>1311</v>
      </c>
      <c r="X263" s="682" t="e">
        <f>+'Estimate Details'!#REF!</f>
        <v>#REF!</v>
      </c>
      <c r="Y263" s="682" t="e">
        <f>+'Estimate Details'!#REF!</f>
        <v>#REF!</v>
      </c>
      <c r="Z263" s="684" t="e">
        <f>+'Estimate Details'!#REF!</f>
        <v>#REF!</v>
      </c>
      <c r="AA263" s="686"/>
      <c r="AB263" s="687" t="e">
        <f>+'Estimate Details'!#REF!</f>
        <v>#REF!</v>
      </c>
      <c r="AC263" s="688"/>
      <c r="AD263" s="696" t="e">
        <f>+'Estimate Details'!#REF!</f>
        <v>#REF!</v>
      </c>
      <c r="AE263" s="689"/>
      <c r="AF263" s="697"/>
      <c r="AG263" s="689"/>
      <c r="AH263" s="689"/>
      <c r="AI263" s="690"/>
      <c r="AJ263" s="690"/>
      <c r="AK263" s="690"/>
      <c r="AL263" s="690"/>
      <c r="AM263" s="691"/>
      <c r="AN263" s="691"/>
      <c r="AO263" s="691"/>
      <c r="AP263" s="691"/>
      <c r="AQ263" s="691"/>
      <c r="AR263" s="691"/>
    </row>
    <row r="264" spans="1:44" ht="14.1" customHeight="1">
      <c r="A264" s="673" t="e">
        <f>+'Estimate Details'!#REF!</f>
        <v>#REF!</v>
      </c>
      <c r="B264" s="673"/>
      <c r="C264" s="673"/>
      <c r="D264" s="674"/>
      <c r="E264" s="675" t="e">
        <f>+'Estimate Details'!#REF!</f>
        <v>#REF!</v>
      </c>
      <c r="F264" s="676"/>
      <c r="G264" s="677" t="e">
        <f>+'Estimate Details'!#REF!</f>
        <v>#REF!</v>
      </c>
      <c r="H264" s="678" t="e">
        <f>+'Estimate Details'!#REF!</f>
        <v>#REF!</v>
      </c>
      <c r="I264" s="679" t="e">
        <f>+'Estimate Details'!#REF!</f>
        <v>#REF!</v>
      </c>
      <c r="J264" s="679" t="e">
        <f>+'Estimate Details'!#REF!</f>
        <v>#REF!</v>
      </c>
      <c r="K264" s="679" t="e">
        <f>+'Estimate Details'!#REF!</f>
        <v>#REF!</v>
      </c>
      <c r="L264" s="679" t="e">
        <f>+'Estimate Details'!#REF!</f>
        <v>#REF!</v>
      </c>
      <c r="M264" s="236" t="e">
        <f>+'Estimate Details'!#REF!</f>
        <v>#REF!</v>
      </c>
      <c r="N264" s="699" t="e">
        <f>+'Estimate Details'!#REF!</f>
        <v>#REF!</v>
      </c>
      <c r="O264" s="681" t="e">
        <f>+'Estimate Details'!#REF!</f>
        <v>#REF!</v>
      </c>
      <c r="P264" s="682" t="e">
        <f>+'Estimate Details'!#REF!</f>
        <v>#REF!</v>
      </c>
      <c r="Q264" s="683" t="e">
        <f>+'Estimate Details'!#REF!</f>
        <v>#REF!</v>
      </c>
      <c r="R264" s="684" t="e">
        <f>+'Estimate Details'!#REF!</f>
        <v>#REF!</v>
      </c>
      <c r="S264" s="685"/>
      <c r="T264" s="684" t="e">
        <f>+'Estimate Details'!#REF!</f>
        <v>#REF!</v>
      </c>
      <c r="U264" s="686" t="s">
        <v>1299</v>
      </c>
      <c r="V264" s="682" t="e">
        <f>+'Estimate Details'!#REF!</f>
        <v>#REF!</v>
      </c>
      <c r="W264" s="686" t="s">
        <v>1311</v>
      </c>
      <c r="X264" s="682" t="e">
        <f>+'Estimate Details'!#REF!</f>
        <v>#REF!</v>
      </c>
      <c r="Y264" s="682" t="e">
        <f>+'Estimate Details'!#REF!</f>
        <v>#REF!</v>
      </c>
      <c r="Z264" s="684" t="e">
        <f>+'Estimate Details'!#REF!</f>
        <v>#REF!</v>
      </c>
      <c r="AA264" s="686"/>
      <c r="AB264" s="687" t="e">
        <f>+'Estimate Details'!#REF!</f>
        <v>#REF!</v>
      </c>
      <c r="AC264" s="688"/>
      <c r="AD264" s="696" t="e">
        <f>+'Estimate Details'!#REF!</f>
        <v>#REF!</v>
      </c>
      <c r="AE264" s="156"/>
      <c r="AF264" s="215"/>
      <c r="AG264" s="156"/>
      <c r="AH264" s="156"/>
      <c r="AI264" s="29"/>
      <c r="AJ264" s="29"/>
      <c r="AK264" s="29"/>
      <c r="AL264" s="29"/>
    </row>
    <row r="265" spans="1:44" ht="14.1" customHeight="1">
      <c r="A265" s="673" t="e">
        <f>+'Estimate Details'!#REF!</f>
        <v>#REF!</v>
      </c>
      <c r="B265" s="673"/>
      <c r="C265" s="673"/>
      <c r="D265" s="674"/>
      <c r="E265" s="675">
        <f>+'Estimate Details'!A52</f>
        <v>41</v>
      </c>
      <c r="F265" s="676"/>
      <c r="G265" s="677" t="e">
        <f>+'Estimate Details'!#REF!</f>
        <v>#REF!</v>
      </c>
      <c r="H265" s="678" t="str">
        <f>+'Estimate Details'!D52</f>
        <v>Eqpt - Station Service Load Center 13,800/480  Outdoor</v>
      </c>
      <c r="I265" s="679">
        <f>+'Estimate Details'!E52</f>
        <v>1</v>
      </c>
      <c r="J265" s="679" t="str">
        <f>+'Estimate Details'!F52</f>
        <v>ea</v>
      </c>
      <c r="K265" s="679" t="str">
        <f>+'Estimate Details'!G52</f>
        <v>Contr</v>
      </c>
      <c r="L265" s="679" t="str">
        <f>+'Estimate Details'!H52</f>
        <v>Contr</v>
      </c>
      <c r="M265" s="236" t="e">
        <f>+'Estimate Details'!#REF!</f>
        <v>#REF!</v>
      </c>
      <c r="N265" s="699" t="e">
        <f>+'Estimate Details'!#REF!</f>
        <v>#REF!</v>
      </c>
      <c r="O265" s="681" t="e">
        <f>+'Estimate Details'!#REF!</f>
        <v>#REF!</v>
      </c>
      <c r="P265" s="682" t="e">
        <f>+'Estimate Details'!#REF!</f>
        <v>#REF!</v>
      </c>
      <c r="Q265" s="683" t="e">
        <f>+'Estimate Details'!#REF!</f>
        <v>#REF!</v>
      </c>
      <c r="R265" s="684" t="str">
        <f>+'Estimate Details'!N52</f>
        <v>0</v>
      </c>
      <c r="S265" s="685"/>
      <c r="T265" s="684">
        <f>+'Estimate Details'!O52</f>
        <v>120000</v>
      </c>
      <c r="U265" s="686" t="s">
        <v>1299</v>
      </c>
      <c r="V265" s="682">
        <f>+'Estimate Details'!R52</f>
        <v>8473.5475895364834</v>
      </c>
      <c r="W265" s="686" t="s">
        <v>1311</v>
      </c>
      <c r="X265" s="682" t="e">
        <f>+'Estimate Details'!#REF!</f>
        <v>#REF!</v>
      </c>
      <c r="Y265" s="682" t="e">
        <f>+'Estimate Details'!#REF!</f>
        <v>#REF!</v>
      </c>
      <c r="Z265" s="684" t="str">
        <f>+'Estimate Details'!U52</f>
        <v>0</v>
      </c>
      <c r="AA265" s="686"/>
      <c r="AB265" s="687">
        <f>+'Estimate Details'!V52</f>
        <v>128473.54758953648</v>
      </c>
      <c r="AC265" s="688"/>
      <c r="AD265" s="696" t="str">
        <f>+'Estimate Details'!X52</f>
        <v>HDR|CB Estimated cost</v>
      </c>
      <c r="AE265" s="156"/>
      <c r="AF265" s="215"/>
      <c r="AG265" s="156"/>
      <c r="AH265" s="156"/>
      <c r="AI265" s="29"/>
      <c r="AJ265" s="29"/>
      <c r="AK265" s="29"/>
      <c r="AL265" s="29"/>
    </row>
    <row r="266" spans="1:44" ht="14.1" customHeight="1">
      <c r="A266" s="673" t="e">
        <f>+'Estimate Details'!#REF!</f>
        <v>#REF!</v>
      </c>
      <c r="B266" s="673"/>
      <c r="C266" s="673"/>
      <c r="D266" s="674"/>
      <c r="E266" s="675" t="e">
        <f>+'Estimate Details'!#REF!</f>
        <v>#REF!</v>
      </c>
      <c r="F266" s="676"/>
      <c r="G266" s="677" t="e">
        <f>+'Estimate Details'!#REF!</f>
        <v>#REF!</v>
      </c>
      <c r="H266" s="678" t="e">
        <f>+'Estimate Details'!#REF!</f>
        <v>#REF!</v>
      </c>
      <c r="I266" s="679" t="e">
        <f>+'Estimate Details'!#REF!</f>
        <v>#REF!</v>
      </c>
      <c r="J266" s="679" t="e">
        <f>+'Estimate Details'!#REF!</f>
        <v>#REF!</v>
      </c>
      <c r="K266" s="679" t="e">
        <f>+'Estimate Details'!#REF!</f>
        <v>#REF!</v>
      </c>
      <c r="L266" s="679" t="e">
        <f>+'Estimate Details'!#REF!</f>
        <v>#REF!</v>
      </c>
      <c r="M266" s="236" t="e">
        <f>+'Estimate Details'!#REF!</f>
        <v>#REF!</v>
      </c>
      <c r="N266" s="699" t="e">
        <f>+'Estimate Details'!#REF!</f>
        <v>#REF!</v>
      </c>
      <c r="O266" s="681" t="e">
        <f>+'Estimate Details'!#REF!</f>
        <v>#REF!</v>
      </c>
      <c r="P266" s="682" t="e">
        <f>+'Estimate Details'!#REF!</f>
        <v>#REF!</v>
      </c>
      <c r="Q266" s="683" t="e">
        <f>+'Estimate Details'!#REF!</f>
        <v>#REF!</v>
      </c>
      <c r="R266" s="684" t="e">
        <f>+'Estimate Details'!#REF!</f>
        <v>#REF!</v>
      </c>
      <c r="S266" s="685"/>
      <c r="T266" s="684" t="e">
        <f>+'Estimate Details'!#REF!</f>
        <v>#REF!</v>
      </c>
      <c r="U266" s="686" t="s">
        <v>1299</v>
      </c>
      <c r="V266" s="682" t="e">
        <f>+'Estimate Details'!#REF!</f>
        <v>#REF!</v>
      </c>
      <c r="W266" s="686" t="s">
        <v>1311</v>
      </c>
      <c r="X266" s="682" t="e">
        <f>+'Estimate Details'!#REF!</f>
        <v>#REF!</v>
      </c>
      <c r="Y266" s="682" t="e">
        <f>+'Estimate Details'!#REF!</f>
        <v>#REF!</v>
      </c>
      <c r="Z266" s="684" t="e">
        <f>+'Estimate Details'!#REF!</f>
        <v>#REF!</v>
      </c>
      <c r="AA266" s="686"/>
      <c r="AB266" s="687" t="e">
        <f>+'Estimate Details'!#REF!</f>
        <v>#REF!</v>
      </c>
      <c r="AC266" s="688"/>
      <c r="AD266" s="696" t="e">
        <f>+'Estimate Details'!#REF!</f>
        <v>#REF!</v>
      </c>
      <c r="AE266" s="156"/>
      <c r="AF266" s="215"/>
      <c r="AG266" s="156"/>
      <c r="AH266" s="156"/>
      <c r="AI266" s="29"/>
      <c r="AJ266" s="29"/>
      <c r="AK266" s="29"/>
      <c r="AL266" s="29"/>
    </row>
    <row r="267" spans="1:44" ht="14.1" customHeight="1">
      <c r="A267" s="673" t="e">
        <f>+'Estimate Details'!#REF!</f>
        <v>#REF!</v>
      </c>
      <c r="B267" s="673"/>
      <c r="C267" s="673"/>
      <c r="D267" s="674"/>
      <c r="E267" s="675" t="e">
        <f>+'Estimate Details'!#REF!</f>
        <v>#REF!</v>
      </c>
      <c r="F267" s="676"/>
      <c r="G267" s="677" t="e">
        <f>+'Estimate Details'!#REF!</f>
        <v>#REF!</v>
      </c>
      <c r="H267" s="678" t="e">
        <f>+'Estimate Details'!#REF!</f>
        <v>#REF!</v>
      </c>
      <c r="I267" s="679" t="e">
        <f>+'Estimate Details'!#REF!</f>
        <v>#REF!</v>
      </c>
      <c r="J267" s="679" t="e">
        <f>+'Estimate Details'!#REF!</f>
        <v>#REF!</v>
      </c>
      <c r="K267" s="679" t="e">
        <f>+'Estimate Details'!#REF!</f>
        <v>#REF!</v>
      </c>
      <c r="L267" s="679" t="e">
        <f>+'Estimate Details'!#REF!</f>
        <v>#REF!</v>
      </c>
      <c r="M267" s="236" t="e">
        <f>+'Estimate Details'!#REF!</f>
        <v>#REF!</v>
      </c>
      <c r="N267" s="699" t="e">
        <f>+'Estimate Details'!#REF!</f>
        <v>#REF!</v>
      </c>
      <c r="O267" s="681" t="e">
        <f>+'Estimate Details'!#REF!</f>
        <v>#REF!</v>
      </c>
      <c r="P267" s="682" t="e">
        <f>+'Estimate Details'!#REF!</f>
        <v>#REF!</v>
      </c>
      <c r="Q267" s="683" t="e">
        <f>+'Estimate Details'!#REF!</f>
        <v>#REF!</v>
      </c>
      <c r="R267" s="684" t="e">
        <f>+'Estimate Details'!#REF!</f>
        <v>#REF!</v>
      </c>
      <c r="S267" s="685"/>
      <c r="T267" s="684" t="e">
        <f>+'Estimate Details'!#REF!</f>
        <v>#REF!</v>
      </c>
      <c r="U267" s="686" t="s">
        <v>1299</v>
      </c>
      <c r="V267" s="682" t="e">
        <f>+'Estimate Details'!#REF!</f>
        <v>#REF!</v>
      </c>
      <c r="W267" s="686" t="s">
        <v>1311</v>
      </c>
      <c r="X267" s="682" t="e">
        <f>+'Estimate Details'!#REF!</f>
        <v>#REF!</v>
      </c>
      <c r="Y267" s="682" t="e">
        <f>+'Estimate Details'!#REF!</f>
        <v>#REF!</v>
      </c>
      <c r="Z267" s="684" t="e">
        <f>+'Estimate Details'!#REF!</f>
        <v>#REF!</v>
      </c>
      <c r="AA267" s="686"/>
      <c r="AB267" s="687" t="e">
        <f>+'Estimate Details'!#REF!</f>
        <v>#REF!</v>
      </c>
      <c r="AC267" s="688"/>
      <c r="AD267" s="696" t="e">
        <f>+'Estimate Details'!#REF!</f>
        <v>#REF!</v>
      </c>
      <c r="AE267" s="156"/>
      <c r="AF267" s="215"/>
      <c r="AG267" s="178"/>
      <c r="AH267" s="156"/>
      <c r="AI267" s="29"/>
      <c r="AJ267" s="29"/>
      <c r="AK267" s="29"/>
      <c r="AL267" s="29"/>
    </row>
    <row r="268" spans="1:44" ht="14.1" customHeight="1">
      <c r="A268" s="673" t="e">
        <f>+'Estimate Details'!#REF!</f>
        <v>#REF!</v>
      </c>
      <c r="B268" s="673"/>
      <c r="C268" s="673"/>
      <c r="D268" s="674"/>
      <c r="E268" s="675" t="e">
        <f>+'Estimate Details'!#REF!</f>
        <v>#REF!</v>
      </c>
      <c r="F268" s="676"/>
      <c r="G268" s="677" t="e">
        <f>+'Estimate Details'!#REF!</f>
        <v>#REF!</v>
      </c>
      <c r="H268" s="678" t="e">
        <f>+'Estimate Details'!#REF!</f>
        <v>#REF!</v>
      </c>
      <c r="I268" s="679" t="e">
        <f>+'Estimate Details'!#REF!</f>
        <v>#REF!</v>
      </c>
      <c r="J268" s="679" t="e">
        <f>+'Estimate Details'!#REF!</f>
        <v>#REF!</v>
      </c>
      <c r="K268" s="679" t="e">
        <f>+'Estimate Details'!#REF!</f>
        <v>#REF!</v>
      </c>
      <c r="L268" s="679" t="e">
        <f>+'Estimate Details'!#REF!</f>
        <v>#REF!</v>
      </c>
      <c r="M268" s="236" t="e">
        <f>+'Estimate Details'!#REF!</f>
        <v>#REF!</v>
      </c>
      <c r="N268" s="699" t="e">
        <f>+'Estimate Details'!#REF!</f>
        <v>#REF!</v>
      </c>
      <c r="O268" s="681" t="e">
        <f>+'Estimate Details'!#REF!</f>
        <v>#REF!</v>
      </c>
      <c r="P268" s="682" t="e">
        <f>+'Estimate Details'!#REF!</f>
        <v>#REF!</v>
      </c>
      <c r="Q268" s="683" t="e">
        <f>+'Estimate Details'!#REF!</f>
        <v>#REF!</v>
      </c>
      <c r="R268" s="684" t="e">
        <f>+'Estimate Details'!#REF!</f>
        <v>#REF!</v>
      </c>
      <c r="S268" s="685"/>
      <c r="T268" s="684" t="e">
        <f>+'Estimate Details'!#REF!</f>
        <v>#REF!</v>
      </c>
      <c r="U268" s="686" t="s">
        <v>1299</v>
      </c>
      <c r="V268" s="682" t="e">
        <f>+'Estimate Details'!#REF!</f>
        <v>#REF!</v>
      </c>
      <c r="W268" s="686" t="s">
        <v>1311</v>
      </c>
      <c r="X268" s="682" t="e">
        <f>+'Estimate Details'!#REF!</f>
        <v>#REF!</v>
      </c>
      <c r="Y268" s="682" t="e">
        <f>+'Estimate Details'!#REF!</f>
        <v>#REF!</v>
      </c>
      <c r="Z268" s="684" t="e">
        <f>+'Estimate Details'!#REF!</f>
        <v>#REF!</v>
      </c>
      <c r="AA268" s="686"/>
      <c r="AB268" s="687" t="e">
        <f>+'Estimate Details'!#REF!</f>
        <v>#REF!</v>
      </c>
      <c r="AC268" s="688"/>
      <c r="AD268" s="696" t="e">
        <f>+'Estimate Details'!#REF!</f>
        <v>#REF!</v>
      </c>
      <c r="AE268" s="156"/>
      <c r="AF268" s="156"/>
      <c r="AG268" s="156"/>
      <c r="AH268" s="156"/>
      <c r="AI268" s="29"/>
      <c r="AJ268" s="29"/>
      <c r="AK268" s="29"/>
      <c r="AL268" s="29"/>
    </row>
    <row r="269" spans="1:44" ht="14.1" customHeight="1">
      <c r="A269" s="673" t="e">
        <f>+'Estimate Details'!#REF!</f>
        <v>#REF!</v>
      </c>
      <c r="B269" s="673"/>
      <c r="C269" s="673"/>
      <c r="D269" s="674"/>
      <c r="E269" s="675">
        <f>+'Estimate Details'!A53</f>
        <v>42</v>
      </c>
      <c r="F269" s="676"/>
      <c r="G269" s="677" t="e">
        <f>+'Estimate Details'!#REF!</f>
        <v>#REF!</v>
      </c>
      <c r="H269" s="678" t="str">
        <f>+'Estimate Details'!D53</f>
        <v>Eqpt - Panelboards 480/120</v>
      </c>
      <c r="I269" s="679">
        <f>+'Estimate Details'!E53</f>
        <v>1</v>
      </c>
      <c r="J269" s="679" t="str">
        <f>+'Estimate Details'!F53</f>
        <v>ea</v>
      </c>
      <c r="K269" s="679" t="str">
        <f>+'Estimate Details'!G53</f>
        <v>Contr</v>
      </c>
      <c r="L269" s="679" t="str">
        <f>+'Estimate Details'!H53</f>
        <v>Contr</v>
      </c>
      <c r="M269" s="236" t="e">
        <f>+'Estimate Details'!#REF!</f>
        <v>#REF!</v>
      </c>
      <c r="N269" s="699" t="e">
        <f>+'Estimate Details'!#REF!</f>
        <v>#REF!</v>
      </c>
      <c r="O269" s="681" t="e">
        <f>+'Estimate Details'!#REF!</f>
        <v>#REF!</v>
      </c>
      <c r="P269" s="682" t="e">
        <f>+'Estimate Details'!#REF!</f>
        <v>#REF!</v>
      </c>
      <c r="Q269" s="683" t="e">
        <f>+'Estimate Details'!#REF!</f>
        <v>#REF!</v>
      </c>
      <c r="R269" s="684" t="str">
        <f>+'Estimate Details'!N53</f>
        <v>0</v>
      </c>
      <c r="S269" s="685"/>
      <c r="T269" s="684">
        <f>+'Estimate Details'!O53</f>
        <v>1200</v>
      </c>
      <c r="U269" s="686" t="s">
        <v>1299</v>
      </c>
      <c r="V269" s="682">
        <f>+'Estimate Details'!R53</f>
        <v>2118.3868973841209</v>
      </c>
      <c r="W269" s="686" t="s">
        <v>1311</v>
      </c>
      <c r="X269" s="682" t="e">
        <f>+'Estimate Details'!#REF!</f>
        <v>#REF!</v>
      </c>
      <c r="Y269" s="682" t="e">
        <f>+'Estimate Details'!#REF!</f>
        <v>#REF!</v>
      </c>
      <c r="Z269" s="684" t="str">
        <f>+'Estimate Details'!U53</f>
        <v>0</v>
      </c>
      <c r="AA269" s="686"/>
      <c r="AB269" s="687">
        <f>+'Estimate Details'!V53</f>
        <v>3318.3868973841209</v>
      </c>
      <c r="AC269" s="688"/>
      <c r="AD269" s="696" t="str">
        <f>+'Estimate Details'!X53</f>
        <v>HDR|CB Estimated cost</v>
      </c>
      <c r="AE269" s="244"/>
      <c r="AF269" s="156"/>
      <c r="AG269" s="396"/>
      <c r="AH269" s="156"/>
      <c r="AI269" s="29"/>
      <c r="AJ269" s="29"/>
      <c r="AK269" s="29"/>
      <c r="AL269" s="29"/>
    </row>
    <row r="270" spans="1:44" ht="14.1" customHeight="1">
      <c r="A270" s="673" t="e">
        <f>+'Estimate Details'!#REF!</f>
        <v>#REF!</v>
      </c>
      <c r="B270" s="673"/>
      <c r="C270" s="673"/>
      <c r="D270" s="674"/>
      <c r="E270" s="675" t="e">
        <f>+'Estimate Details'!#REF!</f>
        <v>#REF!</v>
      </c>
      <c r="F270" s="676"/>
      <c r="G270" s="677" t="e">
        <f>+'Estimate Details'!#REF!</f>
        <v>#REF!</v>
      </c>
      <c r="H270" s="678" t="e">
        <f>+'Estimate Details'!#REF!</f>
        <v>#REF!</v>
      </c>
      <c r="I270" s="679" t="e">
        <f>+'Estimate Details'!#REF!</f>
        <v>#REF!</v>
      </c>
      <c r="J270" s="679" t="e">
        <f>+'Estimate Details'!#REF!</f>
        <v>#REF!</v>
      </c>
      <c r="K270" s="679" t="e">
        <f>+'Estimate Details'!#REF!</f>
        <v>#REF!</v>
      </c>
      <c r="L270" s="679" t="e">
        <f>+'Estimate Details'!#REF!</f>
        <v>#REF!</v>
      </c>
      <c r="M270" s="236" t="e">
        <f>+'Estimate Details'!#REF!</f>
        <v>#REF!</v>
      </c>
      <c r="N270" s="699" t="e">
        <f>+'Estimate Details'!#REF!</f>
        <v>#REF!</v>
      </c>
      <c r="O270" s="681" t="e">
        <f>+'Estimate Details'!#REF!</f>
        <v>#REF!</v>
      </c>
      <c r="P270" s="682" t="e">
        <f>+'Estimate Details'!#REF!</f>
        <v>#REF!</v>
      </c>
      <c r="Q270" s="683" t="e">
        <f>+'Estimate Details'!#REF!</f>
        <v>#REF!</v>
      </c>
      <c r="R270" s="684" t="e">
        <f>+'Estimate Details'!#REF!</f>
        <v>#REF!</v>
      </c>
      <c r="S270" s="685"/>
      <c r="T270" s="684" t="e">
        <f>+'Estimate Details'!#REF!</f>
        <v>#REF!</v>
      </c>
      <c r="U270" s="686" t="s">
        <v>1300</v>
      </c>
      <c r="V270" s="682" t="e">
        <f>+'Estimate Details'!#REF!</f>
        <v>#REF!</v>
      </c>
      <c r="W270" s="686" t="s">
        <v>1311</v>
      </c>
      <c r="X270" s="682" t="e">
        <f>+'Estimate Details'!#REF!</f>
        <v>#REF!</v>
      </c>
      <c r="Y270" s="682" t="e">
        <f>+'Estimate Details'!#REF!</f>
        <v>#REF!</v>
      </c>
      <c r="Z270" s="684" t="e">
        <f>+'Estimate Details'!#REF!</f>
        <v>#REF!</v>
      </c>
      <c r="AA270" s="686"/>
      <c r="AB270" s="687" t="e">
        <f>+'Estimate Details'!#REF!</f>
        <v>#REF!</v>
      </c>
      <c r="AC270" s="688"/>
      <c r="AD270" s="696" t="e">
        <f>+'Estimate Details'!#REF!</f>
        <v>#REF!</v>
      </c>
      <c r="AE270" s="156"/>
      <c r="AF270" s="156"/>
      <c r="AG270" s="156"/>
      <c r="AH270" s="156"/>
      <c r="AI270" s="29"/>
      <c r="AJ270" s="29"/>
      <c r="AK270" s="29"/>
      <c r="AL270" s="29"/>
    </row>
    <row r="271" spans="1:44">
      <c r="A271" s="673" t="e">
        <f>+'Estimate Details'!#REF!</f>
        <v>#REF!</v>
      </c>
      <c r="B271" s="673"/>
      <c r="C271" s="673"/>
      <c r="D271" s="674"/>
      <c r="E271" s="675" t="e">
        <f>+'Estimate Details'!#REF!</f>
        <v>#REF!</v>
      </c>
      <c r="F271" s="676"/>
      <c r="G271" s="677" t="e">
        <f>+'Estimate Details'!#REF!</f>
        <v>#REF!</v>
      </c>
      <c r="H271" s="678" t="e">
        <f>+'Estimate Details'!#REF!</f>
        <v>#REF!</v>
      </c>
      <c r="I271" s="679" t="e">
        <f>+'Estimate Details'!#REF!</f>
        <v>#REF!</v>
      </c>
      <c r="J271" s="679" t="e">
        <f>+'Estimate Details'!#REF!</f>
        <v>#REF!</v>
      </c>
      <c r="K271" s="679" t="e">
        <f>+'Estimate Details'!#REF!</f>
        <v>#REF!</v>
      </c>
      <c r="L271" s="679" t="e">
        <f>+'Estimate Details'!#REF!</f>
        <v>#REF!</v>
      </c>
      <c r="M271" s="236" t="e">
        <f>+'Estimate Details'!#REF!</f>
        <v>#REF!</v>
      </c>
      <c r="N271" s="699" t="e">
        <f>+'Estimate Details'!#REF!</f>
        <v>#REF!</v>
      </c>
      <c r="O271" s="681" t="e">
        <f>+'Estimate Details'!#REF!</f>
        <v>#REF!</v>
      </c>
      <c r="P271" s="682" t="e">
        <f>+'Estimate Details'!#REF!</f>
        <v>#REF!</v>
      </c>
      <c r="Q271" s="683" t="e">
        <f>+'Estimate Details'!#REF!</f>
        <v>#REF!</v>
      </c>
      <c r="R271" s="684" t="e">
        <f>+'Estimate Details'!#REF!</f>
        <v>#REF!</v>
      </c>
      <c r="S271" s="685"/>
      <c r="T271" s="684" t="e">
        <f>+'Estimate Details'!#REF!</f>
        <v>#REF!</v>
      </c>
      <c r="U271" s="686" t="s">
        <v>1299</v>
      </c>
      <c r="V271" s="682" t="e">
        <f>+'Estimate Details'!#REF!</f>
        <v>#REF!</v>
      </c>
      <c r="W271" s="686" t="s">
        <v>1311</v>
      </c>
      <c r="X271" s="682" t="e">
        <f>+'Estimate Details'!#REF!</f>
        <v>#REF!</v>
      </c>
      <c r="Y271" s="682" t="e">
        <f>+'Estimate Details'!#REF!</f>
        <v>#REF!</v>
      </c>
      <c r="Z271" s="684" t="e">
        <f>+'Estimate Details'!#REF!</f>
        <v>#REF!</v>
      </c>
      <c r="AA271" s="686"/>
      <c r="AB271" s="687" t="e">
        <f>+'Estimate Details'!#REF!</f>
        <v>#REF!</v>
      </c>
      <c r="AC271" s="688"/>
      <c r="AD271" s="696" t="e">
        <f>+'Estimate Details'!#REF!</f>
        <v>#REF!</v>
      </c>
      <c r="AE271" s="156"/>
      <c r="AF271" s="156"/>
      <c r="AG271" s="156"/>
      <c r="AH271" s="156"/>
      <c r="AI271" s="29"/>
      <c r="AJ271" s="29"/>
      <c r="AK271" s="29"/>
      <c r="AL271" s="29"/>
    </row>
    <row r="272" spans="1:44">
      <c r="A272" s="673" t="e">
        <f>+'Estimate Details'!#REF!</f>
        <v>#REF!</v>
      </c>
      <c r="B272" s="673"/>
      <c r="C272" s="673"/>
      <c r="D272" s="674"/>
      <c r="E272" s="675" t="e">
        <f>+'Estimate Details'!#REF!</f>
        <v>#REF!</v>
      </c>
      <c r="F272" s="676"/>
      <c r="G272" s="677" t="e">
        <f>+'Estimate Details'!#REF!</f>
        <v>#REF!</v>
      </c>
      <c r="H272" s="678" t="e">
        <f>+'Estimate Details'!#REF!</f>
        <v>#REF!</v>
      </c>
      <c r="I272" s="679" t="e">
        <f>+'Estimate Details'!#REF!</f>
        <v>#REF!</v>
      </c>
      <c r="J272" s="679" t="e">
        <f>+'Estimate Details'!#REF!</f>
        <v>#REF!</v>
      </c>
      <c r="K272" s="679" t="e">
        <f>+'Estimate Details'!#REF!</f>
        <v>#REF!</v>
      </c>
      <c r="L272" s="679" t="e">
        <f>+'Estimate Details'!#REF!</f>
        <v>#REF!</v>
      </c>
      <c r="M272" s="236" t="e">
        <f>+'Estimate Details'!#REF!</f>
        <v>#REF!</v>
      </c>
      <c r="N272" s="699" t="e">
        <f>+'Estimate Details'!#REF!</f>
        <v>#REF!</v>
      </c>
      <c r="O272" s="681" t="e">
        <f>+'Estimate Details'!#REF!</f>
        <v>#REF!</v>
      </c>
      <c r="P272" s="682" t="e">
        <f>+'Estimate Details'!#REF!</f>
        <v>#REF!</v>
      </c>
      <c r="Q272" s="683" t="e">
        <f>+'Estimate Details'!#REF!</f>
        <v>#REF!</v>
      </c>
      <c r="R272" s="684" t="e">
        <f>+'Estimate Details'!#REF!</f>
        <v>#REF!</v>
      </c>
      <c r="S272" s="685"/>
      <c r="T272" s="684" t="e">
        <f>+'Estimate Details'!#REF!</f>
        <v>#REF!</v>
      </c>
      <c r="U272" s="686" t="s">
        <v>1299</v>
      </c>
      <c r="V272" s="682" t="e">
        <f>+'Estimate Details'!#REF!</f>
        <v>#REF!</v>
      </c>
      <c r="W272" s="686" t="s">
        <v>1311</v>
      </c>
      <c r="X272" s="682" t="e">
        <f>+'Estimate Details'!#REF!</f>
        <v>#REF!</v>
      </c>
      <c r="Y272" s="682" t="e">
        <f>+'Estimate Details'!#REF!</f>
        <v>#REF!</v>
      </c>
      <c r="Z272" s="684" t="e">
        <f>+'Estimate Details'!#REF!</f>
        <v>#REF!</v>
      </c>
      <c r="AA272" s="686"/>
      <c r="AB272" s="687" t="e">
        <f>+'Estimate Details'!#REF!</f>
        <v>#REF!</v>
      </c>
      <c r="AC272" s="688"/>
      <c r="AD272" s="696" t="e">
        <f>+'Estimate Details'!#REF!</f>
        <v>#REF!</v>
      </c>
      <c r="AE272" s="156"/>
      <c r="AF272" s="156"/>
      <c r="AG272" s="156"/>
      <c r="AH272" s="156"/>
      <c r="AI272" s="29"/>
      <c r="AJ272" s="29"/>
      <c r="AK272" s="29"/>
      <c r="AL272" s="29"/>
    </row>
    <row r="273" spans="1:38">
      <c r="A273" s="673" t="e">
        <f>+'Estimate Details'!#REF!</f>
        <v>#REF!</v>
      </c>
      <c r="B273" s="673"/>
      <c r="C273" s="673"/>
      <c r="D273" s="674"/>
      <c r="E273" s="675" t="e">
        <f>+'Estimate Details'!#REF!</f>
        <v>#REF!</v>
      </c>
      <c r="F273" s="676"/>
      <c r="G273" s="677" t="e">
        <f>+'Estimate Details'!#REF!</f>
        <v>#REF!</v>
      </c>
      <c r="H273" s="678" t="e">
        <f>+'Estimate Details'!#REF!</f>
        <v>#REF!</v>
      </c>
      <c r="I273" s="679" t="e">
        <f>+'Estimate Details'!#REF!</f>
        <v>#REF!</v>
      </c>
      <c r="J273" s="679" t="e">
        <f>+'Estimate Details'!#REF!</f>
        <v>#REF!</v>
      </c>
      <c r="K273" s="679" t="e">
        <f>+'Estimate Details'!#REF!</f>
        <v>#REF!</v>
      </c>
      <c r="L273" s="679" t="e">
        <f>+'Estimate Details'!#REF!</f>
        <v>#REF!</v>
      </c>
      <c r="M273" s="236" t="e">
        <f>+'Estimate Details'!#REF!</f>
        <v>#REF!</v>
      </c>
      <c r="N273" s="699" t="e">
        <f>+'Estimate Details'!#REF!</f>
        <v>#REF!</v>
      </c>
      <c r="O273" s="681" t="e">
        <f>+'Estimate Details'!#REF!</f>
        <v>#REF!</v>
      </c>
      <c r="P273" s="682" t="e">
        <f>+'Estimate Details'!#REF!</f>
        <v>#REF!</v>
      </c>
      <c r="Q273" s="683" t="e">
        <f>+'Estimate Details'!#REF!</f>
        <v>#REF!</v>
      </c>
      <c r="R273" s="684" t="e">
        <f>+'Estimate Details'!#REF!</f>
        <v>#REF!</v>
      </c>
      <c r="S273" s="685"/>
      <c r="T273" s="684" t="e">
        <f>+'Estimate Details'!#REF!</f>
        <v>#REF!</v>
      </c>
      <c r="U273" s="686" t="s">
        <v>1299</v>
      </c>
      <c r="V273" s="682" t="e">
        <f>+'Estimate Details'!#REF!</f>
        <v>#REF!</v>
      </c>
      <c r="W273" s="686" t="s">
        <v>1311</v>
      </c>
      <c r="X273" s="682" t="e">
        <f>+'Estimate Details'!#REF!</f>
        <v>#REF!</v>
      </c>
      <c r="Y273" s="682" t="e">
        <f>+'Estimate Details'!#REF!</f>
        <v>#REF!</v>
      </c>
      <c r="Z273" s="684" t="e">
        <f>+'Estimate Details'!#REF!</f>
        <v>#REF!</v>
      </c>
      <c r="AA273" s="686"/>
      <c r="AB273" s="687" t="e">
        <f>+'Estimate Details'!#REF!</f>
        <v>#REF!</v>
      </c>
      <c r="AC273" s="688"/>
      <c r="AD273" s="696" t="e">
        <f>+'Estimate Details'!#REF!</f>
        <v>#REF!</v>
      </c>
      <c r="AE273" s="156"/>
      <c r="AF273" s="156"/>
      <c r="AG273" s="156"/>
      <c r="AH273" s="156"/>
      <c r="AI273" s="29"/>
      <c r="AJ273" s="29"/>
      <c r="AK273" s="29"/>
      <c r="AL273" s="29"/>
    </row>
    <row r="274" spans="1:38" ht="14.1" customHeight="1">
      <c r="A274" s="673" t="e">
        <f>+'Estimate Details'!#REF!</f>
        <v>#REF!</v>
      </c>
      <c r="B274" s="673"/>
      <c r="C274" s="673"/>
      <c r="D274" s="674"/>
      <c r="E274" s="675" t="e">
        <f>+'Estimate Details'!#REF!</f>
        <v>#REF!</v>
      </c>
      <c r="F274" s="676"/>
      <c r="G274" s="677" t="e">
        <f>+'Estimate Details'!#REF!</f>
        <v>#REF!</v>
      </c>
      <c r="H274" s="678" t="e">
        <f>+'Estimate Details'!#REF!</f>
        <v>#REF!</v>
      </c>
      <c r="I274" s="679" t="e">
        <f>+'Estimate Details'!#REF!</f>
        <v>#REF!</v>
      </c>
      <c r="J274" s="679" t="e">
        <f>+'Estimate Details'!#REF!</f>
        <v>#REF!</v>
      </c>
      <c r="K274" s="679" t="e">
        <f>+'Estimate Details'!#REF!</f>
        <v>#REF!</v>
      </c>
      <c r="L274" s="679" t="e">
        <f>+'Estimate Details'!#REF!</f>
        <v>#REF!</v>
      </c>
      <c r="M274" s="236" t="e">
        <f>+'Estimate Details'!#REF!</f>
        <v>#REF!</v>
      </c>
      <c r="N274" s="699" t="e">
        <f>+'Estimate Details'!#REF!</f>
        <v>#REF!</v>
      </c>
      <c r="O274" s="681" t="e">
        <f>+'Estimate Details'!#REF!</f>
        <v>#REF!</v>
      </c>
      <c r="P274" s="682" t="e">
        <f>+'Estimate Details'!#REF!</f>
        <v>#REF!</v>
      </c>
      <c r="Q274" s="683" t="e">
        <f>+'Estimate Details'!#REF!</f>
        <v>#REF!</v>
      </c>
      <c r="R274" s="684" t="e">
        <f>+'Estimate Details'!#REF!</f>
        <v>#REF!</v>
      </c>
      <c r="S274" s="685"/>
      <c r="T274" s="684" t="e">
        <f>+'Estimate Details'!#REF!</f>
        <v>#REF!</v>
      </c>
      <c r="U274" s="686" t="s">
        <v>1299</v>
      </c>
      <c r="V274" s="682" t="e">
        <f>+'Estimate Details'!#REF!</f>
        <v>#REF!</v>
      </c>
      <c r="W274" s="686" t="s">
        <v>1311</v>
      </c>
      <c r="X274" s="682" t="e">
        <f>+'Estimate Details'!#REF!</f>
        <v>#REF!</v>
      </c>
      <c r="Y274" s="682" t="e">
        <f>+'Estimate Details'!#REF!</f>
        <v>#REF!</v>
      </c>
      <c r="Z274" s="684" t="e">
        <f>+'Estimate Details'!#REF!</f>
        <v>#REF!</v>
      </c>
      <c r="AA274" s="686"/>
      <c r="AB274" s="687" t="e">
        <f>+'Estimate Details'!#REF!</f>
        <v>#REF!</v>
      </c>
      <c r="AC274" s="688"/>
      <c r="AD274" s="696" t="e">
        <f>+'Estimate Details'!#REF!</f>
        <v>#REF!</v>
      </c>
      <c r="AE274" s="156"/>
      <c r="AF274" s="367"/>
      <c r="AG274" s="156"/>
      <c r="AH274" s="156"/>
      <c r="AI274" s="29"/>
      <c r="AJ274" s="29"/>
      <c r="AK274" s="29"/>
      <c r="AL274" s="29"/>
    </row>
    <row r="275" spans="1:38" ht="14.1" customHeight="1">
      <c r="A275" s="116" t="e">
        <f>+'Estimate Details'!#REF!</f>
        <v>#REF!</v>
      </c>
      <c r="B275" s="116"/>
      <c r="C275" s="116"/>
      <c r="D275" s="166"/>
      <c r="E275" s="158" t="e">
        <f>+'Estimate Details'!#REF!</f>
        <v>#REF!</v>
      </c>
      <c r="F275" s="41"/>
      <c r="G275" s="117" t="e">
        <f>+'Estimate Details'!#REF!</f>
        <v>#REF!</v>
      </c>
      <c r="H275" s="118" t="e">
        <f>+'Estimate Details'!#REF!</f>
        <v>#REF!</v>
      </c>
      <c r="I275" s="108" t="e">
        <f>+'Estimate Details'!#REF!</f>
        <v>#REF!</v>
      </c>
      <c r="J275" s="168" t="e">
        <f>+'Estimate Details'!#REF!</f>
        <v>#REF!</v>
      </c>
      <c r="K275" s="42" t="e">
        <f>+'Estimate Details'!#REF!</f>
        <v>#REF!</v>
      </c>
      <c r="L275" s="42" t="e">
        <f>+'Estimate Details'!#REF!</f>
        <v>#REF!</v>
      </c>
      <c r="M275" s="204" t="e">
        <f>+'Estimate Details'!#REF!</f>
        <v>#REF!</v>
      </c>
      <c r="N275" s="170" t="e">
        <f>+'Estimate Details'!#REF!</f>
        <v>#REF!</v>
      </c>
      <c r="O275" s="171" t="e">
        <f>+'Estimate Details'!#REF!</f>
        <v>#REF!</v>
      </c>
      <c r="P275" s="172" t="e">
        <f>+'Estimate Details'!#REF!</f>
        <v>#REF!</v>
      </c>
      <c r="Q275" s="173" t="e">
        <f>+'Estimate Details'!#REF!</f>
        <v>#REF!</v>
      </c>
      <c r="R275" s="174" t="e">
        <f>+'Estimate Details'!#REF!</f>
        <v>#REF!</v>
      </c>
      <c r="S275" s="507"/>
      <c r="T275" s="174" t="e">
        <f>+'Estimate Details'!#REF!</f>
        <v>#REF!</v>
      </c>
      <c r="U275" s="481" t="s">
        <v>1308</v>
      </c>
      <c r="V275" s="172" t="e">
        <f>+'Estimate Details'!#REF!</f>
        <v>#REF!</v>
      </c>
      <c r="W275" s="481" t="s">
        <v>1311</v>
      </c>
      <c r="X275" s="172" t="e">
        <f>+'Estimate Details'!#REF!</f>
        <v>#REF!</v>
      </c>
      <c r="Y275" s="172" t="e">
        <f>+'Estimate Details'!#REF!</f>
        <v>#REF!</v>
      </c>
      <c r="Z275" s="174" t="e">
        <f>+'Estimate Details'!#REF!</f>
        <v>#REF!</v>
      </c>
      <c r="AA275" s="481"/>
      <c r="AB275" s="175" t="e">
        <f>+'Estimate Details'!#REF!</f>
        <v>#REF!</v>
      </c>
      <c r="AC275" s="569"/>
      <c r="AD275" s="176" t="e">
        <f>+'Estimate Details'!#REF!</f>
        <v>#REF!</v>
      </c>
      <c r="AE275" s="156"/>
      <c r="AF275" s="367"/>
      <c r="AG275" s="156"/>
      <c r="AH275" s="156"/>
      <c r="AI275" s="29"/>
      <c r="AJ275" s="29"/>
      <c r="AK275" s="29"/>
      <c r="AL275" s="29"/>
    </row>
    <row r="276" spans="1:38" ht="14.1" customHeight="1">
      <c r="A276" s="116" t="e">
        <f>+'Estimate Details'!#REF!</f>
        <v>#REF!</v>
      </c>
      <c r="B276" s="116"/>
      <c r="C276" s="116"/>
      <c r="D276" s="166"/>
      <c r="E276" s="158" t="e">
        <f>+'Estimate Details'!#REF!</f>
        <v>#REF!</v>
      </c>
      <c r="F276" s="41"/>
      <c r="G276" s="117" t="e">
        <f>+'Estimate Details'!#REF!</f>
        <v>#REF!</v>
      </c>
      <c r="H276" s="118" t="e">
        <f>+'Estimate Details'!#REF!</f>
        <v>#REF!</v>
      </c>
      <c r="I276" s="108" t="e">
        <f>+'Estimate Details'!#REF!</f>
        <v>#REF!</v>
      </c>
      <c r="J276" s="168" t="e">
        <f>+'Estimate Details'!#REF!</f>
        <v>#REF!</v>
      </c>
      <c r="K276" s="42" t="e">
        <f>+'Estimate Details'!#REF!</f>
        <v>#REF!</v>
      </c>
      <c r="L276" s="42" t="e">
        <f>+'Estimate Details'!#REF!</f>
        <v>#REF!</v>
      </c>
      <c r="M276" s="204" t="e">
        <f>+'Estimate Details'!#REF!</f>
        <v>#REF!</v>
      </c>
      <c r="N276" s="170" t="e">
        <f>+'Estimate Details'!#REF!</f>
        <v>#REF!</v>
      </c>
      <c r="O276" s="171" t="e">
        <f>+'Estimate Details'!#REF!</f>
        <v>#REF!</v>
      </c>
      <c r="P276" s="172" t="e">
        <f>+'Estimate Details'!#REF!</f>
        <v>#REF!</v>
      </c>
      <c r="Q276" s="173" t="e">
        <f>+'Estimate Details'!#REF!</f>
        <v>#REF!</v>
      </c>
      <c r="R276" s="174" t="e">
        <f>+'Estimate Details'!#REF!</f>
        <v>#REF!</v>
      </c>
      <c r="S276" s="507"/>
      <c r="T276" s="174" t="e">
        <f>+'Estimate Details'!#REF!</f>
        <v>#REF!</v>
      </c>
      <c r="U276" s="481" t="s">
        <v>1308</v>
      </c>
      <c r="V276" s="172" t="e">
        <f>+'Estimate Details'!#REF!</f>
        <v>#REF!</v>
      </c>
      <c r="W276" s="481" t="s">
        <v>1311</v>
      </c>
      <c r="X276" s="172" t="e">
        <f>+'Estimate Details'!#REF!</f>
        <v>#REF!</v>
      </c>
      <c r="Y276" s="172" t="e">
        <f>+'Estimate Details'!#REF!</f>
        <v>#REF!</v>
      </c>
      <c r="Z276" s="174" t="e">
        <f>+'Estimate Details'!#REF!</f>
        <v>#REF!</v>
      </c>
      <c r="AA276" s="481"/>
      <c r="AB276" s="175" t="e">
        <f>+'Estimate Details'!#REF!</f>
        <v>#REF!</v>
      </c>
      <c r="AC276" s="569"/>
      <c r="AD276" s="176" t="e">
        <f>+'Estimate Details'!#REF!</f>
        <v>#REF!</v>
      </c>
      <c r="AE276" s="156"/>
      <c r="AF276" s="367"/>
      <c r="AG276" s="156"/>
      <c r="AH276" s="156"/>
      <c r="AI276" s="29"/>
      <c r="AJ276" s="29"/>
      <c r="AK276" s="29"/>
      <c r="AL276" s="29"/>
    </row>
    <row r="277" spans="1:38" ht="14.1" customHeight="1">
      <c r="A277" s="116" t="e">
        <f>+'Estimate Details'!#REF!</f>
        <v>#REF!</v>
      </c>
      <c r="B277" s="116"/>
      <c r="C277" s="116"/>
      <c r="D277" s="210"/>
      <c r="E277" s="158" t="e">
        <f>+'Estimate Details'!#REF!</f>
        <v>#REF!</v>
      </c>
      <c r="F277" s="41"/>
      <c r="G277" s="117" t="e">
        <f>+'Estimate Details'!#REF!</f>
        <v>#REF!</v>
      </c>
      <c r="H277" s="118" t="e">
        <f>+'Estimate Details'!#REF!</f>
        <v>#REF!</v>
      </c>
      <c r="I277" s="108" t="e">
        <f>+'Estimate Details'!#REF!</f>
        <v>#REF!</v>
      </c>
      <c r="J277" s="168" t="e">
        <f>+'Estimate Details'!#REF!</f>
        <v>#REF!</v>
      </c>
      <c r="K277" s="42" t="e">
        <f>+'Estimate Details'!#REF!</f>
        <v>#REF!</v>
      </c>
      <c r="L277" s="42" t="e">
        <f>+'Estimate Details'!#REF!</f>
        <v>#REF!</v>
      </c>
      <c r="M277" s="204" t="e">
        <f>+'Estimate Details'!#REF!</f>
        <v>#REF!</v>
      </c>
      <c r="N277" s="170" t="e">
        <f>+'Estimate Details'!#REF!</f>
        <v>#REF!</v>
      </c>
      <c r="O277" s="171" t="e">
        <f>+'Estimate Details'!#REF!</f>
        <v>#REF!</v>
      </c>
      <c r="P277" s="172" t="e">
        <f>+'Estimate Details'!#REF!</f>
        <v>#REF!</v>
      </c>
      <c r="Q277" s="173" t="e">
        <f>+'Estimate Details'!#REF!</f>
        <v>#REF!</v>
      </c>
      <c r="R277" s="174" t="e">
        <f>+'Estimate Details'!#REF!</f>
        <v>#REF!</v>
      </c>
      <c r="S277" s="507"/>
      <c r="T277" s="174" t="e">
        <f>+'Estimate Details'!#REF!</f>
        <v>#REF!</v>
      </c>
      <c r="U277" s="481" t="s">
        <v>1308</v>
      </c>
      <c r="V277" s="172" t="e">
        <f>+'Estimate Details'!#REF!</f>
        <v>#REF!</v>
      </c>
      <c r="W277" s="481" t="s">
        <v>1308</v>
      </c>
      <c r="X277" s="172" t="e">
        <f>+'Estimate Details'!#REF!</f>
        <v>#REF!</v>
      </c>
      <c r="Y277" s="172" t="e">
        <f>+'Estimate Details'!#REF!</f>
        <v>#REF!</v>
      </c>
      <c r="Z277" s="174" t="e">
        <f>+'Estimate Details'!#REF!</f>
        <v>#REF!</v>
      </c>
      <c r="AA277" s="481"/>
      <c r="AB277" s="175" t="e">
        <f>+'Estimate Details'!#REF!</f>
        <v>#REF!</v>
      </c>
      <c r="AC277" s="569"/>
      <c r="AD277" s="176" t="e">
        <f>+'Estimate Details'!#REF!</f>
        <v>#REF!</v>
      </c>
      <c r="AE277" s="156"/>
      <c r="AF277" s="215"/>
      <c r="AG277" s="156"/>
      <c r="AH277" s="156"/>
      <c r="AI277" s="29"/>
      <c r="AJ277" s="29"/>
      <c r="AK277" s="29"/>
      <c r="AL277" s="29"/>
    </row>
    <row r="278" spans="1:38" ht="13.5" customHeight="1">
      <c r="A278" s="116" t="e">
        <f>+'Estimate Details'!#REF!</f>
        <v>#REF!</v>
      </c>
      <c r="B278" s="116"/>
      <c r="C278" s="116"/>
      <c r="D278" s="210"/>
      <c r="E278" s="158" t="e">
        <f>+'Estimate Details'!#REF!</f>
        <v>#REF!</v>
      </c>
      <c r="F278" s="41"/>
      <c r="G278" s="117" t="e">
        <f>+'Estimate Details'!#REF!</f>
        <v>#REF!</v>
      </c>
      <c r="H278" s="118" t="e">
        <f>+'Estimate Details'!#REF!</f>
        <v>#REF!</v>
      </c>
      <c r="I278" s="108" t="e">
        <f>+'Estimate Details'!#REF!</f>
        <v>#REF!</v>
      </c>
      <c r="J278" s="168" t="e">
        <f>+'Estimate Details'!#REF!</f>
        <v>#REF!</v>
      </c>
      <c r="K278" s="42" t="e">
        <f>+'Estimate Details'!#REF!</f>
        <v>#REF!</v>
      </c>
      <c r="L278" s="42" t="e">
        <f>+'Estimate Details'!#REF!</f>
        <v>#REF!</v>
      </c>
      <c r="M278" s="204" t="e">
        <f>+'Estimate Details'!#REF!</f>
        <v>#REF!</v>
      </c>
      <c r="N278" s="170" t="e">
        <f>+'Estimate Details'!#REF!</f>
        <v>#REF!</v>
      </c>
      <c r="O278" s="171" t="e">
        <f>+'Estimate Details'!#REF!</f>
        <v>#REF!</v>
      </c>
      <c r="P278" s="172" t="e">
        <f>+'Estimate Details'!#REF!</f>
        <v>#REF!</v>
      </c>
      <c r="Q278" s="173" t="e">
        <f>+'Estimate Details'!#REF!</f>
        <v>#REF!</v>
      </c>
      <c r="R278" s="174" t="e">
        <f>+'Estimate Details'!#REF!</f>
        <v>#REF!</v>
      </c>
      <c r="S278" s="507"/>
      <c r="T278" s="174" t="e">
        <f>+'Estimate Details'!#REF!</f>
        <v>#REF!</v>
      </c>
      <c r="U278" s="481" t="s">
        <v>1308</v>
      </c>
      <c r="V278" s="172" t="e">
        <f>+'Estimate Details'!#REF!</f>
        <v>#REF!</v>
      </c>
      <c r="W278" s="481" t="s">
        <v>1308</v>
      </c>
      <c r="X278" s="172" t="e">
        <f>+'Estimate Details'!#REF!</f>
        <v>#REF!</v>
      </c>
      <c r="Y278" s="172" t="e">
        <f>+'Estimate Details'!#REF!</f>
        <v>#REF!</v>
      </c>
      <c r="Z278" s="174" t="e">
        <f>+'Estimate Details'!#REF!</f>
        <v>#REF!</v>
      </c>
      <c r="AA278" s="481" t="s">
        <v>1308</v>
      </c>
      <c r="AB278" s="175" t="e">
        <f>+'Estimate Details'!#REF!</f>
        <v>#REF!</v>
      </c>
      <c r="AC278" s="569"/>
      <c r="AD278" s="176" t="e">
        <f>+'Estimate Details'!#REF!</f>
        <v>#REF!</v>
      </c>
      <c r="AE278" s="156"/>
      <c r="AF278" s="367"/>
      <c r="AG278" s="156"/>
      <c r="AH278" s="156"/>
      <c r="AI278" s="29"/>
      <c r="AJ278" s="29"/>
      <c r="AK278" s="29"/>
      <c r="AL278" s="29"/>
    </row>
    <row r="279" spans="1:38" ht="13.5" customHeight="1">
      <c r="A279" s="116" t="e">
        <f>+'Estimate Details'!#REF!</f>
        <v>#REF!</v>
      </c>
      <c r="B279" s="116"/>
      <c r="C279" s="116"/>
      <c r="D279" s="210"/>
      <c r="E279" s="158" t="e">
        <f>+'Estimate Details'!#REF!</f>
        <v>#REF!</v>
      </c>
      <c r="F279" s="41"/>
      <c r="G279" s="117" t="e">
        <f>+'Estimate Details'!#REF!</f>
        <v>#REF!</v>
      </c>
      <c r="H279" s="118" t="e">
        <f>+'Estimate Details'!#REF!</f>
        <v>#REF!</v>
      </c>
      <c r="I279" s="108" t="e">
        <f>+'Estimate Details'!#REF!</f>
        <v>#REF!</v>
      </c>
      <c r="J279" s="168" t="e">
        <f>+'Estimate Details'!#REF!</f>
        <v>#REF!</v>
      </c>
      <c r="K279" s="42" t="e">
        <f>+'Estimate Details'!#REF!</f>
        <v>#REF!</v>
      </c>
      <c r="L279" s="42" t="e">
        <f>+'Estimate Details'!#REF!</f>
        <v>#REF!</v>
      </c>
      <c r="M279" s="204" t="e">
        <f>+'Estimate Details'!#REF!</f>
        <v>#REF!</v>
      </c>
      <c r="N279" s="170" t="e">
        <f>+'Estimate Details'!#REF!</f>
        <v>#REF!</v>
      </c>
      <c r="O279" s="171" t="e">
        <f>+'Estimate Details'!#REF!</f>
        <v>#REF!</v>
      </c>
      <c r="P279" s="172" t="e">
        <f>+'Estimate Details'!#REF!</f>
        <v>#REF!</v>
      </c>
      <c r="Q279" s="173" t="e">
        <f>+'Estimate Details'!#REF!</f>
        <v>#REF!</v>
      </c>
      <c r="R279" s="174" t="e">
        <f>+'Estimate Details'!#REF!</f>
        <v>#REF!</v>
      </c>
      <c r="S279" s="507"/>
      <c r="T279" s="174" t="e">
        <f>+'Estimate Details'!#REF!</f>
        <v>#REF!</v>
      </c>
      <c r="U279" s="481" t="s">
        <v>1308</v>
      </c>
      <c r="V279" s="172" t="e">
        <f>+'Estimate Details'!#REF!</f>
        <v>#REF!</v>
      </c>
      <c r="W279" s="481" t="s">
        <v>1308</v>
      </c>
      <c r="X279" s="172" t="e">
        <f>+'Estimate Details'!#REF!</f>
        <v>#REF!</v>
      </c>
      <c r="Y279" s="172" t="e">
        <f>+'Estimate Details'!#REF!</f>
        <v>#REF!</v>
      </c>
      <c r="Z279" s="174" t="e">
        <f>+'Estimate Details'!#REF!</f>
        <v>#REF!</v>
      </c>
      <c r="AA279" s="481" t="s">
        <v>1308</v>
      </c>
      <c r="AB279" s="175" t="e">
        <f>+'Estimate Details'!#REF!</f>
        <v>#REF!</v>
      </c>
      <c r="AC279" s="569"/>
      <c r="AD279" s="176" t="e">
        <f>+'Estimate Details'!#REF!</f>
        <v>#REF!</v>
      </c>
      <c r="AE279" s="156"/>
      <c r="AF279" s="367"/>
      <c r="AG279" s="156"/>
      <c r="AH279" s="156"/>
      <c r="AI279" s="29"/>
      <c r="AJ279" s="29"/>
      <c r="AK279" s="29"/>
      <c r="AL279" s="29"/>
    </row>
    <row r="280" spans="1:38" ht="14.1" customHeight="1">
      <c r="A280" s="116" t="e">
        <f>+'Estimate Details'!#REF!</f>
        <v>#REF!</v>
      </c>
      <c r="B280" s="116"/>
      <c r="C280" s="116"/>
      <c r="D280" s="166"/>
      <c r="E280" s="158" t="e">
        <f>+'Estimate Details'!#REF!</f>
        <v>#REF!</v>
      </c>
      <c r="F280" s="41"/>
      <c r="G280" s="117" t="e">
        <f>+'Estimate Details'!#REF!</f>
        <v>#REF!</v>
      </c>
      <c r="H280" s="118" t="e">
        <f>+'Estimate Details'!#REF!</f>
        <v>#REF!</v>
      </c>
      <c r="I280" s="108" t="e">
        <f>+'Estimate Details'!#REF!</f>
        <v>#REF!</v>
      </c>
      <c r="J280" s="168" t="e">
        <f>+'Estimate Details'!#REF!</f>
        <v>#REF!</v>
      </c>
      <c r="K280" s="42" t="e">
        <f>+'Estimate Details'!#REF!</f>
        <v>#REF!</v>
      </c>
      <c r="L280" s="42" t="e">
        <f>+'Estimate Details'!#REF!</f>
        <v>#REF!</v>
      </c>
      <c r="M280" s="204" t="e">
        <f>+'Estimate Details'!#REF!</f>
        <v>#REF!</v>
      </c>
      <c r="N280" s="170" t="e">
        <f>+'Estimate Details'!#REF!</f>
        <v>#REF!</v>
      </c>
      <c r="O280" s="171" t="e">
        <f>+'Estimate Details'!#REF!</f>
        <v>#REF!</v>
      </c>
      <c r="P280" s="172" t="e">
        <f>+'Estimate Details'!#REF!</f>
        <v>#REF!</v>
      </c>
      <c r="Q280" s="173" t="e">
        <f>+'Estimate Details'!#REF!</f>
        <v>#REF!</v>
      </c>
      <c r="R280" s="174" t="e">
        <f>+'Estimate Details'!#REF!</f>
        <v>#REF!</v>
      </c>
      <c r="S280" s="507"/>
      <c r="T280" s="174" t="e">
        <f>+'Estimate Details'!#REF!</f>
        <v>#REF!</v>
      </c>
      <c r="U280" s="481" t="s">
        <v>1308</v>
      </c>
      <c r="V280" s="172" t="e">
        <f>+'Estimate Details'!#REF!</f>
        <v>#REF!</v>
      </c>
      <c r="W280" s="481" t="s">
        <v>1308</v>
      </c>
      <c r="X280" s="172" t="e">
        <f>+'Estimate Details'!#REF!</f>
        <v>#REF!</v>
      </c>
      <c r="Y280" s="172" t="e">
        <f>+'Estimate Details'!#REF!</f>
        <v>#REF!</v>
      </c>
      <c r="Z280" s="174" t="e">
        <f>+'Estimate Details'!#REF!</f>
        <v>#REF!</v>
      </c>
      <c r="AA280" s="481"/>
      <c r="AB280" s="175" t="e">
        <f>+'Estimate Details'!#REF!</f>
        <v>#REF!</v>
      </c>
      <c r="AC280" s="569"/>
      <c r="AD280" s="176" t="e">
        <f>+'Estimate Details'!#REF!</f>
        <v>#REF!</v>
      </c>
      <c r="AE280" s="156"/>
      <c r="AF280" s="367"/>
      <c r="AG280" s="156"/>
      <c r="AH280" s="156"/>
      <c r="AI280" s="29"/>
      <c r="AJ280" s="29"/>
      <c r="AK280" s="29"/>
      <c r="AL280" s="29"/>
    </row>
    <row r="281" spans="1:38" ht="14.1" customHeight="1">
      <c r="A281" s="116" t="e">
        <f>+'Estimate Details'!#REF!</f>
        <v>#REF!</v>
      </c>
      <c r="B281" s="116"/>
      <c r="C281" s="116"/>
      <c r="D281" s="166"/>
      <c r="E281" s="158" t="e">
        <f>+'Estimate Details'!#REF!</f>
        <v>#REF!</v>
      </c>
      <c r="F281" s="41"/>
      <c r="G281" s="117" t="e">
        <f>+'Estimate Details'!#REF!</f>
        <v>#REF!</v>
      </c>
      <c r="H281" s="118" t="e">
        <f>+'Estimate Details'!#REF!</f>
        <v>#REF!</v>
      </c>
      <c r="I281" s="108" t="e">
        <f>+'Estimate Details'!#REF!</f>
        <v>#REF!</v>
      </c>
      <c r="J281" s="168" t="e">
        <f>+'Estimate Details'!#REF!</f>
        <v>#REF!</v>
      </c>
      <c r="K281" s="42" t="e">
        <f>+'Estimate Details'!#REF!</f>
        <v>#REF!</v>
      </c>
      <c r="L281" s="42" t="e">
        <f>+'Estimate Details'!#REF!</f>
        <v>#REF!</v>
      </c>
      <c r="M281" s="204" t="e">
        <f>+'Estimate Details'!#REF!</f>
        <v>#REF!</v>
      </c>
      <c r="N281" s="170" t="e">
        <f>+'Estimate Details'!#REF!</f>
        <v>#REF!</v>
      </c>
      <c r="O281" s="171" t="e">
        <f>+'Estimate Details'!#REF!</f>
        <v>#REF!</v>
      </c>
      <c r="P281" s="172" t="e">
        <f>+'Estimate Details'!#REF!</f>
        <v>#REF!</v>
      </c>
      <c r="Q281" s="173" t="e">
        <f>+'Estimate Details'!#REF!</f>
        <v>#REF!</v>
      </c>
      <c r="R281" s="174" t="e">
        <f>+'Estimate Details'!#REF!</f>
        <v>#REF!</v>
      </c>
      <c r="S281" s="507"/>
      <c r="T281" s="174" t="e">
        <f>+'Estimate Details'!#REF!</f>
        <v>#REF!</v>
      </c>
      <c r="U281" s="481" t="s">
        <v>1308</v>
      </c>
      <c r="V281" s="172" t="e">
        <f>+'Estimate Details'!#REF!</f>
        <v>#REF!</v>
      </c>
      <c r="W281" s="481" t="s">
        <v>1308</v>
      </c>
      <c r="X281" s="172" t="e">
        <f>+'Estimate Details'!#REF!</f>
        <v>#REF!</v>
      </c>
      <c r="Y281" s="172" t="e">
        <f>+'Estimate Details'!#REF!</f>
        <v>#REF!</v>
      </c>
      <c r="Z281" s="174" t="e">
        <f>+'Estimate Details'!#REF!</f>
        <v>#REF!</v>
      </c>
      <c r="AA281" s="481"/>
      <c r="AB281" s="175" t="e">
        <f>+'Estimate Details'!#REF!</f>
        <v>#REF!</v>
      </c>
      <c r="AC281" s="569"/>
      <c r="AD281" s="176" t="e">
        <f>+'Estimate Details'!#REF!</f>
        <v>#REF!</v>
      </c>
      <c r="AE281" s="156"/>
      <c r="AF281" s="367"/>
      <c r="AG281" s="156"/>
      <c r="AH281" s="156"/>
      <c r="AI281" s="29"/>
      <c r="AJ281" s="29"/>
      <c r="AK281" s="29"/>
      <c r="AL281" s="29"/>
    </row>
    <row r="282" spans="1:38" ht="14.1" customHeight="1">
      <c r="A282" s="116" t="e">
        <f>+'Estimate Details'!#REF!</f>
        <v>#REF!</v>
      </c>
      <c r="B282" s="116"/>
      <c r="C282" s="116"/>
      <c r="D282" s="166"/>
      <c r="E282" s="158" t="e">
        <f>+'Estimate Details'!#REF!</f>
        <v>#REF!</v>
      </c>
      <c r="F282" s="41"/>
      <c r="G282" s="117" t="e">
        <f>+'Estimate Details'!#REF!</f>
        <v>#REF!</v>
      </c>
      <c r="H282" s="118" t="e">
        <f>+'Estimate Details'!#REF!</f>
        <v>#REF!</v>
      </c>
      <c r="I282" s="108" t="e">
        <f>+'Estimate Details'!#REF!</f>
        <v>#REF!</v>
      </c>
      <c r="J282" s="168" t="e">
        <f>+'Estimate Details'!#REF!</f>
        <v>#REF!</v>
      </c>
      <c r="K282" s="42" t="e">
        <f>+'Estimate Details'!#REF!</f>
        <v>#REF!</v>
      </c>
      <c r="L282" s="42" t="e">
        <f>+'Estimate Details'!#REF!</f>
        <v>#REF!</v>
      </c>
      <c r="M282" s="204" t="e">
        <f>+'Estimate Details'!#REF!</f>
        <v>#REF!</v>
      </c>
      <c r="N282" s="170" t="e">
        <f>+'Estimate Details'!#REF!</f>
        <v>#REF!</v>
      </c>
      <c r="O282" s="171" t="e">
        <f>+'Estimate Details'!#REF!</f>
        <v>#REF!</v>
      </c>
      <c r="P282" s="172" t="e">
        <f>+'Estimate Details'!#REF!</f>
        <v>#REF!</v>
      </c>
      <c r="Q282" s="173" t="e">
        <f>+'Estimate Details'!#REF!</f>
        <v>#REF!</v>
      </c>
      <c r="R282" s="174" t="e">
        <f>+'Estimate Details'!#REF!</f>
        <v>#REF!</v>
      </c>
      <c r="S282" s="507"/>
      <c r="T282" s="174" t="e">
        <f>+'Estimate Details'!#REF!</f>
        <v>#REF!</v>
      </c>
      <c r="U282" s="481"/>
      <c r="V282" s="172" t="e">
        <f>+'Estimate Details'!#REF!</f>
        <v>#REF!</v>
      </c>
      <c r="W282" s="481"/>
      <c r="X282" s="172" t="e">
        <f>+'Estimate Details'!#REF!</f>
        <v>#REF!</v>
      </c>
      <c r="Y282" s="172" t="e">
        <f>+'Estimate Details'!#REF!</f>
        <v>#REF!</v>
      </c>
      <c r="Z282" s="174" t="e">
        <f>+'Estimate Details'!#REF!</f>
        <v>#REF!</v>
      </c>
      <c r="AA282" s="481" t="s">
        <v>1308</v>
      </c>
      <c r="AB282" s="175" t="e">
        <f>+'Estimate Details'!#REF!</f>
        <v>#REF!</v>
      </c>
      <c r="AC282" s="569"/>
      <c r="AD282" s="176" t="e">
        <f>+'Estimate Details'!#REF!</f>
        <v>#REF!</v>
      </c>
      <c r="AE282" s="156"/>
      <c r="AF282" s="367"/>
      <c r="AG282" s="156"/>
      <c r="AH282" s="156"/>
      <c r="AI282" s="29"/>
      <c r="AJ282" s="29"/>
      <c r="AK282" s="29"/>
      <c r="AL282" s="29"/>
    </row>
    <row r="283" spans="1:38" ht="14.1" customHeight="1">
      <c r="A283" s="116" t="e">
        <f>+'Estimate Details'!#REF!</f>
        <v>#REF!</v>
      </c>
      <c r="B283" s="116"/>
      <c r="C283" s="116"/>
      <c r="D283" s="166"/>
      <c r="E283" s="158" t="e">
        <f>+'Estimate Details'!#REF!</f>
        <v>#REF!</v>
      </c>
      <c r="F283" s="41"/>
      <c r="G283" s="117" t="e">
        <f>+'Estimate Details'!#REF!</f>
        <v>#REF!</v>
      </c>
      <c r="H283" s="118" t="e">
        <f>+'Estimate Details'!#REF!</f>
        <v>#REF!</v>
      </c>
      <c r="I283" s="108" t="e">
        <f>+'Estimate Details'!#REF!</f>
        <v>#REF!</v>
      </c>
      <c r="J283" s="168" t="e">
        <f>+'Estimate Details'!#REF!</f>
        <v>#REF!</v>
      </c>
      <c r="K283" s="42" t="e">
        <f>+'Estimate Details'!#REF!</f>
        <v>#REF!</v>
      </c>
      <c r="L283" s="42" t="e">
        <f>+'Estimate Details'!#REF!</f>
        <v>#REF!</v>
      </c>
      <c r="M283" s="204" t="e">
        <f>+'Estimate Details'!#REF!</f>
        <v>#REF!</v>
      </c>
      <c r="N283" s="170" t="e">
        <f>+'Estimate Details'!#REF!</f>
        <v>#REF!</v>
      </c>
      <c r="O283" s="171" t="e">
        <f>+'Estimate Details'!#REF!</f>
        <v>#REF!</v>
      </c>
      <c r="P283" s="172" t="e">
        <f>+'Estimate Details'!#REF!</f>
        <v>#REF!</v>
      </c>
      <c r="Q283" s="173" t="e">
        <f>+'Estimate Details'!#REF!</f>
        <v>#REF!</v>
      </c>
      <c r="R283" s="174" t="e">
        <f>+'Estimate Details'!#REF!</f>
        <v>#REF!</v>
      </c>
      <c r="S283" s="507"/>
      <c r="T283" s="174" t="e">
        <f>+'Estimate Details'!#REF!</f>
        <v>#REF!</v>
      </c>
      <c r="U283" s="481" t="s">
        <v>1308</v>
      </c>
      <c r="V283" s="172" t="e">
        <f>+'Estimate Details'!#REF!</f>
        <v>#REF!</v>
      </c>
      <c r="W283" s="481"/>
      <c r="X283" s="172" t="e">
        <f>+'Estimate Details'!#REF!</f>
        <v>#REF!</v>
      </c>
      <c r="Y283" s="172" t="e">
        <f>+'Estimate Details'!#REF!</f>
        <v>#REF!</v>
      </c>
      <c r="Z283" s="174" t="e">
        <f>+'Estimate Details'!#REF!</f>
        <v>#REF!</v>
      </c>
      <c r="AA283" s="481" t="s">
        <v>1308</v>
      </c>
      <c r="AB283" s="175" t="e">
        <f>+'Estimate Details'!#REF!</f>
        <v>#REF!</v>
      </c>
      <c r="AC283" s="569"/>
      <c r="AD283" s="176" t="e">
        <f>+'Estimate Details'!#REF!</f>
        <v>#REF!</v>
      </c>
      <c r="AE283" s="156"/>
      <c r="AF283" s="367"/>
      <c r="AG283" s="156"/>
      <c r="AH283" s="156"/>
      <c r="AI283" s="29"/>
      <c r="AJ283" s="29"/>
      <c r="AK283" s="29"/>
      <c r="AL283" s="29"/>
    </row>
    <row r="284" spans="1:38" ht="14.1" customHeight="1" thickBot="1">
      <c r="A284" s="116" t="e">
        <f>+'Estimate Details'!#REF!</f>
        <v>#REF!</v>
      </c>
      <c r="B284" s="116"/>
      <c r="C284" s="116"/>
      <c r="D284" s="166"/>
      <c r="E284" s="42" t="e">
        <f>+'Estimate Details'!#REF!</f>
        <v>#REF!</v>
      </c>
      <c r="F284" s="41"/>
      <c r="G284" s="117" t="e">
        <f>+'Estimate Details'!#REF!</f>
        <v>#REF!</v>
      </c>
      <c r="H284" s="118" t="e">
        <f>+'Estimate Details'!#REF!</f>
        <v>#REF!</v>
      </c>
      <c r="I284" s="108" t="e">
        <f>+'Estimate Details'!#REF!</f>
        <v>#REF!</v>
      </c>
      <c r="J284" s="168" t="e">
        <f>+'Estimate Details'!#REF!</f>
        <v>#REF!</v>
      </c>
      <c r="K284" s="42" t="e">
        <f>+'Estimate Details'!#REF!</f>
        <v>#REF!</v>
      </c>
      <c r="L284" s="42" t="e">
        <f>+'Estimate Details'!#REF!</f>
        <v>#REF!</v>
      </c>
      <c r="M284" s="204" t="e">
        <f>+'Estimate Details'!#REF!</f>
        <v>#REF!</v>
      </c>
      <c r="N284" s="170" t="e">
        <f>+'Estimate Details'!#REF!</f>
        <v>#REF!</v>
      </c>
      <c r="O284" s="171" t="e">
        <f>+'Estimate Details'!#REF!</f>
        <v>#REF!</v>
      </c>
      <c r="P284" s="172" t="e">
        <f>+'Estimate Details'!#REF!</f>
        <v>#REF!</v>
      </c>
      <c r="Q284" s="173" t="e">
        <f>+'Estimate Details'!#REF!</f>
        <v>#REF!</v>
      </c>
      <c r="R284" s="174" t="e">
        <f>+'Estimate Details'!#REF!</f>
        <v>#REF!</v>
      </c>
      <c r="S284" s="507"/>
      <c r="T284" s="174" t="e">
        <f>+'Estimate Details'!#REF!</f>
        <v>#REF!</v>
      </c>
      <c r="U284" s="481"/>
      <c r="V284" s="172" t="e">
        <f>+'Estimate Details'!#REF!</f>
        <v>#REF!</v>
      </c>
      <c r="W284" s="481"/>
      <c r="X284" s="172" t="e">
        <f>+'Estimate Details'!#REF!</f>
        <v>#REF!</v>
      </c>
      <c r="Y284" s="172" t="e">
        <f>+'Estimate Details'!#REF!</f>
        <v>#REF!</v>
      </c>
      <c r="Z284" s="174" t="e">
        <f>+'Estimate Details'!#REF!</f>
        <v>#REF!</v>
      </c>
      <c r="AA284" s="481"/>
      <c r="AB284" s="175" t="e">
        <f>+'Estimate Details'!#REF!</f>
        <v>#REF!</v>
      </c>
      <c r="AC284" s="569"/>
      <c r="AD284" s="176" t="e">
        <f>+'Estimate Details'!#REF!</f>
        <v>#REF!</v>
      </c>
      <c r="AE284" s="156"/>
      <c r="AF284" s="367"/>
      <c r="AG284" s="156"/>
      <c r="AH284" s="156"/>
      <c r="AI284" s="29"/>
      <c r="AJ284" s="29"/>
      <c r="AK284" s="29"/>
      <c r="AL284" s="29"/>
    </row>
    <row r="285" spans="1:38" ht="16.2" thickBot="1">
      <c r="A285" s="400"/>
      <c r="B285" s="401"/>
      <c r="C285" s="401"/>
      <c r="D285" s="401"/>
      <c r="E285" s="401"/>
      <c r="F285" s="402"/>
      <c r="G285" s="403"/>
      <c r="H285" s="404" t="s">
        <v>1857</v>
      </c>
      <c r="I285" s="405"/>
      <c r="J285" s="406"/>
      <c r="K285" s="401"/>
      <c r="L285" s="406"/>
      <c r="M285" s="407"/>
      <c r="N285" s="407"/>
      <c r="O285" s="407"/>
      <c r="P285" s="407"/>
      <c r="Q285" s="408"/>
      <c r="R285" s="476" t="e">
        <f>SUM(R13:R284)</f>
        <v>#REF!</v>
      </c>
      <c r="S285" s="508"/>
      <c r="T285" s="476" t="e">
        <f>SUM(T13:T284)</f>
        <v>#REF!</v>
      </c>
      <c r="U285" s="480"/>
      <c r="V285" s="476" t="e">
        <f>SUM(V13:V284)</f>
        <v>#REF!</v>
      </c>
      <c r="W285" s="480"/>
      <c r="X285" s="408"/>
      <c r="Y285" s="408"/>
      <c r="Z285" s="476" t="e">
        <f>SUM(Z13:Z284)</f>
        <v>#REF!</v>
      </c>
      <c r="AA285" s="480"/>
      <c r="AB285" s="409"/>
      <c r="AC285" s="476"/>
      <c r="AD285" s="432" t="e">
        <f>SUM(AB13:AB284)</f>
        <v>#REF!</v>
      </c>
      <c r="AE285" s="178" t="e">
        <f>SUM(R285:Z285)</f>
        <v>#REF!</v>
      </c>
      <c r="AF285" s="215"/>
      <c r="AG285" s="156"/>
      <c r="AH285" s="156"/>
      <c r="AI285" s="29"/>
      <c r="AJ285" s="29"/>
      <c r="AK285" s="29"/>
      <c r="AL285" s="29"/>
    </row>
    <row r="286" spans="1:38">
      <c r="A286" s="348"/>
      <c r="B286" s="348"/>
      <c r="C286" s="348"/>
      <c r="D286" s="348"/>
      <c r="E286" s="348"/>
      <c r="F286" s="530"/>
      <c r="G286" s="531"/>
      <c r="H286" s="483"/>
      <c r="I286" s="532"/>
      <c r="J286" s="533"/>
      <c r="K286" s="348"/>
      <c r="L286" s="533"/>
      <c r="M286" s="534"/>
      <c r="N286" s="534"/>
      <c r="O286" s="534"/>
      <c r="P286" s="534"/>
      <c r="Q286" s="535"/>
      <c r="R286" s="441"/>
      <c r="S286" s="513"/>
      <c r="T286" s="441"/>
      <c r="U286" s="453"/>
      <c r="V286" s="441"/>
      <c r="W286" s="453"/>
      <c r="X286" s="535"/>
      <c r="Y286" s="535"/>
      <c r="Z286" s="441"/>
      <c r="AA286" s="453"/>
      <c r="AB286" s="536"/>
      <c r="AC286" s="441"/>
      <c r="AD286" s="441"/>
      <c r="AE286" s="178"/>
      <c r="AF286" s="215"/>
      <c r="AG286" s="156"/>
      <c r="AH286" s="156"/>
      <c r="AI286" s="29"/>
      <c r="AJ286" s="29"/>
      <c r="AK286" s="29"/>
      <c r="AL286" s="29"/>
    </row>
    <row r="287" spans="1:38">
      <c r="A287" s="342"/>
      <c r="B287" s="317"/>
      <c r="C287" s="317"/>
      <c r="D287" s="317"/>
      <c r="E287" s="317"/>
      <c r="F287" s="387"/>
      <c r="G287" s="210"/>
      <c r="H287" s="388"/>
      <c r="I287" s="389"/>
      <c r="J287" s="390"/>
      <c r="K287" s="317"/>
      <c r="L287" s="390"/>
      <c r="M287" s="391"/>
      <c r="N287" s="391"/>
      <c r="O287" s="391"/>
      <c r="P287" s="391"/>
      <c r="Q287" s="392"/>
      <c r="R287" s="549" t="s">
        <v>265</v>
      </c>
      <c r="S287" s="514" t="s">
        <v>266</v>
      </c>
      <c r="T287" s="549" t="s">
        <v>265</v>
      </c>
      <c r="U287" s="514" t="s">
        <v>266</v>
      </c>
      <c r="V287" s="549" t="s">
        <v>265</v>
      </c>
      <c r="W287" s="514" t="s">
        <v>266</v>
      </c>
      <c r="X287" s="392"/>
      <c r="Y287" s="392"/>
      <c r="Z287" s="549" t="s">
        <v>265</v>
      </c>
      <c r="AA287" s="514" t="s">
        <v>266</v>
      </c>
      <c r="AB287" s="394"/>
      <c r="AC287" s="570"/>
      <c r="AD287" s="395"/>
      <c r="AE287" s="178"/>
      <c r="AF287" s="215"/>
      <c r="AG287" s="156"/>
      <c r="AH287" s="156"/>
      <c r="AI287" s="29"/>
      <c r="AJ287" s="29"/>
      <c r="AK287" s="29"/>
      <c r="AL287" s="29"/>
    </row>
    <row r="288" spans="1:38" ht="14.1" customHeight="1">
      <c r="A288" s="116" t="e">
        <f>+'Estimate Details'!#REF!</f>
        <v>#REF!</v>
      </c>
      <c r="B288" s="347"/>
      <c r="C288" s="347"/>
      <c r="D288" s="210"/>
      <c r="E288" s="158" t="e">
        <f>+'Estimate Details'!#REF!</f>
        <v>#REF!</v>
      </c>
      <c r="F288" s="41"/>
      <c r="G288" s="117" t="e">
        <f>+'Estimate Details'!#REF!</f>
        <v>#REF!</v>
      </c>
      <c r="H288" s="118" t="e">
        <f>+'Estimate Details'!#REF!</f>
        <v>#REF!</v>
      </c>
      <c r="I288" s="108" t="e">
        <f>+'Estimate Details'!#REF!</f>
        <v>#REF!</v>
      </c>
      <c r="J288" s="168" t="e">
        <f>+'Estimate Details'!#REF!</f>
        <v>#REF!</v>
      </c>
      <c r="K288" s="42" t="e">
        <f>+'Estimate Details'!#REF!</f>
        <v>#REF!</v>
      </c>
      <c r="L288" s="42" t="e">
        <f>+'Estimate Details'!#REF!</f>
        <v>#REF!</v>
      </c>
      <c r="M288" s="177" t="e">
        <f>+'Estimate Details'!#REF!</f>
        <v>#REF!</v>
      </c>
      <c r="N288" s="170" t="e">
        <f>+'Estimate Details'!#REF!</f>
        <v>#REF!</v>
      </c>
      <c r="O288" s="171" t="e">
        <f>+'Estimate Details'!#REF!</f>
        <v>#REF!</v>
      </c>
      <c r="P288" s="172" t="e">
        <f>+'Estimate Details'!#REF!</f>
        <v>#REF!</v>
      </c>
      <c r="Q288" s="173" t="e">
        <f>+'Estimate Details'!#REF!</f>
        <v>#REF!</v>
      </c>
      <c r="R288" s="174" t="e">
        <f>+'Estimate Details'!#REF!</f>
        <v>#REF!</v>
      </c>
      <c r="S288" s="507"/>
      <c r="T288" s="174" t="e">
        <f>+'Estimate Details'!#REF!</f>
        <v>#REF!</v>
      </c>
      <c r="U288" s="481" t="s">
        <v>1302</v>
      </c>
      <c r="V288" s="172" t="e">
        <f>+'Estimate Details'!#REF!</f>
        <v>#REF!</v>
      </c>
      <c r="W288" s="481" t="s">
        <v>1310</v>
      </c>
      <c r="X288" s="172" t="e">
        <f>+'Estimate Details'!#REF!</f>
        <v>#REF!</v>
      </c>
      <c r="Y288" s="172" t="e">
        <f>+'Estimate Details'!#REF!</f>
        <v>#REF!</v>
      </c>
      <c r="Z288" s="174" t="e">
        <f>+'Estimate Details'!#REF!</f>
        <v>#REF!</v>
      </c>
      <c r="AA288" s="481"/>
      <c r="AB288" s="175" t="e">
        <f>+'Estimate Details'!#REF!</f>
        <v>#REF!</v>
      </c>
      <c r="AC288" s="569"/>
      <c r="AD288" s="176" t="e">
        <f>+'Estimate Details'!#REF!</f>
        <v>#REF!</v>
      </c>
      <c r="AE288" s="156"/>
      <c r="AF288" s="215"/>
      <c r="AG288" s="156"/>
      <c r="AH288" s="156"/>
      <c r="AI288" s="29"/>
      <c r="AJ288" s="29"/>
      <c r="AK288" s="29"/>
      <c r="AL288" s="29"/>
    </row>
    <row r="289" spans="1:38" ht="14.1" customHeight="1">
      <c r="A289" s="116" t="e">
        <f>+'Estimate Details'!#REF!</f>
        <v>#REF!</v>
      </c>
      <c r="B289" s="347"/>
      <c r="C289" s="347"/>
      <c r="D289" s="210"/>
      <c r="E289" s="158" t="e">
        <f>+'Estimate Details'!#REF!</f>
        <v>#REF!</v>
      </c>
      <c r="F289" s="41"/>
      <c r="G289" s="117" t="e">
        <f>+'Estimate Details'!#REF!</f>
        <v>#REF!</v>
      </c>
      <c r="H289" s="118" t="e">
        <f>+'Estimate Details'!#REF!</f>
        <v>#REF!</v>
      </c>
      <c r="I289" s="108" t="e">
        <f>+'Estimate Details'!#REF!</f>
        <v>#REF!</v>
      </c>
      <c r="J289" s="168" t="e">
        <f>+'Estimate Details'!#REF!</f>
        <v>#REF!</v>
      </c>
      <c r="K289" s="42" t="e">
        <f>+'Estimate Details'!#REF!</f>
        <v>#REF!</v>
      </c>
      <c r="L289" s="42" t="e">
        <f>+'Estimate Details'!#REF!</f>
        <v>#REF!</v>
      </c>
      <c r="M289" s="177" t="e">
        <f>+'Estimate Details'!#REF!</f>
        <v>#REF!</v>
      </c>
      <c r="N289" s="194" t="e">
        <f>+'Estimate Details'!#REF!</f>
        <v>#REF!</v>
      </c>
      <c r="O289" s="171" t="e">
        <f>+'Estimate Details'!#REF!</f>
        <v>#REF!</v>
      </c>
      <c r="P289" s="172" t="e">
        <f>+'Estimate Details'!#REF!</f>
        <v>#REF!</v>
      </c>
      <c r="Q289" s="173" t="e">
        <f>+'Estimate Details'!#REF!</f>
        <v>#REF!</v>
      </c>
      <c r="R289" s="174" t="e">
        <f>+'Estimate Details'!#REF!</f>
        <v>#REF!</v>
      </c>
      <c r="S289" s="507"/>
      <c r="T289" s="174" t="e">
        <f>+'Estimate Details'!#REF!</f>
        <v>#REF!</v>
      </c>
      <c r="U289" s="481"/>
      <c r="V289" s="172" t="e">
        <f>+'Estimate Details'!#REF!</f>
        <v>#REF!</v>
      </c>
      <c r="W289" s="481" t="s">
        <v>1309</v>
      </c>
      <c r="X289" s="172" t="e">
        <f>+'Estimate Details'!#REF!</f>
        <v>#REF!</v>
      </c>
      <c r="Y289" s="172" t="e">
        <f>+'Estimate Details'!#REF!</f>
        <v>#REF!</v>
      </c>
      <c r="Z289" s="174" t="e">
        <f>+'Estimate Details'!#REF!</f>
        <v>#REF!</v>
      </c>
      <c r="AA289" s="481"/>
      <c r="AB289" s="175" t="e">
        <f>+'Estimate Details'!#REF!</f>
        <v>#REF!</v>
      </c>
      <c r="AC289" s="569"/>
      <c r="AD289" s="176" t="e">
        <f>+'Estimate Details'!#REF!</f>
        <v>#REF!</v>
      </c>
      <c r="AE289" s="156"/>
      <c r="AF289" s="367"/>
      <c r="AG289" s="156"/>
      <c r="AH289" s="156"/>
      <c r="AI289" s="29"/>
      <c r="AJ289" s="29"/>
      <c r="AK289" s="29"/>
      <c r="AL289" s="29"/>
    </row>
    <row r="290" spans="1:38" ht="14.1" customHeight="1">
      <c r="A290" s="116" t="e">
        <f>+'Estimate Details'!#REF!</f>
        <v>#REF!</v>
      </c>
      <c r="B290" s="347"/>
      <c r="C290" s="347"/>
      <c r="D290" s="210"/>
      <c r="E290" s="158" t="e">
        <f>+'Estimate Details'!#REF!</f>
        <v>#REF!</v>
      </c>
      <c r="F290" s="41"/>
      <c r="G290" s="117" t="e">
        <f>+'Estimate Details'!#REF!</f>
        <v>#REF!</v>
      </c>
      <c r="H290" s="118" t="e">
        <f>+'Estimate Details'!#REF!</f>
        <v>#REF!</v>
      </c>
      <c r="I290" s="108" t="e">
        <f>+'Estimate Details'!#REF!</f>
        <v>#REF!</v>
      </c>
      <c r="J290" s="168" t="e">
        <f>+'Estimate Details'!#REF!</f>
        <v>#REF!</v>
      </c>
      <c r="K290" s="42" t="e">
        <f>+'Estimate Details'!#REF!</f>
        <v>#REF!</v>
      </c>
      <c r="L290" s="42" t="e">
        <f>+'Estimate Details'!#REF!</f>
        <v>#REF!</v>
      </c>
      <c r="M290" s="177" t="e">
        <f>+'Estimate Details'!#REF!</f>
        <v>#REF!</v>
      </c>
      <c r="N290" s="170" t="e">
        <f>+'Estimate Details'!#REF!</f>
        <v>#REF!</v>
      </c>
      <c r="O290" s="171" t="e">
        <f>+'Estimate Details'!#REF!</f>
        <v>#REF!</v>
      </c>
      <c r="P290" s="172" t="e">
        <f>+'Estimate Details'!#REF!</f>
        <v>#REF!</v>
      </c>
      <c r="Q290" s="173" t="e">
        <f>+'Estimate Details'!#REF!</f>
        <v>#REF!</v>
      </c>
      <c r="R290" s="174" t="e">
        <f>+'Estimate Details'!#REF!</f>
        <v>#REF!</v>
      </c>
      <c r="S290" s="507"/>
      <c r="T290" s="174" t="e">
        <f>+'Estimate Details'!#REF!</f>
        <v>#REF!</v>
      </c>
      <c r="U290" s="481"/>
      <c r="V290" s="172" t="e">
        <f>+'Estimate Details'!#REF!</f>
        <v>#REF!</v>
      </c>
      <c r="W290" s="481" t="s">
        <v>1309</v>
      </c>
      <c r="X290" s="172" t="e">
        <f>+'Estimate Details'!#REF!</f>
        <v>#REF!</v>
      </c>
      <c r="Y290" s="172" t="e">
        <f>+'Estimate Details'!#REF!</f>
        <v>#REF!</v>
      </c>
      <c r="Z290" s="174" t="e">
        <f>+'Estimate Details'!#REF!</f>
        <v>#REF!</v>
      </c>
      <c r="AA290" s="481"/>
      <c r="AB290" s="175" t="e">
        <f>+'Estimate Details'!#REF!</f>
        <v>#REF!</v>
      </c>
      <c r="AC290" s="569"/>
      <c r="AD290" s="176" t="e">
        <f>+'Estimate Details'!#REF!</f>
        <v>#REF!</v>
      </c>
      <c r="AE290" s="156"/>
      <c r="AF290" s="367"/>
      <c r="AG290" s="156"/>
      <c r="AH290" s="156"/>
      <c r="AI290" s="29"/>
      <c r="AJ290" s="29"/>
      <c r="AK290" s="29"/>
      <c r="AL290" s="29"/>
    </row>
    <row r="291" spans="1:38" ht="14.1" customHeight="1">
      <c r="A291" s="116" t="e">
        <f>+'Estimate Details'!#REF!</f>
        <v>#REF!</v>
      </c>
      <c r="B291" s="347"/>
      <c r="C291" s="347"/>
      <c r="D291" s="210"/>
      <c r="E291" s="158" t="e">
        <f>+'Estimate Details'!#REF!</f>
        <v>#REF!</v>
      </c>
      <c r="F291" s="41"/>
      <c r="G291" s="117" t="e">
        <f>+'Estimate Details'!#REF!</f>
        <v>#REF!</v>
      </c>
      <c r="H291" s="118" t="e">
        <f>+'Estimate Details'!#REF!</f>
        <v>#REF!</v>
      </c>
      <c r="I291" s="108" t="e">
        <f>+'Estimate Details'!#REF!</f>
        <v>#REF!</v>
      </c>
      <c r="J291" s="168" t="e">
        <f>+'Estimate Details'!#REF!</f>
        <v>#REF!</v>
      </c>
      <c r="K291" s="42" t="e">
        <f>+'Estimate Details'!#REF!</f>
        <v>#REF!</v>
      </c>
      <c r="L291" s="42" t="e">
        <f>+'Estimate Details'!#REF!</f>
        <v>#REF!</v>
      </c>
      <c r="M291" s="177" t="e">
        <f>+'Estimate Details'!#REF!</f>
        <v>#REF!</v>
      </c>
      <c r="N291" s="194" t="e">
        <f>+'Estimate Details'!#REF!</f>
        <v>#REF!</v>
      </c>
      <c r="O291" s="171" t="e">
        <f>+'Estimate Details'!#REF!</f>
        <v>#REF!</v>
      </c>
      <c r="P291" s="172" t="e">
        <f>+'Estimate Details'!#REF!</f>
        <v>#REF!</v>
      </c>
      <c r="Q291" s="173" t="e">
        <f>+'Estimate Details'!#REF!</f>
        <v>#REF!</v>
      </c>
      <c r="R291" s="174" t="e">
        <f>+'Estimate Details'!#REF!</f>
        <v>#REF!</v>
      </c>
      <c r="S291" s="507"/>
      <c r="T291" s="174" t="e">
        <f>+'Estimate Details'!#REF!</f>
        <v>#REF!</v>
      </c>
      <c r="U291" s="481"/>
      <c r="V291" s="172" t="e">
        <f>+'Estimate Details'!#REF!</f>
        <v>#REF!</v>
      </c>
      <c r="W291" s="481" t="s">
        <v>1309</v>
      </c>
      <c r="X291" s="172" t="e">
        <f>+'Estimate Details'!#REF!</f>
        <v>#REF!</v>
      </c>
      <c r="Y291" s="172" t="e">
        <f>+'Estimate Details'!#REF!</f>
        <v>#REF!</v>
      </c>
      <c r="Z291" s="174" t="e">
        <f>+'Estimate Details'!#REF!</f>
        <v>#REF!</v>
      </c>
      <c r="AA291" s="481"/>
      <c r="AB291" s="175" t="e">
        <f>+'Estimate Details'!#REF!</f>
        <v>#REF!</v>
      </c>
      <c r="AC291" s="569"/>
      <c r="AD291" s="176" t="e">
        <f>+'Estimate Details'!#REF!</f>
        <v>#REF!</v>
      </c>
      <c r="AE291" s="156"/>
      <c r="AF291" s="367"/>
      <c r="AG291" s="156"/>
      <c r="AH291" s="156"/>
      <c r="AI291" s="29"/>
      <c r="AJ291" s="29"/>
      <c r="AK291" s="29"/>
      <c r="AL291" s="29"/>
    </row>
    <row r="292" spans="1:38" ht="14.1" customHeight="1">
      <c r="A292" s="116" t="e">
        <f>+'Estimate Details'!#REF!</f>
        <v>#REF!</v>
      </c>
      <c r="B292" s="347"/>
      <c r="C292" s="347"/>
      <c r="D292" s="210"/>
      <c r="E292" s="158" t="e">
        <f>+'Estimate Details'!#REF!</f>
        <v>#REF!</v>
      </c>
      <c r="F292" s="41"/>
      <c r="G292" s="117" t="e">
        <f>+'Estimate Details'!#REF!</f>
        <v>#REF!</v>
      </c>
      <c r="H292" s="118" t="e">
        <f>+'Estimate Details'!#REF!</f>
        <v>#REF!</v>
      </c>
      <c r="I292" s="108" t="e">
        <f>+'Estimate Details'!#REF!</f>
        <v>#REF!</v>
      </c>
      <c r="J292" s="168" t="e">
        <f>+'Estimate Details'!#REF!</f>
        <v>#REF!</v>
      </c>
      <c r="K292" s="42" t="e">
        <f>+'Estimate Details'!#REF!</f>
        <v>#REF!</v>
      </c>
      <c r="L292" s="42" t="e">
        <f>+'Estimate Details'!#REF!</f>
        <v>#REF!</v>
      </c>
      <c r="M292" s="177" t="e">
        <f>+'Estimate Details'!#REF!</f>
        <v>#REF!</v>
      </c>
      <c r="N292" s="194" t="e">
        <f>+'Estimate Details'!#REF!</f>
        <v>#REF!</v>
      </c>
      <c r="O292" s="171" t="e">
        <f>+'Estimate Details'!#REF!</f>
        <v>#REF!</v>
      </c>
      <c r="P292" s="172" t="e">
        <f>+'Estimate Details'!#REF!</f>
        <v>#REF!</v>
      </c>
      <c r="Q292" s="173" t="e">
        <f>+'Estimate Details'!#REF!</f>
        <v>#REF!</v>
      </c>
      <c r="R292" s="174" t="e">
        <f>+'Estimate Details'!#REF!</f>
        <v>#REF!</v>
      </c>
      <c r="S292" s="507"/>
      <c r="T292" s="174" t="e">
        <f>+'Estimate Details'!#REF!</f>
        <v>#REF!</v>
      </c>
      <c r="U292" s="481"/>
      <c r="V292" s="172" t="e">
        <f>+'Estimate Details'!#REF!</f>
        <v>#REF!</v>
      </c>
      <c r="W292" s="481" t="s">
        <v>1309</v>
      </c>
      <c r="X292" s="172" t="e">
        <f>+'Estimate Details'!#REF!</f>
        <v>#REF!</v>
      </c>
      <c r="Y292" s="172" t="e">
        <f>+'Estimate Details'!#REF!</f>
        <v>#REF!</v>
      </c>
      <c r="Z292" s="174" t="e">
        <f>+'Estimate Details'!#REF!</f>
        <v>#REF!</v>
      </c>
      <c r="AA292" s="481"/>
      <c r="AB292" s="175" t="e">
        <f>+'Estimate Details'!#REF!</f>
        <v>#REF!</v>
      </c>
      <c r="AC292" s="569"/>
      <c r="AD292" s="176" t="e">
        <f>+'Estimate Details'!#REF!</f>
        <v>#REF!</v>
      </c>
      <c r="AE292" s="156"/>
      <c r="AF292" s="367"/>
      <c r="AG292" s="156"/>
      <c r="AH292" s="156"/>
      <c r="AI292" s="29"/>
      <c r="AJ292" s="29"/>
      <c r="AK292" s="29"/>
      <c r="AL292" s="29"/>
    </row>
    <row r="293" spans="1:38" ht="14.1" customHeight="1">
      <c r="A293" s="116" t="e">
        <f>+'Estimate Details'!#REF!</f>
        <v>#REF!</v>
      </c>
      <c r="B293" s="347"/>
      <c r="C293" s="347"/>
      <c r="D293" s="210"/>
      <c r="E293" s="158" t="e">
        <f>+'Estimate Details'!#REF!</f>
        <v>#REF!</v>
      </c>
      <c r="F293" s="41"/>
      <c r="G293" s="117" t="e">
        <f>+'Estimate Details'!#REF!</f>
        <v>#REF!</v>
      </c>
      <c r="H293" s="118" t="e">
        <f>+'Estimate Details'!#REF!</f>
        <v>#REF!</v>
      </c>
      <c r="I293" s="108" t="e">
        <f>+'Estimate Details'!#REF!</f>
        <v>#REF!</v>
      </c>
      <c r="J293" s="168" t="e">
        <f>+'Estimate Details'!#REF!</f>
        <v>#REF!</v>
      </c>
      <c r="K293" s="42" t="e">
        <f>+'Estimate Details'!#REF!</f>
        <v>#REF!</v>
      </c>
      <c r="L293" s="42" t="e">
        <f>+'Estimate Details'!#REF!</f>
        <v>#REF!</v>
      </c>
      <c r="M293" s="177" t="e">
        <f>+'Estimate Details'!#REF!</f>
        <v>#REF!</v>
      </c>
      <c r="N293" s="194" t="e">
        <f>+'Estimate Details'!#REF!</f>
        <v>#REF!</v>
      </c>
      <c r="O293" s="171" t="e">
        <f>+'Estimate Details'!#REF!</f>
        <v>#REF!</v>
      </c>
      <c r="P293" s="172" t="e">
        <f>+'Estimate Details'!#REF!</f>
        <v>#REF!</v>
      </c>
      <c r="Q293" s="173" t="e">
        <f>+'Estimate Details'!#REF!</f>
        <v>#REF!</v>
      </c>
      <c r="R293" s="174" t="e">
        <f>+'Estimate Details'!#REF!</f>
        <v>#REF!</v>
      </c>
      <c r="S293" s="507"/>
      <c r="T293" s="174" t="e">
        <f>+'Estimate Details'!#REF!</f>
        <v>#REF!</v>
      </c>
      <c r="U293" s="481"/>
      <c r="V293" s="172" t="e">
        <f>+'Estimate Details'!#REF!</f>
        <v>#REF!</v>
      </c>
      <c r="W293" s="481" t="s">
        <v>1309</v>
      </c>
      <c r="X293" s="172" t="e">
        <f>+'Estimate Details'!#REF!</f>
        <v>#REF!</v>
      </c>
      <c r="Y293" s="172" t="e">
        <f>+'Estimate Details'!#REF!</f>
        <v>#REF!</v>
      </c>
      <c r="Z293" s="174" t="e">
        <f>+'Estimate Details'!#REF!</f>
        <v>#REF!</v>
      </c>
      <c r="AA293" s="481"/>
      <c r="AB293" s="175" t="e">
        <f>+'Estimate Details'!#REF!</f>
        <v>#REF!</v>
      </c>
      <c r="AC293" s="569"/>
      <c r="AD293" s="176" t="e">
        <f>+'Estimate Details'!#REF!</f>
        <v>#REF!</v>
      </c>
      <c r="AE293" s="156"/>
      <c r="AF293" s="367"/>
      <c r="AG293" s="156"/>
      <c r="AH293" s="156"/>
      <c r="AI293" s="29"/>
      <c r="AJ293" s="29"/>
      <c r="AK293" s="29"/>
      <c r="AL293" s="29"/>
    </row>
    <row r="294" spans="1:38" ht="13.5" customHeight="1">
      <c r="A294" s="116" t="e">
        <f>+'Estimate Details'!#REF!</f>
        <v>#REF!</v>
      </c>
      <c r="B294" s="347"/>
      <c r="C294" s="347"/>
      <c r="D294" s="210"/>
      <c r="E294" s="158" t="e">
        <f>+'Estimate Details'!#REF!</f>
        <v>#REF!</v>
      </c>
      <c r="F294" s="41"/>
      <c r="G294" s="117" t="e">
        <f>+'Estimate Details'!#REF!</f>
        <v>#REF!</v>
      </c>
      <c r="H294" s="118" t="e">
        <f>+'Estimate Details'!#REF!</f>
        <v>#REF!</v>
      </c>
      <c r="I294" s="108" t="e">
        <f>+'Estimate Details'!#REF!</f>
        <v>#REF!</v>
      </c>
      <c r="J294" s="168" t="e">
        <f>+'Estimate Details'!#REF!</f>
        <v>#REF!</v>
      </c>
      <c r="K294" s="42" t="e">
        <f>+'Estimate Details'!#REF!</f>
        <v>#REF!</v>
      </c>
      <c r="L294" s="42" t="e">
        <f>+'Estimate Details'!#REF!</f>
        <v>#REF!</v>
      </c>
      <c r="M294" s="195" t="e">
        <f>+'Estimate Details'!#REF!</f>
        <v>#REF!</v>
      </c>
      <c r="N294" s="41" t="e">
        <f>+'Estimate Details'!#REF!</f>
        <v>#REF!</v>
      </c>
      <c r="O294" s="171" t="e">
        <f>+'Estimate Details'!#REF!</f>
        <v>#REF!</v>
      </c>
      <c r="P294" s="172" t="e">
        <f>+'Estimate Details'!#REF!</f>
        <v>#REF!</v>
      </c>
      <c r="Q294" s="173" t="e">
        <f>+'Estimate Details'!#REF!</f>
        <v>#REF!</v>
      </c>
      <c r="R294" s="174" t="e">
        <f>+'Estimate Details'!#REF!</f>
        <v>#REF!</v>
      </c>
      <c r="S294" s="507"/>
      <c r="T294" s="174" t="e">
        <f>+'Estimate Details'!#REF!</f>
        <v>#REF!</v>
      </c>
      <c r="U294" s="481"/>
      <c r="V294" s="172" t="e">
        <f>+'Estimate Details'!#REF!</f>
        <v>#REF!</v>
      </c>
      <c r="W294" s="481" t="s">
        <v>1309</v>
      </c>
      <c r="X294" s="172" t="e">
        <f>+'Estimate Details'!#REF!</f>
        <v>#REF!</v>
      </c>
      <c r="Y294" s="172" t="e">
        <f>+'Estimate Details'!#REF!</f>
        <v>#REF!</v>
      </c>
      <c r="Z294" s="174" t="e">
        <f>+'Estimate Details'!#REF!</f>
        <v>#REF!</v>
      </c>
      <c r="AA294" s="481"/>
      <c r="AB294" s="175" t="e">
        <f>+'Estimate Details'!#REF!</f>
        <v>#REF!</v>
      </c>
      <c r="AC294" s="569"/>
      <c r="AD294" s="176" t="e">
        <f>+'Estimate Details'!#REF!</f>
        <v>#REF!</v>
      </c>
      <c r="AE294" s="156"/>
      <c r="AF294" s="367"/>
      <c r="AG294" s="156"/>
      <c r="AH294" s="156"/>
      <c r="AI294" s="29"/>
      <c r="AJ294" s="29"/>
      <c r="AK294" s="29"/>
      <c r="AL294" s="29"/>
    </row>
    <row r="295" spans="1:38" ht="13.5" customHeight="1">
      <c r="A295" s="116" t="e">
        <f>+'Estimate Details'!#REF!</f>
        <v>#REF!</v>
      </c>
      <c r="B295" s="347"/>
      <c r="C295" s="347"/>
      <c r="D295" s="210"/>
      <c r="E295" s="158" t="e">
        <f>+'Estimate Details'!#REF!</f>
        <v>#REF!</v>
      </c>
      <c r="F295" s="41"/>
      <c r="G295" s="117" t="e">
        <f>+'Estimate Details'!#REF!</f>
        <v>#REF!</v>
      </c>
      <c r="H295" s="118" t="e">
        <f>+'Estimate Details'!#REF!</f>
        <v>#REF!</v>
      </c>
      <c r="I295" s="108" t="e">
        <f>+'Estimate Details'!#REF!</f>
        <v>#REF!</v>
      </c>
      <c r="J295" s="168" t="e">
        <f>+'Estimate Details'!#REF!</f>
        <v>#REF!</v>
      </c>
      <c r="K295" s="42" t="e">
        <f>+'Estimate Details'!#REF!</f>
        <v>#REF!</v>
      </c>
      <c r="L295" s="42" t="e">
        <f>+'Estimate Details'!#REF!</f>
        <v>#REF!</v>
      </c>
      <c r="M295" s="195" t="e">
        <f>+'Estimate Details'!#REF!</f>
        <v>#REF!</v>
      </c>
      <c r="N295" s="41" t="e">
        <f>+'Estimate Details'!#REF!</f>
        <v>#REF!</v>
      </c>
      <c r="O295" s="171" t="e">
        <f>+'Estimate Details'!#REF!</f>
        <v>#REF!</v>
      </c>
      <c r="P295" s="172" t="e">
        <f>+'Estimate Details'!#REF!</f>
        <v>#REF!</v>
      </c>
      <c r="Q295" s="173" t="e">
        <f>+'Estimate Details'!#REF!</f>
        <v>#REF!</v>
      </c>
      <c r="R295" s="174" t="e">
        <f>+'Estimate Details'!#REF!</f>
        <v>#REF!</v>
      </c>
      <c r="S295" s="507"/>
      <c r="T295" s="174" t="e">
        <f>+'Estimate Details'!#REF!</f>
        <v>#REF!</v>
      </c>
      <c r="U295" s="481"/>
      <c r="V295" s="172" t="e">
        <f>+'Estimate Details'!#REF!</f>
        <v>#REF!</v>
      </c>
      <c r="W295" s="481" t="s">
        <v>1309</v>
      </c>
      <c r="X295" s="172" t="e">
        <f>+'Estimate Details'!#REF!</f>
        <v>#REF!</v>
      </c>
      <c r="Y295" s="172" t="e">
        <f>+'Estimate Details'!#REF!</f>
        <v>#REF!</v>
      </c>
      <c r="Z295" s="174" t="e">
        <f>+'Estimate Details'!#REF!</f>
        <v>#REF!</v>
      </c>
      <c r="AA295" s="481"/>
      <c r="AB295" s="175" t="e">
        <f>+'Estimate Details'!#REF!</f>
        <v>#REF!</v>
      </c>
      <c r="AC295" s="569"/>
      <c r="AD295" s="176" t="e">
        <f>+'Estimate Details'!#REF!</f>
        <v>#REF!</v>
      </c>
      <c r="AE295" s="156"/>
      <c r="AF295" s="367"/>
      <c r="AG295" s="156"/>
      <c r="AH295" s="156"/>
      <c r="AI295" s="29"/>
      <c r="AJ295" s="29"/>
      <c r="AK295" s="29"/>
      <c r="AL295" s="29"/>
    </row>
    <row r="296" spans="1:38" ht="14.1" customHeight="1">
      <c r="A296" s="116" t="e">
        <f>+'Estimate Details'!#REF!</f>
        <v>#REF!</v>
      </c>
      <c r="B296" s="347"/>
      <c r="C296" s="347"/>
      <c r="D296" s="210"/>
      <c r="E296" s="158" t="e">
        <f>+'Estimate Details'!#REF!</f>
        <v>#REF!</v>
      </c>
      <c r="F296" s="41"/>
      <c r="G296" s="117" t="e">
        <f>+'Estimate Details'!#REF!</f>
        <v>#REF!</v>
      </c>
      <c r="H296" s="118" t="e">
        <f>+'Estimate Details'!#REF!</f>
        <v>#REF!</v>
      </c>
      <c r="I296" s="108" t="e">
        <f>+'Estimate Details'!#REF!</f>
        <v>#REF!</v>
      </c>
      <c r="J296" s="168" t="e">
        <f>+'Estimate Details'!#REF!</f>
        <v>#REF!</v>
      </c>
      <c r="K296" s="42" t="e">
        <f>+'Estimate Details'!#REF!</f>
        <v>#REF!</v>
      </c>
      <c r="L296" s="42" t="e">
        <f>+'Estimate Details'!#REF!</f>
        <v>#REF!</v>
      </c>
      <c r="M296" s="177" t="e">
        <f>+'Estimate Details'!#REF!</f>
        <v>#REF!</v>
      </c>
      <c r="N296" s="194" t="e">
        <f>+'Estimate Details'!#REF!</f>
        <v>#REF!</v>
      </c>
      <c r="O296" s="171" t="e">
        <f>+'Estimate Details'!#REF!</f>
        <v>#REF!</v>
      </c>
      <c r="P296" s="172" t="e">
        <f>+'Estimate Details'!#REF!</f>
        <v>#REF!</v>
      </c>
      <c r="Q296" s="173" t="e">
        <f>+'Estimate Details'!#REF!</f>
        <v>#REF!</v>
      </c>
      <c r="R296" s="174" t="e">
        <f>+'Estimate Details'!#REF!</f>
        <v>#REF!</v>
      </c>
      <c r="S296" s="507"/>
      <c r="T296" s="174" t="e">
        <f>+'Estimate Details'!#REF!</f>
        <v>#REF!</v>
      </c>
      <c r="U296" s="481"/>
      <c r="V296" s="172" t="e">
        <f>+'Estimate Details'!#REF!</f>
        <v>#REF!</v>
      </c>
      <c r="W296" s="481" t="s">
        <v>1309</v>
      </c>
      <c r="X296" s="172" t="e">
        <f>+'Estimate Details'!#REF!</f>
        <v>#REF!</v>
      </c>
      <c r="Y296" s="172" t="e">
        <f>+'Estimate Details'!#REF!</f>
        <v>#REF!</v>
      </c>
      <c r="Z296" s="174" t="e">
        <f>+'Estimate Details'!#REF!</f>
        <v>#REF!</v>
      </c>
      <c r="AA296" s="481"/>
      <c r="AB296" s="175" t="e">
        <f>+'Estimate Details'!#REF!</f>
        <v>#REF!</v>
      </c>
      <c r="AC296" s="569"/>
      <c r="AD296" s="176" t="e">
        <f>+'Estimate Details'!#REF!</f>
        <v>#REF!</v>
      </c>
      <c r="AE296" s="156"/>
      <c r="AF296" s="367"/>
      <c r="AG296" s="156"/>
      <c r="AH296" s="156"/>
      <c r="AI296" s="29"/>
      <c r="AJ296" s="29"/>
      <c r="AK296" s="29"/>
      <c r="AL296" s="29"/>
    </row>
    <row r="297" spans="1:38" ht="14.1" customHeight="1">
      <c r="A297" s="116" t="e">
        <f>+'Estimate Details'!#REF!</f>
        <v>#REF!</v>
      </c>
      <c r="B297" s="347"/>
      <c r="C297" s="347"/>
      <c r="D297" s="210"/>
      <c r="E297" s="158" t="e">
        <f>+'Estimate Details'!#REF!</f>
        <v>#REF!</v>
      </c>
      <c r="F297" s="41"/>
      <c r="G297" s="117" t="e">
        <f>+'Estimate Details'!#REF!</f>
        <v>#REF!</v>
      </c>
      <c r="H297" s="118" t="e">
        <f>+'Estimate Details'!#REF!</f>
        <v>#REF!</v>
      </c>
      <c r="I297" s="108" t="e">
        <f>+'Estimate Details'!#REF!</f>
        <v>#REF!</v>
      </c>
      <c r="J297" s="168" t="e">
        <f>+'Estimate Details'!#REF!</f>
        <v>#REF!</v>
      </c>
      <c r="K297" s="42" t="e">
        <f>+'Estimate Details'!#REF!</f>
        <v>#REF!</v>
      </c>
      <c r="L297" s="42" t="e">
        <f>+'Estimate Details'!#REF!</f>
        <v>#REF!</v>
      </c>
      <c r="M297" s="177" t="e">
        <f>+'Estimate Details'!#REF!</f>
        <v>#REF!</v>
      </c>
      <c r="N297" s="170" t="e">
        <f>+'Estimate Details'!#REF!</f>
        <v>#REF!</v>
      </c>
      <c r="O297" s="171" t="e">
        <f>+'Estimate Details'!#REF!</f>
        <v>#REF!</v>
      </c>
      <c r="P297" s="172" t="e">
        <f>+'Estimate Details'!#REF!</f>
        <v>#REF!</v>
      </c>
      <c r="Q297" s="173" t="e">
        <f>+'Estimate Details'!#REF!</f>
        <v>#REF!</v>
      </c>
      <c r="R297" s="174" t="e">
        <f>+'Estimate Details'!#REF!</f>
        <v>#REF!</v>
      </c>
      <c r="S297" s="507"/>
      <c r="T297" s="174" t="e">
        <f>+'Estimate Details'!#REF!</f>
        <v>#REF!</v>
      </c>
      <c r="U297" s="481"/>
      <c r="V297" s="172" t="e">
        <f>+'Estimate Details'!#REF!</f>
        <v>#REF!</v>
      </c>
      <c r="W297" s="481" t="s">
        <v>1309</v>
      </c>
      <c r="X297" s="172" t="e">
        <f>+'Estimate Details'!#REF!</f>
        <v>#REF!</v>
      </c>
      <c r="Y297" s="172" t="e">
        <f>+'Estimate Details'!#REF!</f>
        <v>#REF!</v>
      </c>
      <c r="Z297" s="174" t="e">
        <f>+'Estimate Details'!#REF!</f>
        <v>#REF!</v>
      </c>
      <c r="AA297" s="481"/>
      <c r="AB297" s="175" t="e">
        <f>+'Estimate Details'!#REF!</f>
        <v>#REF!</v>
      </c>
      <c r="AC297" s="569"/>
      <c r="AD297" s="176" t="e">
        <f>+'Estimate Details'!#REF!</f>
        <v>#REF!</v>
      </c>
      <c r="AE297" s="156"/>
      <c r="AF297" s="367"/>
      <c r="AG297" s="156"/>
      <c r="AH297" s="156"/>
      <c r="AI297" s="29"/>
      <c r="AJ297" s="29"/>
      <c r="AK297" s="29"/>
      <c r="AL297" s="29"/>
    </row>
    <row r="298" spans="1:38" ht="14.1" customHeight="1">
      <c r="A298" s="347" t="e">
        <f>+'Estimate Details'!#REF!</f>
        <v>#REF!</v>
      </c>
      <c r="B298" s="347"/>
      <c r="C298" s="347"/>
      <c r="D298" s="210"/>
      <c r="E298" s="158" t="e">
        <f>+'Estimate Details'!#REF!</f>
        <v>#REF!</v>
      </c>
      <c r="F298" s="41"/>
      <c r="G298" s="117" t="e">
        <f>+'Estimate Details'!#REF!</f>
        <v>#REF!</v>
      </c>
      <c r="H298" s="118" t="e">
        <f>+'Estimate Details'!#REF!</f>
        <v>#REF!</v>
      </c>
      <c r="I298" s="108" t="e">
        <f>+'Estimate Details'!#REF!</f>
        <v>#REF!</v>
      </c>
      <c r="J298" s="168" t="e">
        <f>+'Estimate Details'!#REF!</f>
        <v>#REF!</v>
      </c>
      <c r="K298" s="42" t="e">
        <f>+'Estimate Details'!#REF!</f>
        <v>#REF!</v>
      </c>
      <c r="L298" s="42" t="e">
        <f>+'Estimate Details'!#REF!</f>
        <v>#REF!</v>
      </c>
      <c r="M298" s="204" t="e">
        <f>+'Estimate Details'!#REF!</f>
        <v>#REF!</v>
      </c>
      <c r="N298" s="170" t="e">
        <f>+'Estimate Details'!#REF!</f>
        <v>#REF!</v>
      </c>
      <c r="O298" s="171" t="e">
        <f>+'Estimate Details'!#REF!</f>
        <v>#REF!</v>
      </c>
      <c r="P298" s="172" t="e">
        <f>+'Estimate Details'!#REF!</f>
        <v>#REF!</v>
      </c>
      <c r="Q298" s="173" t="e">
        <f>+'Estimate Details'!#REF!</f>
        <v>#REF!</v>
      </c>
      <c r="R298" s="174" t="e">
        <f>+'Estimate Details'!#REF!</f>
        <v>#REF!</v>
      </c>
      <c r="S298" s="507"/>
      <c r="T298" s="174" t="e">
        <f>+'Estimate Details'!#REF!</f>
        <v>#REF!</v>
      </c>
      <c r="U298" s="481" t="s">
        <v>1304</v>
      </c>
      <c r="V298" s="172" t="e">
        <f>+'Estimate Details'!#REF!</f>
        <v>#REF!</v>
      </c>
      <c r="W298" s="481" t="s">
        <v>1304</v>
      </c>
      <c r="X298" s="172" t="e">
        <f>+'Estimate Details'!#REF!</f>
        <v>#REF!</v>
      </c>
      <c r="Y298" s="172" t="e">
        <f>+'Estimate Details'!#REF!</f>
        <v>#REF!</v>
      </c>
      <c r="Z298" s="174" t="e">
        <f>+'Estimate Details'!#REF!</f>
        <v>#REF!</v>
      </c>
      <c r="AA298" s="481"/>
      <c r="AB298" s="175" t="e">
        <f>+'Estimate Details'!#REF!</f>
        <v>#REF!</v>
      </c>
      <c r="AC298" s="569"/>
      <c r="AD298" s="176" t="e">
        <f>+'Estimate Details'!#REF!</f>
        <v>#REF!</v>
      </c>
      <c r="AE298" s="156"/>
      <c r="AF298" s="367"/>
      <c r="AG298" s="156"/>
      <c r="AH298" s="156"/>
      <c r="AI298" s="29"/>
      <c r="AJ298" s="29"/>
      <c r="AK298" s="29"/>
      <c r="AL298" s="29"/>
    </row>
    <row r="299" spans="1:38" ht="14.1" customHeight="1">
      <c r="A299" s="347" t="e">
        <f>+'Estimate Details'!#REF!</f>
        <v>#REF!</v>
      </c>
      <c r="B299" s="347"/>
      <c r="C299" s="347"/>
      <c r="D299" s="210"/>
      <c r="E299" s="158" t="e">
        <f>+'Estimate Details'!#REF!</f>
        <v>#REF!</v>
      </c>
      <c r="F299" s="41"/>
      <c r="G299" s="117" t="e">
        <f>+'Estimate Details'!#REF!</f>
        <v>#REF!</v>
      </c>
      <c r="H299" s="118" t="e">
        <f>+'Estimate Details'!#REF!</f>
        <v>#REF!</v>
      </c>
      <c r="I299" s="108" t="e">
        <f>+'Estimate Details'!#REF!</f>
        <v>#REF!</v>
      </c>
      <c r="J299" s="168" t="e">
        <f>+'Estimate Details'!#REF!</f>
        <v>#REF!</v>
      </c>
      <c r="K299" s="42" t="e">
        <f>+'Estimate Details'!#REF!</f>
        <v>#REF!</v>
      </c>
      <c r="L299" s="42" t="e">
        <f>+'Estimate Details'!#REF!</f>
        <v>#REF!</v>
      </c>
      <c r="M299" s="204" t="e">
        <f>+'Estimate Details'!#REF!</f>
        <v>#REF!</v>
      </c>
      <c r="N299" s="170" t="e">
        <f>+'Estimate Details'!#REF!</f>
        <v>#REF!</v>
      </c>
      <c r="O299" s="171" t="e">
        <f>+'Estimate Details'!#REF!</f>
        <v>#REF!</v>
      </c>
      <c r="P299" s="172" t="e">
        <f>+'Estimate Details'!#REF!</f>
        <v>#REF!</v>
      </c>
      <c r="Q299" s="173" t="e">
        <f>+'Estimate Details'!#REF!</f>
        <v>#REF!</v>
      </c>
      <c r="R299" s="174" t="e">
        <f>+'Estimate Details'!#REF!</f>
        <v>#REF!</v>
      </c>
      <c r="S299" s="507"/>
      <c r="T299" s="174" t="e">
        <f>+'Estimate Details'!#REF!</f>
        <v>#REF!</v>
      </c>
      <c r="U299" s="481" t="s">
        <v>1309</v>
      </c>
      <c r="V299" s="172" t="e">
        <f>+'Estimate Details'!#REF!</f>
        <v>#REF!</v>
      </c>
      <c r="W299" s="481" t="s">
        <v>1309</v>
      </c>
      <c r="X299" s="172" t="e">
        <f>+'Estimate Details'!#REF!</f>
        <v>#REF!</v>
      </c>
      <c r="Y299" s="172" t="e">
        <f>+'Estimate Details'!#REF!</f>
        <v>#REF!</v>
      </c>
      <c r="Z299" s="174" t="e">
        <f>+'Estimate Details'!#REF!</f>
        <v>#REF!</v>
      </c>
      <c r="AA299" s="481"/>
      <c r="AB299" s="175" t="e">
        <f>+'Estimate Details'!#REF!</f>
        <v>#REF!</v>
      </c>
      <c r="AC299" s="569"/>
      <c r="AD299" s="176" t="e">
        <f>+'Estimate Details'!#REF!</f>
        <v>#REF!</v>
      </c>
      <c r="AE299" s="156"/>
      <c r="AF299" s="367"/>
      <c r="AG299" s="156"/>
      <c r="AH299" s="156"/>
      <c r="AI299" s="29"/>
      <c r="AJ299" s="29"/>
      <c r="AK299" s="29"/>
      <c r="AL299" s="29"/>
    </row>
    <row r="300" spans="1:38" ht="14.1" customHeight="1">
      <c r="A300" s="347" t="e">
        <f>+'Estimate Details'!#REF!</f>
        <v>#REF!</v>
      </c>
      <c r="B300" s="347"/>
      <c r="C300" s="347"/>
      <c r="D300" s="210"/>
      <c r="E300" s="158" t="e">
        <f>+'Estimate Details'!#REF!</f>
        <v>#REF!</v>
      </c>
      <c r="F300" s="41"/>
      <c r="G300" s="117" t="e">
        <f>+'Estimate Details'!#REF!</f>
        <v>#REF!</v>
      </c>
      <c r="H300" s="118" t="e">
        <f>+'Estimate Details'!#REF!</f>
        <v>#REF!</v>
      </c>
      <c r="I300" s="108" t="e">
        <f>+'Estimate Details'!#REF!</f>
        <v>#REF!</v>
      </c>
      <c r="J300" s="168" t="e">
        <f>+'Estimate Details'!#REF!</f>
        <v>#REF!</v>
      </c>
      <c r="K300" s="42" t="e">
        <f>+'Estimate Details'!#REF!</f>
        <v>#REF!</v>
      </c>
      <c r="L300" s="42" t="e">
        <f>+'Estimate Details'!#REF!</f>
        <v>#REF!</v>
      </c>
      <c r="M300" s="204" t="e">
        <f>+'Estimate Details'!#REF!</f>
        <v>#REF!</v>
      </c>
      <c r="N300" s="170" t="e">
        <f>+'Estimate Details'!#REF!</f>
        <v>#REF!</v>
      </c>
      <c r="O300" s="171" t="e">
        <f>+'Estimate Details'!#REF!</f>
        <v>#REF!</v>
      </c>
      <c r="P300" s="172" t="e">
        <f>+'Estimate Details'!#REF!</f>
        <v>#REF!</v>
      </c>
      <c r="Q300" s="173" t="e">
        <f>+'Estimate Details'!#REF!</f>
        <v>#REF!</v>
      </c>
      <c r="R300" s="174" t="e">
        <f>+'Estimate Details'!#REF!</f>
        <v>#REF!</v>
      </c>
      <c r="S300" s="507"/>
      <c r="T300" s="174" t="e">
        <f>+'Estimate Details'!#REF!</f>
        <v>#REF!</v>
      </c>
      <c r="U300" s="481" t="s">
        <v>1309</v>
      </c>
      <c r="V300" s="172" t="e">
        <f>+'Estimate Details'!#REF!</f>
        <v>#REF!</v>
      </c>
      <c r="W300" s="481" t="s">
        <v>1309</v>
      </c>
      <c r="X300" s="172" t="e">
        <f>+'Estimate Details'!#REF!</f>
        <v>#REF!</v>
      </c>
      <c r="Y300" s="172" t="e">
        <f>+'Estimate Details'!#REF!</f>
        <v>#REF!</v>
      </c>
      <c r="Z300" s="174" t="e">
        <f>+'Estimate Details'!#REF!</f>
        <v>#REF!</v>
      </c>
      <c r="AA300" s="481"/>
      <c r="AB300" s="175" t="e">
        <f>+'Estimate Details'!#REF!</f>
        <v>#REF!</v>
      </c>
      <c r="AC300" s="569"/>
      <c r="AD300" s="176" t="e">
        <f>+'Estimate Details'!#REF!</f>
        <v>#REF!</v>
      </c>
      <c r="AE300" s="156"/>
      <c r="AF300" s="215"/>
      <c r="AG300" s="156"/>
      <c r="AH300" s="156"/>
      <c r="AI300" s="29"/>
      <c r="AJ300" s="29"/>
      <c r="AK300" s="29"/>
      <c r="AL300" s="29"/>
    </row>
    <row r="301" spans="1:38" ht="13.5" customHeight="1">
      <c r="A301" s="347" t="e">
        <f>+'Estimate Details'!#REF!</f>
        <v>#REF!</v>
      </c>
      <c r="B301" s="347"/>
      <c r="C301" s="347"/>
      <c r="D301" s="210"/>
      <c r="E301" s="158" t="e">
        <f>+'Estimate Details'!#REF!</f>
        <v>#REF!</v>
      </c>
      <c r="F301" s="41"/>
      <c r="G301" s="117" t="e">
        <f>+'Estimate Details'!#REF!</f>
        <v>#REF!</v>
      </c>
      <c r="H301" s="206" t="e">
        <f>+'Estimate Details'!#REF!</f>
        <v>#REF!</v>
      </c>
      <c r="I301" s="108" t="e">
        <f>+'Estimate Details'!#REF!</f>
        <v>#REF!</v>
      </c>
      <c r="J301" s="168" t="e">
        <f>+'Estimate Details'!#REF!</f>
        <v>#REF!</v>
      </c>
      <c r="K301" s="42" t="e">
        <f>+'Estimate Details'!#REF!</f>
        <v>#REF!</v>
      </c>
      <c r="L301" s="42" t="e">
        <f>+'Estimate Details'!#REF!</f>
        <v>#REF!</v>
      </c>
      <c r="M301" s="204" t="e">
        <f>+'Estimate Details'!#REF!</f>
        <v>#REF!</v>
      </c>
      <c r="N301" s="170" t="e">
        <f>+'Estimate Details'!#REF!</f>
        <v>#REF!</v>
      </c>
      <c r="O301" s="171" t="e">
        <f>+'Estimate Details'!#REF!</f>
        <v>#REF!</v>
      </c>
      <c r="P301" s="172" t="e">
        <f>+'Estimate Details'!#REF!</f>
        <v>#REF!</v>
      </c>
      <c r="Q301" s="173" t="e">
        <f>+'Estimate Details'!#REF!</f>
        <v>#REF!</v>
      </c>
      <c r="R301" s="174" t="e">
        <f>+'Estimate Details'!#REF!</f>
        <v>#REF!</v>
      </c>
      <c r="S301" s="507"/>
      <c r="T301" s="174" t="e">
        <f>+'Estimate Details'!#REF!</f>
        <v>#REF!</v>
      </c>
      <c r="U301" s="481" t="s">
        <v>1309</v>
      </c>
      <c r="V301" s="172" t="e">
        <f>+'Estimate Details'!#REF!</f>
        <v>#REF!</v>
      </c>
      <c r="W301" s="481" t="s">
        <v>1309</v>
      </c>
      <c r="X301" s="172" t="e">
        <f>+'Estimate Details'!#REF!</f>
        <v>#REF!</v>
      </c>
      <c r="Y301" s="172" t="e">
        <f>+'Estimate Details'!#REF!</f>
        <v>#REF!</v>
      </c>
      <c r="Z301" s="174" t="e">
        <f>+'Estimate Details'!#REF!</f>
        <v>#REF!</v>
      </c>
      <c r="AA301" s="481"/>
      <c r="AB301" s="175" t="e">
        <f>+'Estimate Details'!#REF!</f>
        <v>#REF!</v>
      </c>
      <c r="AC301" s="569"/>
      <c r="AD301" s="176" t="e">
        <f>+'Estimate Details'!#REF!</f>
        <v>#REF!</v>
      </c>
      <c r="AE301" s="156"/>
      <c r="AF301" s="367"/>
      <c r="AG301" s="156"/>
      <c r="AH301" s="156"/>
      <c r="AI301" s="29"/>
      <c r="AJ301" s="29"/>
      <c r="AK301" s="29"/>
      <c r="AL301" s="29"/>
    </row>
    <row r="302" spans="1:38" ht="13.5" customHeight="1">
      <c r="A302" s="347" t="e">
        <f>+'Estimate Details'!#REF!</f>
        <v>#REF!</v>
      </c>
      <c r="B302" s="347"/>
      <c r="C302" s="347"/>
      <c r="D302" s="210"/>
      <c r="E302" s="158" t="e">
        <f>+'Estimate Details'!#REF!</f>
        <v>#REF!</v>
      </c>
      <c r="F302" s="41"/>
      <c r="G302" s="117" t="e">
        <f>+'Estimate Details'!#REF!</f>
        <v>#REF!</v>
      </c>
      <c r="H302" s="118" t="e">
        <f>+'Estimate Details'!#REF!</f>
        <v>#REF!</v>
      </c>
      <c r="I302" s="108" t="e">
        <f>+'Estimate Details'!#REF!</f>
        <v>#REF!</v>
      </c>
      <c r="J302" s="168" t="e">
        <f>+'Estimate Details'!#REF!</f>
        <v>#REF!</v>
      </c>
      <c r="K302" s="42" t="e">
        <f>+'Estimate Details'!#REF!</f>
        <v>#REF!</v>
      </c>
      <c r="L302" s="42" t="e">
        <f>+'Estimate Details'!#REF!</f>
        <v>#REF!</v>
      </c>
      <c r="M302" s="204" t="e">
        <f>+'Estimate Details'!#REF!</f>
        <v>#REF!</v>
      </c>
      <c r="N302" s="170" t="e">
        <f>+'Estimate Details'!#REF!</f>
        <v>#REF!</v>
      </c>
      <c r="O302" s="171" t="e">
        <f>+'Estimate Details'!#REF!</f>
        <v>#REF!</v>
      </c>
      <c r="P302" s="172" t="e">
        <f>+'Estimate Details'!#REF!</f>
        <v>#REF!</v>
      </c>
      <c r="Q302" s="173" t="e">
        <f>+'Estimate Details'!#REF!</f>
        <v>#REF!</v>
      </c>
      <c r="R302" s="174" t="e">
        <f>+'Estimate Details'!#REF!</f>
        <v>#REF!</v>
      </c>
      <c r="S302" s="507"/>
      <c r="T302" s="174" t="e">
        <f>+'Estimate Details'!#REF!</f>
        <v>#REF!</v>
      </c>
      <c r="U302" s="481" t="s">
        <v>1309</v>
      </c>
      <c r="V302" s="172" t="e">
        <f>+'Estimate Details'!#REF!</f>
        <v>#REF!</v>
      </c>
      <c r="W302" s="481" t="s">
        <v>1309</v>
      </c>
      <c r="X302" s="172" t="e">
        <f>+'Estimate Details'!#REF!</f>
        <v>#REF!</v>
      </c>
      <c r="Y302" s="172" t="e">
        <f>+'Estimate Details'!#REF!</f>
        <v>#REF!</v>
      </c>
      <c r="Z302" s="174" t="e">
        <f>+'Estimate Details'!#REF!</f>
        <v>#REF!</v>
      </c>
      <c r="AA302" s="481"/>
      <c r="AB302" s="175" t="e">
        <f>+'Estimate Details'!#REF!</f>
        <v>#REF!</v>
      </c>
      <c r="AC302" s="569"/>
      <c r="AD302" s="176" t="e">
        <f>+'Estimate Details'!#REF!</f>
        <v>#REF!</v>
      </c>
      <c r="AE302" s="156"/>
      <c r="AF302" s="367"/>
      <c r="AG302" s="156"/>
      <c r="AH302" s="156"/>
      <c r="AI302" s="29"/>
      <c r="AJ302" s="29"/>
      <c r="AK302" s="29"/>
      <c r="AL302" s="29"/>
    </row>
    <row r="303" spans="1:38" ht="14.1" customHeight="1">
      <c r="A303" s="347" t="e">
        <f>+'Estimate Details'!#REF!</f>
        <v>#REF!</v>
      </c>
      <c r="B303" s="347"/>
      <c r="C303" s="347"/>
      <c r="D303" s="210"/>
      <c r="E303" s="158" t="e">
        <f>+'Estimate Details'!#REF!</f>
        <v>#REF!</v>
      </c>
      <c r="F303" s="41"/>
      <c r="G303" s="117" t="e">
        <f>+'Estimate Details'!#REF!</f>
        <v>#REF!</v>
      </c>
      <c r="H303" s="118" t="e">
        <f>+'Estimate Details'!#REF!</f>
        <v>#REF!</v>
      </c>
      <c r="I303" s="108" t="e">
        <f>+'Estimate Details'!#REF!</f>
        <v>#REF!</v>
      </c>
      <c r="J303" s="168" t="e">
        <f>+'Estimate Details'!#REF!</f>
        <v>#REF!</v>
      </c>
      <c r="K303" s="42" t="e">
        <f>+'Estimate Details'!#REF!</f>
        <v>#REF!</v>
      </c>
      <c r="L303" s="42" t="e">
        <f>+'Estimate Details'!#REF!</f>
        <v>#REF!</v>
      </c>
      <c r="M303" s="204" t="e">
        <f>+'Estimate Details'!#REF!</f>
        <v>#REF!</v>
      </c>
      <c r="N303" s="170" t="e">
        <f>+'Estimate Details'!#REF!</f>
        <v>#REF!</v>
      </c>
      <c r="O303" s="171" t="e">
        <f>+'Estimate Details'!#REF!</f>
        <v>#REF!</v>
      </c>
      <c r="P303" s="172" t="e">
        <f>+'Estimate Details'!#REF!</f>
        <v>#REF!</v>
      </c>
      <c r="Q303" s="173" t="e">
        <f>+'Estimate Details'!#REF!</f>
        <v>#REF!</v>
      </c>
      <c r="R303" s="174" t="e">
        <f>+'Estimate Details'!#REF!</f>
        <v>#REF!</v>
      </c>
      <c r="S303" s="507"/>
      <c r="T303" s="174" t="e">
        <f>+'Estimate Details'!#REF!</f>
        <v>#REF!</v>
      </c>
      <c r="U303" s="481" t="s">
        <v>1309</v>
      </c>
      <c r="V303" s="172" t="e">
        <f>+'Estimate Details'!#REF!</f>
        <v>#REF!</v>
      </c>
      <c r="W303" s="481" t="s">
        <v>1309</v>
      </c>
      <c r="X303" s="172" t="e">
        <f>+'Estimate Details'!#REF!</f>
        <v>#REF!</v>
      </c>
      <c r="Y303" s="172" t="e">
        <f>+'Estimate Details'!#REF!</f>
        <v>#REF!</v>
      </c>
      <c r="Z303" s="174" t="e">
        <f>+'Estimate Details'!#REF!</f>
        <v>#REF!</v>
      </c>
      <c r="AA303" s="481"/>
      <c r="AB303" s="175" t="e">
        <f>+'Estimate Details'!#REF!</f>
        <v>#REF!</v>
      </c>
      <c r="AC303" s="569"/>
      <c r="AD303" s="176" t="e">
        <f>+'Estimate Details'!#REF!</f>
        <v>#REF!</v>
      </c>
      <c r="AE303" s="156"/>
      <c r="AF303" s="367"/>
      <c r="AG303" s="156"/>
      <c r="AH303" s="156"/>
      <c r="AI303" s="29"/>
      <c r="AJ303" s="29"/>
      <c r="AK303" s="29"/>
      <c r="AL303" s="29"/>
    </row>
    <row r="304" spans="1:38" ht="14.1" customHeight="1">
      <c r="A304" s="347" t="e">
        <f>+'Estimate Details'!#REF!</f>
        <v>#REF!</v>
      </c>
      <c r="B304" s="347"/>
      <c r="C304" s="347"/>
      <c r="D304" s="210"/>
      <c r="E304" s="158" t="e">
        <f>+'Estimate Details'!#REF!</f>
        <v>#REF!</v>
      </c>
      <c r="F304" s="41"/>
      <c r="G304" s="117" t="e">
        <f>+'Estimate Details'!#REF!</f>
        <v>#REF!</v>
      </c>
      <c r="H304" s="118" t="e">
        <f>+'Estimate Details'!#REF!</f>
        <v>#REF!</v>
      </c>
      <c r="I304" s="108" t="e">
        <f>+'Estimate Details'!#REF!</f>
        <v>#REF!</v>
      </c>
      <c r="J304" s="168" t="e">
        <f>+'Estimate Details'!#REF!</f>
        <v>#REF!</v>
      </c>
      <c r="K304" s="42" t="e">
        <f>+'Estimate Details'!#REF!</f>
        <v>#REF!</v>
      </c>
      <c r="L304" s="42" t="e">
        <f>+'Estimate Details'!#REF!</f>
        <v>#REF!</v>
      </c>
      <c r="M304" s="204" t="e">
        <f>+'Estimate Details'!#REF!</f>
        <v>#REF!</v>
      </c>
      <c r="N304" s="170" t="e">
        <f>+'Estimate Details'!#REF!</f>
        <v>#REF!</v>
      </c>
      <c r="O304" s="171" t="e">
        <f>+'Estimate Details'!#REF!</f>
        <v>#REF!</v>
      </c>
      <c r="P304" s="172" t="e">
        <f>+'Estimate Details'!#REF!</f>
        <v>#REF!</v>
      </c>
      <c r="Q304" s="173" t="e">
        <f>+'Estimate Details'!#REF!</f>
        <v>#REF!</v>
      </c>
      <c r="R304" s="174" t="e">
        <f>+'Estimate Details'!#REF!</f>
        <v>#REF!</v>
      </c>
      <c r="S304" s="507"/>
      <c r="T304" s="174" t="e">
        <f>+'Estimate Details'!#REF!</f>
        <v>#REF!</v>
      </c>
      <c r="U304" s="481" t="s">
        <v>1309</v>
      </c>
      <c r="V304" s="172" t="e">
        <f>+'Estimate Details'!#REF!</f>
        <v>#REF!</v>
      </c>
      <c r="W304" s="481" t="s">
        <v>1309</v>
      </c>
      <c r="X304" s="172" t="e">
        <f>+'Estimate Details'!#REF!</f>
        <v>#REF!</v>
      </c>
      <c r="Y304" s="172" t="e">
        <f>+'Estimate Details'!#REF!</f>
        <v>#REF!</v>
      </c>
      <c r="Z304" s="174" t="e">
        <f>+'Estimate Details'!#REF!</f>
        <v>#REF!</v>
      </c>
      <c r="AA304" s="481"/>
      <c r="AB304" s="175" t="e">
        <f>+'Estimate Details'!#REF!</f>
        <v>#REF!</v>
      </c>
      <c r="AC304" s="569"/>
      <c r="AD304" s="176" t="e">
        <f>+'Estimate Details'!#REF!</f>
        <v>#REF!</v>
      </c>
      <c r="AE304" s="156"/>
      <c r="AF304" s="367"/>
      <c r="AG304" s="156"/>
      <c r="AH304" s="156"/>
      <c r="AI304" s="29"/>
      <c r="AJ304" s="29"/>
      <c r="AK304" s="29"/>
      <c r="AL304" s="29"/>
    </row>
    <row r="305" spans="1:38" ht="14.1" customHeight="1">
      <c r="A305" s="347" t="e">
        <f>+'Estimate Details'!#REF!</f>
        <v>#REF!</v>
      </c>
      <c r="B305" s="347"/>
      <c r="C305" s="347"/>
      <c r="D305" s="210"/>
      <c r="E305" s="158" t="e">
        <f>+'Estimate Details'!#REF!</f>
        <v>#REF!</v>
      </c>
      <c r="F305" s="41"/>
      <c r="G305" s="117" t="e">
        <f>+'Estimate Details'!#REF!</f>
        <v>#REF!</v>
      </c>
      <c r="H305" s="118" t="e">
        <f>+'Estimate Details'!#REF!</f>
        <v>#REF!</v>
      </c>
      <c r="I305" s="108" t="e">
        <f>+'Estimate Details'!#REF!</f>
        <v>#REF!</v>
      </c>
      <c r="J305" s="168" t="e">
        <f>+'Estimate Details'!#REF!</f>
        <v>#REF!</v>
      </c>
      <c r="K305" s="42" t="e">
        <f>+'Estimate Details'!#REF!</f>
        <v>#REF!</v>
      </c>
      <c r="L305" s="42" t="e">
        <f>+'Estimate Details'!#REF!</f>
        <v>#REF!</v>
      </c>
      <c r="M305" s="204" t="e">
        <f>+'Estimate Details'!#REF!</f>
        <v>#REF!</v>
      </c>
      <c r="N305" s="170" t="e">
        <f>+'Estimate Details'!#REF!</f>
        <v>#REF!</v>
      </c>
      <c r="O305" s="171" t="e">
        <f>+'Estimate Details'!#REF!</f>
        <v>#REF!</v>
      </c>
      <c r="P305" s="172" t="e">
        <f>+'Estimate Details'!#REF!</f>
        <v>#REF!</v>
      </c>
      <c r="Q305" s="173" t="e">
        <f>+'Estimate Details'!#REF!</f>
        <v>#REF!</v>
      </c>
      <c r="R305" s="174" t="e">
        <f>+'Estimate Details'!#REF!</f>
        <v>#REF!</v>
      </c>
      <c r="S305" s="507"/>
      <c r="T305" s="174" t="e">
        <f>+'Estimate Details'!#REF!</f>
        <v>#REF!</v>
      </c>
      <c r="U305" s="481" t="s">
        <v>1309</v>
      </c>
      <c r="V305" s="172" t="e">
        <f>+'Estimate Details'!#REF!</f>
        <v>#REF!</v>
      </c>
      <c r="W305" s="481" t="s">
        <v>1309</v>
      </c>
      <c r="X305" s="172" t="e">
        <f>+'Estimate Details'!#REF!</f>
        <v>#REF!</v>
      </c>
      <c r="Y305" s="172" t="e">
        <f>+'Estimate Details'!#REF!</f>
        <v>#REF!</v>
      </c>
      <c r="Z305" s="174" t="e">
        <f>+'Estimate Details'!#REF!</f>
        <v>#REF!</v>
      </c>
      <c r="AA305" s="481"/>
      <c r="AB305" s="175" t="e">
        <f>+'Estimate Details'!#REF!</f>
        <v>#REF!</v>
      </c>
      <c r="AC305" s="569"/>
      <c r="AD305" s="176" t="e">
        <f>+'Estimate Details'!#REF!</f>
        <v>#REF!</v>
      </c>
      <c r="AE305" s="156"/>
      <c r="AF305" s="367"/>
      <c r="AG305" s="156"/>
      <c r="AH305" s="156"/>
      <c r="AI305" s="29"/>
      <c r="AJ305" s="29"/>
      <c r="AK305" s="29"/>
      <c r="AL305" s="29"/>
    </row>
    <row r="306" spans="1:38" ht="14.1" customHeight="1">
      <c r="A306" s="347" t="e">
        <f>+'Estimate Details'!#REF!</f>
        <v>#REF!</v>
      </c>
      <c r="B306" s="347"/>
      <c r="C306" s="347"/>
      <c r="D306" s="210"/>
      <c r="E306" s="158" t="e">
        <f>+'Estimate Details'!#REF!</f>
        <v>#REF!</v>
      </c>
      <c r="F306" s="41"/>
      <c r="G306" s="117" t="e">
        <f>+'Estimate Details'!#REF!</f>
        <v>#REF!</v>
      </c>
      <c r="H306" s="118" t="e">
        <f>+'Estimate Details'!#REF!</f>
        <v>#REF!</v>
      </c>
      <c r="I306" s="108" t="e">
        <f>+'Estimate Details'!#REF!</f>
        <v>#REF!</v>
      </c>
      <c r="J306" s="168" t="e">
        <f>+'Estimate Details'!#REF!</f>
        <v>#REF!</v>
      </c>
      <c r="K306" s="42" t="e">
        <f>+'Estimate Details'!#REF!</f>
        <v>#REF!</v>
      </c>
      <c r="L306" s="42" t="e">
        <f>+'Estimate Details'!#REF!</f>
        <v>#REF!</v>
      </c>
      <c r="M306" s="204" t="e">
        <f>+'Estimate Details'!#REF!</f>
        <v>#REF!</v>
      </c>
      <c r="N306" s="170" t="e">
        <f>+'Estimate Details'!#REF!</f>
        <v>#REF!</v>
      </c>
      <c r="O306" s="171" t="e">
        <f>+'Estimate Details'!#REF!</f>
        <v>#REF!</v>
      </c>
      <c r="P306" s="172" t="e">
        <f>+'Estimate Details'!#REF!</f>
        <v>#REF!</v>
      </c>
      <c r="Q306" s="173" t="e">
        <f>+'Estimate Details'!#REF!</f>
        <v>#REF!</v>
      </c>
      <c r="R306" s="174" t="e">
        <f>+'Estimate Details'!#REF!</f>
        <v>#REF!</v>
      </c>
      <c r="S306" s="507"/>
      <c r="T306" s="174" t="e">
        <f>+'Estimate Details'!#REF!</f>
        <v>#REF!</v>
      </c>
      <c r="U306" s="481" t="s">
        <v>1309</v>
      </c>
      <c r="V306" s="172" t="e">
        <f>+'Estimate Details'!#REF!</f>
        <v>#REF!</v>
      </c>
      <c r="W306" s="481" t="s">
        <v>1309</v>
      </c>
      <c r="X306" s="172" t="e">
        <f>+'Estimate Details'!#REF!</f>
        <v>#REF!</v>
      </c>
      <c r="Y306" s="172" t="e">
        <f>+'Estimate Details'!#REF!</f>
        <v>#REF!</v>
      </c>
      <c r="Z306" s="174" t="e">
        <f>+'Estimate Details'!#REF!</f>
        <v>#REF!</v>
      </c>
      <c r="AA306" s="481"/>
      <c r="AB306" s="175" t="e">
        <f>+'Estimate Details'!#REF!</f>
        <v>#REF!</v>
      </c>
      <c r="AC306" s="569"/>
      <c r="AD306" s="176" t="e">
        <f>+'Estimate Details'!#REF!</f>
        <v>#REF!</v>
      </c>
      <c r="AE306" s="156"/>
      <c r="AF306" s="367"/>
      <c r="AG306" s="156"/>
      <c r="AH306" s="156"/>
      <c r="AI306" s="29"/>
      <c r="AJ306" s="29"/>
      <c r="AK306" s="29"/>
      <c r="AL306" s="29"/>
    </row>
    <row r="307" spans="1:38" ht="14.1" customHeight="1">
      <c r="A307" s="347" t="e">
        <f>+'Estimate Details'!#REF!</f>
        <v>#REF!</v>
      </c>
      <c r="B307" s="347"/>
      <c r="C307" s="347"/>
      <c r="D307" s="210"/>
      <c r="E307" s="158" t="e">
        <f>+'Estimate Details'!#REF!</f>
        <v>#REF!</v>
      </c>
      <c r="F307" s="41"/>
      <c r="G307" s="117" t="e">
        <f>+'Estimate Details'!#REF!</f>
        <v>#REF!</v>
      </c>
      <c r="H307" s="118" t="e">
        <f>+'Estimate Details'!#REF!</f>
        <v>#REF!</v>
      </c>
      <c r="I307" s="108" t="e">
        <f>+'Estimate Details'!#REF!</f>
        <v>#REF!</v>
      </c>
      <c r="J307" s="168" t="e">
        <f>+'Estimate Details'!#REF!</f>
        <v>#REF!</v>
      </c>
      <c r="K307" s="42" t="e">
        <f>+'Estimate Details'!#REF!</f>
        <v>#REF!</v>
      </c>
      <c r="L307" s="42" t="e">
        <f>+'Estimate Details'!#REF!</f>
        <v>#REF!</v>
      </c>
      <c r="M307" s="204" t="e">
        <f>+'Estimate Details'!#REF!</f>
        <v>#REF!</v>
      </c>
      <c r="N307" s="170" t="e">
        <f>+'Estimate Details'!#REF!</f>
        <v>#REF!</v>
      </c>
      <c r="O307" s="171" t="e">
        <f>+'Estimate Details'!#REF!</f>
        <v>#REF!</v>
      </c>
      <c r="P307" s="172" t="e">
        <f>+'Estimate Details'!#REF!</f>
        <v>#REF!</v>
      </c>
      <c r="Q307" s="173" t="e">
        <f>+'Estimate Details'!#REF!</f>
        <v>#REF!</v>
      </c>
      <c r="R307" s="174" t="e">
        <f>+'Estimate Details'!#REF!</f>
        <v>#REF!</v>
      </c>
      <c r="S307" s="507"/>
      <c r="T307" s="174" t="e">
        <f>+'Estimate Details'!#REF!</f>
        <v>#REF!</v>
      </c>
      <c r="U307" s="481" t="s">
        <v>1309</v>
      </c>
      <c r="V307" s="172" t="e">
        <f>+'Estimate Details'!#REF!</f>
        <v>#REF!</v>
      </c>
      <c r="W307" s="481" t="s">
        <v>1309</v>
      </c>
      <c r="X307" s="172" t="e">
        <f>+'Estimate Details'!#REF!</f>
        <v>#REF!</v>
      </c>
      <c r="Y307" s="172" t="e">
        <f>+'Estimate Details'!#REF!</f>
        <v>#REF!</v>
      </c>
      <c r="Z307" s="174" t="e">
        <f>+'Estimate Details'!#REF!</f>
        <v>#REF!</v>
      </c>
      <c r="AA307" s="481"/>
      <c r="AB307" s="175" t="e">
        <f>+'Estimate Details'!#REF!</f>
        <v>#REF!</v>
      </c>
      <c r="AC307" s="569"/>
      <c r="AD307" s="176" t="e">
        <f>+'Estimate Details'!#REF!</f>
        <v>#REF!</v>
      </c>
      <c r="AE307" s="156"/>
      <c r="AF307" s="367"/>
      <c r="AG307" s="156"/>
      <c r="AH307" s="156"/>
      <c r="AI307" s="29"/>
      <c r="AJ307" s="29"/>
      <c r="AK307" s="29"/>
      <c r="AL307" s="29"/>
    </row>
    <row r="308" spans="1:38" ht="14.1" customHeight="1">
      <c r="A308" s="347" t="e">
        <f>+'Estimate Details'!#REF!</f>
        <v>#REF!</v>
      </c>
      <c r="B308" s="347"/>
      <c r="C308" s="347"/>
      <c r="D308" s="210"/>
      <c r="E308" s="158" t="e">
        <f>+'Estimate Details'!#REF!</f>
        <v>#REF!</v>
      </c>
      <c r="F308" s="41"/>
      <c r="G308" s="117" t="e">
        <f>+'Estimate Details'!#REF!</f>
        <v>#REF!</v>
      </c>
      <c r="H308" s="118" t="e">
        <f>+'Estimate Details'!#REF!</f>
        <v>#REF!</v>
      </c>
      <c r="I308" s="108" t="e">
        <f>+'Estimate Details'!#REF!</f>
        <v>#REF!</v>
      </c>
      <c r="J308" s="168" t="e">
        <f>+'Estimate Details'!#REF!</f>
        <v>#REF!</v>
      </c>
      <c r="K308" s="42" t="e">
        <f>+'Estimate Details'!#REF!</f>
        <v>#REF!</v>
      </c>
      <c r="L308" s="42" t="e">
        <f>+'Estimate Details'!#REF!</f>
        <v>#REF!</v>
      </c>
      <c r="M308" s="204" t="e">
        <f>+'Estimate Details'!#REF!</f>
        <v>#REF!</v>
      </c>
      <c r="N308" s="170" t="e">
        <f>+'Estimate Details'!#REF!</f>
        <v>#REF!</v>
      </c>
      <c r="O308" s="171" t="e">
        <f>+'Estimate Details'!#REF!</f>
        <v>#REF!</v>
      </c>
      <c r="P308" s="172" t="e">
        <f>+'Estimate Details'!#REF!</f>
        <v>#REF!</v>
      </c>
      <c r="Q308" s="173" t="e">
        <f>+'Estimate Details'!#REF!</f>
        <v>#REF!</v>
      </c>
      <c r="R308" s="174" t="e">
        <f>+'Estimate Details'!#REF!</f>
        <v>#REF!</v>
      </c>
      <c r="S308" s="507"/>
      <c r="T308" s="174" t="e">
        <f>+'Estimate Details'!#REF!</f>
        <v>#REF!</v>
      </c>
      <c r="U308" s="481" t="s">
        <v>1309</v>
      </c>
      <c r="V308" s="172" t="e">
        <f>+'Estimate Details'!#REF!</f>
        <v>#REF!</v>
      </c>
      <c r="W308" s="481" t="s">
        <v>1309</v>
      </c>
      <c r="X308" s="172" t="e">
        <f>+'Estimate Details'!#REF!</f>
        <v>#REF!</v>
      </c>
      <c r="Y308" s="172" t="e">
        <f>+'Estimate Details'!#REF!</f>
        <v>#REF!</v>
      </c>
      <c r="Z308" s="174" t="e">
        <f>+'Estimate Details'!#REF!</f>
        <v>#REF!</v>
      </c>
      <c r="AA308" s="481"/>
      <c r="AB308" s="175" t="e">
        <f>+'Estimate Details'!#REF!</f>
        <v>#REF!</v>
      </c>
      <c r="AC308" s="569"/>
      <c r="AD308" s="176" t="e">
        <f>+'Estimate Details'!#REF!</f>
        <v>#REF!</v>
      </c>
      <c r="AE308" s="156"/>
      <c r="AF308" s="367"/>
      <c r="AG308" s="156"/>
      <c r="AH308" s="156"/>
      <c r="AI308" s="29"/>
      <c r="AJ308" s="29"/>
      <c r="AK308" s="29"/>
      <c r="AL308" s="29"/>
    </row>
    <row r="309" spans="1:38" ht="14.1" customHeight="1">
      <c r="A309" s="347" t="e">
        <f>+'Estimate Details'!#REF!</f>
        <v>#REF!</v>
      </c>
      <c r="B309" s="347"/>
      <c r="C309" s="347"/>
      <c r="D309" s="210"/>
      <c r="E309" s="158" t="e">
        <f>+'Estimate Details'!#REF!</f>
        <v>#REF!</v>
      </c>
      <c r="F309" s="41"/>
      <c r="G309" s="117" t="e">
        <f>+'Estimate Details'!#REF!</f>
        <v>#REF!</v>
      </c>
      <c r="H309" s="118" t="e">
        <f>+'Estimate Details'!#REF!</f>
        <v>#REF!</v>
      </c>
      <c r="I309" s="108" t="e">
        <f>+'Estimate Details'!#REF!</f>
        <v>#REF!</v>
      </c>
      <c r="J309" s="168" t="e">
        <f>+'Estimate Details'!#REF!</f>
        <v>#REF!</v>
      </c>
      <c r="K309" s="42" t="e">
        <f>+'Estimate Details'!#REF!</f>
        <v>#REF!</v>
      </c>
      <c r="L309" s="42" t="e">
        <f>+'Estimate Details'!#REF!</f>
        <v>#REF!</v>
      </c>
      <c r="M309" s="204" t="e">
        <f>+'Estimate Details'!#REF!</f>
        <v>#REF!</v>
      </c>
      <c r="N309" s="170" t="e">
        <f>+'Estimate Details'!#REF!</f>
        <v>#REF!</v>
      </c>
      <c r="O309" s="171" t="e">
        <f>+'Estimate Details'!#REF!</f>
        <v>#REF!</v>
      </c>
      <c r="P309" s="172" t="e">
        <f>+'Estimate Details'!#REF!</f>
        <v>#REF!</v>
      </c>
      <c r="Q309" s="173" t="e">
        <f>+'Estimate Details'!#REF!</f>
        <v>#REF!</v>
      </c>
      <c r="R309" s="174" t="e">
        <f>+'Estimate Details'!#REF!</f>
        <v>#REF!</v>
      </c>
      <c r="S309" s="507"/>
      <c r="T309" s="174" t="e">
        <f>+'Estimate Details'!#REF!</f>
        <v>#REF!</v>
      </c>
      <c r="U309" s="481" t="s">
        <v>1309</v>
      </c>
      <c r="V309" s="172" t="e">
        <f>+'Estimate Details'!#REF!</f>
        <v>#REF!</v>
      </c>
      <c r="W309" s="481" t="s">
        <v>1309</v>
      </c>
      <c r="X309" s="172" t="e">
        <f>+'Estimate Details'!#REF!</f>
        <v>#REF!</v>
      </c>
      <c r="Y309" s="172" t="e">
        <f>+'Estimate Details'!#REF!</f>
        <v>#REF!</v>
      </c>
      <c r="Z309" s="174" t="e">
        <f>+'Estimate Details'!#REF!</f>
        <v>#REF!</v>
      </c>
      <c r="AA309" s="481"/>
      <c r="AB309" s="175" t="e">
        <f>+'Estimate Details'!#REF!</f>
        <v>#REF!</v>
      </c>
      <c r="AC309" s="569"/>
      <c r="AD309" s="176" t="e">
        <f>+'Estimate Details'!#REF!</f>
        <v>#REF!</v>
      </c>
      <c r="AE309" s="156"/>
      <c r="AF309" s="367"/>
      <c r="AG309" s="156"/>
      <c r="AH309" s="156"/>
      <c r="AI309" s="29"/>
      <c r="AJ309" s="29"/>
      <c r="AK309" s="29"/>
      <c r="AL309" s="29"/>
    </row>
    <row r="310" spans="1:38" ht="14.1" customHeight="1">
      <c r="A310" s="347" t="e">
        <f>+'Estimate Details'!#REF!</f>
        <v>#REF!</v>
      </c>
      <c r="B310" s="347"/>
      <c r="C310" s="347"/>
      <c r="D310" s="210"/>
      <c r="E310" s="158" t="e">
        <f>+'Estimate Details'!#REF!</f>
        <v>#REF!</v>
      </c>
      <c r="F310" s="41"/>
      <c r="G310" s="117" t="e">
        <f>+'Estimate Details'!#REF!</f>
        <v>#REF!</v>
      </c>
      <c r="H310" s="118" t="e">
        <f>+'Estimate Details'!#REF!</f>
        <v>#REF!</v>
      </c>
      <c r="I310" s="108" t="e">
        <f>+'Estimate Details'!#REF!</f>
        <v>#REF!</v>
      </c>
      <c r="J310" s="168" t="e">
        <f>+'Estimate Details'!#REF!</f>
        <v>#REF!</v>
      </c>
      <c r="K310" s="42" t="e">
        <f>+'Estimate Details'!#REF!</f>
        <v>#REF!</v>
      </c>
      <c r="L310" s="42" t="e">
        <f>+'Estimate Details'!#REF!</f>
        <v>#REF!</v>
      </c>
      <c r="M310" s="204" t="e">
        <f>+'Estimate Details'!#REF!</f>
        <v>#REF!</v>
      </c>
      <c r="N310" s="170" t="e">
        <f>+'Estimate Details'!#REF!</f>
        <v>#REF!</v>
      </c>
      <c r="O310" s="171" t="e">
        <f>+'Estimate Details'!#REF!</f>
        <v>#REF!</v>
      </c>
      <c r="P310" s="172" t="e">
        <f>+'Estimate Details'!#REF!</f>
        <v>#REF!</v>
      </c>
      <c r="Q310" s="173" t="e">
        <f>+'Estimate Details'!#REF!</f>
        <v>#REF!</v>
      </c>
      <c r="R310" s="174" t="e">
        <f>+'Estimate Details'!#REF!</f>
        <v>#REF!</v>
      </c>
      <c r="S310" s="507"/>
      <c r="T310" s="174" t="e">
        <f>+'Estimate Details'!#REF!</f>
        <v>#REF!</v>
      </c>
      <c r="U310" s="481" t="s">
        <v>1309</v>
      </c>
      <c r="V310" s="172" t="e">
        <f>+'Estimate Details'!#REF!</f>
        <v>#REF!</v>
      </c>
      <c r="W310" s="481" t="s">
        <v>1309</v>
      </c>
      <c r="X310" s="172" t="e">
        <f>+'Estimate Details'!#REF!</f>
        <v>#REF!</v>
      </c>
      <c r="Y310" s="172" t="e">
        <f>+'Estimate Details'!#REF!</f>
        <v>#REF!</v>
      </c>
      <c r="Z310" s="174" t="e">
        <f>+'Estimate Details'!#REF!</f>
        <v>#REF!</v>
      </c>
      <c r="AA310" s="481"/>
      <c r="AB310" s="175" t="e">
        <f>+'Estimate Details'!#REF!</f>
        <v>#REF!</v>
      </c>
      <c r="AC310" s="569"/>
      <c r="AD310" s="176" t="e">
        <f>+'Estimate Details'!#REF!</f>
        <v>#REF!</v>
      </c>
      <c r="AE310" s="156"/>
      <c r="AF310" s="367"/>
      <c r="AG310" s="156"/>
      <c r="AH310" s="156"/>
      <c r="AI310" s="29"/>
      <c r="AJ310" s="29"/>
      <c r="AK310" s="29"/>
      <c r="AL310" s="29"/>
    </row>
    <row r="311" spans="1:38" ht="14.1" customHeight="1">
      <c r="A311" s="347" t="e">
        <f>+'Estimate Details'!#REF!</f>
        <v>#REF!</v>
      </c>
      <c r="B311" s="347"/>
      <c r="C311" s="347"/>
      <c r="D311" s="210"/>
      <c r="E311" s="158" t="e">
        <f>+'Estimate Details'!#REF!</f>
        <v>#REF!</v>
      </c>
      <c r="F311" s="41"/>
      <c r="G311" s="117" t="e">
        <f>+'Estimate Details'!#REF!</f>
        <v>#REF!</v>
      </c>
      <c r="H311" s="118" t="e">
        <f>+'Estimate Details'!#REF!</f>
        <v>#REF!</v>
      </c>
      <c r="I311" s="108" t="e">
        <f>+'Estimate Details'!#REF!</f>
        <v>#REF!</v>
      </c>
      <c r="J311" s="168" t="e">
        <f>+'Estimate Details'!#REF!</f>
        <v>#REF!</v>
      </c>
      <c r="K311" s="42" t="e">
        <f>+'Estimate Details'!#REF!</f>
        <v>#REF!</v>
      </c>
      <c r="L311" s="42" t="e">
        <f>+'Estimate Details'!#REF!</f>
        <v>#REF!</v>
      </c>
      <c r="M311" s="204" t="e">
        <f>+'Estimate Details'!#REF!</f>
        <v>#REF!</v>
      </c>
      <c r="N311" s="170" t="e">
        <f>+'Estimate Details'!#REF!</f>
        <v>#REF!</v>
      </c>
      <c r="O311" s="171" t="e">
        <f>+'Estimate Details'!#REF!</f>
        <v>#REF!</v>
      </c>
      <c r="P311" s="172" t="e">
        <f>+'Estimate Details'!#REF!</f>
        <v>#REF!</v>
      </c>
      <c r="Q311" s="173" t="e">
        <f>+'Estimate Details'!#REF!</f>
        <v>#REF!</v>
      </c>
      <c r="R311" s="174" t="e">
        <f>+'Estimate Details'!#REF!</f>
        <v>#REF!</v>
      </c>
      <c r="S311" s="507"/>
      <c r="T311" s="174" t="e">
        <f>+'Estimate Details'!#REF!</f>
        <v>#REF!</v>
      </c>
      <c r="U311" s="481" t="s">
        <v>1309</v>
      </c>
      <c r="V311" s="172" t="e">
        <f>+'Estimate Details'!#REF!</f>
        <v>#REF!</v>
      </c>
      <c r="W311" s="481" t="s">
        <v>1309</v>
      </c>
      <c r="X311" s="172" t="e">
        <f>+'Estimate Details'!#REF!</f>
        <v>#REF!</v>
      </c>
      <c r="Y311" s="172" t="e">
        <f>+'Estimate Details'!#REF!</f>
        <v>#REF!</v>
      </c>
      <c r="Z311" s="174" t="e">
        <f>+'Estimate Details'!#REF!</f>
        <v>#REF!</v>
      </c>
      <c r="AA311" s="481"/>
      <c r="AB311" s="175" t="e">
        <f>+'Estimate Details'!#REF!</f>
        <v>#REF!</v>
      </c>
      <c r="AC311" s="569"/>
      <c r="AD311" s="176" t="e">
        <f>+'Estimate Details'!#REF!</f>
        <v>#REF!</v>
      </c>
      <c r="AE311" s="156"/>
      <c r="AF311" s="367"/>
      <c r="AG311" s="156"/>
      <c r="AH311" s="156"/>
      <c r="AI311" s="29"/>
      <c r="AJ311" s="29"/>
      <c r="AK311" s="29"/>
      <c r="AL311" s="29"/>
    </row>
    <row r="312" spans="1:38" ht="14.1" customHeight="1">
      <c r="A312" s="347" t="e">
        <f>+'Estimate Details'!#REF!</f>
        <v>#REF!</v>
      </c>
      <c r="B312" s="347"/>
      <c r="C312" s="347"/>
      <c r="D312" s="210"/>
      <c r="E312" s="158" t="e">
        <f>+'Estimate Details'!#REF!</f>
        <v>#REF!</v>
      </c>
      <c r="F312" s="41"/>
      <c r="G312" s="117" t="e">
        <f>+'Estimate Details'!#REF!</f>
        <v>#REF!</v>
      </c>
      <c r="H312" s="118" t="e">
        <f>+'Estimate Details'!#REF!</f>
        <v>#REF!</v>
      </c>
      <c r="I312" s="108" t="e">
        <f>+'Estimate Details'!#REF!</f>
        <v>#REF!</v>
      </c>
      <c r="J312" s="168" t="e">
        <f>+'Estimate Details'!#REF!</f>
        <v>#REF!</v>
      </c>
      <c r="K312" s="42" t="e">
        <f>+'Estimate Details'!#REF!</f>
        <v>#REF!</v>
      </c>
      <c r="L312" s="42" t="e">
        <f>+'Estimate Details'!#REF!</f>
        <v>#REF!</v>
      </c>
      <c r="M312" s="204" t="e">
        <f>+'Estimate Details'!#REF!</f>
        <v>#REF!</v>
      </c>
      <c r="N312" s="170" t="e">
        <f>+'Estimate Details'!#REF!</f>
        <v>#REF!</v>
      </c>
      <c r="O312" s="171" t="e">
        <f>+'Estimate Details'!#REF!</f>
        <v>#REF!</v>
      </c>
      <c r="P312" s="172" t="e">
        <f>+'Estimate Details'!#REF!</f>
        <v>#REF!</v>
      </c>
      <c r="Q312" s="173" t="e">
        <f>+'Estimate Details'!#REF!</f>
        <v>#REF!</v>
      </c>
      <c r="R312" s="174" t="e">
        <f>+'Estimate Details'!#REF!</f>
        <v>#REF!</v>
      </c>
      <c r="S312" s="507"/>
      <c r="T312" s="174" t="e">
        <f>+'Estimate Details'!#REF!</f>
        <v>#REF!</v>
      </c>
      <c r="U312" s="481" t="s">
        <v>1309</v>
      </c>
      <c r="V312" s="172" t="e">
        <f>+'Estimate Details'!#REF!</f>
        <v>#REF!</v>
      </c>
      <c r="W312" s="481" t="s">
        <v>1309</v>
      </c>
      <c r="X312" s="172" t="e">
        <f>+'Estimate Details'!#REF!</f>
        <v>#REF!</v>
      </c>
      <c r="Y312" s="172" t="e">
        <f>+'Estimate Details'!#REF!</f>
        <v>#REF!</v>
      </c>
      <c r="Z312" s="174" t="e">
        <f>+'Estimate Details'!#REF!</f>
        <v>#REF!</v>
      </c>
      <c r="AA312" s="481"/>
      <c r="AB312" s="175" t="e">
        <f>+'Estimate Details'!#REF!</f>
        <v>#REF!</v>
      </c>
      <c r="AC312" s="569"/>
      <c r="AD312" s="176" t="e">
        <f>+'Estimate Details'!#REF!</f>
        <v>#REF!</v>
      </c>
      <c r="AE312" s="156"/>
      <c r="AF312" s="367"/>
      <c r="AG312" s="156"/>
      <c r="AH312" s="156"/>
      <c r="AI312" s="29"/>
      <c r="AJ312" s="29"/>
      <c r="AK312" s="29"/>
      <c r="AL312" s="29"/>
    </row>
    <row r="313" spans="1:38" ht="14.1" customHeight="1">
      <c r="A313" s="347" t="e">
        <f>+'Estimate Details'!#REF!</f>
        <v>#REF!</v>
      </c>
      <c r="B313" s="347"/>
      <c r="C313" s="347"/>
      <c r="D313" s="210"/>
      <c r="E313" s="158" t="e">
        <f>+'Estimate Details'!#REF!</f>
        <v>#REF!</v>
      </c>
      <c r="F313" s="41"/>
      <c r="G313" s="117" t="e">
        <f>+'Estimate Details'!#REF!</f>
        <v>#REF!</v>
      </c>
      <c r="H313" s="118" t="e">
        <f>+'Estimate Details'!#REF!</f>
        <v>#REF!</v>
      </c>
      <c r="I313" s="108" t="e">
        <f>+'Estimate Details'!#REF!</f>
        <v>#REF!</v>
      </c>
      <c r="J313" s="168" t="e">
        <f>+'Estimate Details'!#REF!</f>
        <v>#REF!</v>
      </c>
      <c r="K313" s="42" t="e">
        <f>+'Estimate Details'!#REF!</f>
        <v>#REF!</v>
      </c>
      <c r="L313" s="42" t="e">
        <f>+'Estimate Details'!#REF!</f>
        <v>#REF!</v>
      </c>
      <c r="M313" s="204" t="e">
        <f>+'Estimate Details'!#REF!</f>
        <v>#REF!</v>
      </c>
      <c r="N313" s="170" t="e">
        <f>+'Estimate Details'!#REF!</f>
        <v>#REF!</v>
      </c>
      <c r="O313" s="171" t="e">
        <f>+'Estimate Details'!#REF!</f>
        <v>#REF!</v>
      </c>
      <c r="P313" s="172" t="e">
        <f>+'Estimate Details'!#REF!</f>
        <v>#REF!</v>
      </c>
      <c r="Q313" s="173" t="e">
        <f>+'Estimate Details'!#REF!</f>
        <v>#REF!</v>
      </c>
      <c r="R313" s="174" t="e">
        <f>+'Estimate Details'!#REF!</f>
        <v>#REF!</v>
      </c>
      <c r="S313" s="507"/>
      <c r="T313" s="174" t="e">
        <f>+'Estimate Details'!#REF!</f>
        <v>#REF!</v>
      </c>
      <c r="U313" s="481" t="s">
        <v>1309</v>
      </c>
      <c r="V313" s="172" t="e">
        <f>+'Estimate Details'!#REF!</f>
        <v>#REF!</v>
      </c>
      <c r="W313" s="481" t="s">
        <v>1309</v>
      </c>
      <c r="X313" s="172" t="e">
        <f>+'Estimate Details'!#REF!</f>
        <v>#REF!</v>
      </c>
      <c r="Y313" s="172" t="e">
        <f>+'Estimate Details'!#REF!</f>
        <v>#REF!</v>
      </c>
      <c r="Z313" s="174" t="e">
        <f>+'Estimate Details'!#REF!</f>
        <v>#REF!</v>
      </c>
      <c r="AA313" s="481"/>
      <c r="AB313" s="175" t="e">
        <f>+'Estimate Details'!#REF!</f>
        <v>#REF!</v>
      </c>
      <c r="AC313" s="569"/>
      <c r="AD313" s="176" t="e">
        <f>+'Estimate Details'!#REF!</f>
        <v>#REF!</v>
      </c>
      <c r="AE313" s="156"/>
      <c r="AF313" s="367"/>
      <c r="AG313" s="156"/>
      <c r="AH313" s="156"/>
      <c r="AI313" s="29"/>
      <c r="AJ313" s="29"/>
      <c r="AK313" s="29"/>
      <c r="AL313" s="29"/>
    </row>
    <row r="314" spans="1:38" ht="14.1" customHeight="1">
      <c r="A314" s="347" t="e">
        <f>+'Estimate Details'!#REF!</f>
        <v>#REF!</v>
      </c>
      <c r="B314" s="347"/>
      <c r="C314" s="347"/>
      <c r="D314" s="210"/>
      <c r="E314" s="158" t="e">
        <f>+'Estimate Details'!#REF!</f>
        <v>#REF!</v>
      </c>
      <c r="F314" s="41"/>
      <c r="G314" s="117" t="e">
        <f>+'Estimate Details'!#REF!</f>
        <v>#REF!</v>
      </c>
      <c r="H314" s="118" t="e">
        <f>+'Estimate Details'!#REF!</f>
        <v>#REF!</v>
      </c>
      <c r="I314" s="108" t="e">
        <f>+'Estimate Details'!#REF!</f>
        <v>#REF!</v>
      </c>
      <c r="J314" s="168" t="e">
        <f>+'Estimate Details'!#REF!</f>
        <v>#REF!</v>
      </c>
      <c r="K314" s="42" t="e">
        <f>+'Estimate Details'!#REF!</f>
        <v>#REF!</v>
      </c>
      <c r="L314" s="42" t="e">
        <f>+'Estimate Details'!#REF!</f>
        <v>#REF!</v>
      </c>
      <c r="M314" s="204" t="e">
        <f>+'Estimate Details'!#REF!</f>
        <v>#REF!</v>
      </c>
      <c r="N314" s="170" t="e">
        <f>+'Estimate Details'!#REF!</f>
        <v>#REF!</v>
      </c>
      <c r="O314" s="171" t="e">
        <f>+'Estimate Details'!#REF!</f>
        <v>#REF!</v>
      </c>
      <c r="P314" s="172" t="e">
        <f>+'Estimate Details'!#REF!</f>
        <v>#REF!</v>
      </c>
      <c r="Q314" s="173" t="e">
        <f>+'Estimate Details'!#REF!</f>
        <v>#REF!</v>
      </c>
      <c r="R314" s="174" t="e">
        <f>+'Estimate Details'!#REF!</f>
        <v>#REF!</v>
      </c>
      <c r="S314" s="507"/>
      <c r="T314" s="174" t="e">
        <f>+'Estimate Details'!#REF!</f>
        <v>#REF!</v>
      </c>
      <c r="U314" s="481" t="s">
        <v>1309</v>
      </c>
      <c r="V314" s="172" t="e">
        <f>+'Estimate Details'!#REF!</f>
        <v>#REF!</v>
      </c>
      <c r="W314" s="481" t="s">
        <v>1309</v>
      </c>
      <c r="X314" s="172" t="e">
        <f>+'Estimate Details'!#REF!</f>
        <v>#REF!</v>
      </c>
      <c r="Y314" s="172" t="e">
        <f>+'Estimate Details'!#REF!</f>
        <v>#REF!</v>
      </c>
      <c r="Z314" s="174" t="e">
        <f>+'Estimate Details'!#REF!</f>
        <v>#REF!</v>
      </c>
      <c r="AA314" s="481"/>
      <c r="AB314" s="175" t="e">
        <f>+'Estimate Details'!#REF!</f>
        <v>#REF!</v>
      </c>
      <c r="AC314" s="569"/>
      <c r="AD314" s="181" t="e">
        <f>+'Estimate Details'!#REF!</f>
        <v>#REF!</v>
      </c>
      <c r="AE314" s="156"/>
      <c r="AF314" s="367"/>
      <c r="AG314" s="156"/>
      <c r="AH314" s="156"/>
      <c r="AI314" s="29"/>
      <c r="AJ314" s="29"/>
      <c r="AK314" s="29"/>
      <c r="AL314" s="29"/>
    </row>
    <row r="315" spans="1:38" ht="14.1" customHeight="1">
      <c r="A315" s="347" t="e">
        <f>+'Estimate Details'!#REF!</f>
        <v>#REF!</v>
      </c>
      <c r="B315" s="347"/>
      <c r="C315" s="347"/>
      <c r="D315" s="210"/>
      <c r="E315" s="158" t="e">
        <f>+'Estimate Details'!#REF!</f>
        <v>#REF!</v>
      </c>
      <c r="F315" s="41"/>
      <c r="G315" s="117" t="e">
        <f>+'Estimate Details'!#REF!</f>
        <v>#REF!</v>
      </c>
      <c r="H315" s="118" t="e">
        <f>+'Estimate Details'!#REF!</f>
        <v>#REF!</v>
      </c>
      <c r="I315" s="108" t="e">
        <f>+'Estimate Details'!#REF!</f>
        <v>#REF!</v>
      </c>
      <c r="J315" s="168" t="e">
        <f>+'Estimate Details'!#REF!</f>
        <v>#REF!</v>
      </c>
      <c r="K315" s="42" t="e">
        <f>+'Estimate Details'!#REF!</f>
        <v>#REF!</v>
      </c>
      <c r="L315" s="42" t="e">
        <f>+'Estimate Details'!#REF!</f>
        <v>#REF!</v>
      </c>
      <c r="M315" s="204" t="e">
        <f>+'Estimate Details'!#REF!</f>
        <v>#REF!</v>
      </c>
      <c r="N315" s="170" t="e">
        <f>+'Estimate Details'!#REF!</f>
        <v>#REF!</v>
      </c>
      <c r="O315" s="171" t="e">
        <f>+'Estimate Details'!#REF!</f>
        <v>#REF!</v>
      </c>
      <c r="P315" s="172" t="e">
        <f>+'Estimate Details'!#REF!</f>
        <v>#REF!</v>
      </c>
      <c r="Q315" s="173" t="e">
        <f>+'Estimate Details'!#REF!</f>
        <v>#REF!</v>
      </c>
      <c r="R315" s="174" t="e">
        <f>+'Estimate Details'!#REF!</f>
        <v>#REF!</v>
      </c>
      <c r="S315" s="507"/>
      <c r="T315" s="174" t="e">
        <f>+'Estimate Details'!#REF!</f>
        <v>#REF!</v>
      </c>
      <c r="U315" s="481" t="s">
        <v>1309</v>
      </c>
      <c r="V315" s="172" t="e">
        <f>+'Estimate Details'!#REF!</f>
        <v>#REF!</v>
      </c>
      <c r="W315" s="481" t="s">
        <v>1309</v>
      </c>
      <c r="X315" s="172" t="e">
        <f>+'Estimate Details'!#REF!</f>
        <v>#REF!</v>
      </c>
      <c r="Y315" s="172" t="e">
        <f>+'Estimate Details'!#REF!</f>
        <v>#REF!</v>
      </c>
      <c r="Z315" s="174" t="e">
        <f>+'Estimate Details'!#REF!</f>
        <v>#REF!</v>
      </c>
      <c r="AA315" s="481"/>
      <c r="AB315" s="175" t="e">
        <f>+'Estimate Details'!#REF!</f>
        <v>#REF!</v>
      </c>
      <c r="AC315" s="569"/>
      <c r="AD315" s="176" t="e">
        <f>+'Estimate Details'!#REF!</f>
        <v>#REF!</v>
      </c>
      <c r="AE315" s="156"/>
      <c r="AF315" s="367"/>
      <c r="AG315" s="156"/>
      <c r="AH315" s="156"/>
      <c r="AI315" s="29"/>
      <c r="AJ315" s="29"/>
      <c r="AK315" s="29"/>
      <c r="AL315" s="29"/>
    </row>
    <row r="316" spans="1:38" ht="14.1" customHeight="1">
      <c r="A316" s="347" t="e">
        <f>+'Estimate Details'!#REF!</f>
        <v>#REF!</v>
      </c>
      <c r="B316" s="347"/>
      <c r="C316" s="347"/>
      <c r="D316" s="347"/>
      <c r="E316" s="158" t="e">
        <f>+'Estimate Details'!#REF!</f>
        <v>#REF!</v>
      </c>
      <c r="F316" s="41"/>
      <c r="G316" s="117" t="e">
        <f>+'Estimate Details'!#REF!</f>
        <v>#REF!</v>
      </c>
      <c r="H316" s="118" t="e">
        <f>+'Estimate Details'!#REF!</f>
        <v>#REF!</v>
      </c>
      <c r="I316" s="108" t="e">
        <f>+'Estimate Details'!#REF!</f>
        <v>#REF!</v>
      </c>
      <c r="J316" s="168" t="e">
        <f>+'Estimate Details'!#REF!</f>
        <v>#REF!</v>
      </c>
      <c r="K316" s="42" t="e">
        <f>+'Estimate Details'!#REF!</f>
        <v>#REF!</v>
      </c>
      <c r="L316" s="42" t="e">
        <f>+'Estimate Details'!#REF!</f>
        <v>#REF!</v>
      </c>
      <c r="M316" s="204" t="e">
        <f>+'Estimate Details'!#REF!</f>
        <v>#REF!</v>
      </c>
      <c r="N316" s="170" t="e">
        <f>+'Estimate Details'!#REF!</f>
        <v>#REF!</v>
      </c>
      <c r="O316" s="171" t="e">
        <f>+'Estimate Details'!#REF!</f>
        <v>#REF!</v>
      </c>
      <c r="P316" s="172" t="e">
        <f>+'Estimate Details'!#REF!</f>
        <v>#REF!</v>
      </c>
      <c r="Q316" s="173" t="e">
        <f>+'Estimate Details'!#REF!</f>
        <v>#REF!</v>
      </c>
      <c r="R316" s="174" t="e">
        <f>+'Estimate Details'!#REF!</f>
        <v>#REF!</v>
      </c>
      <c r="S316" s="507"/>
      <c r="T316" s="174" t="e">
        <f>+'Estimate Details'!#REF!</f>
        <v>#REF!</v>
      </c>
      <c r="U316" s="481" t="s">
        <v>1309</v>
      </c>
      <c r="V316" s="172" t="e">
        <f>+'Estimate Details'!#REF!</f>
        <v>#REF!</v>
      </c>
      <c r="W316" s="481" t="s">
        <v>1309</v>
      </c>
      <c r="X316" s="172" t="e">
        <f>+'Estimate Details'!#REF!</f>
        <v>#REF!</v>
      </c>
      <c r="Y316" s="172" t="e">
        <f>+'Estimate Details'!#REF!</f>
        <v>#REF!</v>
      </c>
      <c r="Z316" s="174" t="e">
        <f>+'Estimate Details'!#REF!</f>
        <v>#REF!</v>
      </c>
      <c r="AA316" s="481"/>
      <c r="AB316" s="175" t="e">
        <f>+'Estimate Details'!#REF!</f>
        <v>#REF!</v>
      </c>
      <c r="AC316" s="569"/>
      <c r="AD316" s="176" t="e">
        <f>+'Estimate Details'!#REF!</f>
        <v>#REF!</v>
      </c>
      <c r="AE316" s="156"/>
      <c r="AF316" s="215"/>
      <c r="AG316" s="156"/>
      <c r="AH316" s="156"/>
      <c r="AI316" s="29"/>
      <c r="AJ316" s="29"/>
      <c r="AK316" s="29"/>
      <c r="AL316" s="29"/>
    </row>
    <row r="317" spans="1:38" ht="14.1" customHeight="1">
      <c r="A317" s="347" t="e">
        <f>+'Estimate Details'!#REF!</f>
        <v>#REF!</v>
      </c>
      <c r="B317" s="347"/>
      <c r="C317" s="347"/>
      <c r="D317" s="210"/>
      <c r="E317" s="158" t="e">
        <f>+'Estimate Details'!#REF!</f>
        <v>#REF!</v>
      </c>
      <c r="F317" s="41"/>
      <c r="G317" s="117" t="e">
        <f>+'Estimate Details'!#REF!</f>
        <v>#REF!</v>
      </c>
      <c r="H317" s="118" t="e">
        <f>+'Estimate Details'!#REF!</f>
        <v>#REF!</v>
      </c>
      <c r="I317" s="108" t="e">
        <f>+'Estimate Details'!#REF!</f>
        <v>#REF!</v>
      </c>
      <c r="J317" s="168" t="e">
        <f>+'Estimate Details'!#REF!</f>
        <v>#REF!</v>
      </c>
      <c r="K317" s="42" t="e">
        <f>+'Estimate Details'!#REF!</f>
        <v>#REF!</v>
      </c>
      <c r="L317" s="42" t="e">
        <f>+'Estimate Details'!#REF!</f>
        <v>#REF!</v>
      </c>
      <c r="M317" s="204" t="e">
        <f>+'Estimate Details'!#REF!</f>
        <v>#REF!</v>
      </c>
      <c r="N317" s="170" t="e">
        <f>+'Estimate Details'!#REF!</f>
        <v>#REF!</v>
      </c>
      <c r="O317" s="171" t="e">
        <f>+'Estimate Details'!#REF!</f>
        <v>#REF!</v>
      </c>
      <c r="P317" s="172" t="e">
        <f>+'Estimate Details'!#REF!</f>
        <v>#REF!</v>
      </c>
      <c r="Q317" s="173" t="e">
        <f>+'Estimate Details'!#REF!</f>
        <v>#REF!</v>
      </c>
      <c r="R317" s="174" t="e">
        <f>+'Estimate Details'!#REF!</f>
        <v>#REF!</v>
      </c>
      <c r="S317" s="507"/>
      <c r="T317" s="174" t="e">
        <f>+'Estimate Details'!#REF!</f>
        <v>#REF!</v>
      </c>
      <c r="U317" s="481" t="s">
        <v>1309</v>
      </c>
      <c r="V317" s="172" t="e">
        <f>+'Estimate Details'!#REF!</f>
        <v>#REF!</v>
      </c>
      <c r="W317" s="481" t="s">
        <v>1309</v>
      </c>
      <c r="X317" s="172" t="e">
        <f>+'Estimate Details'!#REF!</f>
        <v>#REF!</v>
      </c>
      <c r="Y317" s="172" t="e">
        <f>+'Estimate Details'!#REF!</f>
        <v>#REF!</v>
      </c>
      <c r="Z317" s="174" t="e">
        <f>+'Estimate Details'!#REF!</f>
        <v>#REF!</v>
      </c>
      <c r="AA317" s="481"/>
      <c r="AB317" s="175" t="e">
        <f>+'Estimate Details'!#REF!</f>
        <v>#REF!</v>
      </c>
      <c r="AC317" s="569"/>
      <c r="AD317" s="176" t="e">
        <f>+'Estimate Details'!#REF!</f>
        <v>#REF!</v>
      </c>
      <c r="AE317" s="156"/>
      <c r="AF317" s="367"/>
      <c r="AG317" s="156"/>
      <c r="AH317" s="156"/>
      <c r="AI317" s="29"/>
      <c r="AJ317" s="29"/>
      <c r="AK317" s="29"/>
      <c r="AL317" s="29"/>
    </row>
    <row r="318" spans="1:38" ht="14.1" customHeight="1">
      <c r="A318" s="347" t="e">
        <f>+'Estimate Details'!#REF!</f>
        <v>#REF!</v>
      </c>
      <c r="B318" s="347"/>
      <c r="C318" s="347"/>
      <c r="D318" s="210"/>
      <c r="E318" s="158" t="e">
        <f>+'Estimate Details'!#REF!</f>
        <v>#REF!</v>
      </c>
      <c r="F318" s="41"/>
      <c r="G318" s="117" t="e">
        <f>+'Estimate Details'!#REF!</f>
        <v>#REF!</v>
      </c>
      <c r="H318" s="118" t="e">
        <f>+'Estimate Details'!#REF!</f>
        <v>#REF!</v>
      </c>
      <c r="I318" s="108" t="e">
        <f>+'Estimate Details'!#REF!</f>
        <v>#REF!</v>
      </c>
      <c r="J318" s="168" t="e">
        <f>+'Estimate Details'!#REF!</f>
        <v>#REF!</v>
      </c>
      <c r="K318" s="42" t="e">
        <f>+'Estimate Details'!#REF!</f>
        <v>#REF!</v>
      </c>
      <c r="L318" s="42" t="e">
        <f>+'Estimate Details'!#REF!</f>
        <v>#REF!</v>
      </c>
      <c r="M318" s="204" t="e">
        <f>+'Estimate Details'!#REF!</f>
        <v>#REF!</v>
      </c>
      <c r="N318" s="170" t="e">
        <f>+'Estimate Details'!#REF!</f>
        <v>#REF!</v>
      </c>
      <c r="O318" s="171" t="e">
        <f>+'Estimate Details'!#REF!</f>
        <v>#REF!</v>
      </c>
      <c r="P318" s="172" t="e">
        <f>+'Estimate Details'!#REF!</f>
        <v>#REF!</v>
      </c>
      <c r="Q318" s="173" t="e">
        <f>+'Estimate Details'!#REF!</f>
        <v>#REF!</v>
      </c>
      <c r="R318" s="174" t="e">
        <f>+'Estimate Details'!#REF!</f>
        <v>#REF!</v>
      </c>
      <c r="S318" s="507"/>
      <c r="T318" s="174" t="e">
        <f>+'Estimate Details'!#REF!</f>
        <v>#REF!</v>
      </c>
      <c r="U318" s="481" t="s">
        <v>1309</v>
      </c>
      <c r="V318" s="172" t="e">
        <f>+'Estimate Details'!#REF!</f>
        <v>#REF!</v>
      </c>
      <c r="W318" s="481" t="s">
        <v>1309</v>
      </c>
      <c r="X318" s="172" t="e">
        <f>+'Estimate Details'!#REF!</f>
        <v>#REF!</v>
      </c>
      <c r="Y318" s="172" t="e">
        <f>+'Estimate Details'!#REF!</f>
        <v>#REF!</v>
      </c>
      <c r="Z318" s="174" t="e">
        <f>+'Estimate Details'!#REF!</f>
        <v>#REF!</v>
      </c>
      <c r="AA318" s="481"/>
      <c r="AB318" s="175" t="e">
        <f>+'Estimate Details'!#REF!</f>
        <v>#REF!</v>
      </c>
      <c r="AC318" s="569"/>
      <c r="AD318" s="176" t="e">
        <f>+'Estimate Details'!#REF!</f>
        <v>#REF!</v>
      </c>
      <c r="AE318" s="156"/>
      <c r="AF318" s="367"/>
      <c r="AG318" s="156"/>
      <c r="AH318" s="156"/>
      <c r="AI318" s="29"/>
      <c r="AJ318" s="29"/>
      <c r="AK318" s="29"/>
      <c r="AL318" s="29"/>
    </row>
    <row r="319" spans="1:38" ht="14.1" customHeight="1">
      <c r="A319" s="347" t="e">
        <f>+'Estimate Details'!#REF!</f>
        <v>#REF!</v>
      </c>
      <c r="B319" s="347"/>
      <c r="C319" s="347"/>
      <c r="D319" s="210"/>
      <c r="E319" s="158" t="e">
        <f>+'Estimate Details'!#REF!</f>
        <v>#REF!</v>
      </c>
      <c r="F319" s="41"/>
      <c r="G319" s="117" t="e">
        <f>+'Estimate Details'!#REF!</f>
        <v>#REF!</v>
      </c>
      <c r="H319" s="118" t="e">
        <f>+'Estimate Details'!#REF!</f>
        <v>#REF!</v>
      </c>
      <c r="I319" s="108" t="e">
        <f>+'Estimate Details'!#REF!</f>
        <v>#REF!</v>
      </c>
      <c r="J319" s="168" t="e">
        <f>+'Estimate Details'!#REF!</f>
        <v>#REF!</v>
      </c>
      <c r="K319" s="42" t="e">
        <f>+'Estimate Details'!#REF!</f>
        <v>#REF!</v>
      </c>
      <c r="L319" s="42" t="e">
        <f>+'Estimate Details'!#REF!</f>
        <v>#REF!</v>
      </c>
      <c r="M319" s="204" t="e">
        <f>+'Estimate Details'!#REF!</f>
        <v>#REF!</v>
      </c>
      <c r="N319" s="170" t="e">
        <f>+'Estimate Details'!#REF!</f>
        <v>#REF!</v>
      </c>
      <c r="O319" s="171" t="e">
        <f>+'Estimate Details'!#REF!</f>
        <v>#REF!</v>
      </c>
      <c r="P319" s="172" t="e">
        <f>+'Estimate Details'!#REF!</f>
        <v>#REF!</v>
      </c>
      <c r="Q319" s="173" t="e">
        <f>+'Estimate Details'!#REF!</f>
        <v>#REF!</v>
      </c>
      <c r="R319" s="174" t="e">
        <f>+'Estimate Details'!#REF!</f>
        <v>#REF!</v>
      </c>
      <c r="S319" s="507"/>
      <c r="T319" s="174" t="e">
        <f>+'Estimate Details'!#REF!</f>
        <v>#REF!</v>
      </c>
      <c r="U319" s="481" t="s">
        <v>1309</v>
      </c>
      <c r="V319" s="172" t="e">
        <f>+'Estimate Details'!#REF!</f>
        <v>#REF!</v>
      </c>
      <c r="W319" s="481" t="s">
        <v>1309</v>
      </c>
      <c r="X319" s="172" t="e">
        <f>+'Estimate Details'!#REF!</f>
        <v>#REF!</v>
      </c>
      <c r="Y319" s="172" t="e">
        <f>+'Estimate Details'!#REF!</f>
        <v>#REF!</v>
      </c>
      <c r="Z319" s="174" t="e">
        <f>+'Estimate Details'!#REF!</f>
        <v>#REF!</v>
      </c>
      <c r="AA319" s="481"/>
      <c r="AB319" s="175" t="e">
        <f>+'Estimate Details'!#REF!</f>
        <v>#REF!</v>
      </c>
      <c r="AC319" s="569"/>
      <c r="AD319" s="176" t="e">
        <f>+'Estimate Details'!#REF!</f>
        <v>#REF!</v>
      </c>
      <c r="AE319" s="156"/>
      <c r="AF319" s="367"/>
      <c r="AG319" s="156"/>
      <c r="AH319" s="156"/>
      <c r="AI319" s="29"/>
      <c r="AJ319" s="29"/>
      <c r="AK319" s="29"/>
      <c r="AL319" s="29"/>
    </row>
    <row r="320" spans="1:38" ht="13.5" customHeight="1">
      <c r="A320" s="347" t="e">
        <f>+'Estimate Details'!#REF!</f>
        <v>#REF!</v>
      </c>
      <c r="B320" s="347"/>
      <c r="C320" s="347"/>
      <c r="D320" s="210"/>
      <c r="E320" s="158" t="e">
        <f>+'Estimate Details'!#REF!</f>
        <v>#REF!</v>
      </c>
      <c r="F320" s="41"/>
      <c r="G320" s="117" t="e">
        <f>+'Estimate Details'!#REF!</f>
        <v>#REF!</v>
      </c>
      <c r="H320" s="118" t="e">
        <f>+'Estimate Details'!#REF!</f>
        <v>#REF!</v>
      </c>
      <c r="I320" s="108" t="e">
        <f>+'Estimate Details'!#REF!</f>
        <v>#REF!</v>
      </c>
      <c r="J320" s="168" t="e">
        <f>+'Estimate Details'!#REF!</f>
        <v>#REF!</v>
      </c>
      <c r="K320" s="42" t="e">
        <f>+'Estimate Details'!#REF!</f>
        <v>#REF!</v>
      </c>
      <c r="L320" s="42" t="e">
        <f>+'Estimate Details'!#REF!</f>
        <v>#REF!</v>
      </c>
      <c r="M320" s="204" t="e">
        <f>+'Estimate Details'!#REF!</f>
        <v>#REF!</v>
      </c>
      <c r="N320" s="170" t="e">
        <f>+'Estimate Details'!#REF!</f>
        <v>#REF!</v>
      </c>
      <c r="O320" s="171" t="e">
        <f>+'Estimate Details'!#REF!</f>
        <v>#REF!</v>
      </c>
      <c r="P320" s="172" t="e">
        <f>+'Estimate Details'!#REF!</f>
        <v>#REF!</v>
      </c>
      <c r="Q320" s="173" t="e">
        <f>+'Estimate Details'!#REF!</f>
        <v>#REF!</v>
      </c>
      <c r="R320" s="174" t="e">
        <f>+'Estimate Details'!#REF!</f>
        <v>#REF!</v>
      </c>
      <c r="S320" s="507"/>
      <c r="T320" s="174" t="e">
        <f>+'Estimate Details'!#REF!</f>
        <v>#REF!</v>
      </c>
      <c r="U320" s="481" t="s">
        <v>1309</v>
      </c>
      <c r="V320" s="172" t="e">
        <f>+'Estimate Details'!#REF!</f>
        <v>#REF!</v>
      </c>
      <c r="W320" s="481" t="s">
        <v>1309</v>
      </c>
      <c r="X320" s="172" t="e">
        <f>+'Estimate Details'!#REF!</f>
        <v>#REF!</v>
      </c>
      <c r="Y320" s="172" t="e">
        <f>+'Estimate Details'!#REF!</f>
        <v>#REF!</v>
      </c>
      <c r="Z320" s="174" t="e">
        <f>+'Estimate Details'!#REF!</f>
        <v>#REF!</v>
      </c>
      <c r="AA320" s="481"/>
      <c r="AB320" s="175" t="e">
        <f>+'Estimate Details'!#REF!</f>
        <v>#REF!</v>
      </c>
      <c r="AC320" s="569"/>
      <c r="AD320" s="176" t="e">
        <f>+'Estimate Details'!#REF!</f>
        <v>#REF!</v>
      </c>
      <c r="AE320" s="156"/>
      <c r="AF320" s="215"/>
      <c r="AG320" s="156"/>
      <c r="AH320" s="156"/>
      <c r="AI320" s="29"/>
      <c r="AJ320" s="29"/>
      <c r="AK320" s="29"/>
      <c r="AL320" s="29"/>
    </row>
    <row r="321" spans="1:38" ht="14.1" customHeight="1">
      <c r="A321" s="347" t="e">
        <f>+'Estimate Details'!#REF!</f>
        <v>#REF!</v>
      </c>
      <c r="B321" s="347"/>
      <c r="C321" s="347"/>
      <c r="D321" s="210"/>
      <c r="E321" s="158" t="e">
        <f>+'Estimate Details'!#REF!</f>
        <v>#REF!</v>
      </c>
      <c r="F321" s="41"/>
      <c r="G321" s="117" t="e">
        <f>+'Estimate Details'!#REF!</f>
        <v>#REF!</v>
      </c>
      <c r="H321" s="118" t="e">
        <f>+'Estimate Details'!#REF!</f>
        <v>#REF!</v>
      </c>
      <c r="I321" s="108" t="e">
        <f>+'Estimate Details'!#REF!</f>
        <v>#REF!</v>
      </c>
      <c r="J321" s="168" t="e">
        <f>+'Estimate Details'!#REF!</f>
        <v>#REF!</v>
      </c>
      <c r="K321" s="42" t="e">
        <f>+'Estimate Details'!#REF!</f>
        <v>#REF!</v>
      </c>
      <c r="L321" s="42" t="e">
        <f>+'Estimate Details'!#REF!</f>
        <v>#REF!</v>
      </c>
      <c r="M321" s="204" t="e">
        <f>+'Estimate Details'!#REF!</f>
        <v>#REF!</v>
      </c>
      <c r="N321" s="170" t="e">
        <f>+'Estimate Details'!#REF!</f>
        <v>#REF!</v>
      </c>
      <c r="O321" s="171" t="e">
        <f>+'Estimate Details'!#REF!</f>
        <v>#REF!</v>
      </c>
      <c r="P321" s="172" t="e">
        <f>+'Estimate Details'!#REF!</f>
        <v>#REF!</v>
      </c>
      <c r="Q321" s="173" t="e">
        <f>+'Estimate Details'!#REF!</f>
        <v>#REF!</v>
      </c>
      <c r="R321" s="174" t="e">
        <f>+'Estimate Details'!#REF!</f>
        <v>#REF!</v>
      </c>
      <c r="S321" s="507"/>
      <c r="T321" s="174" t="e">
        <f>+'Estimate Details'!#REF!</f>
        <v>#REF!</v>
      </c>
      <c r="U321" s="481" t="s">
        <v>1309</v>
      </c>
      <c r="V321" s="172" t="e">
        <f>+'Estimate Details'!#REF!</f>
        <v>#REF!</v>
      </c>
      <c r="W321" s="481" t="s">
        <v>1309</v>
      </c>
      <c r="X321" s="172" t="e">
        <f>+'Estimate Details'!#REF!</f>
        <v>#REF!</v>
      </c>
      <c r="Y321" s="172" t="e">
        <f>+'Estimate Details'!#REF!</f>
        <v>#REF!</v>
      </c>
      <c r="Z321" s="174" t="e">
        <f>+'Estimate Details'!#REF!</f>
        <v>#REF!</v>
      </c>
      <c r="AA321" s="481"/>
      <c r="AB321" s="175" t="e">
        <f>+'Estimate Details'!#REF!</f>
        <v>#REF!</v>
      </c>
      <c r="AC321" s="569"/>
      <c r="AD321" s="176" t="e">
        <f>+'Estimate Details'!#REF!</f>
        <v>#REF!</v>
      </c>
      <c r="AE321" s="156"/>
      <c r="AF321" s="368"/>
      <c r="AG321" s="156"/>
      <c r="AH321" s="156"/>
      <c r="AI321" s="29"/>
      <c r="AJ321" s="29"/>
      <c r="AK321" s="29"/>
      <c r="AL321" s="29"/>
    </row>
    <row r="322" spans="1:38" ht="14.1" customHeight="1">
      <c r="A322" s="347" t="e">
        <f>+'Estimate Details'!#REF!</f>
        <v>#REF!</v>
      </c>
      <c r="B322" s="347"/>
      <c r="C322" s="347"/>
      <c r="D322" s="347"/>
      <c r="E322" s="158" t="e">
        <f>+'Estimate Details'!#REF!</f>
        <v>#REF!</v>
      </c>
      <c r="F322" s="41"/>
      <c r="G322" s="117" t="e">
        <f>+'Estimate Details'!#REF!</f>
        <v>#REF!</v>
      </c>
      <c r="H322" s="118" t="e">
        <f>+'Estimate Details'!#REF!</f>
        <v>#REF!</v>
      </c>
      <c r="I322" s="108" t="e">
        <f>+'Estimate Details'!#REF!</f>
        <v>#REF!</v>
      </c>
      <c r="J322" s="168" t="e">
        <f>+'Estimate Details'!#REF!</f>
        <v>#REF!</v>
      </c>
      <c r="K322" s="42" t="e">
        <f>+'Estimate Details'!#REF!</f>
        <v>#REF!</v>
      </c>
      <c r="L322" s="42" t="e">
        <f>+'Estimate Details'!#REF!</f>
        <v>#REF!</v>
      </c>
      <c r="M322" s="204" t="e">
        <f>+'Estimate Details'!#REF!</f>
        <v>#REF!</v>
      </c>
      <c r="N322" s="170" t="e">
        <f>+'Estimate Details'!#REF!</f>
        <v>#REF!</v>
      </c>
      <c r="O322" s="171" t="e">
        <f>+'Estimate Details'!#REF!</f>
        <v>#REF!</v>
      </c>
      <c r="P322" s="172" t="e">
        <f>+'Estimate Details'!#REF!</f>
        <v>#REF!</v>
      </c>
      <c r="Q322" s="173" t="e">
        <f>+'Estimate Details'!#REF!</f>
        <v>#REF!</v>
      </c>
      <c r="R322" s="174" t="e">
        <f>+'Estimate Details'!#REF!</f>
        <v>#REF!</v>
      </c>
      <c r="S322" s="507"/>
      <c r="T322" s="174" t="e">
        <f>+'Estimate Details'!#REF!</f>
        <v>#REF!</v>
      </c>
      <c r="U322" s="481" t="s">
        <v>1309</v>
      </c>
      <c r="V322" s="172" t="e">
        <f>+'Estimate Details'!#REF!</f>
        <v>#REF!</v>
      </c>
      <c r="W322" s="481" t="s">
        <v>1309</v>
      </c>
      <c r="X322" s="172" t="e">
        <f>+'Estimate Details'!#REF!</f>
        <v>#REF!</v>
      </c>
      <c r="Y322" s="172" t="e">
        <f>+'Estimate Details'!#REF!</f>
        <v>#REF!</v>
      </c>
      <c r="Z322" s="174" t="e">
        <f>+'Estimate Details'!#REF!</f>
        <v>#REF!</v>
      </c>
      <c r="AA322" s="481"/>
      <c r="AB322" s="175" t="e">
        <f>+'Estimate Details'!#REF!</f>
        <v>#REF!</v>
      </c>
      <c r="AC322" s="569"/>
      <c r="AD322" s="176" t="e">
        <f>+'Estimate Details'!#REF!</f>
        <v>#REF!</v>
      </c>
      <c r="AE322" s="156"/>
      <c r="AF322" s="368"/>
      <c r="AG322" s="156"/>
      <c r="AH322" s="156"/>
      <c r="AI322" s="29"/>
      <c r="AJ322" s="29"/>
      <c r="AK322" s="29"/>
      <c r="AL322" s="29"/>
    </row>
    <row r="323" spans="1:38" ht="14.1" customHeight="1">
      <c r="A323" s="347" t="e">
        <f>+'Estimate Details'!#REF!</f>
        <v>#REF!</v>
      </c>
      <c r="B323" s="347"/>
      <c r="C323" s="347"/>
      <c r="D323" s="210"/>
      <c r="E323" s="158" t="e">
        <f>+'Estimate Details'!#REF!</f>
        <v>#REF!</v>
      </c>
      <c r="F323" s="41"/>
      <c r="G323" s="117" t="e">
        <f>+'Estimate Details'!#REF!</f>
        <v>#REF!</v>
      </c>
      <c r="H323" s="118" t="e">
        <f>+'Estimate Details'!#REF!</f>
        <v>#REF!</v>
      </c>
      <c r="I323" s="108" t="e">
        <f>+'Estimate Details'!#REF!</f>
        <v>#REF!</v>
      </c>
      <c r="J323" s="168" t="e">
        <f>+'Estimate Details'!#REF!</f>
        <v>#REF!</v>
      </c>
      <c r="K323" s="42" t="e">
        <f>+'Estimate Details'!#REF!</f>
        <v>#REF!</v>
      </c>
      <c r="L323" s="42" t="e">
        <f>+'Estimate Details'!#REF!</f>
        <v>#REF!</v>
      </c>
      <c r="M323" s="204" t="e">
        <f>+'Estimate Details'!#REF!</f>
        <v>#REF!</v>
      </c>
      <c r="N323" s="170" t="e">
        <f>+'Estimate Details'!#REF!</f>
        <v>#REF!</v>
      </c>
      <c r="O323" s="171" t="e">
        <f>+'Estimate Details'!#REF!</f>
        <v>#REF!</v>
      </c>
      <c r="P323" s="172" t="e">
        <f>+'Estimate Details'!#REF!</f>
        <v>#REF!</v>
      </c>
      <c r="Q323" s="173" t="e">
        <f>+'Estimate Details'!#REF!</f>
        <v>#REF!</v>
      </c>
      <c r="R323" s="174" t="e">
        <f>+'Estimate Details'!#REF!</f>
        <v>#REF!</v>
      </c>
      <c r="S323" s="507"/>
      <c r="T323" s="174" t="e">
        <f>+'Estimate Details'!#REF!</f>
        <v>#REF!</v>
      </c>
      <c r="U323" s="481" t="s">
        <v>1309</v>
      </c>
      <c r="V323" s="172" t="e">
        <f>+'Estimate Details'!#REF!</f>
        <v>#REF!</v>
      </c>
      <c r="W323" s="481" t="s">
        <v>1309</v>
      </c>
      <c r="X323" s="172" t="e">
        <f>+'Estimate Details'!#REF!</f>
        <v>#REF!</v>
      </c>
      <c r="Y323" s="172" t="e">
        <f>+'Estimate Details'!#REF!</f>
        <v>#REF!</v>
      </c>
      <c r="Z323" s="174" t="e">
        <f>+'Estimate Details'!#REF!</f>
        <v>#REF!</v>
      </c>
      <c r="AA323" s="481"/>
      <c r="AB323" s="175" t="e">
        <f>+'Estimate Details'!#REF!</f>
        <v>#REF!</v>
      </c>
      <c r="AC323" s="569"/>
      <c r="AD323" s="176" t="e">
        <f>+'Estimate Details'!#REF!</f>
        <v>#REF!</v>
      </c>
      <c r="AE323" s="156"/>
      <c r="AF323" s="367"/>
      <c r="AG323" s="156"/>
      <c r="AH323" s="156"/>
      <c r="AI323" s="29"/>
      <c r="AJ323" s="29"/>
      <c r="AK323" s="29"/>
      <c r="AL323" s="29"/>
    </row>
    <row r="324" spans="1:38" ht="14.1" customHeight="1">
      <c r="A324" s="347" t="e">
        <f>+'Estimate Details'!#REF!</f>
        <v>#REF!</v>
      </c>
      <c r="B324" s="347"/>
      <c r="C324" s="347"/>
      <c r="D324" s="210"/>
      <c r="E324" s="158" t="e">
        <f>+'Estimate Details'!#REF!</f>
        <v>#REF!</v>
      </c>
      <c r="F324" s="41"/>
      <c r="G324" s="117" t="e">
        <f>+'Estimate Details'!#REF!</f>
        <v>#REF!</v>
      </c>
      <c r="H324" s="118" t="e">
        <f>+'Estimate Details'!#REF!</f>
        <v>#REF!</v>
      </c>
      <c r="I324" s="108" t="e">
        <f>+'Estimate Details'!#REF!</f>
        <v>#REF!</v>
      </c>
      <c r="J324" s="168" t="e">
        <f>+'Estimate Details'!#REF!</f>
        <v>#REF!</v>
      </c>
      <c r="K324" s="42" t="e">
        <f>+'Estimate Details'!#REF!</f>
        <v>#REF!</v>
      </c>
      <c r="L324" s="42" t="e">
        <f>+'Estimate Details'!#REF!</f>
        <v>#REF!</v>
      </c>
      <c r="M324" s="204" t="e">
        <f>+'Estimate Details'!#REF!</f>
        <v>#REF!</v>
      </c>
      <c r="N324" s="170" t="e">
        <f>+'Estimate Details'!#REF!</f>
        <v>#REF!</v>
      </c>
      <c r="O324" s="171" t="e">
        <f>+'Estimate Details'!#REF!</f>
        <v>#REF!</v>
      </c>
      <c r="P324" s="172" t="e">
        <f>+'Estimate Details'!#REF!</f>
        <v>#REF!</v>
      </c>
      <c r="Q324" s="173" t="e">
        <f>+'Estimate Details'!#REF!</f>
        <v>#REF!</v>
      </c>
      <c r="R324" s="174" t="e">
        <f>+'Estimate Details'!#REF!</f>
        <v>#REF!</v>
      </c>
      <c r="S324" s="507"/>
      <c r="T324" s="174" t="e">
        <f>+'Estimate Details'!#REF!</f>
        <v>#REF!</v>
      </c>
      <c r="U324" s="481" t="s">
        <v>1309</v>
      </c>
      <c r="V324" s="172" t="e">
        <f>+'Estimate Details'!#REF!</f>
        <v>#REF!</v>
      </c>
      <c r="W324" s="481" t="s">
        <v>1309</v>
      </c>
      <c r="X324" s="172" t="e">
        <f>+'Estimate Details'!#REF!</f>
        <v>#REF!</v>
      </c>
      <c r="Y324" s="172" t="e">
        <f>+'Estimate Details'!#REF!</f>
        <v>#REF!</v>
      </c>
      <c r="Z324" s="174" t="e">
        <f>+'Estimate Details'!#REF!</f>
        <v>#REF!</v>
      </c>
      <c r="AA324" s="481"/>
      <c r="AB324" s="175" t="e">
        <f>+'Estimate Details'!#REF!</f>
        <v>#REF!</v>
      </c>
      <c r="AC324" s="569"/>
      <c r="AD324" s="176" t="e">
        <f>+'Estimate Details'!#REF!</f>
        <v>#REF!</v>
      </c>
      <c r="AE324" s="156"/>
      <c r="AF324" s="369"/>
      <c r="AG324" s="156"/>
      <c r="AH324" s="156"/>
      <c r="AI324" s="29"/>
      <c r="AJ324" s="29"/>
      <c r="AK324" s="29"/>
      <c r="AL324" s="29"/>
    </row>
    <row r="325" spans="1:38" ht="14.1" customHeight="1">
      <c r="A325" s="347" t="e">
        <f>+'Estimate Details'!#REF!</f>
        <v>#REF!</v>
      </c>
      <c r="B325" s="347"/>
      <c r="C325" s="347"/>
      <c r="D325" s="210"/>
      <c r="E325" s="158" t="e">
        <f>+'Estimate Details'!#REF!</f>
        <v>#REF!</v>
      </c>
      <c r="F325" s="41"/>
      <c r="G325" s="117" t="e">
        <f>+'Estimate Details'!#REF!</f>
        <v>#REF!</v>
      </c>
      <c r="H325" s="118" t="e">
        <f>+'Estimate Details'!#REF!</f>
        <v>#REF!</v>
      </c>
      <c r="I325" s="108" t="e">
        <f>+'Estimate Details'!#REF!</f>
        <v>#REF!</v>
      </c>
      <c r="J325" s="168" t="e">
        <f>+'Estimate Details'!#REF!</f>
        <v>#REF!</v>
      </c>
      <c r="K325" s="42" t="e">
        <f>+'Estimate Details'!#REF!</f>
        <v>#REF!</v>
      </c>
      <c r="L325" s="42" t="e">
        <f>+'Estimate Details'!#REF!</f>
        <v>#REF!</v>
      </c>
      <c r="M325" s="204" t="e">
        <f>+'Estimate Details'!#REF!</f>
        <v>#REF!</v>
      </c>
      <c r="N325" s="170" t="e">
        <f>+'Estimate Details'!#REF!</f>
        <v>#REF!</v>
      </c>
      <c r="O325" s="171" t="e">
        <f>+'Estimate Details'!#REF!</f>
        <v>#REF!</v>
      </c>
      <c r="P325" s="172" t="e">
        <f>+'Estimate Details'!#REF!</f>
        <v>#REF!</v>
      </c>
      <c r="Q325" s="173" t="e">
        <f>+'Estimate Details'!#REF!</f>
        <v>#REF!</v>
      </c>
      <c r="R325" s="174" t="e">
        <f>+'Estimate Details'!#REF!</f>
        <v>#REF!</v>
      </c>
      <c r="S325" s="507"/>
      <c r="T325" s="174" t="e">
        <f>+'Estimate Details'!#REF!</f>
        <v>#REF!</v>
      </c>
      <c r="U325" s="481" t="s">
        <v>1309</v>
      </c>
      <c r="V325" s="172" t="e">
        <f>+'Estimate Details'!#REF!</f>
        <v>#REF!</v>
      </c>
      <c r="W325" s="481" t="s">
        <v>1309</v>
      </c>
      <c r="X325" s="172" t="e">
        <f>+'Estimate Details'!#REF!</f>
        <v>#REF!</v>
      </c>
      <c r="Y325" s="172" t="e">
        <f>+'Estimate Details'!#REF!</f>
        <v>#REF!</v>
      </c>
      <c r="Z325" s="174" t="e">
        <f>+'Estimate Details'!#REF!</f>
        <v>#REF!</v>
      </c>
      <c r="AA325" s="481"/>
      <c r="AB325" s="175" t="e">
        <f>+'Estimate Details'!#REF!</f>
        <v>#REF!</v>
      </c>
      <c r="AC325" s="569"/>
      <c r="AD325" s="176" t="e">
        <f>+'Estimate Details'!#REF!</f>
        <v>#REF!</v>
      </c>
      <c r="AE325" s="156"/>
      <c r="AF325" s="367"/>
      <c r="AG325" s="156"/>
      <c r="AH325" s="156"/>
      <c r="AI325" s="29"/>
      <c r="AJ325" s="29"/>
      <c r="AK325" s="29"/>
      <c r="AL325" s="29"/>
    </row>
    <row r="326" spans="1:38" ht="14.1" customHeight="1">
      <c r="A326" s="347" t="e">
        <f>+'Estimate Details'!#REF!</f>
        <v>#REF!</v>
      </c>
      <c r="B326" s="347"/>
      <c r="C326" s="347"/>
      <c r="D326" s="210"/>
      <c r="E326" s="158" t="e">
        <f>+'Estimate Details'!#REF!</f>
        <v>#REF!</v>
      </c>
      <c r="F326" s="41"/>
      <c r="G326" s="117" t="e">
        <f>+'Estimate Details'!#REF!</f>
        <v>#REF!</v>
      </c>
      <c r="H326" s="118" t="e">
        <f>+'Estimate Details'!#REF!</f>
        <v>#REF!</v>
      </c>
      <c r="I326" s="108" t="e">
        <f>+'Estimate Details'!#REF!</f>
        <v>#REF!</v>
      </c>
      <c r="J326" s="168" t="e">
        <f>+'Estimate Details'!#REF!</f>
        <v>#REF!</v>
      </c>
      <c r="K326" s="42" t="e">
        <f>+'Estimate Details'!#REF!</f>
        <v>#REF!</v>
      </c>
      <c r="L326" s="42" t="e">
        <f>+'Estimate Details'!#REF!</f>
        <v>#REF!</v>
      </c>
      <c r="M326" s="204" t="e">
        <f>+'Estimate Details'!#REF!</f>
        <v>#REF!</v>
      </c>
      <c r="N326" s="170" t="e">
        <f>+'Estimate Details'!#REF!</f>
        <v>#REF!</v>
      </c>
      <c r="O326" s="171" t="e">
        <f>+'Estimate Details'!#REF!</f>
        <v>#REF!</v>
      </c>
      <c r="P326" s="172" t="e">
        <f>+'Estimate Details'!#REF!</f>
        <v>#REF!</v>
      </c>
      <c r="Q326" s="173" t="e">
        <f>+'Estimate Details'!#REF!</f>
        <v>#REF!</v>
      </c>
      <c r="R326" s="174" t="e">
        <f>+'Estimate Details'!#REF!</f>
        <v>#REF!</v>
      </c>
      <c r="S326" s="507"/>
      <c r="T326" s="174" t="e">
        <f>+'Estimate Details'!#REF!</f>
        <v>#REF!</v>
      </c>
      <c r="U326" s="481" t="s">
        <v>1309</v>
      </c>
      <c r="V326" s="172" t="e">
        <f>+'Estimate Details'!#REF!</f>
        <v>#REF!</v>
      </c>
      <c r="W326" s="481" t="s">
        <v>1309</v>
      </c>
      <c r="X326" s="172" t="e">
        <f>+'Estimate Details'!#REF!</f>
        <v>#REF!</v>
      </c>
      <c r="Y326" s="172" t="e">
        <f>+'Estimate Details'!#REF!</f>
        <v>#REF!</v>
      </c>
      <c r="Z326" s="174" t="e">
        <f>+'Estimate Details'!#REF!</f>
        <v>#REF!</v>
      </c>
      <c r="AA326" s="481"/>
      <c r="AB326" s="175" t="e">
        <f>+'Estimate Details'!#REF!</f>
        <v>#REF!</v>
      </c>
      <c r="AC326" s="569"/>
      <c r="AD326" s="176" t="e">
        <f>+'Estimate Details'!#REF!</f>
        <v>#REF!</v>
      </c>
      <c r="AE326" s="156"/>
      <c r="AF326" s="367"/>
      <c r="AG326" s="156"/>
      <c r="AH326" s="156"/>
      <c r="AI326" s="29"/>
      <c r="AJ326" s="29"/>
      <c r="AK326" s="29"/>
      <c r="AL326" s="29"/>
    </row>
    <row r="327" spans="1:38" ht="13.5" customHeight="1">
      <c r="A327" s="347" t="e">
        <f>+'Estimate Details'!#REF!</f>
        <v>#REF!</v>
      </c>
      <c r="B327" s="347"/>
      <c r="C327" s="347"/>
      <c r="D327" s="210"/>
      <c r="E327" s="158" t="e">
        <f>+'Estimate Details'!#REF!</f>
        <v>#REF!</v>
      </c>
      <c r="F327" s="41"/>
      <c r="G327" s="117" t="e">
        <f>+'Estimate Details'!#REF!</f>
        <v>#REF!</v>
      </c>
      <c r="H327" s="118" t="e">
        <f>+'Estimate Details'!#REF!</f>
        <v>#REF!</v>
      </c>
      <c r="I327" s="108" t="e">
        <f>+'Estimate Details'!#REF!</f>
        <v>#REF!</v>
      </c>
      <c r="J327" s="168" t="e">
        <f>+'Estimate Details'!#REF!</f>
        <v>#REF!</v>
      </c>
      <c r="K327" s="42" t="e">
        <f>+'Estimate Details'!#REF!</f>
        <v>#REF!</v>
      </c>
      <c r="L327" s="42" t="e">
        <f>+'Estimate Details'!#REF!</f>
        <v>#REF!</v>
      </c>
      <c r="M327" s="204" t="e">
        <f>+'Estimate Details'!#REF!</f>
        <v>#REF!</v>
      </c>
      <c r="N327" s="170" t="e">
        <f>+'Estimate Details'!#REF!</f>
        <v>#REF!</v>
      </c>
      <c r="O327" s="171" t="e">
        <f>+'Estimate Details'!#REF!</f>
        <v>#REF!</v>
      </c>
      <c r="P327" s="172" t="e">
        <f>+'Estimate Details'!#REF!</f>
        <v>#REF!</v>
      </c>
      <c r="Q327" s="173" t="e">
        <f>+'Estimate Details'!#REF!</f>
        <v>#REF!</v>
      </c>
      <c r="R327" s="174" t="e">
        <f>+'Estimate Details'!#REF!</f>
        <v>#REF!</v>
      </c>
      <c r="S327" s="507"/>
      <c r="T327" s="174" t="e">
        <f>+'Estimate Details'!#REF!</f>
        <v>#REF!</v>
      </c>
      <c r="U327" s="481" t="s">
        <v>1309</v>
      </c>
      <c r="V327" s="172" t="e">
        <f>+'Estimate Details'!#REF!</f>
        <v>#REF!</v>
      </c>
      <c r="W327" s="481" t="s">
        <v>1309</v>
      </c>
      <c r="X327" s="172" t="e">
        <f>+'Estimate Details'!#REF!</f>
        <v>#REF!</v>
      </c>
      <c r="Y327" s="172" t="e">
        <f>+'Estimate Details'!#REF!</f>
        <v>#REF!</v>
      </c>
      <c r="Z327" s="174" t="e">
        <f>+'Estimate Details'!#REF!</f>
        <v>#REF!</v>
      </c>
      <c r="AA327" s="481"/>
      <c r="AB327" s="175" t="e">
        <f>+'Estimate Details'!#REF!</f>
        <v>#REF!</v>
      </c>
      <c r="AC327" s="569"/>
      <c r="AD327" s="176" t="e">
        <f>+'Estimate Details'!#REF!</f>
        <v>#REF!</v>
      </c>
      <c r="AE327" s="156"/>
      <c r="AF327" s="367"/>
      <c r="AG327" s="156"/>
      <c r="AH327" s="156"/>
      <c r="AI327" s="29"/>
      <c r="AJ327" s="29"/>
      <c r="AK327" s="29"/>
      <c r="AL327" s="29"/>
    </row>
    <row r="328" spans="1:38">
      <c r="A328" s="347" t="e">
        <f>+'Estimate Details'!#REF!</f>
        <v>#REF!</v>
      </c>
      <c r="B328" s="347"/>
      <c r="C328" s="347"/>
      <c r="D328" s="210"/>
      <c r="E328" s="158" t="e">
        <f>+'Estimate Details'!#REF!</f>
        <v>#REF!</v>
      </c>
      <c r="F328" s="41"/>
      <c r="G328" s="117" t="e">
        <f>+'Estimate Details'!#REF!</f>
        <v>#REF!</v>
      </c>
      <c r="H328" s="118" t="e">
        <f>+'Estimate Details'!#REF!</f>
        <v>#REF!</v>
      </c>
      <c r="I328" s="108" t="e">
        <f>+'Estimate Details'!#REF!</f>
        <v>#REF!</v>
      </c>
      <c r="J328" s="168" t="e">
        <f>+'Estimate Details'!#REF!</f>
        <v>#REF!</v>
      </c>
      <c r="K328" s="42" t="e">
        <f>+'Estimate Details'!#REF!</f>
        <v>#REF!</v>
      </c>
      <c r="L328" s="42" t="e">
        <f>+'Estimate Details'!#REF!</f>
        <v>#REF!</v>
      </c>
      <c r="M328" s="204" t="e">
        <f>+'Estimate Details'!#REF!</f>
        <v>#REF!</v>
      </c>
      <c r="N328" s="170" t="e">
        <f>+'Estimate Details'!#REF!</f>
        <v>#REF!</v>
      </c>
      <c r="O328" s="171" t="e">
        <f>+'Estimate Details'!#REF!</f>
        <v>#REF!</v>
      </c>
      <c r="P328" s="172" t="e">
        <f>+'Estimate Details'!#REF!</f>
        <v>#REF!</v>
      </c>
      <c r="Q328" s="173" t="e">
        <f>+'Estimate Details'!#REF!</f>
        <v>#REF!</v>
      </c>
      <c r="R328" s="174" t="e">
        <f>+'Estimate Details'!#REF!</f>
        <v>#REF!</v>
      </c>
      <c r="S328" s="507"/>
      <c r="T328" s="174" t="e">
        <f>+'Estimate Details'!#REF!</f>
        <v>#REF!</v>
      </c>
      <c r="U328" s="481" t="s">
        <v>1309</v>
      </c>
      <c r="V328" s="172" t="e">
        <f>+'Estimate Details'!#REF!</f>
        <v>#REF!</v>
      </c>
      <c r="W328" s="481" t="s">
        <v>1309</v>
      </c>
      <c r="X328" s="172" t="e">
        <f>+'Estimate Details'!#REF!</f>
        <v>#REF!</v>
      </c>
      <c r="Y328" s="172" t="e">
        <f>+'Estimate Details'!#REF!</f>
        <v>#REF!</v>
      </c>
      <c r="Z328" s="174" t="e">
        <f>+'Estimate Details'!#REF!</f>
        <v>#REF!</v>
      </c>
      <c r="AA328" s="481"/>
      <c r="AB328" s="175" t="e">
        <f>+'Estimate Details'!#REF!</f>
        <v>#REF!</v>
      </c>
      <c r="AC328" s="569"/>
      <c r="AD328" s="176" t="e">
        <f>+'Estimate Details'!#REF!</f>
        <v>#REF!</v>
      </c>
      <c r="AE328" s="156"/>
      <c r="AF328" s="367"/>
      <c r="AG328" s="156"/>
      <c r="AH328" s="156"/>
      <c r="AI328" s="29"/>
      <c r="AJ328" s="29"/>
      <c r="AK328" s="29"/>
      <c r="AL328" s="29"/>
    </row>
    <row r="329" spans="1:38">
      <c r="A329" s="347" t="e">
        <f>+'Estimate Details'!#REF!</f>
        <v>#REF!</v>
      </c>
      <c r="B329" s="347"/>
      <c r="C329" s="347"/>
      <c r="D329" s="210"/>
      <c r="E329" s="158" t="e">
        <f>+'Estimate Details'!#REF!</f>
        <v>#REF!</v>
      </c>
      <c r="F329" s="41"/>
      <c r="G329" s="117" t="e">
        <f>+'Estimate Details'!#REF!</f>
        <v>#REF!</v>
      </c>
      <c r="H329" s="118" t="e">
        <f>+'Estimate Details'!#REF!</f>
        <v>#REF!</v>
      </c>
      <c r="I329" s="108" t="e">
        <f>+'Estimate Details'!#REF!</f>
        <v>#REF!</v>
      </c>
      <c r="J329" s="168" t="e">
        <f>+'Estimate Details'!#REF!</f>
        <v>#REF!</v>
      </c>
      <c r="K329" s="42" t="e">
        <f>+'Estimate Details'!#REF!</f>
        <v>#REF!</v>
      </c>
      <c r="L329" s="42" t="e">
        <f>+'Estimate Details'!#REF!</f>
        <v>#REF!</v>
      </c>
      <c r="M329" s="204" t="e">
        <f>+'Estimate Details'!#REF!</f>
        <v>#REF!</v>
      </c>
      <c r="N329" s="170" t="e">
        <f>+'Estimate Details'!#REF!</f>
        <v>#REF!</v>
      </c>
      <c r="O329" s="171" t="e">
        <f>+'Estimate Details'!#REF!</f>
        <v>#REF!</v>
      </c>
      <c r="P329" s="172" t="e">
        <f>+'Estimate Details'!#REF!</f>
        <v>#REF!</v>
      </c>
      <c r="Q329" s="173" t="e">
        <f>+'Estimate Details'!#REF!</f>
        <v>#REF!</v>
      </c>
      <c r="R329" s="174" t="e">
        <f>+'Estimate Details'!#REF!</f>
        <v>#REF!</v>
      </c>
      <c r="S329" s="507"/>
      <c r="T329" s="174" t="e">
        <f>+'Estimate Details'!#REF!</f>
        <v>#REF!</v>
      </c>
      <c r="U329" s="481" t="s">
        <v>1309</v>
      </c>
      <c r="V329" s="172" t="e">
        <f>+'Estimate Details'!#REF!</f>
        <v>#REF!</v>
      </c>
      <c r="W329" s="481" t="s">
        <v>1309</v>
      </c>
      <c r="X329" s="172" t="e">
        <f>+'Estimate Details'!#REF!</f>
        <v>#REF!</v>
      </c>
      <c r="Y329" s="172" t="e">
        <f>+'Estimate Details'!#REF!</f>
        <v>#REF!</v>
      </c>
      <c r="Z329" s="174" t="e">
        <f>+'Estimate Details'!#REF!</f>
        <v>#REF!</v>
      </c>
      <c r="AA329" s="481"/>
      <c r="AB329" s="175" t="e">
        <f>+'Estimate Details'!#REF!</f>
        <v>#REF!</v>
      </c>
      <c r="AC329" s="569"/>
      <c r="AD329" s="176" t="e">
        <f>+'Estimate Details'!#REF!</f>
        <v>#REF!</v>
      </c>
      <c r="AE329" s="156"/>
      <c r="AF329" s="367"/>
      <c r="AG329" s="156"/>
      <c r="AH329" s="156"/>
      <c r="AI329" s="29"/>
      <c r="AJ329" s="29"/>
      <c r="AK329" s="29"/>
      <c r="AL329" s="29"/>
    </row>
    <row r="330" spans="1:38">
      <c r="A330" s="347" t="e">
        <f>+'Estimate Details'!#REF!</f>
        <v>#REF!</v>
      </c>
      <c r="B330" s="347"/>
      <c r="C330" s="347"/>
      <c r="D330" s="210"/>
      <c r="E330" s="158" t="e">
        <f>+'Estimate Details'!#REF!</f>
        <v>#REF!</v>
      </c>
      <c r="F330" s="41"/>
      <c r="G330" s="117" t="e">
        <f>+'Estimate Details'!#REF!</f>
        <v>#REF!</v>
      </c>
      <c r="H330" s="118" t="e">
        <f>+'Estimate Details'!#REF!</f>
        <v>#REF!</v>
      </c>
      <c r="I330" s="108" t="e">
        <f>+'Estimate Details'!#REF!</f>
        <v>#REF!</v>
      </c>
      <c r="J330" s="168" t="e">
        <f>+'Estimate Details'!#REF!</f>
        <v>#REF!</v>
      </c>
      <c r="K330" s="42" t="e">
        <f>+'Estimate Details'!#REF!</f>
        <v>#REF!</v>
      </c>
      <c r="L330" s="42" t="e">
        <f>+'Estimate Details'!#REF!</f>
        <v>#REF!</v>
      </c>
      <c r="M330" s="204" t="e">
        <f>+'Estimate Details'!#REF!</f>
        <v>#REF!</v>
      </c>
      <c r="N330" s="170" t="e">
        <f>+'Estimate Details'!#REF!</f>
        <v>#REF!</v>
      </c>
      <c r="O330" s="171" t="e">
        <f>+'Estimate Details'!#REF!</f>
        <v>#REF!</v>
      </c>
      <c r="P330" s="172" t="e">
        <f>+'Estimate Details'!#REF!</f>
        <v>#REF!</v>
      </c>
      <c r="Q330" s="173" t="e">
        <f>+'Estimate Details'!#REF!</f>
        <v>#REF!</v>
      </c>
      <c r="R330" s="174" t="e">
        <f>+'Estimate Details'!#REF!</f>
        <v>#REF!</v>
      </c>
      <c r="S330" s="507"/>
      <c r="T330" s="174" t="e">
        <f>+'Estimate Details'!#REF!</f>
        <v>#REF!</v>
      </c>
      <c r="U330" s="481" t="s">
        <v>1309</v>
      </c>
      <c r="V330" s="172" t="e">
        <f>+'Estimate Details'!#REF!</f>
        <v>#REF!</v>
      </c>
      <c r="W330" s="481" t="s">
        <v>1309</v>
      </c>
      <c r="X330" s="172" t="e">
        <f>+'Estimate Details'!#REF!</f>
        <v>#REF!</v>
      </c>
      <c r="Y330" s="172" t="e">
        <f>+'Estimate Details'!#REF!</f>
        <v>#REF!</v>
      </c>
      <c r="Z330" s="174" t="e">
        <f>+'Estimate Details'!#REF!</f>
        <v>#REF!</v>
      </c>
      <c r="AA330" s="481"/>
      <c r="AB330" s="175" t="e">
        <f>+'Estimate Details'!#REF!</f>
        <v>#REF!</v>
      </c>
      <c r="AC330" s="569"/>
      <c r="AD330" s="176" t="e">
        <f>+'Estimate Details'!#REF!</f>
        <v>#REF!</v>
      </c>
      <c r="AE330" s="156"/>
      <c r="AF330" s="215"/>
      <c r="AG330" s="156"/>
      <c r="AH330" s="156"/>
      <c r="AI330" s="29"/>
      <c r="AJ330" s="29"/>
      <c r="AK330" s="29"/>
      <c r="AL330" s="29"/>
    </row>
    <row r="331" spans="1:38" ht="14.1" customHeight="1">
      <c r="A331" s="347" t="e">
        <f>+'Estimate Details'!#REF!</f>
        <v>#REF!</v>
      </c>
      <c r="B331" s="347"/>
      <c r="C331" s="347"/>
      <c r="D331" s="210"/>
      <c r="E331" s="158" t="e">
        <f>+'Estimate Details'!#REF!</f>
        <v>#REF!</v>
      </c>
      <c r="F331" s="41"/>
      <c r="G331" s="117" t="e">
        <f>+'Estimate Details'!#REF!</f>
        <v>#REF!</v>
      </c>
      <c r="H331" s="118" t="e">
        <f>+'Estimate Details'!#REF!</f>
        <v>#REF!</v>
      </c>
      <c r="I331" s="108" t="e">
        <f>+'Estimate Details'!#REF!</f>
        <v>#REF!</v>
      </c>
      <c r="J331" s="168" t="e">
        <f>+'Estimate Details'!#REF!</f>
        <v>#REF!</v>
      </c>
      <c r="K331" s="42" t="e">
        <f>+'Estimate Details'!#REF!</f>
        <v>#REF!</v>
      </c>
      <c r="L331" s="42" t="e">
        <f>+'Estimate Details'!#REF!</f>
        <v>#REF!</v>
      </c>
      <c r="M331" s="204" t="e">
        <f>+'Estimate Details'!#REF!</f>
        <v>#REF!</v>
      </c>
      <c r="N331" s="170" t="e">
        <f>+'Estimate Details'!#REF!</f>
        <v>#REF!</v>
      </c>
      <c r="O331" s="171" t="e">
        <f>+'Estimate Details'!#REF!</f>
        <v>#REF!</v>
      </c>
      <c r="P331" s="172" t="e">
        <f>+'Estimate Details'!#REF!</f>
        <v>#REF!</v>
      </c>
      <c r="Q331" s="173" t="e">
        <f>+'Estimate Details'!#REF!</f>
        <v>#REF!</v>
      </c>
      <c r="R331" s="174" t="e">
        <f>+'Estimate Details'!#REF!</f>
        <v>#REF!</v>
      </c>
      <c r="S331" s="507"/>
      <c r="T331" s="174" t="e">
        <f>+'Estimate Details'!#REF!</f>
        <v>#REF!</v>
      </c>
      <c r="U331" s="481" t="s">
        <v>1309</v>
      </c>
      <c r="V331" s="172" t="e">
        <f>+'Estimate Details'!#REF!</f>
        <v>#REF!</v>
      </c>
      <c r="W331" s="481" t="s">
        <v>1309</v>
      </c>
      <c r="X331" s="172" t="e">
        <f>+'Estimate Details'!#REF!</f>
        <v>#REF!</v>
      </c>
      <c r="Y331" s="172" t="e">
        <f>+'Estimate Details'!#REF!</f>
        <v>#REF!</v>
      </c>
      <c r="Z331" s="174" t="e">
        <f>+'Estimate Details'!#REF!</f>
        <v>#REF!</v>
      </c>
      <c r="AA331" s="481"/>
      <c r="AB331" s="175" t="e">
        <f>+'Estimate Details'!#REF!</f>
        <v>#REF!</v>
      </c>
      <c r="AC331" s="569"/>
      <c r="AD331" s="176" t="e">
        <f>+'Estimate Details'!#REF!</f>
        <v>#REF!</v>
      </c>
      <c r="AE331" s="156"/>
      <c r="AF331" s="215"/>
      <c r="AG331" s="156"/>
      <c r="AH331" s="156"/>
      <c r="AI331" s="29"/>
      <c r="AJ331" s="29"/>
      <c r="AK331" s="29"/>
      <c r="AL331" s="29"/>
    </row>
    <row r="332" spans="1:38" ht="14.1" customHeight="1">
      <c r="A332" s="347" t="e">
        <f>+'Estimate Details'!#REF!</f>
        <v>#REF!</v>
      </c>
      <c r="B332" s="347"/>
      <c r="C332" s="347"/>
      <c r="D332" s="210"/>
      <c r="E332" s="158" t="e">
        <f>+'Estimate Details'!#REF!</f>
        <v>#REF!</v>
      </c>
      <c r="F332" s="41"/>
      <c r="G332" s="117" t="e">
        <f>+'Estimate Details'!#REF!</f>
        <v>#REF!</v>
      </c>
      <c r="H332" s="118" t="e">
        <f>+'Estimate Details'!#REF!</f>
        <v>#REF!</v>
      </c>
      <c r="I332" s="108" t="e">
        <f>+'Estimate Details'!#REF!</f>
        <v>#REF!</v>
      </c>
      <c r="J332" s="168" t="e">
        <f>+'Estimate Details'!#REF!</f>
        <v>#REF!</v>
      </c>
      <c r="K332" s="42" t="e">
        <f>+'Estimate Details'!#REF!</f>
        <v>#REF!</v>
      </c>
      <c r="L332" s="42" t="e">
        <f>+'Estimate Details'!#REF!</f>
        <v>#REF!</v>
      </c>
      <c r="M332" s="204" t="e">
        <f>+'Estimate Details'!#REF!</f>
        <v>#REF!</v>
      </c>
      <c r="N332" s="170" t="e">
        <f>+'Estimate Details'!#REF!</f>
        <v>#REF!</v>
      </c>
      <c r="O332" s="171" t="e">
        <f>+'Estimate Details'!#REF!</f>
        <v>#REF!</v>
      </c>
      <c r="P332" s="172" t="e">
        <f>+'Estimate Details'!#REF!</f>
        <v>#REF!</v>
      </c>
      <c r="Q332" s="173" t="e">
        <f>+'Estimate Details'!#REF!</f>
        <v>#REF!</v>
      </c>
      <c r="R332" s="174" t="e">
        <f>+'Estimate Details'!#REF!</f>
        <v>#REF!</v>
      </c>
      <c r="S332" s="507"/>
      <c r="T332" s="174" t="e">
        <f>+'Estimate Details'!#REF!</f>
        <v>#REF!</v>
      </c>
      <c r="U332" s="481" t="s">
        <v>1309</v>
      </c>
      <c r="V332" s="172" t="e">
        <f>+'Estimate Details'!#REF!</f>
        <v>#REF!</v>
      </c>
      <c r="W332" s="481" t="s">
        <v>1309</v>
      </c>
      <c r="X332" s="172" t="e">
        <f>+'Estimate Details'!#REF!</f>
        <v>#REF!</v>
      </c>
      <c r="Y332" s="172" t="e">
        <f>+'Estimate Details'!#REF!</f>
        <v>#REF!</v>
      </c>
      <c r="Z332" s="174" t="e">
        <f>+'Estimate Details'!#REF!</f>
        <v>#REF!</v>
      </c>
      <c r="AA332" s="481"/>
      <c r="AB332" s="175" t="e">
        <f>+'Estimate Details'!#REF!</f>
        <v>#REF!</v>
      </c>
      <c r="AC332" s="569"/>
      <c r="AD332" s="176" t="e">
        <f>+'Estimate Details'!#REF!</f>
        <v>#REF!</v>
      </c>
      <c r="AE332" s="156"/>
      <c r="AF332" s="367"/>
      <c r="AG332" s="156"/>
      <c r="AH332" s="156"/>
      <c r="AI332" s="29"/>
      <c r="AJ332" s="29"/>
      <c r="AK332" s="29"/>
      <c r="AL332" s="29"/>
    </row>
    <row r="333" spans="1:38" ht="14.1" customHeight="1">
      <c r="A333" s="347" t="e">
        <f>+'Estimate Details'!#REF!</f>
        <v>#REF!</v>
      </c>
      <c r="B333" s="347"/>
      <c r="C333" s="347"/>
      <c r="D333" s="210"/>
      <c r="E333" s="158" t="e">
        <f>+'Estimate Details'!#REF!</f>
        <v>#REF!</v>
      </c>
      <c r="F333" s="41"/>
      <c r="G333" s="117" t="e">
        <f>+'Estimate Details'!#REF!</f>
        <v>#REF!</v>
      </c>
      <c r="H333" s="118" t="e">
        <f>+'Estimate Details'!#REF!</f>
        <v>#REF!</v>
      </c>
      <c r="I333" s="108" t="e">
        <f>+'Estimate Details'!#REF!</f>
        <v>#REF!</v>
      </c>
      <c r="J333" s="168" t="e">
        <f>+'Estimate Details'!#REF!</f>
        <v>#REF!</v>
      </c>
      <c r="K333" s="42" t="e">
        <f>+'Estimate Details'!#REF!</f>
        <v>#REF!</v>
      </c>
      <c r="L333" s="42" t="e">
        <f>+'Estimate Details'!#REF!</f>
        <v>#REF!</v>
      </c>
      <c r="M333" s="204" t="e">
        <f>+'Estimate Details'!#REF!</f>
        <v>#REF!</v>
      </c>
      <c r="N333" s="170" t="e">
        <f>+'Estimate Details'!#REF!</f>
        <v>#REF!</v>
      </c>
      <c r="O333" s="171" t="e">
        <f>+'Estimate Details'!#REF!</f>
        <v>#REF!</v>
      </c>
      <c r="P333" s="172" t="e">
        <f>+'Estimate Details'!#REF!</f>
        <v>#REF!</v>
      </c>
      <c r="Q333" s="173" t="e">
        <f>+'Estimate Details'!#REF!</f>
        <v>#REF!</v>
      </c>
      <c r="R333" s="174" t="e">
        <f>+'Estimate Details'!#REF!</f>
        <v>#REF!</v>
      </c>
      <c r="S333" s="507"/>
      <c r="T333" s="174" t="e">
        <f>+'Estimate Details'!#REF!</f>
        <v>#REF!</v>
      </c>
      <c r="U333" s="481" t="s">
        <v>1309</v>
      </c>
      <c r="V333" s="172" t="e">
        <f>+'Estimate Details'!#REF!</f>
        <v>#REF!</v>
      </c>
      <c r="W333" s="481" t="s">
        <v>1309</v>
      </c>
      <c r="X333" s="172" t="e">
        <f>+'Estimate Details'!#REF!</f>
        <v>#REF!</v>
      </c>
      <c r="Y333" s="172" t="e">
        <f>+'Estimate Details'!#REF!</f>
        <v>#REF!</v>
      </c>
      <c r="Z333" s="174" t="e">
        <f>+'Estimate Details'!#REF!</f>
        <v>#REF!</v>
      </c>
      <c r="AA333" s="481"/>
      <c r="AB333" s="175" t="e">
        <f>+'Estimate Details'!#REF!</f>
        <v>#REF!</v>
      </c>
      <c r="AC333" s="569"/>
      <c r="AD333" s="176" t="e">
        <f>+'Estimate Details'!#REF!</f>
        <v>#REF!</v>
      </c>
      <c r="AE333" s="156"/>
      <c r="AF333" s="367"/>
      <c r="AG333" s="156"/>
      <c r="AH333" s="156"/>
      <c r="AI333" s="29"/>
      <c r="AJ333" s="29"/>
      <c r="AK333" s="29"/>
      <c r="AL333" s="29"/>
    </row>
    <row r="334" spans="1:38" ht="14.1" customHeight="1">
      <c r="A334" s="347" t="e">
        <f>+'Estimate Details'!#REF!</f>
        <v>#REF!</v>
      </c>
      <c r="B334" s="347"/>
      <c r="C334" s="347"/>
      <c r="D334" s="210"/>
      <c r="E334" s="158" t="e">
        <f>+'Estimate Details'!#REF!</f>
        <v>#REF!</v>
      </c>
      <c r="F334" s="41"/>
      <c r="G334" s="117" t="e">
        <f>+'Estimate Details'!#REF!</f>
        <v>#REF!</v>
      </c>
      <c r="H334" s="118" t="e">
        <f>+'Estimate Details'!#REF!</f>
        <v>#REF!</v>
      </c>
      <c r="I334" s="108" t="e">
        <f>+'Estimate Details'!#REF!</f>
        <v>#REF!</v>
      </c>
      <c r="J334" s="168" t="e">
        <f>+'Estimate Details'!#REF!</f>
        <v>#REF!</v>
      </c>
      <c r="K334" s="42" t="e">
        <f>+'Estimate Details'!#REF!</f>
        <v>#REF!</v>
      </c>
      <c r="L334" s="42" t="e">
        <f>+'Estimate Details'!#REF!</f>
        <v>#REF!</v>
      </c>
      <c r="M334" s="204" t="e">
        <f>+'Estimate Details'!#REF!</f>
        <v>#REF!</v>
      </c>
      <c r="N334" s="170" t="e">
        <f>+'Estimate Details'!#REF!</f>
        <v>#REF!</v>
      </c>
      <c r="O334" s="171" t="e">
        <f>+'Estimate Details'!#REF!</f>
        <v>#REF!</v>
      </c>
      <c r="P334" s="172" t="e">
        <f>+'Estimate Details'!#REF!</f>
        <v>#REF!</v>
      </c>
      <c r="Q334" s="173" t="e">
        <f>+'Estimate Details'!#REF!</f>
        <v>#REF!</v>
      </c>
      <c r="R334" s="174" t="e">
        <f>+'Estimate Details'!#REF!</f>
        <v>#REF!</v>
      </c>
      <c r="S334" s="507"/>
      <c r="T334" s="174" t="e">
        <f>+'Estimate Details'!#REF!</f>
        <v>#REF!</v>
      </c>
      <c r="U334" s="481" t="s">
        <v>1309</v>
      </c>
      <c r="V334" s="172" t="e">
        <f>+'Estimate Details'!#REF!</f>
        <v>#REF!</v>
      </c>
      <c r="W334" s="481"/>
      <c r="X334" s="172" t="e">
        <f>+'Estimate Details'!#REF!</f>
        <v>#REF!</v>
      </c>
      <c r="Y334" s="172" t="e">
        <f>+'Estimate Details'!#REF!</f>
        <v>#REF!</v>
      </c>
      <c r="Z334" s="174" t="e">
        <f>+'Estimate Details'!#REF!</f>
        <v>#REF!</v>
      </c>
      <c r="AA334" s="481"/>
      <c r="AB334" s="175" t="e">
        <f>+'Estimate Details'!#REF!</f>
        <v>#REF!</v>
      </c>
      <c r="AC334" s="569"/>
      <c r="AD334" s="176" t="e">
        <f>+'Estimate Details'!#REF!</f>
        <v>#REF!</v>
      </c>
      <c r="AE334" s="156"/>
      <c r="AF334" s="367"/>
      <c r="AG334" s="156"/>
      <c r="AH334" s="156"/>
      <c r="AI334" s="29"/>
      <c r="AJ334" s="29"/>
      <c r="AK334" s="29"/>
      <c r="AL334" s="29"/>
    </row>
    <row r="335" spans="1:38" ht="14.1" customHeight="1">
      <c r="A335" s="307" t="e">
        <f>+'Estimate Details'!#REF!</f>
        <v>#REF!</v>
      </c>
      <c r="B335" s="307"/>
      <c r="C335" s="307"/>
      <c r="D335" s="317"/>
      <c r="E335" s="158" t="e">
        <f>+'Estimate Details'!#REF!</f>
        <v>#REF!</v>
      </c>
      <c r="F335" s="41"/>
      <c r="G335" s="117" t="e">
        <f>+'Estimate Details'!#REF!</f>
        <v>#REF!</v>
      </c>
      <c r="H335" s="41" t="e">
        <f>+'Estimate Details'!#REF!</f>
        <v>#REF!</v>
      </c>
      <c r="I335" s="108" t="e">
        <f>+'Estimate Details'!#REF!</f>
        <v>#REF!</v>
      </c>
      <c r="J335" s="42" t="e">
        <f>+'Estimate Details'!#REF!</f>
        <v>#REF!</v>
      </c>
      <c r="K335" s="42" t="e">
        <f>+'Estimate Details'!#REF!</f>
        <v>#REF!</v>
      </c>
      <c r="L335" s="42" t="e">
        <f>+'Estimate Details'!#REF!</f>
        <v>#REF!</v>
      </c>
      <c r="M335" s="177" t="e">
        <f>+'Estimate Details'!#REF!</f>
        <v>#REF!</v>
      </c>
      <c r="N335" s="170" t="e">
        <f>+'Estimate Details'!#REF!</f>
        <v>#REF!</v>
      </c>
      <c r="O335" s="171" t="e">
        <f>+'Estimate Details'!#REF!</f>
        <v>#REF!</v>
      </c>
      <c r="P335" s="172" t="e">
        <f>+'Estimate Details'!#REF!</f>
        <v>#REF!</v>
      </c>
      <c r="Q335" s="173" t="e">
        <f>+'Estimate Details'!#REF!</f>
        <v>#REF!</v>
      </c>
      <c r="R335" s="174" t="e">
        <f>+'Estimate Details'!#REF!</f>
        <v>#REF!</v>
      </c>
      <c r="S335" s="507"/>
      <c r="T335" s="174" t="e">
        <f>+'Estimate Details'!#REF!</f>
        <v>#REF!</v>
      </c>
      <c r="U335" s="481" t="s">
        <v>1309</v>
      </c>
      <c r="V335" s="172" t="e">
        <f>+'Estimate Details'!#REF!</f>
        <v>#REF!</v>
      </c>
      <c r="W335" s="481" t="s">
        <v>1309</v>
      </c>
      <c r="X335" s="172" t="e">
        <f>+'Estimate Details'!#REF!</f>
        <v>#REF!</v>
      </c>
      <c r="Y335" s="172" t="e">
        <f>+'Estimate Details'!#REF!</f>
        <v>#REF!</v>
      </c>
      <c r="Z335" s="174" t="e">
        <f>+'Estimate Details'!#REF!</f>
        <v>#REF!</v>
      </c>
      <c r="AA335" s="481"/>
      <c r="AB335" s="175" t="e">
        <f>+'Estimate Details'!#REF!</f>
        <v>#REF!</v>
      </c>
      <c r="AC335" s="569"/>
      <c r="AD335" s="176" t="e">
        <f>+'Estimate Details'!#REF!</f>
        <v>#REF!</v>
      </c>
      <c r="AE335" s="156"/>
      <c r="AF335" s="367"/>
      <c r="AG335" s="156"/>
      <c r="AH335" s="156"/>
      <c r="AI335" s="29"/>
      <c r="AJ335" s="29"/>
      <c r="AK335" s="29"/>
      <c r="AL335" s="29"/>
    </row>
    <row r="336" spans="1:38" ht="14.1" customHeight="1">
      <c r="A336" s="307" t="e">
        <f>+'Estimate Details'!#REF!</f>
        <v>#REF!</v>
      </c>
      <c r="B336" s="307"/>
      <c r="C336" s="307"/>
      <c r="D336" s="317"/>
      <c r="E336" s="158" t="e">
        <f>+'Estimate Details'!#REF!</f>
        <v>#REF!</v>
      </c>
      <c r="F336" s="41"/>
      <c r="G336" s="117" t="e">
        <f>+'Estimate Details'!#REF!</f>
        <v>#REF!</v>
      </c>
      <c r="H336" s="41" t="e">
        <f>+'Estimate Details'!#REF!</f>
        <v>#REF!</v>
      </c>
      <c r="I336" s="108" t="e">
        <f>+'Estimate Details'!#REF!</f>
        <v>#REF!</v>
      </c>
      <c r="J336" s="42" t="e">
        <f>+'Estimate Details'!#REF!</f>
        <v>#REF!</v>
      </c>
      <c r="K336" s="42" t="e">
        <f>+'Estimate Details'!#REF!</f>
        <v>#REF!</v>
      </c>
      <c r="L336" s="42" t="e">
        <f>+'Estimate Details'!#REF!</f>
        <v>#REF!</v>
      </c>
      <c r="M336" s="177" t="e">
        <f>+'Estimate Details'!#REF!</f>
        <v>#REF!</v>
      </c>
      <c r="N336" s="170" t="e">
        <f>+'Estimate Details'!#REF!</f>
        <v>#REF!</v>
      </c>
      <c r="O336" s="171" t="e">
        <f>+'Estimate Details'!#REF!</f>
        <v>#REF!</v>
      </c>
      <c r="P336" s="172" t="e">
        <f>+'Estimate Details'!#REF!</f>
        <v>#REF!</v>
      </c>
      <c r="Q336" s="173" t="e">
        <f>+'Estimate Details'!#REF!</f>
        <v>#REF!</v>
      </c>
      <c r="R336" s="174" t="e">
        <f>+'Estimate Details'!#REF!</f>
        <v>#REF!</v>
      </c>
      <c r="S336" s="507"/>
      <c r="T336" s="174" t="e">
        <f>+'Estimate Details'!#REF!</f>
        <v>#REF!</v>
      </c>
      <c r="U336" s="481" t="s">
        <v>1309</v>
      </c>
      <c r="V336" s="172" t="e">
        <f>+'Estimate Details'!#REF!</f>
        <v>#REF!</v>
      </c>
      <c r="W336" s="481" t="s">
        <v>1309</v>
      </c>
      <c r="X336" s="172" t="e">
        <f>+'Estimate Details'!#REF!</f>
        <v>#REF!</v>
      </c>
      <c r="Y336" s="172" t="e">
        <f>+'Estimate Details'!#REF!</f>
        <v>#REF!</v>
      </c>
      <c r="Z336" s="174" t="e">
        <f>+'Estimate Details'!#REF!</f>
        <v>#REF!</v>
      </c>
      <c r="AA336" s="481"/>
      <c r="AB336" s="175" t="e">
        <f>+'Estimate Details'!#REF!</f>
        <v>#REF!</v>
      </c>
      <c r="AC336" s="569"/>
      <c r="AD336" s="176" t="e">
        <f>+'Estimate Details'!#REF!</f>
        <v>#REF!</v>
      </c>
      <c r="AE336" s="156"/>
      <c r="AF336" s="367"/>
      <c r="AG336" s="156"/>
      <c r="AH336" s="156"/>
      <c r="AI336" s="29"/>
      <c r="AJ336" s="29"/>
      <c r="AK336" s="29"/>
      <c r="AL336" s="29"/>
    </row>
    <row r="337" spans="1:38" ht="13.5" customHeight="1">
      <c r="A337" s="307" t="e">
        <f>+'Estimate Details'!#REF!</f>
        <v>#REF!</v>
      </c>
      <c r="B337" s="307"/>
      <c r="C337" s="307"/>
      <c r="D337" s="317"/>
      <c r="E337" s="158" t="e">
        <f>+'Estimate Details'!#REF!</f>
        <v>#REF!</v>
      </c>
      <c r="F337" s="41"/>
      <c r="G337" s="117" t="e">
        <f>+'Estimate Details'!#REF!</f>
        <v>#REF!</v>
      </c>
      <c r="H337" s="41" t="e">
        <f>+'Estimate Details'!#REF!</f>
        <v>#REF!</v>
      </c>
      <c r="I337" s="108" t="e">
        <f>+'Estimate Details'!#REF!</f>
        <v>#REF!</v>
      </c>
      <c r="J337" s="42" t="e">
        <f>+'Estimate Details'!#REF!</f>
        <v>#REF!</v>
      </c>
      <c r="K337" s="42" t="e">
        <f>+'Estimate Details'!#REF!</f>
        <v>#REF!</v>
      </c>
      <c r="L337" s="42" t="e">
        <f>+'Estimate Details'!#REF!</f>
        <v>#REF!</v>
      </c>
      <c r="M337" s="177" t="e">
        <f>+'Estimate Details'!#REF!</f>
        <v>#REF!</v>
      </c>
      <c r="N337" s="170" t="e">
        <f>+'Estimate Details'!#REF!</f>
        <v>#REF!</v>
      </c>
      <c r="O337" s="171" t="e">
        <f>+'Estimate Details'!#REF!</f>
        <v>#REF!</v>
      </c>
      <c r="P337" s="172" t="e">
        <f>+'Estimate Details'!#REF!</f>
        <v>#REF!</v>
      </c>
      <c r="Q337" s="173" t="e">
        <f>+'Estimate Details'!#REF!</f>
        <v>#REF!</v>
      </c>
      <c r="R337" s="174" t="e">
        <f>+'Estimate Details'!#REF!</f>
        <v>#REF!</v>
      </c>
      <c r="S337" s="507"/>
      <c r="T337" s="174" t="e">
        <f>+'Estimate Details'!#REF!</f>
        <v>#REF!</v>
      </c>
      <c r="U337" s="481" t="s">
        <v>1309</v>
      </c>
      <c r="V337" s="172" t="e">
        <f>+'Estimate Details'!#REF!</f>
        <v>#REF!</v>
      </c>
      <c r="W337" s="481" t="s">
        <v>1309</v>
      </c>
      <c r="X337" s="172" t="e">
        <f>+'Estimate Details'!#REF!</f>
        <v>#REF!</v>
      </c>
      <c r="Y337" s="172" t="e">
        <f>+'Estimate Details'!#REF!</f>
        <v>#REF!</v>
      </c>
      <c r="Z337" s="174" t="e">
        <f>+'Estimate Details'!#REF!</f>
        <v>#REF!</v>
      </c>
      <c r="AA337" s="481"/>
      <c r="AB337" s="175" t="e">
        <f>+'Estimate Details'!#REF!</f>
        <v>#REF!</v>
      </c>
      <c r="AC337" s="569"/>
      <c r="AD337" s="176" t="e">
        <f>+'Estimate Details'!#REF!</f>
        <v>#REF!</v>
      </c>
      <c r="AE337" s="156"/>
      <c r="AF337" s="367"/>
      <c r="AG337" s="156"/>
      <c r="AH337" s="156"/>
      <c r="AI337" s="29"/>
      <c r="AJ337" s="29"/>
      <c r="AK337" s="29"/>
      <c r="AL337" s="29"/>
    </row>
    <row r="338" spans="1:38" ht="13.5" customHeight="1">
      <c r="A338" s="307" t="e">
        <f>+'Estimate Details'!#REF!</f>
        <v>#REF!</v>
      </c>
      <c r="B338" s="307"/>
      <c r="C338" s="307"/>
      <c r="D338" s="317"/>
      <c r="E338" s="158" t="e">
        <f>+'Estimate Details'!#REF!</f>
        <v>#REF!</v>
      </c>
      <c r="F338" s="41"/>
      <c r="G338" s="117" t="e">
        <f>+'Estimate Details'!#REF!</f>
        <v>#REF!</v>
      </c>
      <c r="H338" s="41" t="e">
        <f>+'Estimate Details'!#REF!</f>
        <v>#REF!</v>
      </c>
      <c r="I338" s="217" t="e">
        <f>+'Estimate Details'!#REF!</f>
        <v>#REF!</v>
      </c>
      <c r="J338" s="42" t="e">
        <f>+'Estimate Details'!#REF!</f>
        <v>#REF!</v>
      </c>
      <c r="K338" s="42" t="e">
        <f>+'Estimate Details'!#REF!</f>
        <v>#REF!</v>
      </c>
      <c r="L338" s="42" t="e">
        <f>+'Estimate Details'!#REF!</f>
        <v>#REF!</v>
      </c>
      <c r="M338" s="204" t="e">
        <f>+'Estimate Details'!#REF!</f>
        <v>#REF!</v>
      </c>
      <c r="N338" s="170" t="e">
        <f>+'Estimate Details'!#REF!</f>
        <v>#REF!</v>
      </c>
      <c r="O338" s="171" t="e">
        <f>+'Estimate Details'!#REF!</f>
        <v>#REF!</v>
      </c>
      <c r="P338" s="172" t="e">
        <f>+'Estimate Details'!#REF!</f>
        <v>#REF!</v>
      </c>
      <c r="Q338" s="173" t="e">
        <f>+'Estimate Details'!#REF!</f>
        <v>#REF!</v>
      </c>
      <c r="R338" s="174" t="e">
        <f>+'Estimate Details'!#REF!</f>
        <v>#REF!</v>
      </c>
      <c r="S338" s="507"/>
      <c r="T338" s="174" t="e">
        <f>+'Estimate Details'!#REF!</f>
        <v>#REF!</v>
      </c>
      <c r="U338" s="481" t="s">
        <v>1309</v>
      </c>
      <c r="V338" s="172" t="e">
        <f>+'Estimate Details'!#REF!</f>
        <v>#REF!</v>
      </c>
      <c r="W338" s="481" t="s">
        <v>1309</v>
      </c>
      <c r="X338" s="172" t="e">
        <f>+'Estimate Details'!#REF!</f>
        <v>#REF!</v>
      </c>
      <c r="Y338" s="172" t="e">
        <f>+'Estimate Details'!#REF!</f>
        <v>#REF!</v>
      </c>
      <c r="Z338" s="174" t="e">
        <f>+'Estimate Details'!#REF!</f>
        <v>#REF!</v>
      </c>
      <c r="AA338" s="481"/>
      <c r="AB338" s="175" t="e">
        <f>+'Estimate Details'!#REF!</f>
        <v>#REF!</v>
      </c>
      <c r="AC338" s="569"/>
      <c r="AD338" s="155" t="e">
        <f>+'Estimate Details'!#REF!</f>
        <v>#REF!</v>
      </c>
      <c r="AE338" s="156"/>
      <c r="AF338" s="367"/>
      <c r="AG338" s="156"/>
      <c r="AH338" s="156"/>
      <c r="AI338" s="29"/>
      <c r="AJ338" s="29"/>
      <c r="AK338" s="29"/>
      <c r="AL338" s="29"/>
    </row>
    <row r="339" spans="1:38" ht="13.5" customHeight="1">
      <c r="A339" s="307" t="e">
        <f>+'Estimate Details'!#REF!</f>
        <v>#REF!</v>
      </c>
      <c r="B339" s="307"/>
      <c r="C339" s="307"/>
      <c r="D339" s="317"/>
      <c r="E339" s="158" t="e">
        <f>+'Estimate Details'!#REF!</f>
        <v>#REF!</v>
      </c>
      <c r="F339" s="160"/>
      <c r="G339" s="197" t="e">
        <f>+'Estimate Details'!#REF!</f>
        <v>#REF!</v>
      </c>
      <c r="H339" s="160" t="e">
        <f>+'Estimate Details'!#REF!</f>
        <v>#REF!</v>
      </c>
      <c r="I339" s="234" t="e">
        <f>+'Estimate Details'!#REF!</f>
        <v>#REF!</v>
      </c>
      <c r="J339" s="158" t="e">
        <f>+'Estimate Details'!#REF!</f>
        <v>#REF!</v>
      </c>
      <c r="K339" s="158" t="e">
        <f>+'Estimate Details'!#REF!</f>
        <v>#REF!</v>
      </c>
      <c r="L339" s="158" t="e">
        <f>+'Estimate Details'!#REF!</f>
        <v>#REF!</v>
      </c>
      <c r="M339" s="212" t="e">
        <f>+'Estimate Details'!#REF!</f>
        <v>#REF!</v>
      </c>
      <c r="N339" s="213" t="e">
        <f>+'Estimate Details'!#REF!</f>
        <v>#REF!</v>
      </c>
      <c r="O339" s="162" t="e">
        <f>+'Estimate Details'!#REF!</f>
        <v>#REF!</v>
      </c>
      <c r="P339" s="163" t="e">
        <f>+'Estimate Details'!#REF!</f>
        <v>#REF!</v>
      </c>
      <c r="Q339" s="203" t="e">
        <f>+'Estimate Details'!#REF!</f>
        <v>#REF!</v>
      </c>
      <c r="R339" s="164" t="e">
        <f>+'Estimate Details'!#REF!</f>
        <v>#REF!</v>
      </c>
      <c r="S339" s="506"/>
      <c r="T339" s="164" t="e">
        <f>+'Estimate Details'!#REF!</f>
        <v>#REF!</v>
      </c>
      <c r="U339" s="481" t="s">
        <v>1309</v>
      </c>
      <c r="V339" s="163" t="e">
        <f>+'Estimate Details'!#REF!</f>
        <v>#REF!</v>
      </c>
      <c r="W339" s="481" t="s">
        <v>1309</v>
      </c>
      <c r="X339" s="163" t="e">
        <f>+'Estimate Details'!#REF!</f>
        <v>#REF!</v>
      </c>
      <c r="Y339" s="163" t="e">
        <f>+'Estimate Details'!#REF!</f>
        <v>#REF!</v>
      </c>
      <c r="Z339" s="164" t="e">
        <f>+'Estimate Details'!#REF!</f>
        <v>#REF!</v>
      </c>
      <c r="AA339" s="486"/>
      <c r="AB339" s="165" t="e">
        <f>+'Estimate Details'!#REF!</f>
        <v>#REF!</v>
      </c>
      <c r="AC339" s="568"/>
      <c r="AD339" s="155" t="e">
        <f>+'Estimate Details'!#REF!</f>
        <v>#REF!</v>
      </c>
      <c r="AE339" s="156"/>
      <c r="AF339" s="367"/>
      <c r="AG339" s="156"/>
      <c r="AH339" s="156"/>
      <c r="AI339" s="29"/>
      <c r="AJ339" s="29"/>
      <c r="AK339" s="29"/>
      <c r="AL339" s="29"/>
    </row>
    <row r="340" spans="1:38">
      <c r="A340" s="307" t="e">
        <f>+'Estimate Details'!#REF!</f>
        <v>#REF!</v>
      </c>
      <c r="B340" s="307"/>
      <c r="C340" s="307"/>
      <c r="D340" s="317"/>
      <c r="E340" s="158" t="e">
        <f>+'Estimate Details'!#REF!</f>
        <v>#REF!</v>
      </c>
      <c r="F340" s="41"/>
      <c r="G340" s="375" t="e">
        <f>+'Estimate Details'!#REF!</f>
        <v>#REF!</v>
      </c>
      <c r="H340" s="41" t="e">
        <f>+'Estimate Details'!#REF!</f>
        <v>#REF!</v>
      </c>
      <c r="I340" s="217" t="e">
        <f>+'Estimate Details'!#REF!</f>
        <v>#REF!</v>
      </c>
      <c r="J340" s="42" t="e">
        <f>+'Estimate Details'!#REF!</f>
        <v>#REF!</v>
      </c>
      <c r="K340" s="42" t="e">
        <f>+'Estimate Details'!#REF!</f>
        <v>#REF!</v>
      </c>
      <c r="L340" s="42" t="e">
        <f>+'Estimate Details'!#REF!</f>
        <v>#REF!</v>
      </c>
      <c r="M340" s="204" t="e">
        <f>+'Estimate Details'!#REF!</f>
        <v>#REF!</v>
      </c>
      <c r="N340" s="170" t="e">
        <f>+'Estimate Details'!#REF!</f>
        <v>#REF!</v>
      </c>
      <c r="O340" s="171" t="e">
        <f>+'Estimate Details'!#REF!</f>
        <v>#REF!</v>
      </c>
      <c r="P340" s="172" t="e">
        <f>+'Estimate Details'!#REF!</f>
        <v>#REF!</v>
      </c>
      <c r="Q340" s="173" t="e">
        <f>+'Estimate Details'!#REF!</f>
        <v>#REF!</v>
      </c>
      <c r="R340" s="174" t="e">
        <f>+'Estimate Details'!#REF!</f>
        <v>#REF!</v>
      </c>
      <c r="S340" s="507"/>
      <c r="T340" s="174" t="e">
        <f>+'Estimate Details'!#REF!</f>
        <v>#REF!</v>
      </c>
      <c r="U340" s="481" t="s">
        <v>1309</v>
      </c>
      <c r="V340" s="172" t="e">
        <f>+'Estimate Details'!#REF!</f>
        <v>#REF!</v>
      </c>
      <c r="W340" s="481" t="s">
        <v>1309</v>
      </c>
      <c r="X340" s="172" t="e">
        <f>+'Estimate Details'!#REF!</f>
        <v>#REF!</v>
      </c>
      <c r="Y340" s="172" t="e">
        <f>+'Estimate Details'!#REF!</f>
        <v>#REF!</v>
      </c>
      <c r="Z340" s="174" t="e">
        <f>+'Estimate Details'!#REF!</f>
        <v>#REF!</v>
      </c>
      <c r="AA340" s="481"/>
      <c r="AB340" s="175" t="e">
        <f>+'Estimate Details'!#REF!</f>
        <v>#REF!</v>
      </c>
      <c r="AC340" s="569"/>
      <c r="AD340" s="176" t="e">
        <f>+'Estimate Details'!#REF!</f>
        <v>#REF!</v>
      </c>
      <c r="AE340" s="156"/>
      <c r="AF340" s="367"/>
      <c r="AG340" s="156"/>
      <c r="AH340" s="156"/>
      <c r="AI340" s="29"/>
      <c r="AJ340" s="29"/>
      <c r="AK340" s="29"/>
      <c r="AL340" s="29"/>
    </row>
    <row r="341" spans="1:38">
      <c r="A341" s="307" t="e">
        <f>+'Estimate Details'!#REF!</f>
        <v>#REF!</v>
      </c>
      <c r="B341" s="307"/>
      <c r="C341" s="307"/>
      <c r="D341" s="317"/>
      <c r="E341" s="158" t="e">
        <f>+'Estimate Details'!#REF!</f>
        <v>#REF!</v>
      </c>
      <c r="F341" s="41"/>
      <c r="G341" s="117" t="e">
        <f>+'Estimate Details'!#REF!</f>
        <v>#REF!</v>
      </c>
      <c r="H341" s="41" t="e">
        <f>+'Estimate Details'!#REF!</f>
        <v>#REF!</v>
      </c>
      <c r="I341" s="108" t="e">
        <f>+'Estimate Details'!#REF!</f>
        <v>#REF!</v>
      </c>
      <c r="J341" s="42" t="e">
        <f>+'Estimate Details'!#REF!</f>
        <v>#REF!</v>
      </c>
      <c r="K341" s="42" t="e">
        <f>+'Estimate Details'!#REF!</f>
        <v>#REF!</v>
      </c>
      <c r="L341" s="42" t="e">
        <f>+'Estimate Details'!#REF!</f>
        <v>#REF!</v>
      </c>
      <c r="M341" s="177" t="e">
        <f>+'Estimate Details'!#REF!</f>
        <v>#REF!</v>
      </c>
      <c r="N341" s="170" t="e">
        <f>+'Estimate Details'!#REF!</f>
        <v>#REF!</v>
      </c>
      <c r="O341" s="171" t="e">
        <f>+'Estimate Details'!#REF!</f>
        <v>#REF!</v>
      </c>
      <c r="P341" s="172" t="e">
        <f>+'Estimate Details'!#REF!</f>
        <v>#REF!</v>
      </c>
      <c r="Q341" s="173" t="e">
        <f>+'Estimate Details'!#REF!</f>
        <v>#REF!</v>
      </c>
      <c r="R341" s="174" t="e">
        <f>+'Estimate Details'!#REF!</f>
        <v>#REF!</v>
      </c>
      <c r="S341" s="507"/>
      <c r="T341" s="174" t="e">
        <f>+'Estimate Details'!#REF!</f>
        <v>#REF!</v>
      </c>
      <c r="U341" s="481" t="s">
        <v>1309</v>
      </c>
      <c r="V341" s="172" t="e">
        <f>+'Estimate Details'!#REF!</f>
        <v>#REF!</v>
      </c>
      <c r="W341" s="481" t="s">
        <v>1309</v>
      </c>
      <c r="X341" s="172" t="e">
        <f>+'Estimate Details'!#REF!</f>
        <v>#REF!</v>
      </c>
      <c r="Y341" s="172" t="e">
        <f>+'Estimate Details'!#REF!</f>
        <v>#REF!</v>
      </c>
      <c r="Z341" s="174" t="e">
        <f>+'Estimate Details'!#REF!</f>
        <v>#REF!</v>
      </c>
      <c r="AA341" s="481"/>
      <c r="AB341" s="175" t="e">
        <f>+'Estimate Details'!#REF!</f>
        <v>#REF!</v>
      </c>
      <c r="AC341" s="569"/>
      <c r="AD341" s="176" t="e">
        <f>+'Estimate Details'!#REF!</f>
        <v>#REF!</v>
      </c>
      <c r="AE341" s="156"/>
      <c r="AF341" s="367"/>
      <c r="AG341" s="156"/>
      <c r="AH341" s="156"/>
      <c r="AI341" s="29"/>
      <c r="AJ341" s="29"/>
      <c r="AK341" s="29"/>
      <c r="AL341" s="29"/>
    </row>
    <row r="342" spans="1:38" ht="14.1" customHeight="1">
      <c r="A342" s="307" t="e">
        <f>+'Estimate Details'!#REF!</f>
        <v>#REF!</v>
      </c>
      <c r="B342" s="307"/>
      <c r="C342" s="307"/>
      <c r="D342" s="317"/>
      <c r="E342" s="158" t="e">
        <f>+'Estimate Details'!#REF!</f>
        <v>#REF!</v>
      </c>
      <c r="F342" s="41"/>
      <c r="G342" s="117" t="e">
        <f>+'Estimate Details'!#REF!</f>
        <v>#REF!</v>
      </c>
      <c r="H342" s="41" t="e">
        <f>+'Estimate Details'!#REF!</f>
        <v>#REF!</v>
      </c>
      <c r="I342" s="108" t="e">
        <f>+'Estimate Details'!#REF!</f>
        <v>#REF!</v>
      </c>
      <c r="J342" s="192" t="e">
        <f>+'Estimate Details'!#REF!</f>
        <v>#REF!</v>
      </c>
      <c r="K342" s="42" t="e">
        <f>+'Estimate Details'!#REF!</f>
        <v>#REF!</v>
      </c>
      <c r="L342" s="42" t="e">
        <f>+'Estimate Details'!#REF!</f>
        <v>#REF!</v>
      </c>
      <c r="M342" s="177" t="e">
        <f>+'Estimate Details'!#REF!</f>
        <v>#REF!</v>
      </c>
      <c r="N342" s="170" t="e">
        <f>+'Estimate Details'!#REF!</f>
        <v>#REF!</v>
      </c>
      <c r="O342" s="171" t="e">
        <f>+'Estimate Details'!#REF!</f>
        <v>#REF!</v>
      </c>
      <c r="P342" s="172" t="e">
        <f>+'Estimate Details'!#REF!</f>
        <v>#REF!</v>
      </c>
      <c r="Q342" s="173" t="e">
        <f>+'Estimate Details'!#REF!</f>
        <v>#REF!</v>
      </c>
      <c r="R342" s="174" t="e">
        <f>+'Estimate Details'!#REF!</f>
        <v>#REF!</v>
      </c>
      <c r="S342" s="507"/>
      <c r="T342" s="174" t="e">
        <f>+'Estimate Details'!#REF!</f>
        <v>#REF!</v>
      </c>
      <c r="U342" s="481" t="s">
        <v>1309</v>
      </c>
      <c r="V342" s="172" t="e">
        <f>+'Estimate Details'!#REF!</f>
        <v>#REF!</v>
      </c>
      <c r="W342" s="481" t="s">
        <v>1309</v>
      </c>
      <c r="X342" s="172" t="e">
        <f>+'Estimate Details'!#REF!</f>
        <v>#REF!</v>
      </c>
      <c r="Y342" s="172" t="e">
        <f>+'Estimate Details'!#REF!</f>
        <v>#REF!</v>
      </c>
      <c r="Z342" s="174" t="e">
        <f>+'Estimate Details'!#REF!</f>
        <v>#REF!</v>
      </c>
      <c r="AA342" s="481"/>
      <c r="AB342" s="175" t="e">
        <f>+'Estimate Details'!#REF!</f>
        <v>#REF!</v>
      </c>
      <c r="AC342" s="569"/>
      <c r="AD342" s="176" t="e">
        <f>+'Estimate Details'!#REF!</f>
        <v>#REF!</v>
      </c>
      <c r="AE342" s="156"/>
      <c r="AF342" s="367"/>
      <c r="AG342" s="156"/>
      <c r="AH342" s="156"/>
      <c r="AI342" s="29"/>
      <c r="AJ342" s="29"/>
      <c r="AK342" s="29"/>
      <c r="AL342" s="29"/>
    </row>
    <row r="343" spans="1:38" ht="14.1" customHeight="1">
      <c r="A343" s="307" t="e">
        <f>+'Estimate Details'!#REF!</f>
        <v>#REF!</v>
      </c>
      <c r="B343" s="307"/>
      <c r="C343" s="307"/>
      <c r="D343" s="317"/>
      <c r="E343" s="158" t="e">
        <f>+'Estimate Details'!#REF!</f>
        <v>#REF!</v>
      </c>
      <c r="F343" s="41"/>
      <c r="G343" s="117" t="e">
        <f>+'Estimate Details'!#REF!</f>
        <v>#REF!</v>
      </c>
      <c r="H343" s="41" t="e">
        <f>+'Estimate Details'!#REF!</f>
        <v>#REF!</v>
      </c>
      <c r="I343" s="108" t="e">
        <f>+'Estimate Details'!#REF!</f>
        <v>#REF!</v>
      </c>
      <c r="J343" s="192" t="e">
        <f>+'Estimate Details'!#REF!</f>
        <v>#REF!</v>
      </c>
      <c r="K343" s="42" t="e">
        <f>+'Estimate Details'!#REF!</f>
        <v>#REF!</v>
      </c>
      <c r="L343" s="42" t="e">
        <f>+'Estimate Details'!#REF!</f>
        <v>#REF!</v>
      </c>
      <c r="M343" s="177" t="e">
        <f>+'Estimate Details'!#REF!</f>
        <v>#REF!</v>
      </c>
      <c r="N343" s="170" t="e">
        <f>+'Estimate Details'!#REF!</f>
        <v>#REF!</v>
      </c>
      <c r="O343" s="171" t="e">
        <f>+'Estimate Details'!#REF!</f>
        <v>#REF!</v>
      </c>
      <c r="P343" s="172" t="e">
        <f>+'Estimate Details'!#REF!</f>
        <v>#REF!</v>
      </c>
      <c r="Q343" s="173" t="e">
        <f>+'Estimate Details'!#REF!</f>
        <v>#REF!</v>
      </c>
      <c r="R343" s="174" t="e">
        <f>+'Estimate Details'!#REF!</f>
        <v>#REF!</v>
      </c>
      <c r="S343" s="507"/>
      <c r="T343" s="174" t="e">
        <f>+'Estimate Details'!#REF!</f>
        <v>#REF!</v>
      </c>
      <c r="U343" s="481" t="s">
        <v>1309</v>
      </c>
      <c r="V343" s="172" t="e">
        <f>+'Estimate Details'!#REF!</f>
        <v>#REF!</v>
      </c>
      <c r="W343" s="481" t="s">
        <v>1309</v>
      </c>
      <c r="X343" s="172" t="e">
        <f>+'Estimate Details'!#REF!</f>
        <v>#REF!</v>
      </c>
      <c r="Y343" s="172" t="e">
        <f>+'Estimate Details'!#REF!</f>
        <v>#REF!</v>
      </c>
      <c r="Z343" s="174" t="e">
        <f>+'Estimate Details'!#REF!</f>
        <v>#REF!</v>
      </c>
      <c r="AA343" s="481"/>
      <c r="AB343" s="175" t="e">
        <f>+'Estimate Details'!#REF!</f>
        <v>#REF!</v>
      </c>
      <c r="AC343" s="569"/>
      <c r="AD343" s="176" t="e">
        <f>+'Estimate Details'!#REF!</f>
        <v>#REF!</v>
      </c>
      <c r="AE343" s="156"/>
      <c r="AF343" s="367"/>
      <c r="AG343" s="156"/>
      <c r="AH343" s="156"/>
      <c r="AI343" s="29"/>
      <c r="AJ343" s="29"/>
      <c r="AK343" s="29"/>
      <c r="AL343" s="29"/>
    </row>
    <row r="344" spans="1:38" ht="13.5" customHeight="1">
      <c r="A344" s="307" t="e">
        <f>+'Estimate Details'!#REF!</f>
        <v>#REF!</v>
      </c>
      <c r="B344" s="307"/>
      <c r="C344" s="307"/>
      <c r="D344" s="317"/>
      <c r="E344" s="158" t="e">
        <f>+'Estimate Details'!#REF!</f>
        <v>#REF!</v>
      </c>
      <c r="F344" s="41"/>
      <c r="G344" s="117" t="e">
        <f>+'Estimate Details'!#REF!</f>
        <v>#REF!</v>
      </c>
      <c r="H344" s="41" t="e">
        <f>+'Estimate Details'!#REF!</f>
        <v>#REF!</v>
      </c>
      <c r="I344" s="108" t="e">
        <f>+'Estimate Details'!#REF!</f>
        <v>#REF!</v>
      </c>
      <c r="J344" s="42" t="e">
        <f>+'Estimate Details'!#REF!</f>
        <v>#REF!</v>
      </c>
      <c r="K344" s="42" t="e">
        <f>+'Estimate Details'!#REF!</f>
        <v>#REF!</v>
      </c>
      <c r="L344" s="42" t="e">
        <f>+'Estimate Details'!#REF!</f>
        <v>#REF!</v>
      </c>
      <c r="M344" s="204" t="e">
        <f>+'Estimate Details'!#REF!</f>
        <v>#REF!</v>
      </c>
      <c r="N344" s="170" t="e">
        <f>+'Estimate Details'!#REF!</f>
        <v>#REF!</v>
      </c>
      <c r="O344" s="171" t="e">
        <f>+'Estimate Details'!#REF!</f>
        <v>#REF!</v>
      </c>
      <c r="P344" s="172" t="e">
        <f>+'Estimate Details'!#REF!</f>
        <v>#REF!</v>
      </c>
      <c r="Q344" s="173" t="e">
        <f>+'Estimate Details'!#REF!</f>
        <v>#REF!</v>
      </c>
      <c r="R344" s="174" t="e">
        <f>+'Estimate Details'!#REF!</f>
        <v>#REF!</v>
      </c>
      <c r="S344" s="507"/>
      <c r="T344" s="174" t="e">
        <f>+'Estimate Details'!#REF!</f>
        <v>#REF!</v>
      </c>
      <c r="U344" s="481" t="s">
        <v>1309</v>
      </c>
      <c r="V344" s="172" t="e">
        <f>+'Estimate Details'!#REF!</f>
        <v>#REF!</v>
      </c>
      <c r="W344" s="481" t="s">
        <v>1309</v>
      </c>
      <c r="X344" s="172" t="e">
        <f>+'Estimate Details'!#REF!</f>
        <v>#REF!</v>
      </c>
      <c r="Y344" s="172" t="e">
        <f>+'Estimate Details'!#REF!</f>
        <v>#REF!</v>
      </c>
      <c r="Z344" s="174" t="e">
        <f>+'Estimate Details'!#REF!</f>
        <v>#REF!</v>
      </c>
      <c r="AA344" s="481"/>
      <c r="AB344" s="175" t="e">
        <f>+'Estimate Details'!#REF!</f>
        <v>#REF!</v>
      </c>
      <c r="AC344" s="569"/>
      <c r="AD344" s="176" t="e">
        <f>+'Estimate Details'!#REF!</f>
        <v>#REF!</v>
      </c>
      <c r="AE344" s="156"/>
      <c r="AF344" s="156"/>
      <c r="AG344" s="156"/>
      <c r="AH344" s="156"/>
      <c r="AI344" s="29"/>
      <c r="AJ344" s="29"/>
      <c r="AK344" s="29"/>
      <c r="AL344" s="29"/>
    </row>
    <row r="345" spans="1:38" ht="13.5" customHeight="1">
      <c r="A345" s="307" t="e">
        <f>+'Estimate Details'!#REF!</f>
        <v>#REF!</v>
      </c>
      <c r="B345" s="307"/>
      <c r="C345" s="307"/>
      <c r="D345" s="317"/>
      <c r="E345" s="158" t="e">
        <f>+'Estimate Details'!#REF!</f>
        <v>#REF!</v>
      </c>
      <c r="F345" s="41"/>
      <c r="G345" s="117" t="e">
        <f>+'Estimate Details'!#REF!</f>
        <v>#REF!</v>
      </c>
      <c r="H345" s="185" t="e">
        <f>+'Estimate Details'!#REF!</f>
        <v>#REF!</v>
      </c>
      <c r="I345" s="231" t="e">
        <f>+'Estimate Details'!#REF!</f>
        <v>#REF!</v>
      </c>
      <c r="J345" s="221" t="e">
        <f>+'Estimate Details'!#REF!</f>
        <v>#REF!</v>
      </c>
      <c r="K345" s="42" t="e">
        <f>+'Estimate Details'!#REF!</f>
        <v>#REF!</v>
      </c>
      <c r="L345" s="42" t="e">
        <f>+'Estimate Details'!#REF!</f>
        <v>#REF!</v>
      </c>
      <c r="M345" s="177" t="e">
        <f>+'Estimate Details'!#REF!</f>
        <v>#REF!</v>
      </c>
      <c r="N345" s="170" t="e">
        <f>+'Estimate Details'!#REF!</f>
        <v>#REF!</v>
      </c>
      <c r="O345" s="171" t="e">
        <f>+'Estimate Details'!#REF!</f>
        <v>#REF!</v>
      </c>
      <c r="P345" s="172" t="e">
        <f>+'Estimate Details'!#REF!</f>
        <v>#REF!</v>
      </c>
      <c r="Q345" s="173" t="e">
        <f>+'Estimate Details'!#REF!</f>
        <v>#REF!</v>
      </c>
      <c r="R345" s="174" t="e">
        <f>+'Estimate Details'!#REF!</f>
        <v>#REF!</v>
      </c>
      <c r="S345" s="507"/>
      <c r="T345" s="174" t="e">
        <f>+'Estimate Details'!#REF!</f>
        <v>#REF!</v>
      </c>
      <c r="U345" s="481" t="s">
        <v>1309</v>
      </c>
      <c r="V345" s="172" t="e">
        <f>+'Estimate Details'!#REF!</f>
        <v>#REF!</v>
      </c>
      <c r="W345" s="481" t="s">
        <v>1309</v>
      </c>
      <c r="X345" s="172" t="e">
        <f>+'Estimate Details'!#REF!</f>
        <v>#REF!</v>
      </c>
      <c r="Y345" s="172" t="e">
        <f>+'Estimate Details'!#REF!</f>
        <v>#REF!</v>
      </c>
      <c r="Z345" s="174" t="e">
        <f>+'Estimate Details'!#REF!</f>
        <v>#REF!</v>
      </c>
      <c r="AA345" s="481"/>
      <c r="AB345" s="175" t="e">
        <f>+'Estimate Details'!#REF!</f>
        <v>#REF!</v>
      </c>
      <c r="AC345" s="569"/>
      <c r="AD345" s="176" t="e">
        <f>+'Estimate Details'!#REF!</f>
        <v>#REF!</v>
      </c>
      <c r="AE345" s="156"/>
      <c r="AF345" s="156"/>
      <c r="AG345" s="156"/>
      <c r="AH345" s="156"/>
      <c r="AI345" s="29"/>
      <c r="AJ345" s="29"/>
      <c r="AK345" s="29"/>
      <c r="AL345" s="29"/>
    </row>
    <row r="346" spans="1:38" ht="14.1" customHeight="1">
      <c r="A346" s="307" t="e">
        <f>+'Estimate Details'!#REF!</f>
        <v>#REF!</v>
      </c>
      <c r="B346" s="307"/>
      <c r="C346" s="307"/>
      <c r="D346" s="317"/>
      <c r="E346" s="158" t="e">
        <f>+'Estimate Details'!#REF!</f>
        <v>#REF!</v>
      </c>
      <c r="F346" s="41"/>
      <c r="G346" s="117" t="e">
        <f>+'Estimate Details'!#REF!</f>
        <v>#REF!</v>
      </c>
      <c r="H346" s="185" t="e">
        <f>+'Estimate Details'!#REF!</f>
        <v>#REF!</v>
      </c>
      <c r="I346" s="188" t="e">
        <f>+'Estimate Details'!#REF!</f>
        <v>#REF!</v>
      </c>
      <c r="J346" s="189" t="e">
        <f>+'Estimate Details'!#REF!</f>
        <v>#REF!</v>
      </c>
      <c r="K346" s="42" t="e">
        <f>+'Estimate Details'!#REF!</f>
        <v>#REF!</v>
      </c>
      <c r="L346" s="42" t="e">
        <f>+'Estimate Details'!#REF!</f>
        <v>#REF!</v>
      </c>
      <c r="M346" s="177" t="e">
        <f>+'Estimate Details'!#REF!</f>
        <v>#REF!</v>
      </c>
      <c r="N346" s="170" t="e">
        <f>+'Estimate Details'!#REF!</f>
        <v>#REF!</v>
      </c>
      <c r="O346" s="171" t="e">
        <f>+'Estimate Details'!#REF!</f>
        <v>#REF!</v>
      </c>
      <c r="P346" s="172" t="e">
        <f>+'Estimate Details'!#REF!</f>
        <v>#REF!</v>
      </c>
      <c r="Q346" s="173" t="e">
        <f>+'Estimate Details'!#REF!</f>
        <v>#REF!</v>
      </c>
      <c r="R346" s="174" t="e">
        <f>+'Estimate Details'!#REF!</f>
        <v>#REF!</v>
      </c>
      <c r="S346" s="507"/>
      <c r="T346" s="174" t="e">
        <f>+'Estimate Details'!#REF!</f>
        <v>#REF!</v>
      </c>
      <c r="U346" s="481" t="s">
        <v>1298</v>
      </c>
      <c r="V346" s="172" t="e">
        <f>+'Estimate Details'!#REF!</f>
        <v>#REF!</v>
      </c>
      <c r="W346" s="481" t="s">
        <v>1310</v>
      </c>
      <c r="X346" s="172" t="e">
        <f>+'Estimate Details'!#REF!</f>
        <v>#REF!</v>
      </c>
      <c r="Y346" s="172" t="e">
        <f>+'Estimate Details'!#REF!</f>
        <v>#REF!</v>
      </c>
      <c r="Z346" s="174" t="e">
        <f>+'Estimate Details'!#REF!</f>
        <v>#REF!</v>
      </c>
      <c r="AA346" s="481"/>
      <c r="AB346" s="175" t="e">
        <f>+'Estimate Details'!#REF!</f>
        <v>#REF!</v>
      </c>
      <c r="AC346" s="569"/>
      <c r="AD346" s="176" t="e">
        <f>+'Estimate Details'!#REF!</f>
        <v>#REF!</v>
      </c>
      <c r="AE346" s="156"/>
      <c r="AF346" s="367"/>
      <c r="AG346" s="156"/>
      <c r="AH346" s="156"/>
      <c r="AI346" s="29"/>
      <c r="AJ346" s="29"/>
      <c r="AK346" s="29"/>
      <c r="AL346" s="29"/>
    </row>
    <row r="347" spans="1:38" ht="13.5" customHeight="1">
      <c r="A347" s="307" t="e">
        <f>+'Estimate Details'!#REF!</f>
        <v>#REF!</v>
      </c>
      <c r="B347" s="307"/>
      <c r="C347" s="307"/>
      <c r="D347" s="317"/>
      <c r="E347" s="158" t="e">
        <f>+'Estimate Details'!#REF!</f>
        <v>#REF!</v>
      </c>
      <c r="F347" s="41"/>
      <c r="G347" s="117" t="e">
        <f>+'Estimate Details'!#REF!</f>
        <v>#REF!</v>
      </c>
      <c r="H347" s="41" t="e">
        <f>+'Estimate Details'!#REF!</f>
        <v>#REF!</v>
      </c>
      <c r="I347" s="108" t="e">
        <f>+'Estimate Details'!#REF!</f>
        <v>#REF!</v>
      </c>
      <c r="J347" s="192" t="e">
        <f>+'Estimate Details'!#REF!</f>
        <v>#REF!</v>
      </c>
      <c r="K347" s="42" t="e">
        <f>+'Estimate Details'!#REF!</f>
        <v>#REF!</v>
      </c>
      <c r="L347" s="42" t="e">
        <f>+'Estimate Details'!#REF!</f>
        <v>#REF!</v>
      </c>
      <c r="M347" s="177" t="e">
        <f>+'Estimate Details'!#REF!</f>
        <v>#REF!</v>
      </c>
      <c r="N347" s="170" t="e">
        <f>+'Estimate Details'!#REF!</f>
        <v>#REF!</v>
      </c>
      <c r="O347" s="171" t="e">
        <f>+'Estimate Details'!#REF!</f>
        <v>#REF!</v>
      </c>
      <c r="P347" s="172" t="e">
        <f>+'Estimate Details'!#REF!</f>
        <v>#REF!</v>
      </c>
      <c r="Q347" s="173" t="e">
        <f>+'Estimate Details'!#REF!</f>
        <v>#REF!</v>
      </c>
      <c r="R347" s="174" t="e">
        <f>+'Estimate Details'!#REF!</f>
        <v>#REF!</v>
      </c>
      <c r="S347" s="507"/>
      <c r="T347" s="174" t="e">
        <f>+'Estimate Details'!#REF!</f>
        <v>#REF!</v>
      </c>
      <c r="U347" s="481" t="s">
        <v>1310</v>
      </c>
      <c r="V347" s="172" t="e">
        <f>+'Estimate Details'!#REF!</f>
        <v>#REF!</v>
      </c>
      <c r="W347" s="481" t="s">
        <v>1310</v>
      </c>
      <c r="X347" s="172" t="e">
        <f>+'Estimate Details'!#REF!</f>
        <v>#REF!</v>
      </c>
      <c r="Y347" s="172" t="e">
        <f>+'Estimate Details'!#REF!</f>
        <v>#REF!</v>
      </c>
      <c r="Z347" s="174" t="e">
        <f>+'Estimate Details'!#REF!</f>
        <v>#REF!</v>
      </c>
      <c r="AA347" s="481"/>
      <c r="AB347" s="175" t="e">
        <f>+'Estimate Details'!#REF!</f>
        <v>#REF!</v>
      </c>
      <c r="AC347" s="569"/>
      <c r="AD347" s="176" t="e">
        <f>+'Estimate Details'!#REF!</f>
        <v>#REF!</v>
      </c>
      <c r="AE347" s="156"/>
      <c r="AF347" s="156"/>
      <c r="AG347" s="156"/>
      <c r="AH347" s="156"/>
      <c r="AI347" s="29"/>
      <c r="AJ347" s="29"/>
      <c r="AK347" s="29"/>
      <c r="AL347" s="29"/>
    </row>
    <row r="348" spans="1:38" ht="14.1" customHeight="1">
      <c r="A348" s="307" t="e">
        <f>+'Estimate Details'!#REF!</f>
        <v>#REF!</v>
      </c>
      <c r="B348" s="307"/>
      <c r="C348" s="307"/>
      <c r="D348" s="317"/>
      <c r="E348" s="158" t="e">
        <f>+'Estimate Details'!#REF!</f>
        <v>#REF!</v>
      </c>
      <c r="F348" s="41"/>
      <c r="G348" s="117" t="e">
        <f>+'Estimate Details'!#REF!</f>
        <v>#REF!</v>
      </c>
      <c r="H348" s="41" t="e">
        <f>+'Estimate Details'!#REF!</f>
        <v>#REF!</v>
      </c>
      <c r="I348" s="108" t="e">
        <f>+'Estimate Details'!#REF!</f>
        <v>#REF!</v>
      </c>
      <c r="J348" s="192" t="e">
        <f>+'Estimate Details'!#REF!</f>
        <v>#REF!</v>
      </c>
      <c r="K348" s="42" t="e">
        <f>+'Estimate Details'!#REF!</f>
        <v>#REF!</v>
      </c>
      <c r="L348" s="42" t="e">
        <f>+'Estimate Details'!#REF!</f>
        <v>#REF!</v>
      </c>
      <c r="M348" s="177" t="e">
        <f>+'Estimate Details'!#REF!</f>
        <v>#REF!</v>
      </c>
      <c r="N348" s="170" t="e">
        <f>+'Estimate Details'!#REF!</f>
        <v>#REF!</v>
      </c>
      <c r="O348" s="171" t="e">
        <f>+'Estimate Details'!#REF!</f>
        <v>#REF!</v>
      </c>
      <c r="P348" s="172" t="e">
        <f>+'Estimate Details'!#REF!</f>
        <v>#REF!</v>
      </c>
      <c r="Q348" s="173" t="e">
        <f>+'Estimate Details'!#REF!</f>
        <v>#REF!</v>
      </c>
      <c r="R348" s="174" t="e">
        <f>+'Estimate Details'!#REF!</f>
        <v>#REF!</v>
      </c>
      <c r="S348" s="507"/>
      <c r="T348" s="174" t="e">
        <f>+'Estimate Details'!#REF!</f>
        <v>#REF!</v>
      </c>
      <c r="U348" s="481" t="s">
        <v>1310</v>
      </c>
      <c r="V348" s="172" t="e">
        <f>+'Estimate Details'!#REF!</f>
        <v>#REF!</v>
      </c>
      <c r="W348" s="481" t="s">
        <v>1310</v>
      </c>
      <c r="X348" s="172" t="e">
        <f>+'Estimate Details'!#REF!</f>
        <v>#REF!</v>
      </c>
      <c r="Y348" s="172" t="e">
        <f>+'Estimate Details'!#REF!</f>
        <v>#REF!</v>
      </c>
      <c r="Z348" s="174" t="e">
        <f>+'Estimate Details'!#REF!</f>
        <v>#REF!</v>
      </c>
      <c r="AA348" s="481"/>
      <c r="AB348" s="175" t="e">
        <f>+'Estimate Details'!#REF!</f>
        <v>#REF!</v>
      </c>
      <c r="AC348" s="569"/>
      <c r="AD348" s="176" t="e">
        <f>+'Estimate Details'!#REF!</f>
        <v>#REF!</v>
      </c>
      <c r="AE348" s="156"/>
      <c r="AF348" s="367"/>
      <c r="AG348" s="156"/>
      <c r="AH348" s="156"/>
      <c r="AI348" s="29"/>
      <c r="AJ348" s="29"/>
      <c r="AK348" s="29"/>
      <c r="AL348" s="29"/>
    </row>
    <row r="349" spans="1:38" ht="13.5" customHeight="1">
      <c r="A349" s="307" t="e">
        <f>+'Estimate Details'!#REF!</f>
        <v>#REF!</v>
      </c>
      <c r="B349" s="307"/>
      <c r="C349" s="307"/>
      <c r="D349" s="317"/>
      <c r="E349" s="158" t="e">
        <f>+'Estimate Details'!#REF!</f>
        <v>#REF!</v>
      </c>
      <c r="F349" s="41"/>
      <c r="G349" s="205" t="e">
        <f>+'Estimate Details'!#REF!</f>
        <v>#REF!</v>
      </c>
      <c r="H349" s="41" t="e">
        <f>+'Estimate Details'!#REF!</f>
        <v>#REF!</v>
      </c>
      <c r="I349" s="108" t="e">
        <f>+'Estimate Details'!#REF!</f>
        <v>#REF!</v>
      </c>
      <c r="J349" s="224" t="e">
        <f>+'Estimate Details'!#REF!</f>
        <v>#REF!</v>
      </c>
      <c r="K349" s="42" t="e">
        <f>+'Estimate Details'!#REF!</f>
        <v>#REF!</v>
      </c>
      <c r="L349" s="42" t="e">
        <f>+'Estimate Details'!#REF!</f>
        <v>#REF!</v>
      </c>
      <c r="M349" s="177" t="e">
        <f>+'Estimate Details'!#REF!</f>
        <v>#REF!</v>
      </c>
      <c r="N349" s="170" t="e">
        <f>+'Estimate Details'!#REF!</f>
        <v>#REF!</v>
      </c>
      <c r="O349" s="171" t="e">
        <f>+'Estimate Details'!#REF!</f>
        <v>#REF!</v>
      </c>
      <c r="P349" s="172" t="e">
        <f>+'Estimate Details'!#REF!</f>
        <v>#REF!</v>
      </c>
      <c r="Q349" s="173" t="e">
        <f>+'Estimate Details'!#REF!</f>
        <v>#REF!</v>
      </c>
      <c r="R349" s="174" t="e">
        <f>+'Estimate Details'!#REF!</f>
        <v>#REF!</v>
      </c>
      <c r="S349" s="507"/>
      <c r="T349" s="174" t="e">
        <f>+'Estimate Details'!#REF!</f>
        <v>#REF!</v>
      </c>
      <c r="U349" s="481" t="s">
        <v>1310</v>
      </c>
      <c r="V349" s="172" t="e">
        <f>+'Estimate Details'!#REF!</f>
        <v>#REF!</v>
      </c>
      <c r="W349" s="481"/>
      <c r="X349" s="172" t="e">
        <f>+'Estimate Details'!#REF!</f>
        <v>#REF!</v>
      </c>
      <c r="Y349" s="172" t="e">
        <f>+'Estimate Details'!#REF!</f>
        <v>#REF!</v>
      </c>
      <c r="Z349" s="174" t="e">
        <f>+'Estimate Details'!#REF!</f>
        <v>#REF!</v>
      </c>
      <c r="AA349" s="481"/>
      <c r="AB349" s="175" t="e">
        <f>+'Estimate Details'!#REF!</f>
        <v>#REF!</v>
      </c>
      <c r="AC349" s="569"/>
      <c r="AD349" s="176" t="e">
        <f>+'Estimate Details'!#REF!</f>
        <v>#REF!</v>
      </c>
      <c r="AE349" s="156"/>
      <c r="AF349" s="156"/>
      <c r="AG349" s="156"/>
      <c r="AH349" s="156"/>
      <c r="AI349" s="29"/>
      <c r="AJ349" s="29"/>
      <c r="AK349" s="29"/>
      <c r="AL349" s="29"/>
    </row>
    <row r="350" spans="1:38" ht="13.5" customHeight="1">
      <c r="A350" s="307" t="e">
        <f>+'Estimate Details'!#REF!</f>
        <v>#REF!</v>
      </c>
      <c r="B350" s="307"/>
      <c r="C350" s="307"/>
      <c r="D350" s="317"/>
      <c r="E350" s="158" t="e">
        <f>+'Estimate Details'!#REF!</f>
        <v>#REF!</v>
      </c>
      <c r="F350" s="41"/>
      <c r="G350" s="205" t="e">
        <f>+'Estimate Details'!#REF!</f>
        <v>#REF!</v>
      </c>
      <c r="H350" s="185" t="e">
        <f>+'Estimate Details'!#REF!</f>
        <v>#REF!</v>
      </c>
      <c r="I350" s="188" t="e">
        <f>+'Estimate Details'!#REF!</f>
        <v>#REF!</v>
      </c>
      <c r="J350" s="224" t="e">
        <f>+'Estimate Details'!#REF!</f>
        <v>#REF!</v>
      </c>
      <c r="K350" s="42" t="e">
        <f>+'Estimate Details'!#REF!</f>
        <v>#REF!</v>
      </c>
      <c r="L350" s="42" t="e">
        <f>+'Estimate Details'!#REF!</f>
        <v>#REF!</v>
      </c>
      <c r="M350" s="177" t="e">
        <f>+'Estimate Details'!#REF!</f>
        <v>#REF!</v>
      </c>
      <c r="N350" s="170" t="e">
        <f>+'Estimate Details'!#REF!</f>
        <v>#REF!</v>
      </c>
      <c r="O350" s="171" t="e">
        <f>+'Estimate Details'!#REF!</f>
        <v>#REF!</v>
      </c>
      <c r="P350" s="172" t="e">
        <f>+'Estimate Details'!#REF!</f>
        <v>#REF!</v>
      </c>
      <c r="Q350" s="173" t="e">
        <f>+'Estimate Details'!#REF!</f>
        <v>#REF!</v>
      </c>
      <c r="R350" s="174" t="e">
        <f>+'Estimate Details'!#REF!</f>
        <v>#REF!</v>
      </c>
      <c r="S350" s="507"/>
      <c r="T350" s="174" t="e">
        <f>+'Estimate Details'!#REF!</f>
        <v>#REF!</v>
      </c>
      <c r="U350" s="481" t="s">
        <v>1310</v>
      </c>
      <c r="V350" s="172" t="e">
        <f>+'Estimate Details'!#REF!</f>
        <v>#REF!</v>
      </c>
      <c r="W350" s="481"/>
      <c r="X350" s="172" t="e">
        <f>+'Estimate Details'!#REF!</f>
        <v>#REF!</v>
      </c>
      <c r="Y350" s="172" t="e">
        <f>+'Estimate Details'!#REF!</f>
        <v>#REF!</v>
      </c>
      <c r="Z350" s="174" t="e">
        <f>+'Estimate Details'!#REF!</f>
        <v>#REF!</v>
      </c>
      <c r="AA350" s="481"/>
      <c r="AB350" s="175" t="e">
        <f>+'Estimate Details'!#REF!</f>
        <v>#REF!</v>
      </c>
      <c r="AC350" s="569"/>
      <c r="AD350" s="176" t="e">
        <f>+'Estimate Details'!#REF!</f>
        <v>#REF!</v>
      </c>
      <c r="AE350" s="156"/>
      <c r="AF350" s="156"/>
      <c r="AG350" s="156"/>
      <c r="AH350" s="156"/>
      <c r="AI350" s="29"/>
      <c r="AJ350" s="29"/>
      <c r="AK350" s="29"/>
      <c r="AL350" s="29"/>
    </row>
    <row r="351" spans="1:38" ht="13.5" customHeight="1">
      <c r="A351" s="307" t="e">
        <f>+'Estimate Details'!#REF!</f>
        <v>#REF!</v>
      </c>
      <c r="B351" s="307"/>
      <c r="C351" s="307"/>
      <c r="D351" s="317"/>
      <c r="E351" s="158" t="e">
        <f>+'Estimate Details'!#REF!</f>
        <v>#REF!</v>
      </c>
      <c r="F351" s="41"/>
      <c r="G351" s="205" t="e">
        <f>+'Estimate Details'!#REF!</f>
        <v>#REF!</v>
      </c>
      <c r="H351" s="41" t="e">
        <f>+'Estimate Details'!#REF!</f>
        <v>#REF!</v>
      </c>
      <c r="I351" s="108" t="e">
        <f>+'Estimate Details'!#REF!</f>
        <v>#REF!</v>
      </c>
      <c r="J351" s="225" t="e">
        <f>+'Estimate Details'!#REF!</f>
        <v>#REF!</v>
      </c>
      <c r="K351" s="42" t="e">
        <f>+'Estimate Details'!#REF!</f>
        <v>#REF!</v>
      </c>
      <c r="L351" s="42" t="e">
        <f>+'Estimate Details'!#REF!</f>
        <v>#REF!</v>
      </c>
      <c r="M351" s="177" t="e">
        <f>+'Estimate Details'!#REF!</f>
        <v>#REF!</v>
      </c>
      <c r="N351" s="170" t="e">
        <f>+'Estimate Details'!#REF!</f>
        <v>#REF!</v>
      </c>
      <c r="O351" s="171" t="e">
        <f>+'Estimate Details'!#REF!</f>
        <v>#REF!</v>
      </c>
      <c r="P351" s="172" t="e">
        <f>+'Estimate Details'!#REF!</f>
        <v>#REF!</v>
      </c>
      <c r="Q351" s="173" t="e">
        <f>+'Estimate Details'!#REF!</f>
        <v>#REF!</v>
      </c>
      <c r="R351" s="174" t="e">
        <f>+'Estimate Details'!#REF!</f>
        <v>#REF!</v>
      </c>
      <c r="S351" s="507"/>
      <c r="T351" s="174" t="e">
        <f>+'Estimate Details'!#REF!</f>
        <v>#REF!</v>
      </c>
      <c r="U351" s="481" t="s">
        <v>1310</v>
      </c>
      <c r="V351" s="172" t="e">
        <f>+'Estimate Details'!#REF!</f>
        <v>#REF!</v>
      </c>
      <c r="W351" s="481"/>
      <c r="X351" s="172" t="e">
        <f>+'Estimate Details'!#REF!</f>
        <v>#REF!</v>
      </c>
      <c r="Y351" s="172" t="e">
        <f>+'Estimate Details'!#REF!</f>
        <v>#REF!</v>
      </c>
      <c r="Z351" s="174" t="e">
        <f>+'Estimate Details'!#REF!</f>
        <v>#REF!</v>
      </c>
      <c r="AA351" s="481"/>
      <c r="AB351" s="175" t="e">
        <f>+'Estimate Details'!#REF!</f>
        <v>#REF!</v>
      </c>
      <c r="AC351" s="569"/>
      <c r="AD351" s="176" t="e">
        <f>+'Estimate Details'!#REF!</f>
        <v>#REF!</v>
      </c>
      <c r="AE351" s="156"/>
      <c r="AF351" s="156"/>
      <c r="AG351" s="156"/>
      <c r="AH351" s="156"/>
      <c r="AI351" s="29"/>
      <c r="AJ351" s="29"/>
      <c r="AK351" s="29"/>
      <c r="AL351" s="29"/>
    </row>
    <row r="352" spans="1:38" ht="14.1" customHeight="1">
      <c r="A352" s="307" t="e">
        <f>+'Estimate Details'!#REF!</f>
        <v>#REF!</v>
      </c>
      <c r="B352" s="307"/>
      <c r="C352" s="307"/>
      <c r="D352" s="317"/>
      <c r="E352" s="158" t="e">
        <f>+'Estimate Details'!#REF!</f>
        <v>#REF!</v>
      </c>
      <c r="F352" s="41"/>
      <c r="G352" s="117" t="e">
        <f>+'Estimate Details'!#REF!</f>
        <v>#REF!</v>
      </c>
      <c r="H352" s="185" t="e">
        <f>+'Estimate Details'!#REF!</f>
        <v>#REF!</v>
      </c>
      <c r="I352" s="188" t="e">
        <f>+'Estimate Details'!#REF!</f>
        <v>#REF!</v>
      </c>
      <c r="J352" s="221" t="e">
        <f>+'Estimate Details'!#REF!</f>
        <v>#REF!</v>
      </c>
      <c r="K352" s="42" t="e">
        <f>+'Estimate Details'!#REF!</f>
        <v>#REF!</v>
      </c>
      <c r="L352" s="42" t="e">
        <f>+'Estimate Details'!#REF!</f>
        <v>#REF!</v>
      </c>
      <c r="M352" s="177" t="e">
        <f>+'Estimate Details'!#REF!</f>
        <v>#REF!</v>
      </c>
      <c r="N352" s="170" t="e">
        <f>+'Estimate Details'!#REF!</f>
        <v>#REF!</v>
      </c>
      <c r="O352" s="171" t="e">
        <f>+'Estimate Details'!#REF!</f>
        <v>#REF!</v>
      </c>
      <c r="P352" s="172" t="e">
        <f>+'Estimate Details'!#REF!</f>
        <v>#REF!</v>
      </c>
      <c r="Q352" s="173" t="e">
        <f>+'Estimate Details'!#REF!</f>
        <v>#REF!</v>
      </c>
      <c r="R352" s="174" t="e">
        <f>+'Estimate Details'!#REF!</f>
        <v>#REF!</v>
      </c>
      <c r="S352" s="507"/>
      <c r="T352" s="174" t="e">
        <f>+'Estimate Details'!#REF!</f>
        <v>#REF!</v>
      </c>
      <c r="U352" s="481" t="s">
        <v>1310</v>
      </c>
      <c r="V352" s="172" t="e">
        <f>+'Estimate Details'!#REF!</f>
        <v>#REF!</v>
      </c>
      <c r="W352" s="481"/>
      <c r="X352" s="172" t="e">
        <f>+'Estimate Details'!#REF!</f>
        <v>#REF!</v>
      </c>
      <c r="Y352" s="172" t="e">
        <f>+'Estimate Details'!#REF!</f>
        <v>#REF!</v>
      </c>
      <c r="Z352" s="174" t="e">
        <f>+'Estimate Details'!#REF!</f>
        <v>#REF!</v>
      </c>
      <c r="AA352" s="481"/>
      <c r="AB352" s="175" t="e">
        <f>+'Estimate Details'!#REF!</f>
        <v>#REF!</v>
      </c>
      <c r="AC352" s="569"/>
      <c r="AD352" s="176" t="e">
        <f>+'Estimate Details'!#REF!</f>
        <v>#REF!</v>
      </c>
      <c r="AE352" s="156"/>
      <c r="AF352" s="367"/>
      <c r="AG352" s="156"/>
      <c r="AH352" s="156"/>
      <c r="AI352" s="29"/>
      <c r="AJ352" s="29"/>
      <c r="AK352" s="29"/>
      <c r="AL352" s="29"/>
    </row>
    <row r="353" spans="1:38" ht="14.1" customHeight="1">
      <c r="A353" s="307" t="e">
        <f>+'Estimate Details'!#REF!</f>
        <v>#REF!</v>
      </c>
      <c r="B353" s="307"/>
      <c r="C353" s="307"/>
      <c r="D353" s="317"/>
      <c r="E353" s="158" t="e">
        <f>+'Estimate Details'!#REF!</f>
        <v>#REF!</v>
      </c>
      <c r="F353" s="41"/>
      <c r="G353" s="205" t="e">
        <f>+'Estimate Details'!#REF!</f>
        <v>#REF!</v>
      </c>
      <c r="H353" s="41" t="e">
        <f>+'Estimate Details'!#REF!</f>
        <v>#REF!</v>
      </c>
      <c r="I353" s="108" t="e">
        <f>+'Estimate Details'!#REF!</f>
        <v>#REF!</v>
      </c>
      <c r="J353" s="225" t="e">
        <f>+'Estimate Details'!#REF!</f>
        <v>#REF!</v>
      </c>
      <c r="K353" s="42" t="e">
        <f>+'Estimate Details'!#REF!</f>
        <v>#REF!</v>
      </c>
      <c r="L353" s="42" t="e">
        <f>+'Estimate Details'!#REF!</f>
        <v>#REF!</v>
      </c>
      <c r="M353" s="177" t="e">
        <f>+'Estimate Details'!#REF!</f>
        <v>#REF!</v>
      </c>
      <c r="N353" s="170" t="e">
        <f>+'Estimate Details'!#REF!</f>
        <v>#REF!</v>
      </c>
      <c r="O353" s="171" t="e">
        <f>+'Estimate Details'!#REF!</f>
        <v>#REF!</v>
      </c>
      <c r="P353" s="172" t="e">
        <f>+'Estimate Details'!#REF!</f>
        <v>#REF!</v>
      </c>
      <c r="Q353" s="173" t="e">
        <f>+'Estimate Details'!#REF!</f>
        <v>#REF!</v>
      </c>
      <c r="R353" s="174" t="e">
        <f>+'Estimate Details'!#REF!</f>
        <v>#REF!</v>
      </c>
      <c r="S353" s="507"/>
      <c r="T353" s="174" t="e">
        <f>+'Estimate Details'!#REF!</f>
        <v>#REF!</v>
      </c>
      <c r="U353" s="481" t="s">
        <v>1310</v>
      </c>
      <c r="V353" s="172" t="e">
        <f>+'Estimate Details'!#REF!</f>
        <v>#REF!</v>
      </c>
      <c r="W353" s="481"/>
      <c r="X353" s="172" t="e">
        <f>+'Estimate Details'!#REF!</f>
        <v>#REF!</v>
      </c>
      <c r="Y353" s="172" t="e">
        <f>+'Estimate Details'!#REF!</f>
        <v>#REF!</v>
      </c>
      <c r="Z353" s="174" t="e">
        <f>+'Estimate Details'!#REF!</f>
        <v>#REF!</v>
      </c>
      <c r="AA353" s="481"/>
      <c r="AB353" s="175" t="e">
        <f>+'Estimate Details'!#REF!</f>
        <v>#REF!</v>
      </c>
      <c r="AC353" s="569"/>
      <c r="AD353" s="176" t="e">
        <f>+'Estimate Details'!#REF!</f>
        <v>#REF!</v>
      </c>
      <c r="AE353" s="156"/>
      <c r="AF353" s="367"/>
      <c r="AG353" s="156"/>
      <c r="AH353" s="156"/>
      <c r="AI353" s="29"/>
      <c r="AJ353" s="29"/>
      <c r="AK353" s="29"/>
      <c r="AL353" s="29"/>
    </row>
    <row r="354" spans="1:38" ht="14.1" customHeight="1">
      <c r="A354" s="307" t="e">
        <f>+'Estimate Details'!#REF!</f>
        <v>#REF!</v>
      </c>
      <c r="B354" s="307"/>
      <c r="C354" s="307"/>
      <c r="D354" s="317"/>
      <c r="E354" s="158" t="e">
        <f>+'Estimate Details'!#REF!</f>
        <v>#REF!</v>
      </c>
      <c r="F354" s="41"/>
      <c r="G354" s="117" t="e">
        <f>+'Estimate Details'!#REF!</f>
        <v>#REF!</v>
      </c>
      <c r="H354" s="41" t="e">
        <f>+'Estimate Details'!#REF!</f>
        <v>#REF!</v>
      </c>
      <c r="I354" s="217" t="e">
        <f>+'Estimate Details'!#REF!</f>
        <v>#REF!</v>
      </c>
      <c r="J354" s="42" t="e">
        <f>+'Estimate Details'!#REF!</f>
        <v>#REF!</v>
      </c>
      <c r="K354" s="42" t="e">
        <f>+'Estimate Details'!#REF!</f>
        <v>#REF!</v>
      </c>
      <c r="L354" s="42" t="e">
        <f>+'Estimate Details'!#REF!</f>
        <v>#REF!</v>
      </c>
      <c r="M354" s="177" t="e">
        <f>+'Estimate Details'!#REF!</f>
        <v>#REF!</v>
      </c>
      <c r="N354" s="170" t="e">
        <f>+'Estimate Details'!#REF!</f>
        <v>#REF!</v>
      </c>
      <c r="O354" s="171" t="e">
        <f>+'Estimate Details'!#REF!</f>
        <v>#REF!</v>
      </c>
      <c r="P354" s="172" t="e">
        <f>+'Estimate Details'!#REF!</f>
        <v>#REF!</v>
      </c>
      <c r="Q354" s="173" t="e">
        <f>+'Estimate Details'!#REF!</f>
        <v>#REF!</v>
      </c>
      <c r="R354" s="174" t="e">
        <f>+'Estimate Details'!#REF!</f>
        <v>#REF!</v>
      </c>
      <c r="S354" s="507"/>
      <c r="T354" s="174" t="e">
        <f>+'Estimate Details'!#REF!</f>
        <v>#REF!</v>
      </c>
      <c r="U354" s="481"/>
      <c r="V354" s="172" t="e">
        <f>+'Estimate Details'!#REF!</f>
        <v>#REF!</v>
      </c>
      <c r="W354" s="481"/>
      <c r="X354" s="172" t="e">
        <f>+'Estimate Details'!#REF!</f>
        <v>#REF!</v>
      </c>
      <c r="Y354" s="172" t="e">
        <f>+'Estimate Details'!#REF!</f>
        <v>#REF!</v>
      </c>
      <c r="Z354" s="174" t="e">
        <f>+'Estimate Details'!#REF!</f>
        <v>#REF!</v>
      </c>
      <c r="AA354" s="481" t="s">
        <v>1310</v>
      </c>
      <c r="AB354" s="175" t="e">
        <f>+'Estimate Details'!#REF!</f>
        <v>#REF!</v>
      </c>
      <c r="AC354" s="569"/>
      <c r="AD354" s="176" t="e">
        <f>+'Estimate Details'!#REF!</f>
        <v>#REF!</v>
      </c>
      <c r="AE354" s="156"/>
      <c r="AF354" s="367"/>
      <c r="AG354" s="156"/>
      <c r="AH354" s="156"/>
      <c r="AI354" s="29"/>
      <c r="AJ354" s="29"/>
      <c r="AK354" s="29"/>
      <c r="AL354" s="29"/>
    </row>
    <row r="355" spans="1:38" ht="14.1" customHeight="1">
      <c r="A355" s="307" t="e">
        <f>+'Estimate Details'!#REF!</f>
        <v>#REF!</v>
      </c>
      <c r="B355" s="307"/>
      <c r="C355" s="307"/>
      <c r="D355" s="317"/>
      <c r="E355" s="158" t="e">
        <f>+'Estimate Details'!#REF!</f>
        <v>#REF!</v>
      </c>
      <c r="F355" s="41"/>
      <c r="G355" s="117" t="e">
        <f>+'Estimate Details'!#REF!</f>
        <v>#REF!</v>
      </c>
      <c r="H355" s="41" t="e">
        <f>+'Estimate Details'!#REF!</f>
        <v>#REF!</v>
      </c>
      <c r="I355" s="217" t="e">
        <f>+'Estimate Details'!#REF!</f>
        <v>#REF!</v>
      </c>
      <c r="J355" s="42" t="e">
        <f>+'Estimate Details'!#REF!</f>
        <v>#REF!</v>
      </c>
      <c r="K355" s="42" t="e">
        <f>+'Estimate Details'!#REF!</f>
        <v>#REF!</v>
      </c>
      <c r="L355" s="42" t="e">
        <f>+'Estimate Details'!#REF!</f>
        <v>#REF!</v>
      </c>
      <c r="M355" s="177" t="e">
        <f>+'Estimate Details'!#REF!</f>
        <v>#REF!</v>
      </c>
      <c r="N355" s="170" t="e">
        <f>+'Estimate Details'!#REF!</f>
        <v>#REF!</v>
      </c>
      <c r="O355" s="171" t="e">
        <f>+'Estimate Details'!#REF!</f>
        <v>#REF!</v>
      </c>
      <c r="P355" s="172" t="e">
        <f>+'Estimate Details'!#REF!</f>
        <v>#REF!</v>
      </c>
      <c r="Q355" s="173" t="e">
        <f>+'Estimate Details'!#REF!</f>
        <v>#REF!</v>
      </c>
      <c r="R355" s="174" t="e">
        <f>+'Estimate Details'!#REF!</f>
        <v>#REF!</v>
      </c>
      <c r="S355" s="507"/>
      <c r="T355" s="174" t="e">
        <f>+'Estimate Details'!#REF!</f>
        <v>#REF!</v>
      </c>
      <c r="U355" s="481" t="s">
        <v>1309</v>
      </c>
      <c r="V355" s="172" t="e">
        <f>+'Estimate Details'!#REF!</f>
        <v>#REF!</v>
      </c>
      <c r="W355" s="481" t="s">
        <v>1309</v>
      </c>
      <c r="X355" s="172" t="e">
        <f>+'Estimate Details'!#REF!</f>
        <v>#REF!</v>
      </c>
      <c r="Y355" s="172" t="e">
        <f>+'Estimate Details'!#REF!</f>
        <v>#REF!</v>
      </c>
      <c r="Z355" s="174" t="e">
        <f>+'Estimate Details'!#REF!</f>
        <v>#REF!</v>
      </c>
      <c r="AA355" s="481"/>
      <c r="AB355" s="175" t="e">
        <f>+'Estimate Details'!#REF!</f>
        <v>#REF!</v>
      </c>
      <c r="AC355" s="569"/>
      <c r="AD355" s="176" t="e">
        <f>+'Estimate Details'!#REF!</f>
        <v>#REF!</v>
      </c>
      <c r="AE355" s="156"/>
      <c r="AF355" s="367"/>
      <c r="AG355" s="156"/>
      <c r="AH355" s="156"/>
      <c r="AI355" s="29"/>
      <c r="AJ355" s="29"/>
      <c r="AK355" s="29"/>
      <c r="AL355" s="29"/>
    </row>
    <row r="356" spans="1:38" ht="14.1" customHeight="1">
      <c r="A356" s="307" t="e">
        <f>+'Estimate Details'!#REF!</f>
        <v>#REF!</v>
      </c>
      <c r="B356" s="307"/>
      <c r="C356" s="307"/>
      <c r="D356" s="317"/>
      <c r="E356" s="158" t="e">
        <f>+'Estimate Details'!#REF!</f>
        <v>#REF!</v>
      </c>
      <c r="F356" s="41"/>
      <c r="G356" s="117" t="e">
        <f>+'Estimate Details'!#REF!</f>
        <v>#REF!</v>
      </c>
      <c r="H356" s="41" t="e">
        <f>+'Estimate Details'!#REF!</f>
        <v>#REF!</v>
      </c>
      <c r="I356" s="108" t="e">
        <f>+'Estimate Details'!#REF!</f>
        <v>#REF!</v>
      </c>
      <c r="J356" s="192" t="e">
        <f>+'Estimate Details'!#REF!</f>
        <v>#REF!</v>
      </c>
      <c r="K356" s="42" t="e">
        <f>+'Estimate Details'!#REF!</f>
        <v>#REF!</v>
      </c>
      <c r="L356" s="42" t="e">
        <f>+'Estimate Details'!#REF!</f>
        <v>#REF!</v>
      </c>
      <c r="M356" s="177" t="e">
        <f>+'Estimate Details'!#REF!</f>
        <v>#REF!</v>
      </c>
      <c r="N356" s="170" t="e">
        <f>+'Estimate Details'!#REF!</f>
        <v>#REF!</v>
      </c>
      <c r="O356" s="171" t="e">
        <f>+'Estimate Details'!#REF!</f>
        <v>#REF!</v>
      </c>
      <c r="P356" s="172" t="e">
        <f>+'Estimate Details'!#REF!</f>
        <v>#REF!</v>
      </c>
      <c r="Q356" s="173" t="e">
        <f>+'Estimate Details'!#REF!</f>
        <v>#REF!</v>
      </c>
      <c r="R356" s="174" t="e">
        <f>+'Estimate Details'!#REF!</f>
        <v>#REF!</v>
      </c>
      <c r="S356" s="507"/>
      <c r="T356" s="174" t="e">
        <f>+'Estimate Details'!#REF!</f>
        <v>#REF!</v>
      </c>
      <c r="U356" s="481" t="s">
        <v>1309</v>
      </c>
      <c r="V356" s="172" t="e">
        <f>+'Estimate Details'!#REF!</f>
        <v>#REF!</v>
      </c>
      <c r="W356" s="481" t="s">
        <v>1309</v>
      </c>
      <c r="X356" s="172" t="e">
        <f>+'Estimate Details'!#REF!</f>
        <v>#REF!</v>
      </c>
      <c r="Y356" s="172" t="e">
        <f>+'Estimate Details'!#REF!</f>
        <v>#REF!</v>
      </c>
      <c r="Z356" s="174" t="e">
        <f>+'Estimate Details'!#REF!</f>
        <v>#REF!</v>
      </c>
      <c r="AA356" s="481"/>
      <c r="AB356" s="175" t="e">
        <f>+'Estimate Details'!#REF!</f>
        <v>#REF!</v>
      </c>
      <c r="AC356" s="569"/>
      <c r="AD356" s="176" t="e">
        <f>+'Estimate Details'!#REF!</f>
        <v>#REF!</v>
      </c>
      <c r="AE356" s="156"/>
      <c r="AF356" s="367"/>
      <c r="AG356" s="156"/>
      <c r="AH356" s="156"/>
      <c r="AI356" s="29"/>
      <c r="AJ356" s="29"/>
      <c r="AK356" s="29"/>
      <c r="AL356" s="29"/>
    </row>
    <row r="357" spans="1:38" ht="14.1" customHeight="1">
      <c r="A357" s="307" t="e">
        <f>+'Estimate Details'!#REF!</f>
        <v>#REF!</v>
      </c>
      <c r="B357" s="307"/>
      <c r="C357" s="307"/>
      <c r="D357" s="317"/>
      <c r="E357" s="158" t="e">
        <f>+'Estimate Details'!#REF!</f>
        <v>#REF!</v>
      </c>
      <c r="F357" s="41"/>
      <c r="G357" s="117" t="e">
        <f>+'Estimate Details'!#REF!</f>
        <v>#REF!</v>
      </c>
      <c r="H357" s="41" t="e">
        <f>+'Estimate Details'!#REF!</f>
        <v>#REF!</v>
      </c>
      <c r="I357" s="217" t="e">
        <f>+'Estimate Details'!#REF!</f>
        <v>#REF!</v>
      </c>
      <c r="J357" s="42" t="e">
        <f>+'Estimate Details'!#REF!</f>
        <v>#REF!</v>
      </c>
      <c r="K357" s="42" t="e">
        <f>+'Estimate Details'!#REF!</f>
        <v>#REF!</v>
      </c>
      <c r="L357" s="42" t="e">
        <f>+'Estimate Details'!#REF!</f>
        <v>#REF!</v>
      </c>
      <c r="M357" s="177" t="e">
        <f>+'Estimate Details'!#REF!</f>
        <v>#REF!</v>
      </c>
      <c r="N357" s="170" t="e">
        <f>+'Estimate Details'!#REF!</f>
        <v>#REF!</v>
      </c>
      <c r="O357" s="171" t="e">
        <f>+'Estimate Details'!#REF!</f>
        <v>#REF!</v>
      </c>
      <c r="P357" s="172" t="e">
        <f>+'Estimate Details'!#REF!</f>
        <v>#REF!</v>
      </c>
      <c r="Q357" s="173" t="e">
        <f>+'Estimate Details'!#REF!</f>
        <v>#REF!</v>
      </c>
      <c r="R357" s="174" t="e">
        <f>+'Estimate Details'!#REF!</f>
        <v>#REF!</v>
      </c>
      <c r="S357" s="507"/>
      <c r="T357" s="174" t="e">
        <f>+'Estimate Details'!#REF!</f>
        <v>#REF!</v>
      </c>
      <c r="U357" s="481" t="s">
        <v>1309</v>
      </c>
      <c r="V357" s="172" t="e">
        <f>+'Estimate Details'!#REF!</f>
        <v>#REF!</v>
      </c>
      <c r="W357" s="481" t="s">
        <v>1309</v>
      </c>
      <c r="X357" s="172" t="e">
        <f>+'Estimate Details'!#REF!</f>
        <v>#REF!</v>
      </c>
      <c r="Y357" s="172" t="e">
        <f>+'Estimate Details'!#REF!</f>
        <v>#REF!</v>
      </c>
      <c r="Z357" s="174" t="e">
        <f>+'Estimate Details'!#REF!</f>
        <v>#REF!</v>
      </c>
      <c r="AA357" s="481"/>
      <c r="AB357" s="175" t="e">
        <f>+'Estimate Details'!#REF!</f>
        <v>#REF!</v>
      </c>
      <c r="AC357" s="569"/>
      <c r="AD357" s="176" t="e">
        <f>+'Estimate Details'!#REF!</f>
        <v>#REF!</v>
      </c>
      <c r="AE357" s="156"/>
      <c r="AF357" s="367"/>
      <c r="AG357" s="156"/>
      <c r="AH357" s="156"/>
      <c r="AI357" s="29"/>
      <c r="AJ357" s="29"/>
      <c r="AK357" s="29"/>
      <c r="AL357" s="29"/>
    </row>
    <row r="358" spans="1:38" ht="14.1" customHeight="1">
      <c r="A358" s="307" t="e">
        <f>+'Estimate Details'!#REF!</f>
        <v>#REF!</v>
      </c>
      <c r="B358" s="307"/>
      <c r="C358" s="307"/>
      <c r="D358" s="317"/>
      <c r="E358" s="158" t="e">
        <f>+'Estimate Details'!#REF!</f>
        <v>#REF!</v>
      </c>
      <c r="F358" s="41"/>
      <c r="G358" s="117" t="e">
        <f>+'Estimate Details'!#REF!</f>
        <v>#REF!</v>
      </c>
      <c r="H358" s="118" t="e">
        <f>+'Estimate Details'!#REF!</f>
        <v>#REF!</v>
      </c>
      <c r="I358" s="108" t="e">
        <f>+'Estimate Details'!#REF!</f>
        <v>#REF!</v>
      </c>
      <c r="J358" s="168" t="e">
        <f>+'Estimate Details'!#REF!</f>
        <v>#REF!</v>
      </c>
      <c r="K358" s="42" t="e">
        <f>+'Estimate Details'!#REF!</f>
        <v>#REF!</v>
      </c>
      <c r="L358" s="42" t="e">
        <f>+'Estimate Details'!#REF!</f>
        <v>#REF!</v>
      </c>
      <c r="M358" s="177" t="e">
        <f>+'Estimate Details'!#REF!</f>
        <v>#REF!</v>
      </c>
      <c r="N358" s="219" t="e">
        <f>+'Estimate Details'!#REF!</f>
        <v>#REF!</v>
      </c>
      <c r="O358" s="171" t="e">
        <f>+'Estimate Details'!#REF!</f>
        <v>#REF!</v>
      </c>
      <c r="P358" s="172" t="e">
        <f>+'Estimate Details'!#REF!</f>
        <v>#REF!</v>
      </c>
      <c r="Q358" s="173" t="e">
        <f>+'Estimate Details'!#REF!</f>
        <v>#REF!</v>
      </c>
      <c r="R358" s="174" t="e">
        <f>+'Estimate Details'!#REF!</f>
        <v>#REF!</v>
      </c>
      <c r="S358" s="507"/>
      <c r="T358" s="174" t="e">
        <f>+'Estimate Details'!#REF!</f>
        <v>#REF!</v>
      </c>
      <c r="U358" s="481" t="s">
        <v>1309</v>
      </c>
      <c r="V358" s="172" t="e">
        <f>+'Estimate Details'!#REF!</f>
        <v>#REF!</v>
      </c>
      <c r="W358" s="481" t="s">
        <v>1309</v>
      </c>
      <c r="X358" s="172" t="e">
        <f>+'Estimate Details'!#REF!</f>
        <v>#REF!</v>
      </c>
      <c r="Y358" s="172" t="e">
        <f>+'Estimate Details'!#REF!</f>
        <v>#REF!</v>
      </c>
      <c r="Z358" s="174" t="e">
        <f>+'Estimate Details'!#REF!</f>
        <v>#REF!</v>
      </c>
      <c r="AA358" s="481"/>
      <c r="AB358" s="175" t="e">
        <f>+'Estimate Details'!#REF!</f>
        <v>#REF!</v>
      </c>
      <c r="AC358" s="569"/>
      <c r="AD358" s="176" t="e">
        <f>+'Estimate Details'!#REF!</f>
        <v>#REF!</v>
      </c>
      <c r="AE358" s="156"/>
      <c r="AF358" s="367"/>
      <c r="AG358" s="156"/>
      <c r="AH358" s="156"/>
      <c r="AI358" s="29"/>
      <c r="AJ358" s="29"/>
      <c r="AK358" s="29"/>
      <c r="AL358" s="29"/>
    </row>
    <row r="359" spans="1:38" ht="14.1" customHeight="1">
      <c r="A359" s="307" t="e">
        <f>+'Estimate Details'!#REF!</f>
        <v>#REF!</v>
      </c>
      <c r="B359" s="307"/>
      <c r="C359" s="307"/>
      <c r="D359" s="317"/>
      <c r="E359" s="158" t="e">
        <f>+'Estimate Details'!#REF!</f>
        <v>#REF!</v>
      </c>
      <c r="F359" s="41"/>
      <c r="G359" s="117" t="e">
        <f>+'Estimate Details'!#REF!</f>
        <v>#REF!</v>
      </c>
      <c r="H359" s="118" t="e">
        <f>+'Estimate Details'!#REF!</f>
        <v>#REF!</v>
      </c>
      <c r="I359" s="108" t="e">
        <f>+'Estimate Details'!#REF!</f>
        <v>#REF!</v>
      </c>
      <c r="J359" s="168" t="e">
        <f>+'Estimate Details'!#REF!</f>
        <v>#REF!</v>
      </c>
      <c r="K359" s="42" t="e">
        <f>+'Estimate Details'!#REF!</f>
        <v>#REF!</v>
      </c>
      <c r="L359" s="42" t="e">
        <f>+'Estimate Details'!#REF!</f>
        <v>#REF!</v>
      </c>
      <c r="M359" s="177" t="e">
        <f>+'Estimate Details'!#REF!</f>
        <v>#REF!</v>
      </c>
      <c r="N359" s="182" t="e">
        <f>+'Estimate Details'!#REF!</f>
        <v>#REF!</v>
      </c>
      <c r="O359" s="171" t="e">
        <f>+'Estimate Details'!#REF!</f>
        <v>#REF!</v>
      </c>
      <c r="P359" s="172" t="e">
        <f>+'Estimate Details'!#REF!</f>
        <v>#REF!</v>
      </c>
      <c r="Q359" s="173" t="e">
        <f>+'Estimate Details'!#REF!</f>
        <v>#REF!</v>
      </c>
      <c r="R359" s="174" t="e">
        <f>+'Estimate Details'!#REF!</f>
        <v>#REF!</v>
      </c>
      <c r="S359" s="507"/>
      <c r="T359" s="174" t="e">
        <f>+'Estimate Details'!#REF!</f>
        <v>#REF!</v>
      </c>
      <c r="U359" s="481" t="s">
        <v>1309</v>
      </c>
      <c r="V359" s="172" t="e">
        <f>+'Estimate Details'!#REF!</f>
        <v>#REF!</v>
      </c>
      <c r="W359" s="481" t="s">
        <v>1309</v>
      </c>
      <c r="X359" s="172" t="e">
        <f>+'Estimate Details'!#REF!</f>
        <v>#REF!</v>
      </c>
      <c r="Y359" s="172" t="e">
        <f>+'Estimate Details'!#REF!</f>
        <v>#REF!</v>
      </c>
      <c r="Z359" s="174" t="e">
        <f>+'Estimate Details'!#REF!</f>
        <v>#REF!</v>
      </c>
      <c r="AA359" s="481"/>
      <c r="AB359" s="175" t="e">
        <f>+'Estimate Details'!#REF!</f>
        <v>#REF!</v>
      </c>
      <c r="AC359" s="569"/>
      <c r="AD359" s="176" t="e">
        <f>+'Estimate Details'!#REF!</f>
        <v>#REF!</v>
      </c>
      <c r="AE359" s="156"/>
      <c r="AF359" s="215"/>
      <c r="AG359" s="156"/>
      <c r="AH359" s="156"/>
      <c r="AI359" s="29"/>
      <c r="AJ359" s="29"/>
      <c r="AK359" s="29"/>
      <c r="AL359" s="29"/>
    </row>
    <row r="360" spans="1:38" ht="14.1" customHeight="1">
      <c r="A360" s="307" t="e">
        <f>+'Estimate Details'!#REF!</f>
        <v>#REF!</v>
      </c>
      <c r="B360" s="307"/>
      <c r="C360" s="307"/>
      <c r="D360" s="317"/>
      <c r="E360" s="158" t="e">
        <f>+'Estimate Details'!#REF!</f>
        <v>#REF!</v>
      </c>
      <c r="F360" s="41"/>
      <c r="G360" s="117" t="e">
        <f>+'Estimate Details'!#REF!</f>
        <v>#REF!</v>
      </c>
      <c r="H360" s="118" t="e">
        <f>+'Estimate Details'!#REF!</f>
        <v>#REF!</v>
      </c>
      <c r="I360" s="108" t="e">
        <f>+'Estimate Details'!#REF!</f>
        <v>#REF!</v>
      </c>
      <c r="J360" s="168" t="e">
        <f>+'Estimate Details'!#REF!</f>
        <v>#REF!</v>
      </c>
      <c r="K360" s="42" t="e">
        <f>+'Estimate Details'!#REF!</f>
        <v>#REF!</v>
      </c>
      <c r="L360" s="42" t="e">
        <f>+'Estimate Details'!#REF!</f>
        <v>#REF!</v>
      </c>
      <c r="M360" s="177" t="e">
        <f>+'Estimate Details'!#REF!</f>
        <v>#REF!</v>
      </c>
      <c r="N360" s="182" t="e">
        <f>+'Estimate Details'!#REF!</f>
        <v>#REF!</v>
      </c>
      <c r="O360" s="171" t="e">
        <f>+'Estimate Details'!#REF!</f>
        <v>#REF!</v>
      </c>
      <c r="P360" s="172" t="e">
        <f>+'Estimate Details'!#REF!</f>
        <v>#REF!</v>
      </c>
      <c r="Q360" s="173" t="e">
        <f>+'Estimate Details'!#REF!</f>
        <v>#REF!</v>
      </c>
      <c r="R360" s="174" t="e">
        <f>+'Estimate Details'!#REF!</f>
        <v>#REF!</v>
      </c>
      <c r="S360" s="507"/>
      <c r="T360" s="174" t="e">
        <f>+'Estimate Details'!#REF!</f>
        <v>#REF!</v>
      </c>
      <c r="U360" s="481" t="s">
        <v>1309</v>
      </c>
      <c r="V360" s="172" t="e">
        <f>+'Estimate Details'!#REF!</f>
        <v>#REF!</v>
      </c>
      <c r="W360" s="481" t="s">
        <v>1309</v>
      </c>
      <c r="X360" s="172" t="e">
        <f>+'Estimate Details'!#REF!</f>
        <v>#REF!</v>
      </c>
      <c r="Y360" s="172" t="e">
        <f>+'Estimate Details'!#REF!</f>
        <v>#REF!</v>
      </c>
      <c r="Z360" s="174" t="e">
        <f>+'Estimate Details'!#REF!</f>
        <v>#REF!</v>
      </c>
      <c r="AA360" s="481"/>
      <c r="AB360" s="175" t="e">
        <f>+'Estimate Details'!#REF!</f>
        <v>#REF!</v>
      </c>
      <c r="AC360" s="569"/>
      <c r="AD360" s="176" t="e">
        <f>+'Estimate Details'!#REF!</f>
        <v>#REF!</v>
      </c>
      <c r="AE360" s="156"/>
      <c r="AF360" s="215"/>
      <c r="AG360" s="156"/>
      <c r="AH360" s="156"/>
      <c r="AI360" s="29"/>
      <c r="AJ360" s="29"/>
      <c r="AK360" s="29"/>
      <c r="AL360" s="29"/>
    </row>
    <row r="361" spans="1:38" ht="14.1" customHeight="1">
      <c r="A361" s="307" t="e">
        <f>+'Estimate Details'!#REF!</f>
        <v>#REF!</v>
      </c>
      <c r="B361" s="307"/>
      <c r="C361" s="307"/>
      <c r="D361" s="317"/>
      <c r="E361" s="158" t="e">
        <f>+'Estimate Details'!#REF!</f>
        <v>#REF!</v>
      </c>
      <c r="F361" s="41"/>
      <c r="G361" s="205" t="e">
        <f>+'Estimate Details'!#REF!</f>
        <v>#REF!</v>
      </c>
      <c r="H361" s="41" t="e">
        <f>+'Estimate Details'!#REF!</f>
        <v>#REF!</v>
      </c>
      <c r="I361" s="108" t="e">
        <f>+'Estimate Details'!#REF!</f>
        <v>#REF!</v>
      </c>
      <c r="J361" s="386" t="e">
        <f>+'Estimate Details'!#REF!</f>
        <v>#REF!</v>
      </c>
      <c r="K361" s="42" t="e">
        <f>+'Estimate Details'!#REF!</f>
        <v>#REF!</v>
      </c>
      <c r="L361" s="42" t="e">
        <f>+'Estimate Details'!#REF!</f>
        <v>#REF!</v>
      </c>
      <c r="M361" s="177" t="e">
        <f>+'Estimate Details'!#REF!</f>
        <v>#REF!</v>
      </c>
      <c r="N361" s="170" t="e">
        <f>+'Estimate Details'!#REF!</f>
        <v>#REF!</v>
      </c>
      <c r="O361" s="171" t="e">
        <f>+'Estimate Details'!#REF!</f>
        <v>#REF!</v>
      </c>
      <c r="P361" s="172" t="e">
        <f>+'Estimate Details'!#REF!</f>
        <v>#REF!</v>
      </c>
      <c r="Q361" s="173" t="e">
        <f>+'Estimate Details'!#REF!</f>
        <v>#REF!</v>
      </c>
      <c r="R361" s="174" t="e">
        <f>+'Estimate Details'!#REF!</f>
        <v>#REF!</v>
      </c>
      <c r="S361" s="507"/>
      <c r="T361" s="174" t="e">
        <f>+'Estimate Details'!#REF!</f>
        <v>#REF!</v>
      </c>
      <c r="U361" s="481" t="s">
        <v>1309</v>
      </c>
      <c r="V361" s="172" t="e">
        <f>+'Estimate Details'!#REF!</f>
        <v>#REF!</v>
      </c>
      <c r="W361" s="481" t="s">
        <v>1309</v>
      </c>
      <c r="X361" s="172" t="e">
        <f>+'Estimate Details'!#REF!</f>
        <v>#REF!</v>
      </c>
      <c r="Y361" s="172" t="e">
        <f>+'Estimate Details'!#REF!</f>
        <v>#REF!</v>
      </c>
      <c r="Z361" s="174" t="e">
        <f>+'Estimate Details'!#REF!</f>
        <v>#REF!</v>
      </c>
      <c r="AA361" s="481"/>
      <c r="AB361" s="175" t="e">
        <f>+'Estimate Details'!#REF!</f>
        <v>#REF!</v>
      </c>
      <c r="AC361" s="569"/>
      <c r="AD361" s="176" t="e">
        <f>+'Estimate Details'!#REF!</f>
        <v>#REF!</v>
      </c>
      <c r="AE361" s="156"/>
      <c r="AF361" s="367"/>
      <c r="AG361" s="156"/>
      <c r="AH361" s="156"/>
      <c r="AI361" s="29"/>
      <c r="AJ361" s="29"/>
      <c r="AK361" s="29"/>
      <c r="AL361" s="29"/>
    </row>
    <row r="362" spans="1:38" ht="14.1" customHeight="1">
      <c r="A362" s="307" t="e">
        <f>+'Estimate Details'!#REF!</f>
        <v>#REF!</v>
      </c>
      <c r="B362" s="307"/>
      <c r="C362" s="307"/>
      <c r="D362" s="317"/>
      <c r="E362" s="158" t="e">
        <f>+'Estimate Details'!#REF!</f>
        <v>#REF!</v>
      </c>
      <c r="F362" s="41"/>
      <c r="G362" s="205" t="e">
        <f>+'Estimate Details'!#REF!</f>
        <v>#REF!</v>
      </c>
      <c r="H362" s="41" t="e">
        <f>+'Estimate Details'!#REF!</f>
        <v>#REF!</v>
      </c>
      <c r="I362" s="217" t="e">
        <f>+'Estimate Details'!#REF!</f>
        <v>#REF!</v>
      </c>
      <c r="J362" s="225" t="e">
        <f>+'Estimate Details'!#REF!</f>
        <v>#REF!</v>
      </c>
      <c r="K362" s="42" t="e">
        <f>+'Estimate Details'!#REF!</f>
        <v>#REF!</v>
      </c>
      <c r="L362" s="42" t="e">
        <f>+'Estimate Details'!#REF!</f>
        <v>#REF!</v>
      </c>
      <c r="M362" s="204" t="e">
        <f>+'Estimate Details'!#REF!</f>
        <v>#REF!</v>
      </c>
      <c r="N362" s="43" t="e">
        <f>+'Estimate Details'!#REF!</f>
        <v>#REF!</v>
      </c>
      <c r="O362" s="171" t="e">
        <f>+'Estimate Details'!#REF!</f>
        <v>#REF!</v>
      </c>
      <c r="P362" s="172" t="e">
        <f>+'Estimate Details'!#REF!</f>
        <v>#REF!</v>
      </c>
      <c r="Q362" s="173" t="e">
        <f>+'Estimate Details'!#REF!</f>
        <v>#REF!</v>
      </c>
      <c r="R362" s="174" t="e">
        <f>+'Estimate Details'!#REF!</f>
        <v>#REF!</v>
      </c>
      <c r="S362" s="507"/>
      <c r="T362" s="174" t="e">
        <f>+'Estimate Details'!#REF!</f>
        <v>#REF!</v>
      </c>
      <c r="U362" s="481" t="s">
        <v>1309</v>
      </c>
      <c r="V362" s="172" t="e">
        <f>+'Estimate Details'!#REF!</f>
        <v>#REF!</v>
      </c>
      <c r="W362" s="481" t="s">
        <v>1310</v>
      </c>
      <c r="X362" s="172" t="e">
        <f>+'Estimate Details'!#REF!</f>
        <v>#REF!</v>
      </c>
      <c r="Y362" s="172" t="e">
        <f>+'Estimate Details'!#REF!</f>
        <v>#REF!</v>
      </c>
      <c r="Z362" s="174" t="e">
        <f>+'Estimate Details'!#REF!</f>
        <v>#REF!</v>
      </c>
      <c r="AA362" s="481"/>
      <c r="AB362" s="175" t="e">
        <f>+'Estimate Details'!#REF!</f>
        <v>#REF!</v>
      </c>
      <c r="AC362" s="569"/>
      <c r="AD362" s="176" t="e">
        <f>+'Estimate Details'!#REF!</f>
        <v>#REF!</v>
      </c>
      <c r="AE362" s="156"/>
      <c r="AF362" s="367"/>
      <c r="AG362" s="156"/>
      <c r="AH362" s="156"/>
      <c r="AI362" s="29"/>
      <c r="AJ362" s="29"/>
      <c r="AK362" s="29"/>
      <c r="AL362" s="29"/>
    </row>
    <row r="363" spans="1:38" ht="14.1" customHeight="1">
      <c r="A363" s="307" t="e">
        <f>+'Estimate Details'!#REF!</f>
        <v>#REF!</v>
      </c>
      <c r="B363" s="307"/>
      <c r="C363" s="307"/>
      <c r="D363" s="317"/>
      <c r="E363" s="158" t="e">
        <f>+'Estimate Details'!#REF!</f>
        <v>#REF!</v>
      </c>
      <c r="F363" s="41"/>
      <c r="G363" s="205" t="e">
        <f>+'Estimate Details'!#REF!</f>
        <v>#REF!</v>
      </c>
      <c r="H363" s="41" t="e">
        <f>+'Estimate Details'!#REF!</f>
        <v>#REF!</v>
      </c>
      <c r="I363" s="108" t="e">
        <f>+'Estimate Details'!#REF!</f>
        <v>#REF!</v>
      </c>
      <c r="J363" s="365" t="e">
        <f>+'Estimate Details'!#REF!</f>
        <v>#REF!</v>
      </c>
      <c r="K363" s="42" t="e">
        <f>+'Estimate Details'!#REF!</f>
        <v>#REF!</v>
      </c>
      <c r="L363" s="42" t="e">
        <f>+'Estimate Details'!#REF!</f>
        <v>#REF!</v>
      </c>
      <c r="M363" s="177" t="e">
        <f>+'Estimate Details'!#REF!</f>
        <v>#REF!</v>
      </c>
      <c r="N363" s="170" t="e">
        <f>+'Estimate Details'!#REF!</f>
        <v>#REF!</v>
      </c>
      <c r="O363" s="171" t="e">
        <f>+'Estimate Details'!#REF!</f>
        <v>#REF!</v>
      </c>
      <c r="P363" s="172" t="e">
        <f>+'Estimate Details'!#REF!</f>
        <v>#REF!</v>
      </c>
      <c r="Q363" s="173" t="e">
        <f>+'Estimate Details'!#REF!</f>
        <v>#REF!</v>
      </c>
      <c r="R363" s="174" t="e">
        <f>+'Estimate Details'!#REF!</f>
        <v>#REF!</v>
      </c>
      <c r="S363" s="507"/>
      <c r="T363" s="174" t="e">
        <f>+'Estimate Details'!#REF!</f>
        <v>#REF!</v>
      </c>
      <c r="U363" s="481" t="s">
        <v>1310</v>
      </c>
      <c r="V363" s="172" t="e">
        <f>+'Estimate Details'!#REF!</f>
        <v>#REF!</v>
      </c>
      <c r="W363" s="481" t="s">
        <v>1310</v>
      </c>
      <c r="X363" s="172" t="e">
        <f>+'Estimate Details'!#REF!</f>
        <v>#REF!</v>
      </c>
      <c r="Y363" s="172" t="e">
        <f>+'Estimate Details'!#REF!</f>
        <v>#REF!</v>
      </c>
      <c r="Z363" s="174" t="e">
        <f>+'Estimate Details'!#REF!</f>
        <v>#REF!</v>
      </c>
      <c r="AA363" s="481"/>
      <c r="AB363" s="175" t="e">
        <f>+'Estimate Details'!#REF!</f>
        <v>#REF!</v>
      </c>
      <c r="AC363" s="569"/>
      <c r="AD363" s="176" t="e">
        <f>+'Estimate Details'!#REF!</f>
        <v>#REF!</v>
      </c>
      <c r="AE363" s="156"/>
      <c r="AF363" s="367"/>
      <c r="AG363" s="156"/>
      <c r="AH363" s="156"/>
      <c r="AI363" s="29"/>
      <c r="AJ363" s="29"/>
      <c r="AK363" s="29"/>
      <c r="AL363" s="29"/>
    </row>
    <row r="364" spans="1:38" ht="14.1" customHeight="1">
      <c r="A364" s="307" t="e">
        <f>+'Estimate Details'!#REF!</f>
        <v>#REF!</v>
      </c>
      <c r="B364" s="307"/>
      <c r="C364" s="307"/>
      <c r="D364" s="317"/>
      <c r="E364" s="158" t="e">
        <f>+'Estimate Details'!#REF!</f>
        <v>#REF!</v>
      </c>
      <c r="F364" s="216"/>
      <c r="G364" s="205" t="e">
        <f>+'Estimate Details'!#REF!</f>
        <v>#REF!</v>
      </c>
      <c r="H364" s="41" t="e">
        <f>+'Estimate Details'!#REF!</f>
        <v>#REF!</v>
      </c>
      <c r="I364" s="108" t="e">
        <f>+'Estimate Details'!#REF!</f>
        <v>#REF!</v>
      </c>
      <c r="J364" s="365" t="e">
        <f>+'Estimate Details'!#REF!</f>
        <v>#REF!</v>
      </c>
      <c r="K364" s="42" t="e">
        <f>+'Estimate Details'!#REF!</f>
        <v>#REF!</v>
      </c>
      <c r="L364" s="42" t="e">
        <f>+'Estimate Details'!#REF!</f>
        <v>#REF!</v>
      </c>
      <c r="M364" s="204" t="e">
        <f>+'Estimate Details'!#REF!</f>
        <v>#REF!</v>
      </c>
      <c r="N364" s="170" t="e">
        <f>+'Estimate Details'!#REF!</f>
        <v>#REF!</v>
      </c>
      <c r="O364" s="171" t="e">
        <f>+'Estimate Details'!#REF!</f>
        <v>#REF!</v>
      </c>
      <c r="P364" s="172" t="e">
        <f>+'Estimate Details'!#REF!</f>
        <v>#REF!</v>
      </c>
      <c r="Q364" s="173" t="e">
        <f>+'Estimate Details'!#REF!</f>
        <v>#REF!</v>
      </c>
      <c r="R364" s="174" t="e">
        <f>+'Estimate Details'!#REF!</f>
        <v>#REF!</v>
      </c>
      <c r="S364" s="507"/>
      <c r="T364" s="174" t="e">
        <f>+'Estimate Details'!#REF!</f>
        <v>#REF!</v>
      </c>
      <c r="U364" s="481" t="s">
        <v>1310</v>
      </c>
      <c r="V364" s="172" t="e">
        <f>+'Estimate Details'!#REF!</f>
        <v>#REF!</v>
      </c>
      <c r="W364" s="481" t="s">
        <v>1309</v>
      </c>
      <c r="X364" s="172" t="e">
        <f>+'Estimate Details'!#REF!</f>
        <v>#REF!</v>
      </c>
      <c r="Y364" s="172" t="e">
        <f>+'Estimate Details'!#REF!</f>
        <v>#REF!</v>
      </c>
      <c r="Z364" s="174" t="e">
        <f>+'Estimate Details'!#REF!</f>
        <v>#REF!</v>
      </c>
      <c r="AA364" s="481"/>
      <c r="AB364" s="175" t="e">
        <f>+'Estimate Details'!#REF!</f>
        <v>#REF!</v>
      </c>
      <c r="AC364" s="569"/>
      <c r="AD364" s="176" t="e">
        <f>+'Estimate Details'!#REF!</f>
        <v>#REF!</v>
      </c>
      <c r="AE364" s="156"/>
      <c r="AF364" s="367"/>
      <c r="AG364" s="156"/>
      <c r="AH364" s="156"/>
      <c r="AI364" s="29"/>
      <c r="AJ364" s="29"/>
      <c r="AK364" s="29"/>
      <c r="AL364" s="29"/>
    </row>
    <row r="365" spans="1:38" ht="13.5" customHeight="1">
      <c r="A365" s="307" t="e">
        <f>+'Estimate Details'!#REF!</f>
        <v>#REF!</v>
      </c>
      <c r="B365" s="307"/>
      <c r="C365" s="307"/>
      <c r="D365" s="317"/>
      <c r="E365" s="158" t="e">
        <f>+'Estimate Details'!#REF!</f>
        <v>#REF!</v>
      </c>
      <c r="F365" s="41"/>
      <c r="G365" s="205" t="e">
        <f>+'Estimate Details'!#REF!</f>
        <v>#REF!</v>
      </c>
      <c r="H365" s="41" t="e">
        <f>+'Estimate Details'!#REF!</f>
        <v>#REF!</v>
      </c>
      <c r="I365" s="217" t="e">
        <f>+'Estimate Details'!#REF!</f>
        <v>#REF!</v>
      </c>
      <c r="J365" s="224" t="e">
        <f>+'Estimate Details'!#REF!</f>
        <v>#REF!</v>
      </c>
      <c r="K365" s="42" t="e">
        <f>+'Estimate Details'!#REF!</f>
        <v>#REF!</v>
      </c>
      <c r="L365" s="42" t="e">
        <f>+'Estimate Details'!#REF!</f>
        <v>#REF!</v>
      </c>
      <c r="M365" s="204" t="e">
        <f>+'Estimate Details'!#REF!</f>
        <v>#REF!</v>
      </c>
      <c r="N365" s="170" t="e">
        <f>+'Estimate Details'!#REF!</f>
        <v>#REF!</v>
      </c>
      <c r="O365" s="171" t="e">
        <f>+'Estimate Details'!#REF!</f>
        <v>#REF!</v>
      </c>
      <c r="P365" s="172" t="e">
        <f>+'Estimate Details'!#REF!</f>
        <v>#REF!</v>
      </c>
      <c r="Q365" s="173" t="e">
        <f>+'Estimate Details'!#REF!</f>
        <v>#REF!</v>
      </c>
      <c r="R365" s="174" t="e">
        <f>+'Estimate Details'!#REF!</f>
        <v>#REF!</v>
      </c>
      <c r="S365" s="507"/>
      <c r="T365" s="174" t="e">
        <f>+'Estimate Details'!#REF!</f>
        <v>#REF!</v>
      </c>
      <c r="U365" s="481" t="s">
        <v>1309</v>
      </c>
      <c r="V365" s="172" t="e">
        <f>+'Estimate Details'!#REF!</f>
        <v>#REF!</v>
      </c>
      <c r="W365" s="481" t="s">
        <v>1309</v>
      </c>
      <c r="X365" s="172" t="e">
        <f>+'Estimate Details'!#REF!</f>
        <v>#REF!</v>
      </c>
      <c r="Y365" s="172" t="e">
        <f>+'Estimate Details'!#REF!</f>
        <v>#REF!</v>
      </c>
      <c r="Z365" s="174" t="e">
        <f>+'Estimate Details'!#REF!</f>
        <v>#REF!</v>
      </c>
      <c r="AA365" s="481"/>
      <c r="AB365" s="175" t="e">
        <f>+'Estimate Details'!#REF!</f>
        <v>#REF!</v>
      </c>
      <c r="AC365" s="569"/>
      <c r="AD365" s="176" t="e">
        <f>+'Estimate Details'!#REF!</f>
        <v>#REF!</v>
      </c>
      <c r="AE365" s="156"/>
      <c r="AF365" s="367"/>
      <c r="AG365" s="156"/>
      <c r="AH365" s="156"/>
      <c r="AI365" s="29"/>
      <c r="AJ365" s="29"/>
      <c r="AK365" s="29"/>
      <c r="AL365" s="29"/>
    </row>
    <row r="366" spans="1:38" ht="14.1" customHeight="1">
      <c r="A366" s="307" t="e">
        <f>+'Estimate Details'!#REF!</f>
        <v>#REF!</v>
      </c>
      <c r="B366" s="307"/>
      <c r="C366" s="307"/>
      <c r="D366" s="317"/>
      <c r="E366" s="158" t="e">
        <f>+'Estimate Details'!#REF!</f>
        <v>#REF!</v>
      </c>
      <c r="F366" s="41"/>
      <c r="G366" s="205" t="e">
        <f>+'Estimate Details'!#REF!</f>
        <v>#REF!</v>
      </c>
      <c r="H366" s="41" t="e">
        <f>+'Estimate Details'!#REF!</f>
        <v>#REF!</v>
      </c>
      <c r="I366" s="217" t="e">
        <f>+'Estimate Details'!#REF!</f>
        <v>#REF!</v>
      </c>
      <c r="J366" s="224" t="e">
        <f>+'Estimate Details'!#REF!</f>
        <v>#REF!</v>
      </c>
      <c r="K366" s="42" t="e">
        <f>+'Estimate Details'!#REF!</f>
        <v>#REF!</v>
      </c>
      <c r="L366" s="42" t="e">
        <f>+'Estimate Details'!#REF!</f>
        <v>#REF!</v>
      </c>
      <c r="M366" s="204" t="e">
        <f>+'Estimate Details'!#REF!</f>
        <v>#REF!</v>
      </c>
      <c r="N366" s="170" t="e">
        <f>+'Estimate Details'!#REF!</f>
        <v>#REF!</v>
      </c>
      <c r="O366" s="171" t="e">
        <f>+'Estimate Details'!#REF!</f>
        <v>#REF!</v>
      </c>
      <c r="P366" s="172" t="e">
        <f>+'Estimate Details'!#REF!</f>
        <v>#REF!</v>
      </c>
      <c r="Q366" s="173" t="e">
        <f>+'Estimate Details'!#REF!</f>
        <v>#REF!</v>
      </c>
      <c r="R366" s="174" t="e">
        <f>+'Estimate Details'!#REF!</f>
        <v>#REF!</v>
      </c>
      <c r="S366" s="507"/>
      <c r="T366" s="174" t="e">
        <f>+'Estimate Details'!#REF!</f>
        <v>#REF!</v>
      </c>
      <c r="U366" s="481" t="s">
        <v>1309</v>
      </c>
      <c r="V366" s="172" t="e">
        <f>+'Estimate Details'!#REF!</f>
        <v>#REF!</v>
      </c>
      <c r="W366" s="481" t="s">
        <v>1309</v>
      </c>
      <c r="X366" s="172" t="e">
        <f>+'Estimate Details'!#REF!</f>
        <v>#REF!</v>
      </c>
      <c r="Y366" s="172" t="e">
        <f>+'Estimate Details'!#REF!</f>
        <v>#REF!</v>
      </c>
      <c r="Z366" s="174" t="e">
        <f>+'Estimate Details'!#REF!</f>
        <v>#REF!</v>
      </c>
      <c r="AA366" s="481"/>
      <c r="AB366" s="175" t="e">
        <f>+'Estimate Details'!#REF!</f>
        <v>#REF!</v>
      </c>
      <c r="AC366" s="569"/>
      <c r="AD366" s="176" t="e">
        <f>+'Estimate Details'!#REF!</f>
        <v>#REF!</v>
      </c>
      <c r="AE366" s="156"/>
      <c r="AF366" s="367"/>
      <c r="AG366" s="156"/>
      <c r="AH366" s="156"/>
      <c r="AI366" s="29"/>
      <c r="AJ366" s="29"/>
      <c r="AK366" s="29"/>
      <c r="AL366" s="29"/>
    </row>
    <row r="367" spans="1:38" ht="13.5" customHeight="1">
      <c r="A367" s="307" t="e">
        <f>+'Estimate Details'!#REF!</f>
        <v>#REF!</v>
      </c>
      <c r="B367" s="307"/>
      <c r="C367" s="307"/>
      <c r="D367" s="317"/>
      <c r="E367" s="158" t="e">
        <f>+'Estimate Details'!#REF!</f>
        <v>#REF!</v>
      </c>
      <c r="F367" s="216"/>
      <c r="G367" s="205" t="e">
        <f>+'Estimate Details'!#REF!</f>
        <v>#REF!</v>
      </c>
      <c r="H367" s="41" t="e">
        <f>+'Estimate Details'!#REF!</f>
        <v>#REF!</v>
      </c>
      <c r="I367" s="108" t="e">
        <f>+'Estimate Details'!#REF!</f>
        <v>#REF!</v>
      </c>
      <c r="J367" s="224" t="e">
        <f>+'Estimate Details'!#REF!</f>
        <v>#REF!</v>
      </c>
      <c r="K367" s="42" t="e">
        <f>+'Estimate Details'!#REF!</f>
        <v>#REF!</v>
      </c>
      <c r="L367" s="42" t="e">
        <f>+'Estimate Details'!#REF!</f>
        <v>#REF!</v>
      </c>
      <c r="M367" s="204" t="e">
        <f>+'Estimate Details'!#REF!</f>
        <v>#REF!</v>
      </c>
      <c r="N367" s="170" t="e">
        <f>+'Estimate Details'!#REF!</f>
        <v>#REF!</v>
      </c>
      <c r="O367" s="171" t="e">
        <f>+'Estimate Details'!#REF!</f>
        <v>#REF!</v>
      </c>
      <c r="P367" s="172" t="e">
        <f>+'Estimate Details'!#REF!</f>
        <v>#REF!</v>
      </c>
      <c r="Q367" s="173" t="e">
        <f>+'Estimate Details'!#REF!</f>
        <v>#REF!</v>
      </c>
      <c r="R367" s="174" t="e">
        <f>+'Estimate Details'!#REF!</f>
        <v>#REF!</v>
      </c>
      <c r="S367" s="507"/>
      <c r="T367" s="174" t="e">
        <f>+'Estimate Details'!#REF!</f>
        <v>#REF!</v>
      </c>
      <c r="U367" s="481" t="s">
        <v>1309</v>
      </c>
      <c r="V367" s="172" t="e">
        <f>+'Estimate Details'!#REF!</f>
        <v>#REF!</v>
      </c>
      <c r="W367" s="481" t="s">
        <v>1309</v>
      </c>
      <c r="X367" s="172" t="e">
        <f>+'Estimate Details'!#REF!</f>
        <v>#REF!</v>
      </c>
      <c r="Y367" s="172" t="e">
        <f>+'Estimate Details'!#REF!</f>
        <v>#REF!</v>
      </c>
      <c r="Z367" s="174" t="e">
        <f>+'Estimate Details'!#REF!</f>
        <v>#REF!</v>
      </c>
      <c r="AA367" s="481"/>
      <c r="AB367" s="175" t="e">
        <f>+'Estimate Details'!#REF!</f>
        <v>#REF!</v>
      </c>
      <c r="AC367" s="569"/>
      <c r="AD367" s="176" t="e">
        <f>+'Estimate Details'!#REF!</f>
        <v>#REF!</v>
      </c>
      <c r="AE367" s="156"/>
      <c r="AF367" s="156"/>
      <c r="AG367" s="156"/>
      <c r="AH367" s="156"/>
      <c r="AI367" s="29"/>
      <c r="AJ367" s="29"/>
      <c r="AK367" s="29"/>
      <c r="AL367" s="29"/>
    </row>
    <row r="368" spans="1:38" ht="13.5" customHeight="1">
      <c r="A368" s="307" t="e">
        <f>+'Estimate Details'!#REF!</f>
        <v>#REF!</v>
      </c>
      <c r="B368" s="307"/>
      <c r="C368" s="307"/>
      <c r="D368" s="317"/>
      <c r="E368" s="158" t="e">
        <f>+'Estimate Details'!#REF!</f>
        <v>#REF!</v>
      </c>
      <c r="F368" s="41"/>
      <c r="G368" s="205" t="e">
        <f>+'Estimate Details'!#REF!</f>
        <v>#REF!</v>
      </c>
      <c r="H368" s="41" t="e">
        <f>+'Estimate Details'!#REF!</f>
        <v>#REF!</v>
      </c>
      <c r="I368" s="217" t="e">
        <f>+'Estimate Details'!#REF!</f>
        <v>#REF!</v>
      </c>
      <c r="J368" s="224" t="e">
        <f>+'Estimate Details'!#REF!</f>
        <v>#REF!</v>
      </c>
      <c r="K368" s="42" t="e">
        <f>+'Estimate Details'!#REF!</f>
        <v>#REF!</v>
      </c>
      <c r="L368" s="42" t="e">
        <f>+'Estimate Details'!#REF!</f>
        <v>#REF!</v>
      </c>
      <c r="M368" s="204" t="e">
        <f>+'Estimate Details'!#REF!</f>
        <v>#REF!</v>
      </c>
      <c r="N368" s="170" t="e">
        <f>+'Estimate Details'!#REF!</f>
        <v>#REF!</v>
      </c>
      <c r="O368" s="171" t="e">
        <f>+'Estimate Details'!#REF!</f>
        <v>#REF!</v>
      </c>
      <c r="P368" s="172" t="e">
        <f>+'Estimate Details'!#REF!</f>
        <v>#REF!</v>
      </c>
      <c r="Q368" s="173" t="e">
        <f>+'Estimate Details'!#REF!</f>
        <v>#REF!</v>
      </c>
      <c r="R368" s="174" t="e">
        <f>+'Estimate Details'!#REF!</f>
        <v>#REF!</v>
      </c>
      <c r="S368" s="507"/>
      <c r="T368" s="174" t="e">
        <f>+'Estimate Details'!#REF!</f>
        <v>#REF!</v>
      </c>
      <c r="U368" s="481" t="s">
        <v>1309</v>
      </c>
      <c r="V368" s="172" t="e">
        <f>+'Estimate Details'!#REF!</f>
        <v>#REF!</v>
      </c>
      <c r="W368" s="481" t="s">
        <v>1309</v>
      </c>
      <c r="X368" s="172" t="e">
        <f>+'Estimate Details'!#REF!</f>
        <v>#REF!</v>
      </c>
      <c r="Y368" s="172" t="e">
        <f>+'Estimate Details'!#REF!</f>
        <v>#REF!</v>
      </c>
      <c r="Z368" s="174" t="e">
        <f>+'Estimate Details'!#REF!</f>
        <v>#REF!</v>
      </c>
      <c r="AA368" s="481"/>
      <c r="AB368" s="175" t="e">
        <f>+'Estimate Details'!#REF!</f>
        <v>#REF!</v>
      </c>
      <c r="AC368" s="569"/>
      <c r="AD368" s="176" t="e">
        <f>+'Estimate Details'!#REF!</f>
        <v>#REF!</v>
      </c>
      <c r="AE368" s="156"/>
      <c r="AF368" s="156"/>
      <c r="AG368" s="156"/>
      <c r="AH368" s="156"/>
      <c r="AI368" s="29"/>
      <c r="AJ368" s="29"/>
      <c r="AK368" s="29"/>
      <c r="AL368" s="29"/>
    </row>
    <row r="369" spans="1:38" ht="13.5" customHeight="1">
      <c r="A369" s="307" t="e">
        <f>+'Estimate Details'!#REF!</f>
        <v>#REF!</v>
      </c>
      <c r="B369" s="307"/>
      <c r="C369" s="307"/>
      <c r="D369" s="317"/>
      <c r="E369" s="158" t="e">
        <f>+'Estimate Details'!#REF!</f>
        <v>#REF!</v>
      </c>
      <c r="F369" s="41"/>
      <c r="G369" s="205" t="e">
        <f>+'Estimate Details'!#REF!</f>
        <v>#REF!</v>
      </c>
      <c r="H369" s="41" t="e">
        <f>+'Estimate Details'!#REF!</f>
        <v>#REF!</v>
      </c>
      <c r="I369" s="217" t="e">
        <f>+'Estimate Details'!#REF!</f>
        <v>#REF!</v>
      </c>
      <c r="J369" s="224" t="e">
        <f>+'Estimate Details'!#REF!</f>
        <v>#REF!</v>
      </c>
      <c r="K369" s="42" t="e">
        <f>+'Estimate Details'!#REF!</f>
        <v>#REF!</v>
      </c>
      <c r="L369" s="42" t="e">
        <f>+'Estimate Details'!#REF!</f>
        <v>#REF!</v>
      </c>
      <c r="M369" s="204" t="e">
        <f>+'Estimate Details'!#REF!</f>
        <v>#REF!</v>
      </c>
      <c r="N369" s="170" t="e">
        <f>+'Estimate Details'!#REF!</f>
        <v>#REF!</v>
      </c>
      <c r="O369" s="171" t="e">
        <f>+'Estimate Details'!#REF!</f>
        <v>#REF!</v>
      </c>
      <c r="P369" s="172" t="e">
        <f>+'Estimate Details'!#REF!</f>
        <v>#REF!</v>
      </c>
      <c r="Q369" s="173" t="e">
        <f>+'Estimate Details'!#REF!</f>
        <v>#REF!</v>
      </c>
      <c r="R369" s="174" t="e">
        <f>+'Estimate Details'!#REF!</f>
        <v>#REF!</v>
      </c>
      <c r="S369" s="507"/>
      <c r="T369" s="174" t="e">
        <f>+'Estimate Details'!#REF!</f>
        <v>#REF!</v>
      </c>
      <c r="U369" s="481" t="s">
        <v>1309</v>
      </c>
      <c r="V369" s="172" t="e">
        <f>+'Estimate Details'!#REF!</f>
        <v>#REF!</v>
      </c>
      <c r="W369" s="481" t="s">
        <v>1309</v>
      </c>
      <c r="X369" s="172" t="e">
        <f>+'Estimate Details'!#REF!</f>
        <v>#REF!</v>
      </c>
      <c r="Y369" s="172" t="e">
        <f>+'Estimate Details'!#REF!</f>
        <v>#REF!</v>
      </c>
      <c r="Z369" s="174" t="e">
        <f>+'Estimate Details'!#REF!</f>
        <v>#REF!</v>
      </c>
      <c r="AA369" s="481"/>
      <c r="AB369" s="175" t="e">
        <f>+'Estimate Details'!#REF!</f>
        <v>#REF!</v>
      </c>
      <c r="AC369" s="569"/>
      <c r="AD369" s="176" t="e">
        <f>+'Estimate Details'!#REF!</f>
        <v>#REF!</v>
      </c>
      <c r="AE369" s="156"/>
      <c r="AF369" s="367"/>
      <c r="AG369" s="156"/>
      <c r="AH369" s="156"/>
      <c r="AI369" s="29"/>
      <c r="AJ369" s="29"/>
      <c r="AK369" s="29"/>
      <c r="AL369" s="29"/>
    </row>
    <row r="370" spans="1:38" ht="14.1" customHeight="1">
      <c r="A370" s="307" t="e">
        <f>+'Estimate Details'!#REF!</f>
        <v>#REF!</v>
      </c>
      <c r="B370" s="307"/>
      <c r="C370" s="307"/>
      <c r="D370" s="317"/>
      <c r="E370" s="158" t="e">
        <f>+'Estimate Details'!#REF!</f>
        <v>#REF!</v>
      </c>
      <c r="F370" s="41"/>
      <c r="G370" s="117" t="e">
        <f>+'Estimate Details'!#REF!</f>
        <v>#REF!</v>
      </c>
      <c r="H370" s="185" t="e">
        <f>+'Estimate Details'!#REF!</f>
        <v>#REF!</v>
      </c>
      <c r="I370" s="231" t="e">
        <f>+'Estimate Details'!#REF!</f>
        <v>#REF!</v>
      </c>
      <c r="J370" s="221" t="e">
        <f>+'Estimate Details'!#REF!</f>
        <v>#REF!</v>
      </c>
      <c r="K370" s="42" t="e">
        <f>+'Estimate Details'!#REF!</f>
        <v>#REF!</v>
      </c>
      <c r="L370" s="42" t="e">
        <f>+'Estimate Details'!#REF!</f>
        <v>#REF!</v>
      </c>
      <c r="M370" s="204" t="e">
        <f>+'Estimate Details'!#REF!</f>
        <v>#REF!</v>
      </c>
      <c r="N370" s="170" t="e">
        <f>+'Estimate Details'!#REF!</f>
        <v>#REF!</v>
      </c>
      <c r="O370" s="171" t="e">
        <f>+'Estimate Details'!#REF!</f>
        <v>#REF!</v>
      </c>
      <c r="P370" s="172" t="e">
        <f>+'Estimate Details'!#REF!</f>
        <v>#REF!</v>
      </c>
      <c r="Q370" s="173" t="e">
        <f>+'Estimate Details'!#REF!</f>
        <v>#REF!</v>
      </c>
      <c r="R370" s="174" t="e">
        <f>+'Estimate Details'!#REF!</f>
        <v>#REF!</v>
      </c>
      <c r="S370" s="507"/>
      <c r="T370" s="174" t="e">
        <f>+'Estimate Details'!#REF!</f>
        <v>#REF!</v>
      </c>
      <c r="U370" s="481" t="s">
        <v>1309</v>
      </c>
      <c r="V370" s="172" t="e">
        <f>+'Estimate Details'!#REF!</f>
        <v>#REF!</v>
      </c>
      <c r="W370" s="481" t="s">
        <v>1309</v>
      </c>
      <c r="X370" s="172" t="e">
        <f>+'Estimate Details'!#REF!</f>
        <v>#REF!</v>
      </c>
      <c r="Y370" s="172" t="e">
        <f>+'Estimate Details'!#REF!</f>
        <v>#REF!</v>
      </c>
      <c r="Z370" s="174" t="e">
        <f>+'Estimate Details'!#REF!</f>
        <v>#REF!</v>
      </c>
      <c r="AA370" s="481"/>
      <c r="AB370" s="175" t="e">
        <f>+'Estimate Details'!#REF!</f>
        <v>#REF!</v>
      </c>
      <c r="AC370" s="569"/>
      <c r="AD370" s="176" t="e">
        <f>+'Estimate Details'!#REF!</f>
        <v>#REF!</v>
      </c>
      <c r="AE370" s="156"/>
      <c r="AF370" s="215"/>
      <c r="AG370" s="156"/>
      <c r="AH370" s="156"/>
      <c r="AI370" s="29"/>
      <c r="AJ370" s="29"/>
      <c r="AK370" s="29"/>
      <c r="AL370" s="29"/>
    </row>
    <row r="371" spans="1:38" ht="13.5" customHeight="1">
      <c r="A371" s="307" t="e">
        <f>+'Estimate Details'!#REF!</f>
        <v>#REF!</v>
      </c>
      <c r="B371" s="307"/>
      <c r="C371" s="307"/>
      <c r="D371" s="317"/>
      <c r="E371" s="158" t="e">
        <f>+'Estimate Details'!#REF!</f>
        <v>#REF!</v>
      </c>
      <c r="F371" s="41"/>
      <c r="G371" s="205" t="e">
        <f>+'Estimate Details'!#REF!</f>
        <v>#REF!</v>
      </c>
      <c r="H371" s="41" t="e">
        <f>+'Estimate Details'!#REF!</f>
        <v>#REF!</v>
      </c>
      <c r="I371" s="217" t="e">
        <f>+'Estimate Details'!#REF!</f>
        <v>#REF!</v>
      </c>
      <c r="J371" s="224" t="e">
        <f>+'Estimate Details'!#REF!</f>
        <v>#REF!</v>
      </c>
      <c r="K371" s="42" t="e">
        <f>+'Estimate Details'!#REF!</f>
        <v>#REF!</v>
      </c>
      <c r="L371" s="42" t="e">
        <f>+'Estimate Details'!#REF!</f>
        <v>#REF!</v>
      </c>
      <c r="M371" s="204" t="e">
        <f>+'Estimate Details'!#REF!</f>
        <v>#REF!</v>
      </c>
      <c r="N371" s="170" t="e">
        <f>+'Estimate Details'!#REF!</f>
        <v>#REF!</v>
      </c>
      <c r="O371" s="171" t="e">
        <f>+'Estimate Details'!#REF!</f>
        <v>#REF!</v>
      </c>
      <c r="P371" s="172" t="e">
        <f>+'Estimate Details'!#REF!</f>
        <v>#REF!</v>
      </c>
      <c r="Q371" s="173" t="e">
        <f>+'Estimate Details'!#REF!</f>
        <v>#REF!</v>
      </c>
      <c r="R371" s="174" t="e">
        <f>+'Estimate Details'!#REF!</f>
        <v>#REF!</v>
      </c>
      <c r="S371" s="507"/>
      <c r="T371" s="174" t="e">
        <f>+'Estimate Details'!#REF!</f>
        <v>#REF!</v>
      </c>
      <c r="U371" s="481" t="s">
        <v>1309</v>
      </c>
      <c r="V371" s="172" t="e">
        <f>+'Estimate Details'!#REF!</f>
        <v>#REF!</v>
      </c>
      <c r="W371" s="481" t="s">
        <v>1309</v>
      </c>
      <c r="X371" s="172" t="e">
        <f>+'Estimate Details'!#REF!</f>
        <v>#REF!</v>
      </c>
      <c r="Y371" s="172" t="e">
        <f>+'Estimate Details'!#REF!</f>
        <v>#REF!</v>
      </c>
      <c r="Z371" s="174" t="e">
        <f>+'Estimate Details'!#REF!</f>
        <v>#REF!</v>
      </c>
      <c r="AA371" s="481"/>
      <c r="AB371" s="175" t="e">
        <f>+'Estimate Details'!#REF!</f>
        <v>#REF!</v>
      </c>
      <c r="AC371" s="569"/>
      <c r="AD371" s="176" t="e">
        <f>+'Estimate Details'!#REF!</f>
        <v>#REF!</v>
      </c>
      <c r="AE371" s="156"/>
      <c r="AF371" s="156"/>
      <c r="AG371" s="156"/>
      <c r="AH371" s="156"/>
      <c r="AI371" s="29"/>
      <c r="AJ371" s="29"/>
      <c r="AK371" s="29"/>
      <c r="AL371" s="29"/>
    </row>
    <row r="372" spans="1:38" ht="14.1" customHeight="1">
      <c r="A372" s="307" t="e">
        <f>+'Estimate Details'!#REF!</f>
        <v>#REF!</v>
      </c>
      <c r="B372" s="307"/>
      <c r="C372" s="307"/>
      <c r="D372" s="317"/>
      <c r="E372" s="158" t="e">
        <f>+'Estimate Details'!#REF!</f>
        <v>#REF!</v>
      </c>
      <c r="F372" s="41"/>
      <c r="G372" s="205" t="e">
        <f>+'Estimate Details'!#REF!</f>
        <v>#REF!</v>
      </c>
      <c r="H372" s="41" t="e">
        <f>+'Estimate Details'!#REF!</f>
        <v>#REF!</v>
      </c>
      <c r="I372" s="108" t="e">
        <f>+'Estimate Details'!#REF!</f>
        <v>#REF!</v>
      </c>
      <c r="J372" s="365" t="e">
        <f>+'Estimate Details'!#REF!</f>
        <v>#REF!</v>
      </c>
      <c r="K372" s="42" t="e">
        <f>+'Estimate Details'!#REF!</f>
        <v>#REF!</v>
      </c>
      <c r="L372" s="42" t="e">
        <f>+'Estimate Details'!#REF!</f>
        <v>#REF!</v>
      </c>
      <c r="M372" s="204" t="e">
        <f>+'Estimate Details'!#REF!</f>
        <v>#REF!</v>
      </c>
      <c r="N372" s="170" t="e">
        <f>+'Estimate Details'!#REF!</f>
        <v>#REF!</v>
      </c>
      <c r="O372" s="171" t="e">
        <f>+'Estimate Details'!#REF!</f>
        <v>#REF!</v>
      </c>
      <c r="P372" s="172" t="e">
        <f>+'Estimate Details'!#REF!</f>
        <v>#REF!</v>
      </c>
      <c r="Q372" s="173" t="e">
        <f>+'Estimate Details'!#REF!</f>
        <v>#REF!</v>
      </c>
      <c r="R372" s="174" t="e">
        <f>+'Estimate Details'!#REF!</f>
        <v>#REF!</v>
      </c>
      <c r="S372" s="507"/>
      <c r="T372" s="174" t="e">
        <f>+'Estimate Details'!#REF!</f>
        <v>#REF!</v>
      </c>
      <c r="U372" s="481" t="s">
        <v>1309</v>
      </c>
      <c r="V372" s="172" t="e">
        <f>+'Estimate Details'!#REF!</f>
        <v>#REF!</v>
      </c>
      <c r="W372" s="481" t="s">
        <v>1309</v>
      </c>
      <c r="X372" s="172" t="e">
        <f>+'Estimate Details'!#REF!</f>
        <v>#REF!</v>
      </c>
      <c r="Y372" s="172" t="e">
        <f>+'Estimate Details'!#REF!</f>
        <v>#REF!</v>
      </c>
      <c r="Z372" s="174" t="e">
        <f>+'Estimate Details'!#REF!</f>
        <v>#REF!</v>
      </c>
      <c r="AA372" s="481"/>
      <c r="AB372" s="175" t="e">
        <f>+'Estimate Details'!#REF!</f>
        <v>#REF!</v>
      </c>
      <c r="AC372" s="569"/>
      <c r="AD372" s="176" t="e">
        <f>+'Estimate Details'!#REF!</f>
        <v>#REF!</v>
      </c>
      <c r="AE372" s="156"/>
      <c r="AF372" s="367"/>
      <c r="AG372" s="156"/>
      <c r="AH372" s="156"/>
      <c r="AI372" s="29"/>
      <c r="AJ372" s="29"/>
      <c r="AK372" s="29"/>
      <c r="AL372" s="29"/>
    </row>
    <row r="373" spans="1:38" ht="14.1" customHeight="1">
      <c r="A373" s="307" t="e">
        <f>+'Estimate Details'!#REF!</f>
        <v>#REF!</v>
      </c>
      <c r="B373" s="307"/>
      <c r="C373" s="307"/>
      <c r="D373" s="317"/>
      <c r="E373" s="158" t="e">
        <f>+'Estimate Details'!#REF!</f>
        <v>#REF!</v>
      </c>
      <c r="F373" s="41"/>
      <c r="G373" s="117" t="e">
        <f>+'Estimate Details'!#REF!</f>
        <v>#REF!</v>
      </c>
      <c r="H373" s="41" t="e">
        <f>+'Estimate Details'!#REF!</f>
        <v>#REF!</v>
      </c>
      <c r="I373" s="217" t="e">
        <f>+'Estimate Details'!#REF!</f>
        <v>#REF!</v>
      </c>
      <c r="J373" s="42" t="e">
        <f>+'Estimate Details'!#REF!</f>
        <v>#REF!</v>
      </c>
      <c r="K373" s="42" t="e">
        <f>+'Estimate Details'!#REF!</f>
        <v>#REF!</v>
      </c>
      <c r="L373" s="42" t="e">
        <f>+'Estimate Details'!#REF!</f>
        <v>#REF!</v>
      </c>
      <c r="M373" s="204" t="e">
        <f>+'Estimate Details'!#REF!</f>
        <v>#REF!</v>
      </c>
      <c r="N373" s="170" t="e">
        <f>+'Estimate Details'!#REF!</f>
        <v>#REF!</v>
      </c>
      <c r="O373" s="171" t="e">
        <f>+'Estimate Details'!#REF!</f>
        <v>#REF!</v>
      </c>
      <c r="P373" s="172" t="e">
        <f>+'Estimate Details'!#REF!</f>
        <v>#REF!</v>
      </c>
      <c r="Q373" s="173" t="e">
        <f>+'Estimate Details'!#REF!</f>
        <v>#REF!</v>
      </c>
      <c r="R373" s="174" t="e">
        <f>+'Estimate Details'!#REF!</f>
        <v>#REF!</v>
      </c>
      <c r="S373" s="507"/>
      <c r="T373" s="174" t="e">
        <f>+'Estimate Details'!#REF!</f>
        <v>#REF!</v>
      </c>
      <c r="U373" s="481" t="s">
        <v>1309</v>
      </c>
      <c r="V373" s="172" t="e">
        <f>+'Estimate Details'!#REF!</f>
        <v>#REF!</v>
      </c>
      <c r="W373" s="481" t="s">
        <v>1309</v>
      </c>
      <c r="X373" s="172" t="e">
        <f>+'Estimate Details'!#REF!</f>
        <v>#REF!</v>
      </c>
      <c r="Y373" s="172" t="e">
        <f>+'Estimate Details'!#REF!</f>
        <v>#REF!</v>
      </c>
      <c r="Z373" s="174" t="e">
        <f>+'Estimate Details'!#REF!</f>
        <v>#REF!</v>
      </c>
      <c r="AA373" s="481"/>
      <c r="AB373" s="175" t="e">
        <f>+'Estimate Details'!#REF!</f>
        <v>#REF!</v>
      </c>
      <c r="AC373" s="569"/>
      <c r="AD373" s="176" t="e">
        <f>+'Estimate Details'!#REF!</f>
        <v>#REF!</v>
      </c>
      <c r="AE373" s="156"/>
      <c r="AF373" s="367"/>
      <c r="AG373" s="156"/>
      <c r="AH373" s="156"/>
      <c r="AI373" s="29"/>
      <c r="AJ373" s="29"/>
      <c r="AK373" s="29"/>
      <c r="AL373" s="29"/>
    </row>
    <row r="374" spans="1:38" ht="14.1" customHeight="1">
      <c r="A374" s="307" t="e">
        <f>+'Estimate Details'!#REF!</f>
        <v>#REF!</v>
      </c>
      <c r="B374" s="307"/>
      <c r="C374" s="307"/>
      <c r="D374" s="317"/>
      <c r="E374" s="158" t="e">
        <f>+'Estimate Details'!#REF!</f>
        <v>#REF!</v>
      </c>
      <c r="F374" s="41"/>
      <c r="G374" s="117" t="e">
        <f>+'Estimate Details'!#REF!</f>
        <v>#REF!</v>
      </c>
      <c r="H374" s="41" t="e">
        <f>+'Estimate Details'!#REF!</f>
        <v>#REF!</v>
      </c>
      <c r="I374" s="108" t="e">
        <f>+'Estimate Details'!#REF!</f>
        <v>#REF!</v>
      </c>
      <c r="J374" s="192" t="e">
        <f>+'Estimate Details'!#REF!</f>
        <v>#REF!</v>
      </c>
      <c r="K374" s="42" t="e">
        <f>+'Estimate Details'!#REF!</f>
        <v>#REF!</v>
      </c>
      <c r="L374" s="42" t="e">
        <f>+'Estimate Details'!#REF!</f>
        <v>#REF!</v>
      </c>
      <c r="M374" s="177" t="e">
        <f>+'Estimate Details'!#REF!</f>
        <v>#REF!</v>
      </c>
      <c r="N374" s="170" t="e">
        <f>+'Estimate Details'!#REF!</f>
        <v>#REF!</v>
      </c>
      <c r="O374" s="171" t="e">
        <f>+'Estimate Details'!#REF!</f>
        <v>#REF!</v>
      </c>
      <c r="P374" s="172" t="e">
        <f>+'Estimate Details'!#REF!</f>
        <v>#REF!</v>
      </c>
      <c r="Q374" s="173" t="e">
        <f>+'Estimate Details'!#REF!</f>
        <v>#REF!</v>
      </c>
      <c r="R374" s="174" t="e">
        <f>+'Estimate Details'!#REF!</f>
        <v>#REF!</v>
      </c>
      <c r="S374" s="507"/>
      <c r="T374" s="174" t="e">
        <f>+'Estimate Details'!#REF!</f>
        <v>#REF!</v>
      </c>
      <c r="U374" s="481" t="s">
        <v>1309</v>
      </c>
      <c r="V374" s="172" t="e">
        <f>+'Estimate Details'!#REF!</f>
        <v>#REF!</v>
      </c>
      <c r="W374" s="481" t="s">
        <v>1309</v>
      </c>
      <c r="X374" s="172" t="e">
        <f>+'Estimate Details'!#REF!</f>
        <v>#REF!</v>
      </c>
      <c r="Y374" s="172" t="e">
        <f>+'Estimate Details'!#REF!</f>
        <v>#REF!</v>
      </c>
      <c r="Z374" s="174" t="e">
        <f>+'Estimate Details'!#REF!</f>
        <v>#REF!</v>
      </c>
      <c r="AA374" s="481"/>
      <c r="AB374" s="175" t="e">
        <f>+'Estimate Details'!#REF!</f>
        <v>#REF!</v>
      </c>
      <c r="AC374" s="569"/>
      <c r="AD374" s="176" t="e">
        <f>+'Estimate Details'!#REF!</f>
        <v>#REF!</v>
      </c>
      <c r="AE374" s="156"/>
      <c r="AF374" s="367"/>
      <c r="AG374" s="156"/>
      <c r="AH374" s="156"/>
      <c r="AI374" s="29"/>
      <c r="AJ374" s="29"/>
      <c r="AK374" s="29"/>
      <c r="AL374" s="29"/>
    </row>
    <row r="375" spans="1:38" ht="13.5" customHeight="1">
      <c r="A375" s="307" t="e">
        <f>+'Estimate Details'!#REF!</f>
        <v>#REF!</v>
      </c>
      <c r="B375" s="307"/>
      <c r="C375" s="307"/>
      <c r="D375" s="317"/>
      <c r="E375" s="158" t="e">
        <f>+'Estimate Details'!#REF!</f>
        <v>#REF!</v>
      </c>
      <c r="F375" s="41"/>
      <c r="G375" s="205" t="e">
        <f>+'Estimate Details'!#REF!</f>
        <v>#REF!</v>
      </c>
      <c r="H375" s="160" t="e">
        <f>+'Estimate Details'!#REF!</f>
        <v>#REF!</v>
      </c>
      <c r="I375" s="199" t="e">
        <f>+'Estimate Details'!#REF!</f>
        <v>#REF!</v>
      </c>
      <c r="J375" s="224" t="e">
        <f>+'Estimate Details'!#REF!</f>
        <v>#REF!</v>
      </c>
      <c r="K375" s="42" t="e">
        <f>+'Estimate Details'!#REF!</f>
        <v>#REF!</v>
      </c>
      <c r="L375" s="42" t="e">
        <f>+'Estimate Details'!#REF!</f>
        <v>#REF!</v>
      </c>
      <c r="M375" s="204" t="e">
        <f>+'Estimate Details'!#REF!</f>
        <v>#REF!</v>
      </c>
      <c r="N375" s="170" t="e">
        <f>+'Estimate Details'!#REF!</f>
        <v>#REF!</v>
      </c>
      <c r="O375" s="171" t="e">
        <f>+'Estimate Details'!#REF!</f>
        <v>#REF!</v>
      </c>
      <c r="P375" s="172" t="e">
        <f>+'Estimate Details'!#REF!</f>
        <v>#REF!</v>
      </c>
      <c r="Q375" s="173" t="e">
        <f>+'Estimate Details'!#REF!</f>
        <v>#REF!</v>
      </c>
      <c r="R375" s="174" t="e">
        <f>+'Estimate Details'!#REF!</f>
        <v>#REF!</v>
      </c>
      <c r="S375" s="507"/>
      <c r="T375" s="174" t="e">
        <f>+'Estimate Details'!#REF!</f>
        <v>#REF!</v>
      </c>
      <c r="U375" s="481" t="s">
        <v>1309</v>
      </c>
      <c r="V375" s="172" t="e">
        <f>+'Estimate Details'!#REF!</f>
        <v>#REF!</v>
      </c>
      <c r="W375" s="481" t="s">
        <v>1309</v>
      </c>
      <c r="X375" s="172" t="e">
        <f>+'Estimate Details'!#REF!</f>
        <v>#REF!</v>
      </c>
      <c r="Y375" s="172" t="e">
        <f>+'Estimate Details'!#REF!</f>
        <v>#REF!</v>
      </c>
      <c r="Z375" s="174" t="e">
        <f>+'Estimate Details'!#REF!</f>
        <v>#REF!</v>
      </c>
      <c r="AA375" s="481"/>
      <c r="AB375" s="175" t="e">
        <f>+'Estimate Details'!#REF!</f>
        <v>#REF!</v>
      </c>
      <c r="AC375" s="569"/>
      <c r="AD375" s="176" t="e">
        <f>+'Estimate Details'!#REF!</f>
        <v>#REF!</v>
      </c>
      <c r="AE375" s="156"/>
      <c r="AF375" s="156"/>
      <c r="AG375" s="156"/>
      <c r="AH375" s="156"/>
      <c r="AI375" s="29"/>
      <c r="AJ375" s="29"/>
      <c r="AK375" s="29"/>
      <c r="AL375" s="29"/>
    </row>
    <row r="376" spans="1:38" ht="13.5" customHeight="1">
      <c r="A376" s="347" t="e">
        <f>+'Estimate Details'!#REF!</f>
        <v>#REF!</v>
      </c>
      <c r="B376" s="347"/>
      <c r="C376" s="347"/>
      <c r="D376" s="210"/>
      <c r="E376" s="158" t="e">
        <f>+'Estimate Details'!#REF!</f>
        <v>#REF!</v>
      </c>
      <c r="F376" s="41"/>
      <c r="G376" s="205" t="e">
        <f>+'Estimate Details'!#REF!</f>
        <v>#REF!</v>
      </c>
      <c r="H376" s="41" t="e">
        <f>+'Estimate Details'!#REF!</f>
        <v>#REF!</v>
      </c>
      <c r="I376" s="217" t="e">
        <f>+'Estimate Details'!#REF!</f>
        <v>#REF!</v>
      </c>
      <c r="J376" s="225" t="e">
        <f>+'Estimate Details'!#REF!</f>
        <v>#REF!</v>
      </c>
      <c r="K376" s="42" t="e">
        <f>+'Estimate Details'!#REF!</f>
        <v>#REF!</v>
      </c>
      <c r="L376" s="42" t="e">
        <f>+'Estimate Details'!#REF!</f>
        <v>#REF!</v>
      </c>
      <c r="M376" s="227" t="e">
        <f>+'Estimate Details'!#REF!</f>
        <v>#REF!</v>
      </c>
      <c r="N376" s="43" t="e">
        <f>+'Estimate Details'!#REF!</f>
        <v>#REF!</v>
      </c>
      <c r="O376" s="171" t="e">
        <f>+'Estimate Details'!#REF!</f>
        <v>#REF!</v>
      </c>
      <c r="P376" s="172" t="e">
        <f>+'Estimate Details'!#REF!</f>
        <v>#REF!</v>
      </c>
      <c r="Q376" s="173" t="e">
        <f>+'Estimate Details'!#REF!</f>
        <v>#REF!</v>
      </c>
      <c r="R376" s="174" t="e">
        <f>+'Estimate Details'!#REF!</f>
        <v>#REF!</v>
      </c>
      <c r="S376" s="507"/>
      <c r="T376" s="174" t="e">
        <f>+'Estimate Details'!#REF!</f>
        <v>#REF!</v>
      </c>
      <c r="U376" s="481" t="s">
        <v>1310</v>
      </c>
      <c r="V376" s="172" t="e">
        <f>+'Estimate Details'!#REF!</f>
        <v>#REF!</v>
      </c>
      <c r="W376" s="481" t="s">
        <v>1310</v>
      </c>
      <c r="X376" s="172" t="e">
        <f>+'Estimate Details'!#REF!</f>
        <v>#REF!</v>
      </c>
      <c r="Y376" s="172" t="e">
        <f>+'Estimate Details'!#REF!</f>
        <v>#REF!</v>
      </c>
      <c r="Z376" s="174" t="e">
        <f>+'Estimate Details'!#REF!</f>
        <v>#REF!</v>
      </c>
      <c r="AA376" s="481"/>
      <c r="AB376" s="175" t="e">
        <f>+'Estimate Details'!#REF!</f>
        <v>#REF!</v>
      </c>
      <c r="AC376" s="569"/>
      <c r="AD376" s="176" t="e">
        <f>+'Estimate Details'!#REF!</f>
        <v>#REF!</v>
      </c>
      <c r="AE376" s="156"/>
      <c r="AF376" s="156"/>
      <c r="AG376" s="156"/>
      <c r="AH376" s="156"/>
      <c r="AI376" s="29"/>
      <c r="AJ376" s="29"/>
      <c r="AK376" s="29"/>
      <c r="AL376" s="29"/>
    </row>
    <row r="377" spans="1:38" ht="13.5" customHeight="1">
      <c r="A377" s="347" t="e">
        <f>+'Estimate Details'!#REF!</f>
        <v>#REF!</v>
      </c>
      <c r="B377" s="347"/>
      <c r="C377" s="347"/>
      <c r="D377" s="210"/>
      <c r="E377" s="158" t="e">
        <f>+'Estimate Details'!#REF!</f>
        <v>#REF!</v>
      </c>
      <c r="F377" s="41"/>
      <c r="G377" s="205" t="e">
        <f>+'Estimate Details'!#REF!</f>
        <v>#REF!</v>
      </c>
      <c r="H377" s="41" t="e">
        <f>+'Estimate Details'!#REF!</f>
        <v>#REF!</v>
      </c>
      <c r="I377" s="217" t="e">
        <f>+'Estimate Details'!#REF!</f>
        <v>#REF!</v>
      </c>
      <c r="J377" s="225" t="e">
        <f>+'Estimate Details'!#REF!</f>
        <v>#REF!</v>
      </c>
      <c r="K377" s="42" t="e">
        <f>+'Estimate Details'!#REF!</f>
        <v>#REF!</v>
      </c>
      <c r="L377" s="42" t="e">
        <f>+'Estimate Details'!#REF!</f>
        <v>#REF!</v>
      </c>
      <c r="M377" s="227" t="e">
        <f>+'Estimate Details'!#REF!</f>
        <v>#REF!</v>
      </c>
      <c r="N377" s="43" t="e">
        <f>+'Estimate Details'!#REF!</f>
        <v>#REF!</v>
      </c>
      <c r="O377" s="171" t="e">
        <f>+'Estimate Details'!#REF!</f>
        <v>#REF!</v>
      </c>
      <c r="P377" s="172" t="e">
        <f>+'Estimate Details'!#REF!</f>
        <v>#REF!</v>
      </c>
      <c r="Q377" s="173" t="e">
        <f>+'Estimate Details'!#REF!</f>
        <v>#REF!</v>
      </c>
      <c r="R377" s="174" t="e">
        <f>+'Estimate Details'!#REF!</f>
        <v>#REF!</v>
      </c>
      <c r="S377" s="507"/>
      <c r="T377" s="174" t="e">
        <f>+'Estimate Details'!#REF!</f>
        <v>#REF!</v>
      </c>
      <c r="U377" s="481" t="s">
        <v>1310</v>
      </c>
      <c r="V377" s="172" t="e">
        <f>+'Estimate Details'!#REF!</f>
        <v>#REF!</v>
      </c>
      <c r="W377" s="481" t="s">
        <v>1310</v>
      </c>
      <c r="X377" s="172" t="e">
        <f>+'Estimate Details'!#REF!</f>
        <v>#REF!</v>
      </c>
      <c r="Y377" s="172" t="e">
        <f>+'Estimate Details'!#REF!</f>
        <v>#REF!</v>
      </c>
      <c r="Z377" s="174" t="e">
        <f>+'Estimate Details'!#REF!</f>
        <v>#REF!</v>
      </c>
      <c r="AA377" s="481"/>
      <c r="AB377" s="175" t="e">
        <f>+'Estimate Details'!#REF!</f>
        <v>#REF!</v>
      </c>
      <c r="AC377" s="569"/>
      <c r="AD377" s="176" t="e">
        <f>+'Estimate Details'!#REF!</f>
        <v>#REF!</v>
      </c>
      <c r="AE377" s="156"/>
      <c r="AF377" s="156"/>
      <c r="AG377" s="156"/>
      <c r="AH377" s="156"/>
      <c r="AI377" s="29"/>
      <c r="AJ377" s="29"/>
      <c r="AK377" s="29"/>
      <c r="AL377" s="29"/>
    </row>
    <row r="378" spans="1:38" ht="13.5" customHeight="1">
      <c r="A378" s="347" t="e">
        <f>+'Estimate Details'!#REF!</f>
        <v>#REF!</v>
      </c>
      <c r="B378" s="347"/>
      <c r="C378" s="347"/>
      <c r="D378" s="210"/>
      <c r="E378" s="158" t="e">
        <f>+'Estimate Details'!#REF!</f>
        <v>#REF!</v>
      </c>
      <c r="F378" s="41"/>
      <c r="G378" s="205" t="e">
        <f>+'Estimate Details'!#REF!</f>
        <v>#REF!</v>
      </c>
      <c r="H378" s="41" t="e">
        <f>+'Estimate Details'!#REF!</f>
        <v>#REF!</v>
      </c>
      <c r="I378" s="217" t="e">
        <f>+'Estimate Details'!#REF!</f>
        <v>#REF!</v>
      </c>
      <c r="J378" s="224" t="e">
        <f>+'Estimate Details'!#REF!</f>
        <v>#REF!</v>
      </c>
      <c r="K378" s="42" t="e">
        <f>+'Estimate Details'!#REF!</f>
        <v>#REF!</v>
      </c>
      <c r="L378" s="42" t="e">
        <f>+'Estimate Details'!#REF!</f>
        <v>#REF!</v>
      </c>
      <c r="M378" s="227" t="e">
        <f>+'Estimate Details'!#REF!</f>
        <v>#REF!</v>
      </c>
      <c r="N378" s="43" t="e">
        <f>+'Estimate Details'!#REF!</f>
        <v>#REF!</v>
      </c>
      <c r="O378" s="171" t="e">
        <f>+'Estimate Details'!#REF!</f>
        <v>#REF!</v>
      </c>
      <c r="P378" s="172" t="e">
        <f>+'Estimate Details'!#REF!</f>
        <v>#REF!</v>
      </c>
      <c r="Q378" s="173" t="e">
        <f>+'Estimate Details'!#REF!</f>
        <v>#REF!</v>
      </c>
      <c r="R378" s="174" t="e">
        <f>+'Estimate Details'!#REF!</f>
        <v>#REF!</v>
      </c>
      <c r="S378" s="507"/>
      <c r="T378" s="174" t="e">
        <f>+'Estimate Details'!#REF!</f>
        <v>#REF!</v>
      </c>
      <c r="U378" s="481" t="s">
        <v>1310</v>
      </c>
      <c r="V378" s="172" t="e">
        <f>+'Estimate Details'!#REF!</f>
        <v>#REF!</v>
      </c>
      <c r="W378" s="481" t="s">
        <v>1310</v>
      </c>
      <c r="X378" s="172" t="e">
        <f>+'Estimate Details'!#REF!</f>
        <v>#REF!</v>
      </c>
      <c r="Y378" s="172" t="e">
        <f>+'Estimate Details'!#REF!</f>
        <v>#REF!</v>
      </c>
      <c r="Z378" s="174" t="e">
        <f>+'Estimate Details'!#REF!</f>
        <v>#REF!</v>
      </c>
      <c r="AA378" s="481"/>
      <c r="AB378" s="175" t="e">
        <f>+'Estimate Details'!#REF!</f>
        <v>#REF!</v>
      </c>
      <c r="AC378" s="569"/>
      <c r="AD378" s="176" t="e">
        <f>+'Estimate Details'!#REF!</f>
        <v>#REF!</v>
      </c>
      <c r="AE378" s="156"/>
      <c r="AF378" s="367"/>
      <c r="AG378" s="156"/>
      <c r="AH378" s="156"/>
      <c r="AI378" s="29"/>
      <c r="AJ378" s="29"/>
      <c r="AK378" s="29"/>
      <c r="AL378" s="29"/>
    </row>
    <row r="379" spans="1:38" ht="13.5" customHeight="1">
      <c r="A379" s="347" t="e">
        <f>+'Estimate Details'!#REF!</f>
        <v>#REF!</v>
      </c>
      <c r="B379" s="347"/>
      <c r="C379" s="347"/>
      <c r="D379" s="210"/>
      <c r="E379" s="158" t="e">
        <f>+'Estimate Details'!#REF!</f>
        <v>#REF!</v>
      </c>
      <c r="F379" s="41"/>
      <c r="G379" s="205" t="e">
        <f>+'Estimate Details'!#REF!</f>
        <v>#REF!</v>
      </c>
      <c r="H379" s="41" t="e">
        <f>+'Estimate Details'!#REF!</f>
        <v>#REF!</v>
      </c>
      <c r="I379" s="217" t="e">
        <f>+'Estimate Details'!#REF!</f>
        <v>#REF!</v>
      </c>
      <c r="J379" s="224" t="e">
        <f>+'Estimate Details'!#REF!</f>
        <v>#REF!</v>
      </c>
      <c r="K379" s="42" t="e">
        <f>+'Estimate Details'!#REF!</f>
        <v>#REF!</v>
      </c>
      <c r="L379" s="42" t="e">
        <f>+'Estimate Details'!#REF!</f>
        <v>#REF!</v>
      </c>
      <c r="M379" s="227" t="e">
        <f>+'Estimate Details'!#REF!</f>
        <v>#REF!</v>
      </c>
      <c r="N379" s="43" t="e">
        <f>+'Estimate Details'!#REF!</f>
        <v>#REF!</v>
      </c>
      <c r="O379" s="171" t="e">
        <f>+'Estimate Details'!#REF!</f>
        <v>#REF!</v>
      </c>
      <c r="P379" s="172" t="e">
        <f>+'Estimate Details'!#REF!</f>
        <v>#REF!</v>
      </c>
      <c r="Q379" s="173" t="e">
        <f>+'Estimate Details'!#REF!</f>
        <v>#REF!</v>
      </c>
      <c r="R379" s="174" t="e">
        <f>+'Estimate Details'!#REF!</f>
        <v>#REF!</v>
      </c>
      <c r="S379" s="507"/>
      <c r="T379" s="174" t="e">
        <f>+'Estimate Details'!#REF!</f>
        <v>#REF!</v>
      </c>
      <c r="U379" s="481" t="s">
        <v>1310</v>
      </c>
      <c r="V379" s="172" t="e">
        <f>+'Estimate Details'!#REF!</f>
        <v>#REF!</v>
      </c>
      <c r="W379" s="481" t="s">
        <v>1310</v>
      </c>
      <c r="X379" s="172" t="e">
        <f>+'Estimate Details'!#REF!</f>
        <v>#REF!</v>
      </c>
      <c r="Y379" s="172" t="e">
        <f>+'Estimate Details'!#REF!</f>
        <v>#REF!</v>
      </c>
      <c r="Z379" s="174" t="e">
        <f>+'Estimate Details'!#REF!</f>
        <v>#REF!</v>
      </c>
      <c r="AA379" s="481"/>
      <c r="AB379" s="175" t="e">
        <f>+'Estimate Details'!#REF!</f>
        <v>#REF!</v>
      </c>
      <c r="AC379" s="569"/>
      <c r="AD379" s="176" t="e">
        <f>+'Estimate Details'!#REF!</f>
        <v>#REF!</v>
      </c>
      <c r="AE379" s="156"/>
      <c r="AF379" s="156"/>
      <c r="AG379" s="156"/>
      <c r="AH379" s="156"/>
      <c r="AI379" s="29"/>
      <c r="AJ379" s="29"/>
      <c r="AK379" s="29"/>
      <c r="AL379" s="29"/>
    </row>
    <row r="380" spans="1:38" ht="14.1" customHeight="1">
      <c r="A380" s="347" t="e">
        <f>+'Estimate Details'!#REF!</f>
        <v>#REF!</v>
      </c>
      <c r="B380" s="347"/>
      <c r="C380" s="347"/>
      <c r="D380" s="210"/>
      <c r="E380" s="158" t="e">
        <f>+'Estimate Details'!#REF!</f>
        <v>#REF!</v>
      </c>
      <c r="F380" s="41"/>
      <c r="G380" s="205" t="e">
        <f>+'Estimate Details'!#REF!</f>
        <v>#REF!</v>
      </c>
      <c r="H380" s="185" t="e">
        <f>+'Estimate Details'!#REF!</f>
        <v>#REF!</v>
      </c>
      <c r="I380" s="231" t="e">
        <f>+'Estimate Details'!#REF!</f>
        <v>#REF!</v>
      </c>
      <c r="J380" s="225" t="e">
        <f>+'Estimate Details'!#REF!</f>
        <v>#REF!</v>
      </c>
      <c r="K380" s="42" t="e">
        <f>+'Estimate Details'!#REF!</f>
        <v>#REF!</v>
      </c>
      <c r="L380" s="42" t="e">
        <f>+'Estimate Details'!#REF!</f>
        <v>#REF!</v>
      </c>
      <c r="M380" s="227" t="e">
        <f>+'Estimate Details'!#REF!</f>
        <v>#REF!</v>
      </c>
      <c r="N380" s="43" t="e">
        <f>+'Estimate Details'!#REF!</f>
        <v>#REF!</v>
      </c>
      <c r="O380" s="171" t="e">
        <f>+'Estimate Details'!#REF!</f>
        <v>#REF!</v>
      </c>
      <c r="P380" s="172" t="e">
        <f>+'Estimate Details'!#REF!</f>
        <v>#REF!</v>
      </c>
      <c r="Q380" s="173" t="e">
        <f>+'Estimate Details'!#REF!</f>
        <v>#REF!</v>
      </c>
      <c r="R380" s="174" t="e">
        <f>+'Estimate Details'!#REF!</f>
        <v>#REF!</v>
      </c>
      <c r="S380" s="507"/>
      <c r="T380" s="174" t="e">
        <f>+'Estimate Details'!#REF!</f>
        <v>#REF!</v>
      </c>
      <c r="U380" s="481" t="s">
        <v>1310</v>
      </c>
      <c r="V380" s="172" t="e">
        <f>+'Estimate Details'!#REF!</f>
        <v>#REF!</v>
      </c>
      <c r="W380" s="481" t="s">
        <v>1310</v>
      </c>
      <c r="X380" s="172" t="e">
        <f>+'Estimate Details'!#REF!</f>
        <v>#REF!</v>
      </c>
      <c r="Y380" s="172" t="e">
        <f>+'Estimate Details'!#REF!</f>
        <v>#REF!</v>
      </c>
      <c r="Z380" s="174" t="e">
        <f>+'Estimate Details'!#REF!</f>
        <v>#REF!</v>
      </c>
      <c r="AA380" s="481"/>
      <c r="AB380" s="175" t="e">
        <f>+'Estimate Details'!#REF!</f>
        <v>#REF!</v>
      </c>
      <c r="AC380" s="569"/>
      <c r="AD380" s="176" t="e">
        <f>+'Estimate Details'!#REF!</f>
        <v>#REF!</v>
      </c>
      <c r="AE380" s="156"/>
      <c r="AF380" s="367"/>
      <c r="AG380" s="156"/>
      <c r="AH380" s="156"/>
      <c r="AI380" s="29"/>
      <c r="AJ380" s="29"/>
      <c r="AK380" s="29"/>
      <c r="AL380" s="29"/>
    </row>
    <row r="381" spans="1:38" ht="14.1" customHeight="1">
      <c r="A381" s="347" t="e">
        <f>+'Estimate Details'!#REF!</f>
        <v>#REF!</v>
      </c>
      <c r="B381" s="347"/>
      <c r="C381" s="347"/>
      <c r="D381" s="210"/>
      <c r="E381" s="158" t="e">
        <f>+'Estimate Details'!#REF!</f>
        <v>#REF!</v>
      </c>
      <c r="F381" s="41"/>
      <c r="G381" s="205" t="e">
        <f>+'Estimate Details'!#REF!</f>
        <v>#REF!</v>
      </c>
      <c r="H381" s="41" t="e">
        <f>+'Estimate Details'!#REF!</f>
        <v>#REF!</v>
      </c>
      <c r="I381" s="217" t="e">
        <f>+'Estimate Details'!#REF!</f>
        <v>#REF!</v>
      </c>
      <c r="J381" s="225" t="e">
        <f>+'Estimate Details'!#REF!</f>
        <v>#REF!</v>
      </c>
      <c r="K381" s="42" t="e">
        <f>+'Estimate Details'!#REF!</f>
        <v>#REF!</v>
      </c>
      <c r="L381" s="42" t="e">
        <f>+'Estimate Details'!#REF!</f>
        <v>#REF!</v>
      </c>
      <c r="M381" s="227" t="e">
        <f>+'Estimate Details'!#REF!</f>
        <v>#REF!</v>
      </c>
      <c r="N381" s="195" t="e">
        <f>+'Estimate Details'!#REF!</f>
        <v>#REF!</v>
      </c>
      <c r="O381" s="171" t="e">
        <f>+'Estimate Details'!#REF!</f>
        <v>#REF!</v>
      </c>
      <c r="P381" s="172" t="e">
        <f>+'Estimate Details'!#REF!</f>
        <v>#REF!</v>
      </c>
      <c r="Q381" s="173" t="e">
        <f>+'Estimate Details'!#REF!</f>
        <v>#REF!</v>
      </c>
      <c r="R381" s="174" t="e">
        <f>+'Estimate Details'!#REF!</f>
        <v>#REF!</v>
      </c>
      <c r="S381" s="507"/>
      <c r="T381" s="174" t="e">
        <f>+'Estimate Details'!#REF!</f>
        <v>#REF!</v>
      </c>
      <c r="U381" s="481" t="s">
        <v>1310</v>
      </c>
      <c r="V381" s="172" t="e">
        <f>+'Estimate Details'!#REF!</f>
        <v>#REF!</v>
      </c>
      <c r="W381" s="481" t="s">
        <v>1310</v>
      </c>
      <c r="X381" s="172" t="e">
        <f>+'Estimate Details'!#REF!</f>
        <v>#REF!</v>
      </c>
      <c r="Y381" s="172" t="e">
        <f>+'Estimate Details'!#REF!</f>
        <v>#REF!</v>
      </c>
      <c r="Z381" s="174" t="e">
        <f>+'Estimate Details'!#REF!</f>
        <v>#REF!</v>
      </c>
      <c r="AA381" s="481"/>
      <c r="AB381" s="175" t="e">
        <f>+'Estimate Details'!#REF!</f>
        <v>#REF!</v>
      </c>
      <c r="AC381" s="569"/>
      <c r="AD381" s="176" t="e">
        <f>+'Estimate Details'!#REF!</f>
        <v>#REF!</v>
      </c>
      <c r="AE381" s="156"/>
      <c r="AF381" s="367"/>
      <c r="AG381" s="156"/>
      <c r="AH381" s="156"/>
      <c r="AI381" s="29"/>
      <c r="AJ381" s="29"/>
      <c r="AK381" s="29"/>
      <c r="AL381" s="29"/>
    </row>
    <row r="382" spans="1:38" ht="14.1" customHeight="1">
      <c r="A382" s="347" t="e">
        <f>+'Estimate Details'!#REF!</f>
        <v>#REF!</v>
      </c>
      <c r="B382" s="347"/>
      <c r="C382" s="347"/>
      <c r="D382" s="210"/>
      <c r="E382" s="158" t="e">
        <f>+'Estimate Details'!#REF!</f>
        <v>#REF!</v>
      </c>
      <c r="F382" s="41"/>
      <c r="G382" s="205" t="e">
        <f>+'Estimate Details'!#REF!</f>
        <v>#REF!</v>
      </c>
      <c r="H382" s="41" t="e">
        <f>+'Estimate Details'!#REF!</f>
        <v>#REF!</v>
      </c>
      <c r="I382" s="217" t="e">
        <f>+'Estimate Details'!#REF!</f>
        <v>#REF!</v>
      </c>
      <c r="J382" s="225" t="e">
        <f>+'Estimate Details'!#REF!</f>
        <v>#REF!</v>
      </c>
      <c r="K382" s="42" t="e">
        <f>+'Estimate Details'!#REF!</f>
        <v>#REF!</v>
      </c>
      <c r="L382" s="42" t="e">
        <f>+'Estimate Details'!#REF!</f>
        <v>#REF!</v>
      </c>
      <c r="M382" s="227" t="e">
        <f>+'Estimate Details'!#REF!</f>
        <v>#REF!</v>
      </c>
      <c r="N382" s="195" t="e">
        <f>+'Estimate Details'!#REF!</f>
        <v>#REF!</v>
      </c>
      <c r="O382" s="171" t="e">
        <f>+'Estimate Details'!#REF!</f>
        <v>#REF!</v>
      </c>
      <c r="P382" s="172" t="e">
        <f>+'Estimate Details'!#REF!</f>
        <v>#REF!</v>
      </c>
      <c r="Q382" s="173" t="e">
        <f>+'Estimate Details'!#REF!</f>
        <v>#REF!</v>
      </c>
      <c r="R382" s="174" t="e">
        <f>+'Estimate Details'!#REF!</f>
        <v>#REF!</v>
      </c>
      <c r="S382" s="507"/>
      <c r="T382" s="174" t="e">
        <f>+'Estimate Details'!#REF!</f>
        <v>#REF!</v>
      </c>
      <c r="U382" s="481" t="s">
        <v>1310</v>
      </c>
      <c r="V382" s="172" t="e">
        <f>+'Estimate Details'!#REF!</f>
        <v>#REF!</v>
      </c>
      <c r="W382" s="481" t="s">
        <v>1310</v>
      </c>
      <c r="X382" s="172" t="e">
        <f>+'Estimate Details'!#REF!</f>
        <v>#REF!</v>
      </c>
      <c r="Y382" s="172" t="e">
        <f>+'Estimate Details'!#REF!</f>
        <v>#REF!</v>
      </c>
      <c r="Z382" s="174" t="e">
        <f>+'Estimate Details'!#REF!</f>
        <v>#REF!</v>
      </c>
      <c r="AA382" s="481"/>
      <c r="AB382" s="175" t="e">
        <f>+'Estimate Details'!#REF!</f>
        <v>#REF!</v>
      </c>
      <c r="AC382" s="569"/>
      <c r="AD382" s="176" t="e">
        <f>+'Estimate Details'!#REF!</f>
        <v>#REF!</v>
      </c>
      <c r="AE382" s="156"/>
      <c r="AF382" s="367"/>
      <c r="AG382" s="156"/>
      <c r="AH382" s="156"/>
      <c r="AI382" s="29"/>
      <c r="AJ382" s="29"/>
      <c r="AK382" s="29"/>
      <c r="AL382" s="29"/>
    </row>
    <row r="383" spans="1:38" ht="14.1" customHeight="1">
      <c r="A383" s="347" t="e">
        <f>+'Estimate Details'!#REF!</f>
        <v>#REF!</v>
      </c>
      <c r="B383" s="347"/>
      <c r="C383" s="347"/>
      <c r="D383" s="210"/>
      <c r="E383" s="158" t="e">
        <f>+'Estimate Details'!#REF!</f>
        <v>#REF!</v>
      </c>
      <c r="F383" s="41"/>
      <c r="G383" s="205" t="e">
        <f>+'Estimate Details'!#REF!</f>
        <v>#REF!</v>
      </c>
      <c r="H383" s="41" t="e">
        <f>+'Estimate Details'!#REF!</f>
        <v>#REF!</v>
      </c>
      <c r="I383" s="217" t="e">
        <f>+'Estimate Details'!#REF!</f>
        <v>#REF!</v>
      </c>
      <c r="J383" s="225" t="e">
        <f>+'Estimate Details'!#REF!</f>
        <v>#REF!</v>
      </c>
      <c r="K383" s="42" t="e">
        <f>+'Estimate Details'!#REF!</f>
        <v>#REF!</v>
      </c>
      <c r="L383" s="42" t="e">
        <f>+'Estimate Details'!#REF!</f>
        <v>#REF!</v>
      </c>
      <c r="M383" s="227" t="e">
        <f>+'Estimate Details'!#REF!</f>
        <v>#REF!</v>
      </c>
      <c r="N383" s="195" t="e">
        <f>+'Estimate Details'!#REF!</f>
        <v>#REF!</v>
      </c>
      <c r="O383" s="171" t="e">
        <f>+'Estimate Details'!#REF!</f>
        <v>#REF!</v>
      </c>
      <c r="P383" s="172" t="e">
        <f>+'Estimate Details'!#REF!</f>
        <v>#REF!</v>
      </c>
      <c r="Q383" s="173" t="e">
        <f>+'Estimate Details'!#REF!</f>
        <v>#REF!</v>
      </c>
      <c r="R383" s="174" t="e">
        <f>+'Estimate Details'!#REF!</f>
        <v>#REF!</v>
      </c>
      <c r="S383" s="507"/>
      <c r="T383" s="174" t="e">
        <f>+'Estimate Details'!#REF!</f>
        <v>#REF!</v>
      </c>
      <c r="U383" s="481" t="s">
        <v>1310</v>
      </c>
      <c r="V383" s="172" t="e">
        <f>+'Estimate Details'!#REF!</f>
        <v>#REF!</v>
      </c>
      <c r="W383" s="481" t="s">
        <v>1310</v>
      </c>
      <c r="X383" s="172" t="e">
        <f>+'Estimate Details'!#REF!</f>
        <v>#REF!</v>
      </c>
      <c r="Y383" s="172" t="e">
        <f>+'Estimate Details'!#REF!</f>
        <v>#REF!</v>
      </c>
      <c r="Z383" s="174" t="e">
        <f>+'Estimate Details'!#REF!</f>
        <v>#REF!</v>
      </c>
      <c r="AA383" s="481"/>
      <c r="AB383" s="175" t="e">
        <f>+'Estimate Details'!#REF!</f>
        <v>#REF!</v>
      </c>
      <c r="AC383" s="569"/>
      <c r="AD383" s="176" t="e">
        <f>+'Estimate Details'!#REF!</f>
        <v>#REF!</v>
      </c>
      <c r="AE383" s="156"/>
      <c r="AF383" s="367"/>
      <c r="AG383" s="156"/>
      <c r="AH383" s="156"/>
      <c r="AI383" s="29"/>
      <c r="AJ383" s="29"/>
      <c r="AK383" s="29"/>
      <c r="AL383" s="29"/>
    </row>
    <row r="384" spans="1:38" ht="14.1" customHeight="1">
      <c r="A384" s="347" t="e">
        <f>+'Estimate Details'!#REF!</f>
        <v>#REF!</v>
      </c>
      <c r="B384" s="347"/>
      <c r="C384" s="347"/>
      <c r="D384" s="210"/>
      <c r="E384" s="158" t="e">
        <f>+'Estimate Details'!#REF!</f>
        <v>#REF!</v>
      </c>
      <c r="F384" s="41"/>
      <c r="G384" s="117" t="e">
        <f>+'Estimate Details'!#REF!</f>
        <v>#REF!</v>
      </c>
      <c r="H384" s="41" t="e">
        <f>+'Estimate Details'!#REF!</f>
        <v>#REF!</v>
      </c>
      <c r="I384" s="217" t="e">
        <f>+'Estimate Details'!#REF!</f>
        <v>#REF!</v>
      </c>
      <c r="J384" s="42" t="e">
        <f>+'Estimate Details'!#REF!</f>
        <v>#REF!</v>
      </c>
      <c r="K384" s="42" t="e">
        <f>+'Estimate Details'!#REF!</f>
        <v>#REF!</v>
      </c>
      <c r="L384" s="42" t="e">
        <f>+'Estimate Details'!#REF!</f>
        <v>#REF!</v>
      </c>
      <c r="M384" s="227" t="e">
        <f>+'Estimate Details'!#REF!</f>
        <v>#REF!</v>
      </c>
      <c r="N384" s="195" t="e">
        <f>+'Estimate Details'!#REF!</f>
        <v>#REF!</v>
      </c>
      <c r="O384" s="171" t="e">
        <f>+'Estimate Details'!#REF!</f>
        <v>#REF!</v>
      </c>
      <c r="P384" s="172" t="e">
        <f>+'Estimate Details'!#REF!</f>
        <v>#REF!</v>
      </c>
      <c r="Q384" s="173" t="e">
        <f>+'Estimate Details'!#REF!</f>
        <v>#REF!</v>
      </c>
      <c r="R384" s="174" t="e">
        <f>+'Estimate Details'!#REF!</f>
        <v>#REF!</v>
      </c>
      <c r="S384" s="507"/>
      <c r="T384" s="174" t="e">
        <f>+'Estimate Details'!#REF!</f>
        <v>#REF!</v>
      </c>
      <c r="U384" s="481" t="s">
        <v>1310</v>
      </c>
      <c r="V384" s="172" t="e">
        <f>+'Estimate Details'!#REF!</f>
        <v>#REF!</v>
      </c>
      <c r="W384" s="481" t="s">
        <v>1310</v>
      </c>
      <c r="X384" s="172" t="e">
        <f>+'Estimate Details'!#REF!</f>
        <v>#REF!</v>
      </c>
      <c r="Y384" s="172" t="e">
        <f>+'Estimate Details'!#REF!</f>
        <v>#REF!</v>
      </c>
      <c r="Z384" s="174" t="e">
        <f>+'Estimate Details'!#REF!</f>
        <v>#REF!</v>
      </c>
      <c r="AA384" s="481"/>
      <c r="AB384" s="175" t="e">
        <f>+'Estimate Details'!#REF!</f>
        <v>#REF!</v>
      </c>
      <c r="AC384" s="569"/>
      <c r="AD384" s="176" t="e">
        <f>+'Estimate Details'!#REF!</f>
        <v>#REF!</v>
      </c>
      <c r="AE384" s="156"/>
      <c r="AF384" s="156"/>
      <c r="AG384" s="156"/>
      <c r="AH384" s="156"/>
      <c r="AI384" s="29"/>
      <c r="AJ384" s="29"/>
      <c r="AK384" s="29"/>
      <c r="AL384" s="29"/>
    </row>
    <row r="385" spans="1:44">
      <c r="A385" s="347" t="e">
        <f>+'Estimate Details'!#REF!</f>
        <v>#REF!</v>
      </c>
      <c r="B385" s="347"/>
      <c r="C385" s="347"/>
      <c r="D385" s="210"/>
      <c r="E385" s="158" t="e">
        <f>+'Estimate Details'!#REF!</f>
        <v>#REF!</v>
      </c>
      <c r="F385" s="160"/>
      <c r="G385" s="197" t="e">
        <f>+'Estimate Details'!#REF!</f>
        <v>#REF!</v>
      </c>
      <c r="H385" s="160" t="e">
        <f>+'Estimate Details'!#REF!</f>
        <v>#REF!</v>
      </c>
      <c r="I385" s="234" t="e">
        <f>+'Estimate Details'!#REF!</f>
        <v>#REF!</v>
      </c>
      <c r="J385" s="158" t="e">
        <f>+'Estimate Details'!#REF!</f>
        <v>#REF!</v>
      </c>
      <c r="K385" s="158" t="e">
        <f>+'Estimate Details'!#REF!</f>
        <v>#REF!</v>
      </c>
      <c r="L385" s="158" t="e">
        <f>+'Estimate Details'!#REF!</f>
        <v>#REF!</v>
      </c>
      <c r="M385" s="380" t="e">
        <f>+'Estimate Details'!#REF!</f>
        <v>#REF!</v>
      </c>
      <c r="N385" s="381" t="e">
        <f>+'Estimate Details'!#REF!</f>
        <v>#REF!</v>
      </c>
      <c r="O385" s="162" t="e">
        <f>+'Estimate Details'!#REF!</f>
        <v>#REF!</v>
      </c>
      <c r="P385" s="163" t="e">
        <f>+'Estimate Details'!#REF!</f>
        <v>#REF!</v>
      </c>
      <c r="Q385" s="203" t="e">
        <f>+'Estimate Details'!#REF!</f>
        <v>#REF!</v>
      </c>
      <c r="R385" s="164" t="e">
        <f>+'Estimate Details'!#REF!</f>
        <v>#REF!</v>
      </c>
      <c r="S385" s="506"/>
      <c r="T385" s="164" t="e">
        <f>+'Estimate Details'!#REF!</f>
        <v>#REF!</v>
      </c>
      <c r="U385" s="481" t="s">
        <v>1310</v>
      </c>
      <c r="V385" s="163" t="e">
        <f>+'Estimate Details'!#REF!</f>
        <v>#REF!</v>
      </c>
      <c r="W385" s="481" t="s">
        <v>1310</v>
      </c>
      <c r="X385" s="163" t="e">
        <f>+'Estimate Details'!#REF!</f>
        <v>#REF!</v>
      </c>
      <c r="Y385" s="163" t="e">
        <f>+'Estimate Details'!#REF!</f>
        <v>#REF!</v>
      </c>
      <c r="Z385" s="164" t="e">
        <f>+'Estimate Details'!#REF!</f>
        <v>#REF!</v>
      </c>
      <c r="AA385" s="486"/>
      <c r="AB385" s="165" t="e">
        <f>+'Estimate Details'!#REF!</f>
        <v>#REF!</v>
      </c>
      <c r="AC385" s="568"/>
      <c r="AD385" s="176" t="e">
        <f>+'Estimate Details'!#REF!</f>
        <v>#REF!</v>
      </c>
      <c r="AE385" s="244"/>
      <c r="AF385" s="156"/>
      <c r="AG385" s="156"/>
      <c r="AH385" s="156"/>
      <c r="AI385" s="29"/>
      <c r="AJ385" s="29"/>
      <c r="AK385" s="29"/>
      <c r="AL385" s="29"/>
    </row>
    <row r="386" spans="1:44">
      <c r="A386" s="347" t="e">
        <f>+'Estimate Details'!#REF!</f>
        <v>#REF!</v>
      </c>
      <c r="B386" s="347"/>
      <c r="C386" s="347"/>
      <c r="D386" s="210"/>
      <c r="E386" s="158" t="e">
        <f>+'Estimate Details'!#REF!</f>
        <v>#REF!</v>
      </c>
      <c r="F386" s="160"/>
      <c r="G386" s="197" t="e">
        <f>+'Estimate Details'!#REF!</f>
        <v>#REF!</v>
      </c>
      <c r="H386" s="160" t="e">
        <f>+'Estimate Details'!#REF!</f>
        <v>#REF!</v>
      </c>
      <c r="I386" s="234" t="e">
        <f>+'Estimate Details'!#REF!</f>
        <v>#REF!</v>
      </c>
      <c r="J386" s="158" t="e">
        <f>+'Estimate Details'!#REF!</f>
        <v>#REF!</v>
      </c>
      <c r="K386" s="158" t="e">
        <f>+'Estimate Details'!#REF!</f>
        <v>#REF!</v>
      </c>
      <c r="L386" s="158" t="e">
        <f>+'Estimate Details'!#REF!</f>
        <v>#REF!</v>
      </c>
      <c r="M386" s="380" t="e">
        <f>+'Estimate Details'!#REF!</f>
        <v>#REF!</v>
      </c>
      <c r="N386" s="381" t="e">
        <f>+'Estimate Details'!#REF!</f>
        <v>#REF!</v>
      </c>
      <c r="O386" s="162" t="e">
        <f>+'Estimate Details'!#REF!</f>
        <v>#REF!</v>
      </c>
      <c r="P386" s="163" t="e">
        <f>+'Estimate Details'!#REF!</f>
        <v>#REF!</v>
      </c>
      <c r="Q386" s="203" t="e">
        <f>+'Estimate Details'!#REF!</f>
        <v>#REF!</v>
      </c>
      <c r="R386" s="164" t="e">
        <f>+'Estimate Details'!#REF!</f>
        <v>#REF!</v>
      </c>
      <c r="S386" s="506"/>
      <c r="T386" s="164" t="e">
        <f>+'Estimate Details'!#REF!</f>
        <v>#REF!</v>
      </c>
      <c r="U386" s="481" t="s">
        <v>1310</v>
      </c>
      <c r="V386" s="163" t="e">
        <f>+'Estimate Details'!#REF!</f>
        <v>#REF!</v>
      </c>
      <c r="W386" s="481" t="s">
        <v>1310</v>
      </c>
      <c r="X386" s="172" t="e">
        <f>+'Estimate Details'!#REF!</f>
        <v>#REF!</v>
      </c>
      <c r="Y386" s="163" t="e">
        <f>+'Estimate Details'!#REF!</f>
        <v>#REF!</v>
      </c>
      <c r="Z386" s="164" t="e">
        <f>+'Estimate Details'!#REF!</f>
        <v>#REF!</v>
      </c>
      <c r="AA386" s="486"/>
      <c r="AB386" s="165" t="e">
        <f>+'Estimate Details'!#REF!</f>
        <v>#REF!</v>
      </c>
      <c r="AC386" s="568"/>
      <c r="AD386" s="176" t="e">
        <f>+'Estimate Details'!#REF!</f>
        <v>#REF!</v>
      </c>
      <c r="AE386" s="244"/>
      <c r="AF386" s="156"/>
      <c r="AG386" s="156"/>
      <c r="AH386" s="156"/>
      <c r="AI386" s="29"/>
      <c r="AJ386" s="29"/>
      <c r="AK386" s="29"/>
      <c r="AL386" s="29"/>
    </row>
    <row r="387" spans="1:44">
      <c r="A387" s="347" t="e">
        <f>+'Estimate Details'!#REF!</f>
        <v>#REF!</v>
      </c>
      <c r="B387" s="347"/>
      <c r="C387" s="347"/>
      <c r="D387" s="210"/>
      <c r="E387" s="158" t="e">
        <f>+'Estimate Details'!#REF!</f>
        <v>#REF!</v>
      </c>
      <c r="F387" s="41"/>
      <c r="G387" s="117" t="e">
        <f>+'Estimate Details'!#REF!</f>
        <v>#REF!</v>
      </c>
      <c r="H387" s="41" t="e">
        <f>+'Estimate Details'!#REF!</f>
        <v>#REF!</v>
      </c>
      <c r="I387" s="217" t="e">
        <f>+'Estimate Details'!#REF!</f>
        <v>#REF!</v>
      </c>
      <c r="J387" s="42" t="e">
        <f>+'Estimate Details'!#REF!</f>
        <v>#REF!</v>
      </c>
      <c r="K387" s="42" t="e">
        <f>+'Estimate Details'!#REF!</f>
        <v>#REF!</v>
      </c>
      <c r="L387" s="42" t="e">
        <f>+'Estimate Details'!#REF!</f>
        <v>#REF!</v>
      </c>
      <c r="M387" s="227" t="e">
        <f>+'Estimate Details'!#REF!</f>
        <v>#REF!</v>
      </c>
      <c r="N387" s="195" t="e">
        <f>+'Estimate Details'!#REF!</f>
        <v>#REF!</v>
      </c>
      <c r="O387" s="171" t="e">
        <f>+'Estimate Details'!#REF!</f>
        <v>#REF!</v>
      </c>
      <c r="P387" s="172" t="e">
        <f>+'Estimate Details'!#REF!</f>
        <v>#REF!</v>
      </c>
      <c r="Q387" s="173" t="e">
        <f>+'Estimate Details'!#REF!</f>
        <v>#REF!</v>
      </c>
      <c r="R387" s="174" t="e">
        <f>+'Estimate Details'!#REF!</f>
        <v>#REF!</v>
      </c>
      <c r="S387" s="507"/>
      <c r="T387" s="174" t="e">
        <f>+'Estimate Details'!#REF!</f>
        <v>#REF!</v>
      </c>
      <c r="U387" s="481" t="s">
        <v>1310</v>
      </c>
      <c r="V387" s="172" t="e">
        <f>+'Estimate Details'!#REF!</f>
        <v>#REF!</v>
      </c>
      <c r="W387" s="481" t="s">
        <v>1310</v>
      </c>
      <c r="X387" s="172" t="e">
        <f>+'Estimate Details'!#REF!</f>
        <v>#REF!</v>
      </c>
      <c r="Y387" s="172" t="e">
        <f>+'Estimate Details'!#REF!</f>
        <v>#REF!</v>
      </c>
      <c r="Z387" s="174" t="e">
        <f>+'Estimate Details'!#REF!</f>
        <v>#REF!</v>
      </c>
      <c r="AA387" s="481"/>
      <c r="AB387" s="175" t="e">
        <f>+'Estimate Details'!#REF!</f>
        <v>#REF!</v>
      </c>
      <c r="AC387" s="569"/>
      <c r="AD387" s="176" t="e">
        <f>+'Estimate Details'!#REF!</f>
        <v>#REF!</v>
      </c>
      <c r="AE387" s="156"/>
      <c r="AF387" s="156"/>
      <c r="AG387" s="156"/>
      <c r="AH387" s="156"/>
      <c r="AI387" s="29"/>
      <c r="AJ387" s="29"/>
      <c r="AK387" s="29"/>
      <c r="AL387" s="29"/>
    </row>
    <row r="388" spans="1:44">
      <c r="A388" s="347" t="e">
        <f>+'Estimate Details'!#REF!</f>
        <v>#REF!</v>
      </c>
      <c r="B388" s="347"/>
      <c r="C388" s="347"/>
      <c r="D388" s="210"/>
      <c r="E388" s="158" t="e">
        <f>+'Estimate Details'!#REF!</f>
        <v>#REF!</v>
      </c>
      <c r="F388" s="41"/>
      <c r="G388" s="117" t="e">
        <f>+'Estimate Details'!#REF!</f>
        <v>#REF!</v>
      </c>
      <c r="H388" s="41" t="e">
        <f>+'Estimate Details'!#REF!</f>
        <v>#REF!</v>
      </c>
      <c r="I388" s="217" t="e">
        <f>+'Estimate Details'!#REF!</f>
        <v>#REF!</v>
      </c>
      <c r="J388" s="42" t="e">
        <f>+'Estimate Details'!#REF!</f>
        <v>#REF!</v>
      </c>
      <c r="K388" s="42" t="e">
        <f>+'Estimate Details'!#REF!</f>
        <v>#REF!</v>
      </c>
      <c r="L388" s="42" t="e">
        <f>+'Estimate Details'!#REF!</f>
        <v>#REF!</v>
      </c>
      <c r="M388" s="227" t="e">
        <f>+'Estimate Details'!#REF!</f>
        <v>#REF!</v>
      </c>
      <c r="N388" s="195" t="e">
        <f>+'Estimate Details'!#REF!</f>
        <v>#REF!</v>
      </c>
      <c r="O388" s="171" t="e">
        <f>+'Estimate Details'!#REF!</f>
        <v>#REF!</v>
      </c>
      <c r="P388" s="172" t="e">
        <f>+'Estimate Details'!#REF!</f>
        <v>#REF!</v>
      </c>
      <c r="Q388" s="173" t="e">
        <f>+'Estimate Details'!#REF!</f>
        <v>#REF!</v>
      </c>
      <c r="R388" s="174" t="e">
        <f>+'Estimate Details'!#REF!</f>
        <v>#REF!</v>
      </c>
      <c r="S388" s="507"/>
      <c r="T388" s="174" t="e">
        <f>+'Estimate Details'!#REF!</f>
        <v>#REF!</v>
      </c>
      <c r="U388" s="481" t="s">
        <v>1310</v>
      </c>
      <c r="V388" s="172" t="e">
        <f>+'Estimate Details'!#REF!</f>
        <v>#REF!</v>
      </c>
      <c r="W388" s="481" t="s">
        <v>1310</v>
      </c>
      <c r="X388" s="172" t="e">
        <f>+'Estimate Details'!#REF!</f>
        <v>#REF!</v>
      </c>
      <c r="Y388" s="172" t="e">
        <f>+'Estimate Details'!#REF!</f>
        <v>#REF!</v>
      </c>
      <c r="Z388" s="174" t="e">
        <f>+'Estimate Details'!#REF!</f>
        <v>#REF!</v>
      </c>
      <c r="AA388" s="481"/>
      <c r="AB388" s="175" t="e">
        <f>+'Estimate Details'!#REF!</f>
        <v>#REF!</v>
      </c>
      <c r="AC388" s="569"/>
      <c r="AD388" s="176" t="e">
        <f>+'Estimate Details'!#REF!</f>
        <v>#REF!</v>
      </c>
      <c r="AE388" s="156"/>
      <c r="AF388" s="156"/>
      <c r="AG388" s="156"/>
      <c r="AH388" s="156"/>
      <c r="AI388" s="29"/>
      <c r="AJ388" s="29"/>
      <c r="AK388" s="29"/>
      <c r="AL388" s="29"/>
    </row>
    <row r="389" spans="1:44">
      <c r="A389" s="347" t="e">
        <f>+'Estimate Details'!#REF!</f>
        <v>#REF!</v>
      </c>
      <c r="B389" s="347"/>
      <c r="C389" s="347"/>
      <c r="D389" s="210"/>
      <c r="E389" s="158" t="e">
        <f>+'Estimate Details'!#REF!</f>
        <v>#REF!</v>
      </c>
      <c r="F389" s="41"/>
      <c r="G389" s="117" t="e">
        <f>+'Estimate Details'!#REF!</f>
        <v>#REF!</v>
      </c>
      <c r="H389" s="41" t="e">
        <f>+'Estimate Details'!#REF!</f>
        <v>#REF!</v>
      </c>
      <c r="I389" s="217" t="e">
        <f>+'Estimate Details'!#REF!</f>
        <v>#REF!</v>
      </c>
      <c r="J389" s="42" t="e">
        <f>+'Estimate Details'!#REF!</f>
        <v>#REF!</v>
      </c>
      <c r="K389" s="42" t="e">
        <f>+'Estimate Details'!#REF!</f>
        <v>#REF!</v>
      </c>
      <c r="L389" s="42" t="e">
        <f>+'Estimate Details'!#REF!</f>
        <v>#REF!</v>
      </c>
      <c r="M389" s="227" t="e">
        <f>+'Estimate Details'!#REF!</f>
        <v>#REF!</v>
      </c>
      <c r="N389" s="228" t="e">
        <f>+'Estimate Details'!#REF!</f>
        <v>#REF!</v>
      </c>
      <c r="O389" s="171" t="e">
        <f>+'Estimate Details'!#REF!</f>
        <v>#REF!</v>
      </c>
      <c r="P389" s="172" t="e">
        <f>+'Estimate Details'!#REF!</f>
        <v>#REF!</v>
      </c>
      <c r="Q389" s="173" t="e">
        <f>+'Estimate Details'!#REF!</f>
        <v>#REF!</v>
      </c>
      <c r="R389" s="174" t="e">
        <f>+'Estimate Details'!#REF!</f>
        <v>#REF!</v>
      </c>
      <c r="S389" s="507"/>
      <c r="T389" s="174" t="e">
        <f>+'Estimate Details'!#REF!</f>
        <v>#REF!</v>
      </c>
      <c r="U389" s="481" t="s">
        <v>1310</v>
      </c>
      <c r="V389" s="172" t="e">
        <f>+'Estimate Details'!#REF!</f>
        <v>#REF!</v>
      </c>
      <c r="W389" s="481" t="s">
        <v>1310</v>
      </c>
      <c r="X389" s="172" t="e">
        <f>+'Estimate Details'!#REF!</f>
        <v>#REF!</v>
      </c>
      <c r="Y389" s="172" t="e">
        <f>+'Estimate Details'!#REF!</f>
        <v>#REF!</v>
      </c>
      <c r="Z389" s="174" t="e">
        <f>+'Estimate Details'!#REF!</f>
        <v>#REF!</v>
      </c>
      <c r="AA389" s="481"/>
      <c r="AB389" s="175" t="e">
        <f>+'Estimate Details'!#REF!</f>
        <v>#REF!</v>
      </c>
      <c r="AC389" s="569"/>
      <c r="AD389" s="176" t="e">
        <f>+'Estimate Details'!#REF!</f>
        <v>#REF!</v>
      </c>
      <c r="AE389" s="156"/>
      <c r="AF389" s="156"/>
      <c r="AG389" s="156"/>
      <c r="AH389" s="156"/>
      <c r="AI389" s="29"/>
      <c r="AJ389" s="29"/>
      <c r="AK389" s="29"/>
      <c r="AL389" s="29"/>
    </row>
    <row r="390" spans="1:44" ht="14.1" customHeight="1">
      <c r="A390" s="347" t="e">
        <f>+'Estimate Details'!#REF!</f>
        <v>#REF!</v>
      </c>
      <c r="B390" s="347"/>
      <c r="C390" s="347"/>
      <c r="D390" s="210"/>
      <c r="E390" s="158" t="e">
        <f>+'Estimate Details'!#REF!</f>
        <v>#REF!</v>
      </c>
      <c r="F390" s="41"/>
      <c r="G390" s="117" t="e">
        <f>+'Estimate Details'!#REF!</f>
        <v>#REF!</v>
      </c>
      <c r="H390" s="41" t="e">
        <f>+'Estimate Details'!#REF!</f>
        <v>#REF!</v>
      </c>
      <c r="I390" s="217" t="e">
        <f>+'Estimate Details'!#REF!</f>
        <v>#REF!</v>
      </c>
      <c r="J390" s="42" t="e">
        <f>+'Estimate Details'!#REF!</f>
        <v>#REF!</v>
      </c>
      <c r="K390" s="42" t="e">
        <f>+'Estimate Details'!#REF!</f>
        <v>#REF!</v>
      </c>
      <c r="L390" s="42" t="e">
        <f>+'Estimate Details'!#REF!</f>
        <v>#REF!</v>
      </c>
      <c r="M390" s="227" t="e">
        <f>+'Estimate Details'!#REF!</f>
        <v>#REF!</v>
      </c>
      <c r="N390" s="228" t="e">
        <f>+'Estimate Details'!#REF!</f>
        <v>#REF!</v>
      </c>
      <c r="O390" s="171" t="e">
        <f>+'Estimate Details'!#REF!</f>
        <v>#REF!</v>
      </c>
      <c r="P390" s="172" t="e">
        <f>+'Estimate Details'!#REF!</f>
        <v>#REF!</v>
      </c>
      <c r="Q390" s="173" t="e">
        <f>+'Estimate Details'!#REF!</f>
        <v>#REF!</v>
      </c>
      <c r="R390" s="174" t="e">
        <f>+'Estimate Details'!#REF!</f>
        <v>#REF!</v>
      </c>
      <c r="S390" s="507"/>
      <c r="T390" s="174" t="e">
        <f>+'Estimate Details'!#REF!</f>
        <v>#REF!</v>
      </c>
      <c r="U390" s="481" t="s">
        <v>1310</v>
      </c>
      <c r="V390" s="172" t="e">
        <f>+'Estimate Details'!#REF!</f>
        <v>#REF!</v>
      </c>
      <c r="W390" s="481" t="s">
        <v>1310</v>
      </c>
      <c r="X390" s="172" t="e">
        <f>+'Estimate Details'!#REF!</f>
        <v>#REF!</v>
      </c>
      <c r="Y390" s="172" t="e">
        <f>+'Estimate Details'!#REF!</f>
        <v>#REF!</v>
      </c>
      <c r="Z390" s="174" t="e">
        <f>+'Estimate Details'!#REF!</f>
        <v>#REF!</v>
      </c>
      <c r="AA390" s="481"/>
      <c r="AB390" s="175" t="e">
        <f>+'Estimate Details'!#REF!</f>
        <v>#REF!</v>
      </c>
      <c r="AC390" s="569"/>
      <c r="AD390" s="176" t="e">
        <f>+'Estimate Details'!#REF!</f>
        <v>#REF!</v>
      </c>
      <c r="AE390" s="156"/>
      <c r="AF390" s="295"/>
      <c r="AG390" s="295"/>
      <c r="AH390" s="295"/>
      <c r="AI390" s="397"/>
      <c r="AJ390" s="397"/>
      <c r="AK390" s="29"/>
      <c r="AL390" s="29"/>
    </row>
    <row r="391" spans="1:44" ht="14.1" customHeight="1">
      <c r="A391" s="347" t="e">
        <f>+'Estimate Details'!#REF!</f>
        <v>#REF!</v>
      </c>
      <c r="B391" s="347"/>
      <c r="C391" s="347"/>
      <c r="D391" s="210"/>
      <c r="E391" s="158" t="e">
        <f>+'Estimate Details'!#REF!</f>
        <v>#REF!</v>
      </c>
      <c r="F391" s="41"/>
      <c r="G391" s="117" t="e">
        <f>+'Estimate Details'!#REF!</f>
        <v>#REF!</v>
      </c>
      <c r="H391" s="41" t="e">
        <f>+'Estimate Details'!#REF!</f>
        <v>#REF!</v>
      </c>
      <c r="I391" s="217" t="e">
        <f>+'Estimate Details'!#REF!</f>
        <v>#REF!</v>
      </c>
      <c r="J391" s="42" t="e">
        <f>+'Estimate Details'!#REF!</f>
        <v>#REF!</v>
      </c>
      <c r="K391" s="42" t="e">
        <f>+'Estimate Details'!#REF!</f>
        <v>#REF!</v>
      </c>
      <c r="L391" s="42" t="e">
        <f>+'Estimate Details'!#REF!</f>
        <v>#REF!</v>
      </c>
      <c r="M391" s="227" t="e">
        <f>+'Estimate Details'!#REF!</f>
        <v>#REF!</v>
      </c>
      <c r="N391" s="195" t="e">
        <f>+'Estimate Details'!#REF!</f>
        <v>#REF!</v>
      </c>
      <c r="O391" s="171" t="e">
        <f>+'Estimate Details'!#REF!</f>
        <v>#REF!</v>
      </c>
      <c r="P391" s="172" t="e">
        <f>+'Estimate Details'!#REF!</f>
        <v>#REF!</v>
      </c>
      <c r="Q391" s="173" t="e">
        <f>+'Estimate Details'!#REF!</f>
        <v>#REF!</v>
      </c>
      <c r="R391" s="174" t="e">
        <f>+'Estimate Details'!#REF!</f>
        <v>#REF!</v>
      </c>
      <c r="S391" s="507"/>
      <c r="T391" s="174" t="e">
        <f>+'Estimate Details'!#REF!</f>
        <v>#REF!</v>
      </c>
      <c r="U391" s="481" t="s">
        <v>1310</v>
      </c>
      <c r="V391" s="172" t="e">
        <f>+'Estimate Details'!#REF!</f>
        <v>#REF!</v>
      </c>
      <c r="W391" s="481" t="s">
        <v>1310</v>
      </c>
      <c r="X391" s="172" t="e">
        <f>+'Estimate Details'!#REF!</f>
        <v>#REF!</v>
      </c>
      <c r="Y391" s="172" t="e">
        <f>+'Estimate Details'!#REF!</f>
        <v>#REF!</v>
      </c>
      <c r="Z391" s="174" t="e">
        <f>+'Estimate Details'!#REF!</f>
        <v>#REF!</v>
      </c>
      <c r="AA391" s="481"/>
      <c r="AB391" s="175" t="e">
        <f>+'Estimate Details'!#REF!</f>
        <v>#REF!</v>
      </c>
      <c r="AC391" s="569"/>
      <c r="AD391" s="176" t="e">
        <f>+'Estimate Details'!#REF!</f>
        <v>#REF!</v>
      </c>
      <c r="AE391" s="296"/>
      <c r="AF391" s="156"/>
      <c r="AG391" s="156"/>
      <c r="AH391" s="156"/>
      <c r="AI391" s="29"/>
      <c r="AJ391" s="39"/>
      <c r="AK391" s="29"/>
      <c r="AL391" s="109"/>
    </row>
    <row r="392" spans="1:44" ht="14.1" customHeight="1">
      <c r="A392" s="347" t="e">
        <f>+'Estimate Details'!#REF!</f>
        <v>#REF!</v>
      </c>
      <c r="B392" s="347"/>
      <c r="C392" s="347"/>
      <c r="D392" s="210"/>
      <c r="E392" s="158" t="e">
        <f>+'Estimate Details'!#REF!</f>
        <v>#REF!</v>
      </c>
      <c r="F392" s="41"/>
      <c r="G392" s="117" t="e">
        <f>+'Estimate Details'!#REF!</f>
        <v>#REF!</v>
      </c>
      <c r="H392" s="41" t="e">
        <f>+'Estimate Details'!#REF!</f>
        <v>#REF!</v>
      </c>
      <c r="I392" s="217" t="e">
        <f>+'Estimate Details'!#REF!</f>
        <v>#REF!</v>
      </c>
      <c r="J392" s="42" t="e">
        <f>+'Estimate Details'!#REF!</f>
        <v>#REF!</v>
      </c>
      <c r="K392" s="42" t="e">
        <f>+'Estimate Details'!#REF!</f>
        <v>#REF!</v>
      </c>
      <c r="L392" s="42" t="e">
        <f>+'Estimate Details'!#REF!</f>
        <v>#REF!</v>
      </c>
      <c r="M392" s="227" t="e">
        <f>+'Estimate Details'!#REF!</f>
        <v>#REF!</v>
      </c>
      <c r="N392" s="195" t="e">
        <f>+'Estimate Details'!#REF!</f>
        <v>#REF!</v>
      </c>
      <c r="O392" s="171" t="e">
        <f>+'Estimate Details'!#REF!</f>
        <v>#REF!</v>
      </c>
      <c r="P392" s="172" t="e">
        <f>+'Estimate Details'!#REF!</f>
        <v>#REF!</v>
      </c>
      <c r="Q392" s="173" t="e">
        <f>+'Estimate Details'!#REF!</f>
        <v>#REF!</v>
      </c>
      <c r="R392" s="174" t="e">
        <f>+'Estimate Details'!#REF!</f>
        <v>#REF!</v>
      </c>
      <c r="S392" s="507"/>
      <c r="T392" s="174" t="e">
        <f>+'Estimate Details'!#REF!</f>
        <v>#REF!</v>
      </c>
      <c r="U392" s="481" t="s">
        <v>1310</v>
      </c>
      <c r="V392" s="172" t="e">
        <f>+'Estimate Details'!#REF!</f>
        <v>#REF!</v>
      </c>
      <c r="W392" s="481" t="s">
        <v>1310</v>
      </c>
      <c r="X392" s="172" t="e">
        <f>+'Estimate Details'!#REF!</f>
        <v>#REF!</v>
      </c>
      <c r="Y392" s="172" t="e">
        <f>+'Estimate Details'!#REF!</f>
        <v>#REF!</v>
      </c>
      <c r="Z392" s="174" t="e">
        <f>+'Estimate Details'!#REF!</f>
        <v>#REF!</v>
      </c>
      <c r="AA392" s="481"/>
      <c r="AB392" s="175" t="e">
        <f>+'Estimate Details'!#REF!</f>
        <v>#REF!</v>
      </c>
      <c r="AC392" s="569"/>
      <c r="AD392" s="176" t="e">
        <f>+'Estimate Details'!#REF!</f>
        <v>#REF!</v>
      </c>
      <c r="AE392" s="296"/>
      <c r="AF392" s="156"/>
      <c r="AG392" s="156"/>
      <c r="AH392" s="296"/>
      <c r="AI392" s="39"/>
      <c r="AJ392" s="39"/>
      <c r="AK392" s="29"/>
      <c r="AL392" s="109"/>
    </row>
    <row r="393" spans="1:44" ht="13.5" customHeight="1">
      <c r="A393" s="347" t="e">
        <f>+'Estimate Details'!#REF!</f>
        <v>#REF!</v>
      </c>
      <c r="B393" s="347"/>
      <c r="C393" s="347"/>
      <c r="D393" s="210"/>
      <c r="E393" s="158" t="e">
        <f>+'Estimate Details'!#REF!</f>
        <v>#REF!</v>
      </c>
      <c r="F393" s="41"/>
      <c r="G393" s="117" t="e">
        <f>+'Estimate Details'!#REF!</f>
        <v>#REF!</v>
      </c>
      <c r="H393" s="41" t="e">
        <f>+'Estimate Details'!#REF!</f>
        <v>#REF!</v>
      </c>
      <c r="I393" s="217" t="e">
        <f>+'Estimate Details'!#REF!</f>
        <v>#REF!</v>
      </c>
      <c r="J393" s="42" t="e">
        <f>+'Estimate Details'!#REF!</f>
        <v>#REF!</v>
      </c>
      <c r="K393" s="42" t="e">
        <f>+'Estimate Details'!#REF!</f>
        <v>#REF!</v>
      </c>
      <c r="L393" s="42" t="e">
        <f>+'Estimate Details'!#REF!</f>
        <v>#REF!</v>
      </c>
      <c r="M393" s="227" t="e">
        <f>+'Estimate Details'!#REF!</f>
        <v>#REF!</v>
      </c>
      <c r="N393" s="195" t="e">
        <f>+'Estimate Details'!#REF!</f>
        <v>#REF!</v>
      </c>
      <c r="O393" s="171" t="e">
        <f>+'Estimate Details'!#REF!</f>
        <v>#REF!</v>
      </c>
      <c r="P393" s="172" t="e">
        <f>+'Estimate Details'!#REF!</f>
        <v>#REF!</v>
      </c>
      <c r="Q393" s="173" t="e">
        <f>+'Estimate Details'!#REF!</f>
        <v>#REF!</v>
      </c>
      <c r="R393" s="174" t="e">
        <f>+'Estimate Details'!#REF!</f>
        <v>#REF!</v>
      </c>
      <c r="S393" s="507"/>
      <c r="T393" s="174" t="e">
        <f>+'Estimate Details'!#REF!</f>
        <v>#REF!</v>
      </c>
      <c r="U393" s="481" t="s">
        <v>1310</v>
      </c>
      <c r="V393" s="172" t="e">
        <f>+'Estimate Details'!#REF!</f>
        <v>#REF!</v>
      </c>
      <c r="W393" s="481" t="s">
        <v>1310</v>
      </c>
      <c r="X393" s="172" t="e">
        <f>+'Estimate Details'!#REF!</f>
        <v>#REF!</v>
      </c>
      <c r="Y393" s="172" t="e">
        <f>+'Estimate Details'!#REF!</f>
        <v>#REF!</v>
      </c>
      <c r="Z393" s="174" t="e">
        <f>+'Estimate Details'!#REF!</f>
        <v>#REF!</v>
      </c>
      <c r="AA393" s="481"/>
      <c r="AB393" s="175" t="e">
        <f>+'Estimate Details'!#REF!</f>
        <v>#REF!</v>
      </c>
      <c r="AC393" s="569"/>
      <c r="AD393" s="176" t="e">
        <f>+'Estimate Details'!#REF!</f>
        <v>#REF!</v>
      </c>
      <c r="AE393" s="296"/>
      <c r="AF393" s="156"/>
      <c r="AG393" s="156"/>
      <c r="AH393" s="156"/>
      <c r="AI393" s="29"/>
      <c r="AJ393" s="39"/>
      <c r="AK393" s="29"/>
      <c r="AL393" s="109"/>
    </row>
    <row r="394" spans="1:44" ht="14.1" customHeight="1">
      <c r="A394" s="347" t="e">
        <f>+'Estimate Details'!#REF!</f>
        <v>#REF!</v>
      </c>
      <c r="B394" s="347"/>
      <c r="C394" s="347"/>
      <c r="D394" s="210"/>
      <c r="E394" s="158" t="e">
        <f>+'Estimate Details'!#REF!</f>
        <v>#REF!</v>
      </c>
      <c r="F394" s="41"/>
      <c r="G394" s="117" t="e">
        <f>+'Estimate Details'!#REF!</f>
        <v>#REF!</v>
      </c>
      <c r="H394" s="41" t="e">
        <f>+'Estimate Details'!#REF!</f>
        <v>#REF!</v>
      </c>
      <c r="I394" s="217" t="e">
        <f>+'Estimate Details'!#REF!</f>
        <v>#REF!</v>
      </c>
      <c r="J394" s="42" t="e">
        <f>+'Estimate Details'!#REF!</f>
        <v>#REF!</v>
      </c>
      <c r="K394" s="42" t="e">
        <f>+'Estimate Details'!#REF!</f>
        <v>#REF!</v>
      </c>
      <c r="L394" s="42" t="e">
        <f>+'Estimate Details'!#REF!</f>
        <v>#REF!</v>
      </c>
      <c r="M394" s="227" t="e">
        <f>+'Estimate Details'!#REF!</f>
        <v>#REF!</v>
      </c>
      <c r="N394" s="195" t="e">
        <f>+'Estimate Details'!#REF!</f>
        <v>#REF!</v>
      </c>
      <c r="O394" s="171" t="e">
        <f>+'Estimate Details'!#REF!</f>
        <v>#REF!</v>
      </c>
      <c r="P394" s="172" t="e">
        <f>+'Estimate Details'!#REF!</f>
        <v>#REF!</v>
      </c>
      <c r="Q394" s="173" t="e">
        <f>+'Estimate Details'!#REF!</f>
        <v>#REF!</v>
      </c>
      <c r="R394" s="174" t="e">
        <f>+'Estimate Details'!#REF!</f>
        <v>#REF!</v>
      </c>
      <c r="S394" s="507"/>
      <c r="T394" s="174" t="e">
        <f>+'Estimate Details'!#REF!</f>
        <v>#REF!</v>
      </c>
      <c r="U394" s="481" t="s">
        <v>1310</v>
      </c>
      <c r="V394" s="172" t="e">
        <f>+'Estimate Details'!#REF!</f>
        <v>#REF!</v>
      </c>
      <c r="W394" s="481" t="s">
        <v>1310</v>
      </c>
      <c r="X394" s="172" t="e">
        <f>+'Estimate Details'!#REF!</f>
        <v>#REF!</v>
      </c>
      <c r="Y394" s="172" t="e">
        <f>+'Estimate Details'!#REF!</f>
        <v>#REF!</v>
      </c>
      <c r="Z394" s="174" t="e">
        <f>+'Estimate Details'!#REF!</f>
        <v>#REF!</v>
      </c>
      <c r="AA394" s="481"/>
      <c r="AB394" s="175" t="e">
        <f>+'Estimate Details'!#REF!</f>
        <v>#REF!</v>
      </c>
      <c r="AC394" s="569"/>
      <c r="AD394" s="176" t="e">
        <f>+'Estimate Details'!#REF!</f>
        <v>#REF!</v>
      </c>
      <c r="AE394" s="296"/>
      <c r="AF394" s="156"/>
      <c r="AG394" s="156"/>
      <c r="AH394" s="156"/>
      <c r="AI394" s="29"/>
      <c r="AJ394" s="39"/>
      <c r="AK394" s="29"/>
      <c r="AL394" s="109"/>
    </row>
    <row r="395" spans="1:44" ht="14.1" customHeight="1">
      <c r="A395" s="347" t="e">
        <f>+'Estimate Details'!#REF!</f>
        <v>#REF!</v>
      </c>
      <c r="B395" s="347"/>
      <c r="C395" s="347"/>
      <c r="D395" s="210"/>
      <c r="E395" s="158" t="e">
        <f>+'Estimate Details'!#REF!</f>
        <v>#REF!</v>
      </c>
      <c r="F395" s="41"/>
      <c r="G395" s="117" t="e">
        <f>+'Estimate Details'!#REF!</f>
        <v>#REF!</v>
      </c>
      <c r="H395" s="41" t="e">
        <f>+'Estimate Details'!#REF!</f>
        <v>#REF!</v>
      </c>
      <c r="I395" s="217" t="e">
        <f>+'Estimate Details'!#REF!</f>
        <v>#REF!</v>
      </c>
      <c r="J395" s="42" t="e">
        <f>+'Estimate Details'!#REF!</f>
        <v>#REF!</v>
      </c>
      <c r="K395" s="42" t="e">
        <f>+'Estimate Details'!#REF!</f>
        <v>#REF!</v>
      </c>
      <c r="L395" s="42" t="e">
        <f>+'Estimate Details'!#REF!</f>
        <v>#REF!</v>
      </c>
      <c r="M395" s="227" t="e">
        <f>+'Estimate Details'!#REF!</f>
        <v>#REF!</v>
      </c>
      <c r="N395" s="195" t="e">
        <f>+'Estimate Details'!#REF!</f>
        <v>#REF!</v>
      </c>
      <c r="O395" s="171" t="e">
        <f>+'Estimate Details'!#REF!</f>
        <v>#REF!</v>
      </c>
      <c r="P395" s="172" t="e">
        <f>+'Estimate Details'!#REF!</f>
        <v>#REF!</v>
      </c>
      <c r="Q395" s="173" t="e">
        <f>+'Estimate Details'!#REF!</f>
        <v>#REF!</v>
      </c>
      <c r="R395" s="174" t="e">
        <f>+'Estimate Details'!#REF!</f>
        <v>#REF!</v>
      </c>
      <c r="S395" s="507"/>
      <c r="T395" s="174" t="e">
        <f>+'Estimate Details'!#REF!</f>
        <v>#REF!</v>
      </c>
      <c r="U395" s="481" t="s">
        <v>1310</v>
      </c>
      <c r="V395" s="172" t="e">
        <f>+'Estimate Details'!#REF!</f>
        <v>#REF!</v>
      </c>
      <c r="W395" s="481" t="s">
        <v>1310</v>
      </c>
      <c r="X395" s="172" t="e">
        <f>+'Estimate Details'!#REF!</f>
        <v>#REF!</v>
      </c>
      <c r="Y395" s="172" t="e">
        <f>+'Estimate Details'!#REF!</f>
        <v>#REF!</v>
      </c>
      <c r="Z395" s="174" t="e">
        <f>+'Estimate Details'!#REF!</f>
        <v>#REF!</v>
      </c>
      <c r="AA395" s="481"/>
      <c r="AB395" s="175" t="e">
        <f>+'Estimate Details'!#REF!</f>
        <v>#REF!</v>
      </c>
      <c r="AC395" s="569"/>
      <c r="AD395" s="176" t="e">
        <f>+'Estimate Details'!#REF!</f>
        <v>#REF!</v>
      </c>
      <c r="AE395" s="296"/>
      <c r="AF395" s="156"/>
      <c r="AG395" s="156"/>
      <c r="AH395" s="296"/>
      <c r="AI395" s="39"/>
      <c r="AJ395" s="39"/>
      <c r="AK395" s="29"/>
      <c r="AL395" s="109"/>
    </row>
    <row r="396" spans="1:44" ht="14.1" customHeight="1">
      <c r="A396" s="347" t="e">
        <f>+'Estimate Details'!#REF!</f>
        <v>#REF!</v>
      </c>
      <c r="B396" s="347"/>
      <c r="C396" s="347"/>
      <c r="D396" s="210"/>
      <c r="E396" s="158" t="e">
        <f>+'Estimate Details'!#REF!</f>
        <v>#REF!</v>
      </c>
      <c r="F396" s="41"/>
      <c r="G396" s="117" t="e">
        <f>+'Estimate Details'!#REF!</f>
        <v>#REF!</v>
      </c>
      <c r="H396" s="41" t="e">
        <f>+'Estimate Details'!#REF!</f>
        <v>#REF!</v>
      </c>
      <c r="I396" s="217" t="e">
        <f>+'Estimate Details'!#REF!</f>
        <v>#REF!</v>
      </c>
      <c r="J396" s="42" t="e">
        <f>+'Estimate Details'!#REF!</f>
        <v>#REF!</v>
      </c>
      <c r="K396" s="42" t="e">
        <f>+'Estimate Details'!#REF!</f>
        <v>#REF!</v>
      </c>
      <c r="L396" s="42" t="e">
        <f>+'Estimate Details'!#REF!</f>
        <v>#REF!</v>
      </c>
      <c r="M396" s="227" t="e">
        <f>+'Estimate Details'!#REF!</f>
        <v>#REF!</v>
      </c>
      <c r="N396" s="195" t="e">
        <f>+'Estimate Details'!#REF!</f>
        <v>#REF!</v>
      </c>
      <c r="O396" s="171" t="e">
        <f>+'Estimate Details'!#REF!</f>
        <v>#REF!</v>
      </c>
      <c r="P396" s="172" t="e">
        <f>+'Estimate Details'!#REF!</f>
        <v>#REF!</v>
      </c>
      <c r="Q396" s="173" t="e">
        <f>+'Estimate Details'!#REF!</f>
        <v>#REF!</v>
      </c>
      <c r="R396" s="174" t="e">
        <f>+'Estimate Details'!#REF!</f>
        <v>#REF!</v>
      </c>
      <c r="S396" s="507"/>
      <c r="T396" s="174" t="e">
        <f>+'Estimate Details'!#REF!</f>
        <v>#REF!</v>
      </c>
      <c r="U396" s="481" t="s">
        <v>1310</v>
      </c>
      <c r="V396" s="172" t="e">
        <f>+'Estimate Details'!#REF!</f>
        <v>#REF!</v>
      </c>
      <c r="W396" s="481" t="s">
        <v>1310</v>
      </c>
      <c r="X396" s="172" t="e">
        <f>+'Estimate Details'!#REF!</f>
        <v>#REF!</v>
      </c>
      <c r="Y396" s="172" t="e">
        <f>+'Estimate Details'!#REF!</f>
        <v>#REF!</v>
      </c>
      <c r="Z396" s="174" t="e">
        <f>+'Estimate Details'!#REF!</f>
        <v>#REF!</v>
      </c>
      <c r="AA396" s="481"/>
      <c r="AB396" s="175" t="e">
        <f>+'Estimate Details'!#REF!</f>
        <v>#REF!</v>
      </c>
      <c r="AC396" s="569"/>
      <c r="AD396" s="176" t="e">
        <f>+'Estimate Details'!#REF!</f>
        <v>#REF!</v>
      </c>
      <c r="AE396" s="296"/>
      <c r="AF396" s="156"/>
      <c r="AG396" s="156"/>
      <c r="AH396" s="156"/>
      <c r="AI396" s="29"/>
      <c r="AJ396" s="39"/>
      <c r="AK396" s="29"/>
      <c r="AL396" s="109"/>
      <c r="AO396" s="399"/>
    </row>
    <row r="397" spans="1:44" s="30" customFormat="1" ht="14.1" customHeight="1">
      <c r="A397" s="347" t="e">
        <f>+'Estimate Details'!#REF!</f>
        <v>#REF!</v>
      </c>
      <c r="B397" s="347"/>
      <c r="C397" s="347"/>
      <c r="D397" s="210"/>
      <c r="E397" s="158" t="e">
        <f>+'Estimate Details'!#REF!</f>
        <v>#REF!</v>
      </c>
      <c r="F397" s="41"/>
      <c r="G397" s="117" t="e">
        <f>+'Estimate Details'!#REF!</f>
        <v>#REF!</v>
      </c>
      <c r="H397" s="41" t="e">
        <f>+'Estimate Details'!#REF!</f>
        <v>#REF!</v>
      </c>
      <c r="I397" s="217" t="e">
        <f>+'Estimate Details'!#REF!</f>
        <v>#REF!</v>
      </c>
      <c r="J397" s="42" t="e">
        <f>+'Estimate Details'!#REF!</f>
        <v>#REF!</v>
      </c>
      <c r="K397" s="42" t="e">
        <f>+'Estimate Details'!#REF!</f>
        <v>#REF!</v>
      </c>
      <c r="L397" s="42" t="e">
        <f>+'Estimate Details'!#REF!</f>
        <v>#REF!</v>
      </c>
      <c r="M397" s="227" t="e">
        <f>+'Estimate Details'!#REF!</f>
        <v>#REF!</v>
      </c>
      <c r="N397" s="228" t="e">
        <f>+'Estimate Details'!#REF!</f>
        <v>#REF!</v>
      </c>
      <c r="O397" s="171" t="e">
        <f>+'Estimate Details'!#REF!</f>
        <v>#REF!</v>
      </c>
      <c r="P397" s="172" t="e">
        <f>+'Estimate Details'!#REF!</f>
        <v>#REF!</v>
      </c>
      <c r="Q397" s="173" t="e">
        <f>+'Estimate Details'!#REF!</f>
        <v>#REF!</v>
      </c>
      <c r="R397" s="174" t="e">
        <f>+'Estimate Details'!#REF!</f>
        <v>#REF!</v>
      </c>
      <c r="S397" s="507"/>
      <c r="T397" s="174" t="e">
        <f>+'Estimate Details'!#REF!</f>
        <v>#REF!</v>
      </c>
      <c r="U397" s="481" t="s">
        <v>1310</v>
      </c>
      <c r="V397" s="172" t="e">
        <f>+'Estimate Details'!#REF!</f>
        <v>#REF!</v>
      </c>
      <c r="W397" s="481" t="s">
        <v>1310</v>
      </c>
      <c r="X397" s="172" t="e">
        <f>+'Estimate Details'!#REF!</f>
        <v>#REF!</v>
      </c>
      <c r="Y397" s="172" t="e">
        <f>+'Estimate Details'!#REF!</f>
        <v>#REF!</v>
      </c>
      <c r="Z397" s="174" t="e">
        <f>+'Estimate Details'!#REF!</f>
        <v>#REF!</v>
      </c>
      <c r="AA397" s="481"/>
      <c r="AB397" s="175" t="e">
        <f>+'Estimate Details'!#REF!</f>
        <v>#REF!</v>
      </c>
      <c r="AC397" s="569"/>
      <c r="AD397" s="176" t="e">
        <f>+'Estimate Details'!#REF!</f>
        <v>#REF!</v>
      </c>
      <c r="AE397" s="156"/>
      <c r="AF397" s="156"/>
      <c r="AG397" s="156"/>
      <c r="AH397" s="156"/>
      <c r="AI397" s="29"/>
      <c r="AJ397" s="29"/>
      <c r="AK397" s="29"/>
      <c r="AL397" s="109"/>
      <c r="AM397" s="29"/>
      <c r="AN397" s="29"/>
      <c r="AO397" s="29"/>
      <c r="AP397" s="29"/>
      <c r="AQ397" s="29"/>
      <c r="AR397" s="29"/>
    </row>
    <row r="398" spans="1:44" s="30" customFormat="1" ht="14.1" customHeight="1">
      <c r="A398" s="347" t="e">
        <f>+'Estimate Details'!#REF!</f>
        <v>#REF!</v>
      </c>
      <c r="B398" s="347"/>
      <c r="C398" s="347"/>
      <c r="D398" s="210"/>
      <c r="E398" s="158" t="e">
        <f>+'Estimate Details'!#REF!</f>
        <v>#REF!</v>
      </c>
      <c r="F398" s="41"/>
      <c r="G398" s="117" t="e">
        <f>+'Estimate Details'!#REF!</f>
        <v>#REF!</v>
      </c>
      <c r="H398" s="41" t="e">
        <f>+'Estimate Details'!#REF!</f>
        <v>#REF!</v>
      </c>
      <c r="I398" s="217" t="e">
        <f>+'Estimate Details'!#REF!</f>
        <v>#REF!</v>
      </c>
      <c r="J398" s="42" t="e">
        <f>+'Estimate Details'!#REF!</f>
        <v>#REF!</v>
      </c>
      <c r="K398" s="42" t="e">
        <f>+'Estimate Details'!#REF!</f>
        <v>#REF!</v>
      </c>
      <c r="L398" s="42" t="e">
        <f>+'Estimate Details'!#REF!</f>
        <v>#REF!</v>
      </c>
      <c r="M398" s="227" t="e">
        <f>+'Estimate Details'!#REF!</f>
        <v>#REF!</v>
      </c>
      <c r="N398" s="195" t="e">
        <f>+'Estimate Details'!#REF!</f>
        <v>#REF!</v>
      </c>
      <c r="O398" s="171" t="e">
        <f>+'Estimate Details'!#REF!</f>
        <v>#REF!</v>
      </c>
      <c r="P398" s="172" t="e">
        <f>+'Estimate Details'!#REF!</f>
        <v>#REF!</v>
      </c>
      <c r="Q398" s="173" t="e">
        <f>+'Estimate Details'!#REF!</f>
        <v>#REF!</v>
      </c>
      <c r="R398" s="174" t="e">
        <f>+'Estimate Details'!#REF!</f>
        <v>#REF!</v>
      </c>
      <c r="S398" s="507"/>
      <c r="T398" s="174" t="e">
        <f>+'Estimate Details'!#REF!</f>
        <v>#REF!</v>
      </c>
      <c r="U398" s="481" t="s">
        <v>1310</v>
      </c>
      <c r="V398" s="172" t="e">
        <f>+'Estimate Details'!#REF!</f>
        <v>#REF!</v>
      </c>
      <c r="W398" s="481" t="s">
        <v>1310</v>
      </c>
      <c r="X398" s="172" t="e">
        <f>+'Estimate Details'!#REF!</f>
        <v>#REF!</v>
      </c>
      <c r="Y398" s="172" t="e">
        <f>+'Estimate Details'!#REF!</f>
        <v>#REF!</v>
      </c>
      <c r="Z398" s="174" t="e">
        <f>+'Estimate Details'!#REF!</f>
        <v>#REF!</v>
      </c>
      <c r="AA398" s="481"/>
      <c r="AB398" s="175" t="e">
        <f>+'Estimate Details'!#REF!</f>
        <v>#REF!</v>
      </c>
      <c r="AC398" s="569"/>
      <c r="AD398" s="176" t="e">
        <f>+'Estimate Details'!#REF!</f>
        <v>#REF!</v>
      </c>
      <c r="AE398" s="156"/>
      <c r="AF398" s="156"/>
      <c r="AG398" s="156"/>
      <c r="AH398" s="156"/>
      <c r="AI398" s="29"/>
      <c r="AJ398" s="29"/>
      <c r="AK398" s="29"/>
      <c r="AL398" s="109"/>
      <c r="AM398" s="29"/>
      <c r="AN398" s="29"/>
      <c r="AO398" s="29"/>
      <c r="AP398" s="29"/>
      <c r="AQ398" s="29"/>
      <c r="AR398" s="29"/>
    </row>
    <row r="399" spans="1:44" ht="14.1" customHeight="1">
      <c r="A399" s="347" t="e">
        <f>+'Estimate Details'!#REF!</f>
        <v>#REF!</v>
      </c>
      <c r="B399" s="347"/>
      <c r="C399" s="347"/>
      <c r="D399" s="210"/>
      <c r="E399" s="158" t="e">
        <f>+'Estimate Details'!#REF!</f>
        <v>#REF!</v>
      </c>
      <c r="F399" s="41"/>
      <c r="G399" s="117" t="e">
        <f>+'Estimate Details'!#REF!</f>
        <v>#REF!</v>
      </c>
      <c r="H399" s="41" t="e">
        <f>+'Estimate Details'!#REF!</f>
        <v>#REF!</v>
      </c>
      <c r="I399" s="217" t="e">
        <f>+'Estimate Details'!#REF!</f>
        <v>#REF!</v>
      </c>
      <c r="J399" s="42" t="e">
        <f>+'Estimate Details'!#REF!</f>
        <v>#REF!</v>
      </c>
      <c r="K399" s="42" t="e">
        <f>+'Estimate Details'!#REF!</f>
        <v>#REF!</v>
      </c>
      <c r="L399" s="42" t="e">
        <f>+'Estimate Details'!#REF!</f>
        <v>#REF!</v>
      </c>
      <c r="M399" s="227" t="e">
        <f>+'Estimate Details'!#REF!</f>
        <v>#REF!</v>
      </c>
      <c r="N399" s="228" t="e">
        <f>+'Estimate Details'!#REF!</f>
        <v>#REF!</v>
      </c>
      <c r="O399" s="171" t="e">
        <f>+'Estimate Details'!#REF!</f>
        <v>#REF!</v>
      </c>
      <c r="P399" s="172" t="e">
        <f>+'Estimate Details'!#REF!</f>
        <v>#REF!</v>
      </c>
      <c r="Q399" s="173" t="e">
        <f>+'Estimate Details'!#REF!</f>
        <v>#REF!</v>
      </c>
      <c r="R399" s="174" t="e">
        <f>+'Estimate Details'!#REF!</f>
        <v>#REF!</v>
      </c>
      <c r="S399" s="507"/>
      <c r="T399" s="174" t="e">
        <f>+'Estimate Details'!#REF!</f>
        <v>#REF!</v>
      </c>
      <c r="U399" s="481" t="s">
        <v>1310</v>
      </c>
      <c r="V399" s="172" t="e">
        <f>+'Estimate Details'!#REF!</f>
        <v>#REF!</v>
      </c>
      <c r="W399" s="481" t="s">
        <v>1310</v>
      </c>
      <c r="X399" s="172" t="e">
        <f>+'Estimate Details'!#REF!</f>
        <v>#REF!</v>
      </c>
      <c r="Y399" s="172" t="e">
        <f>+'Estimate Details'!#REF!</f>
        <v>#REF!</v>
      </c>
      <c r="Z399" s="174" t="e">
        <f>+'Estimate Details'!#REF!</f>
        <v>#REF!</v>
      </c>
      <c r="AA399" s="481"/>
      <c r="AB399" s="175" t="e">
        <f>+'Estimate Details'!#REF!</f>
        <v>#REF!</v>
      </c>
      <c r="AC399" s="569"/>
      <c r="AD399" s="176" t="e">
        <f>+'Estimate Details'!#REF!</f>
        <v>#REF!</v>
      </c>
      <c r="AE399" s="156"/>
      <c r="AF399" s="156"/>
      <c r="AG399" s="156"/>
      <c r="AH399" s="156"/>
      <c r="AI399" s="29"/>
      <c r="AJ399" s="29"/>
      <c r="AK399" s="29"/>
      <c r="AL399" s="109"/>
    </row>
    <row r="400" spans="1:44" ht="14.1" customHeight="1">
      <c r="A400" s="347" t="e">
        <f>+'Estimate Details'!#REF!</f>
        <v>#REF!</v>
      </c>
      <c r="B400" s="347"/>
      <c r="C400" s="347"/>
      <c r="D400" s="210"/>
      <c r="E400" s="158" t="e">
        <f>+'Estimate Details'!#REF!</f>
        <v>#REF!</v>
      </c>
      <c r="F400" s="41"/>
      <c r="G400" s="117" t="e">
        <f>+'Estimate Details'!#REF!</f>
        <v>#REF!</v>
      </c>
      <c r="H400" s="41" t="e">
        <f>+'Estimate Details'!#REF!</f>
        <v>#REF!</v>
      </c>
      <c r="I400" s="217" t="e">
        <f>+'Estimate Details'!#REF!</f>
        <v>#REF!</v>
      </c>
      <c r="J400" s="42" t="e">
        <f>+'Estimate Details'!#REF!</f>
        <v>#REF!</v>
      </c>
      <c r="K400" s="42" t="e">
        <f>+'Estimate Details'!#REF!</f>
        <v>#REF!</v>
      </c>
      <c r="L400" s="42" t="e">
        <f>+'Estimate Details'!#REF!</f>
        <v>#REF!</v>
      </c>
      <c r="M400" s="227" t="e">
        <f>+'Estimate Details'!#REF!</f>
        <v>#REF!</v>
      </c>
      <c r="N400" s="195" t="e">
        <f>+'Estimate Details'!#REF!</f>
        <v>#REF!</v>
      </c>
      <c r="O400" s="171" t="e">
        <f>+'Estimate Details'!#REF!</f>
        <v>#REF!</v>
      </c>
      <c r="P400" s="172" t="e">
        <f>+'Estimate Details'!#REF!</f>
        <v>#REF!</v>
      </c>
      <c r="Q400" s="173" t="e">
        <f>+'Estimate Details'!#REF!</f>
        <v>#REF!</v>
      </c>
      <c r="R400" s="174" t="e">
        <f>+'Estimate Details'!#REF!</f>
        <v>#REF!</v>
      </c>
      <c r="S400" s="507"/>
      <c r="T400" s="174" t="e">
        <f>+'Estimate Details'!#REF!</f>
        <v>#REF!</v>
      </c>
      <c r="U400" s="481" t="s">
        <v>1310</v>
      </c>
      <c r="V400" s="172" t="e">
        <f>+'Estimate Details'!#REF!</f>
        <v>#REF!</v>
      </c>
      <c r="W400" s="481" t="s">
        <v>1310</v>
      </c>
      <c r="X400" s="172" t="e">
        <f>+'Estimate Details'!#REF!</f>
        <v>#REF!</v>
      </c>
      <c r="Y400" s="172" t="e">
        <f>+'Estimate Details'!#REF!</f>
        <v>#REF!</v>
      </c>
      <c r="Z400" s="174" t="e">
        <f>+'Estimate Details'!#REF!</f>
        <v>#REF!</v>
      </c>
      <c r="AA400" s="481"/>
      <c r="AB400" s="175" t="e">
        <f>+'Estimate Details'!#REF!</f>
        <v>#REF!</v>
      </c>
      <c r="AC400" s="569"/>
      <c r="AD400" s="176" t="e">
        <f>+'Estimate Details'!#REF!</f>
        <v>#REF!</v>
      </c>
      <c r="AE400" s="156"/>
      <c r="AF400" s="156"/>
      <c r="AG400" s="156"/>
      <c r="AH400" s="156"/>
      <c r="AI400" s="29"/>
      <c r="AJ400" s="29"/>
      <c r="AK400" s="29"/>
      <c r="AL400" s="109"/>
    </row>
    <row r="401" spans="1:38" ht="14.1" customHeight="1">
      <c r="A401" s="347" t="e">
        <f>+'Estimate Details'!#REF!</f>
        <v>#REF!</v>
      </c>
      <c r="B401" s="347"/>
      <c r="C401" s="347"/>
      <c r="D401" s="210"/>
      <c r="E401" s="158" t="e">
        <f>+'Estimate Details'!#REF!</f>
        <v>#REF!</v>
      </c>
      <c r="F401" s="41"/>
      <c r="G401" s="117" t="e">
        <f>+'Estimate Details'!#REF!</f>
        <v>#REF!</v>
      </c>
      <c r="H401" s="41" t="e">
        <f>+'Estimate Details'!#REF!</f>
        <v>#REF!</v>
      </c>
      <c r="I401" s="217" t="e">
        <f>+'Estimate Details'!#REF!</f>
        <v>#REF!</v>
      </c>
      <c r="J401" s="42" t="e">
        <f>+'Estimate Details'!#REF!</f>
        <v>#REF!</v>
      </c>
      <c r="K401" s="42" t="e">
        <f>+'Estimate Details'!#REF!</f>
        <v>#REF!</v>
      </c>
      <c r="L401" s="42" t="e">
        <f>+'Estimate Details'!#REF!</f>
        <v>#REF!</v>
      </c>
      <c r="M401" s="227" t="e">
        <f>+'Estimate Details'!#REF!</f>
        <v>#REF!</v>
      </c>
      <c r="N401" s="195" t="e">
        <f>+'Estimate Details'!#REF!</f>
        <v>#REF!</v>
      </c>
      <c r="O401" s="171" t="e">
        <f>+'Estimate Details'!#REF!</f>
        <v>#REF!</v>
      </c>
      <c r="P401" s="172" t="e">
        <f>+'Estimate Details'!#REF!</f>
        <v>#REF!</v>
      </c>
      <c r="Q401" s="173" t="e">
        <f>+'Estimate Details'!#REF!</f>
        <v>#REF!</v>
      </c>
      <c r="R401" s="174" t="e">
        <f>+'Estimate Details'!#REF!</f>
        <v>#REF!</v>
      </c>
      <c r="S401" s="507"/>
      <c r="T401" s="174" t="e">
        <f>+'Estimate Details'!#REF!</f>
        <v>#REF!</v>
      </c>
      <c r="U401" s="481" t="s">
        <v>1310</v>
      </c>
      <c r="V401" s="172" t="e">
        <f>+'Estimate Details'!#REF!</f>
        <v>#REF!</v>
      </c>
      <c r="W401" s="481" t="s">
        <v>1310</v>
      </c>
      <c r="X401" s="172" t="e">
        <f>+'Estimate Details'!#REF!</f>
        <v>#REF!</v>
      </c>
      <c r="Y401" s="172" t="e">
        <f>+'Estimate Details'!#REF!</f>
        <v>#REF!</v>
      </c>
      <c r="Z401" s="174" t="e">
        <f>+'Estimate Details'!#REF!</f>
        <v>#REF!</v>
      </c>
      <c r="AA401" s="481"/>
      <c r="AB401" s="175" t="e">
        <f>+'Estimate Details'!#REF!</f>
        <v>#REF!</v>
      </c>
      <c r="AC401" s="569"/>
      <c r="AD401" s="176" t="e">
        <f>+'Estimate Details'!#REF!</f>
        <v>#REF!</v>
      </c>
      <c r="AE401" s="156"/>
      <c r="AF401" s="156"/>
      <c r="AG401" s="156"/>
      <c r="AH401" s="156"/>
      <c r="AI401" s="29"/>
      <c r="AJ401" s="29"/>
      <c r="AK401" s="29"/>
      <c r="AL401" s="109"/>
    </row>
    <row r="402" spans="1:38" ht="14.1" customHeight="1">
      <c r="A402" s="347" t="e">
        <f>+'Estimate Details'!#REF!</f>
        <v>#REF!</v>
      </c>
      <c r="B402" s="347"/>
      <c r="C402" s="347"/>
      <c r="D402" s="210"/>
      <c r="E402" s="158" t="e">
        <f>+'Estimate Details'!#REF!</f>
        <v>#REF!</v>
      </c>
      <c r="F402" s="41"/>
      <c r="G402" s="117" t="e">
        <f>+'Estimate Details'!#REF!</f>
        <v>#REF!</v>
      </c>
      <c r="H402" s="41" t="e">
        <f>+'Estimate Details'!#REF!</f>
        <v>#REF!</v>
      </c>
      <c r="I402" s="217" t="e">
        <f>+'Estimate Details'!#REF!</f>
        <v>#REF!</v>
      </c>
      <c r="J402" s="42" t="e">
        <f>+'Estimate Details'!#REF!</f>
        <v>#REF!</v>
      </c>
      <c r="K402" s="42" t="e">
        <f>+'Estimate Details'!#REF!</f>
        <v>#REF!</v>
      </c>
      <c r="L402" s="42" t="e">
        <f>+'Estimate Details'!#REF!</f>
        <v>#REF!</v>
      </c>
      <c r="M402" s="227" t="e">
        <f>+'Estimate Details'!#REF!</f>
        <v>#REF!</v>
      </c>
      <c r="N402" s="195" t="e">
        <f>+'Estimate Details'!#REF!</f>
        <v>#REF!</v>
      </c>
      <c r="O402" s="171" t="e">
        <f>+'Estimate Details'!#REF!</f>
        <v>#REF!</v>
      </c>
      <c r="P402" s="172" t="e">
        <f>+'Estimate Details'!#REF!</f>
        <v>#REF!</v>
      </c>
      <c r="Q402" s="173" t="e">
        <f>+'Estimate Details'!#REF!</f>
        <v>#REF!</v>
      </c>
      <c r="R402" s="174" t="e">
        <f>+'Estimate Details'!#REF!</f>
        <v>#REF!</v>
      </c>
      <c r="S402" s="507"/>
      <c r="T402" s="174" t="e">
        <f>+'Estimate Details'!#REF!</f>
        <v>#REF!</v>
      </c>
      <c r="U402" s="481" t="s">
        <v>1310</v>
      </c>
      <c r="V402" s="172" t="e">
        <f>+'Estimate Details'!#REF!</f>
        <v>#REF!</v>
      </c>
      <c r="W402" s="481" t="s">
        <v>1310</v>
      </c>
      <c r="X402" s="172" t="e">
        <f>+'Estimate Details'!#REF!</f>
        <v>#REF!</v>
      </c>
      <c r="Y402" s="172" t="e">
        <f>+'Estimate Details'!#REF!</f>
        <v>#REF!</v>
      </c>
      <c r="Z402" s="174" t="e">
        <f>+'Estimate Details'!#REF!</f>
        <v>#REF!</v>
      </c>
      <c r="AA402" s="481"/>
      <c r="AB402" s="175" t="e">
        <f>+'Estimate Details'!#REF!</f>
        <v>#REF!</v>
      </c>
      <c r="AC402" s="569"/>
      <c r="AD402" s="176" t="e">
        <f>+'Estimate Details'!#REF!</f>
        <v>#REF!</v>
      </c>
      <c r="AE402" s="156"/>
      <c r="AF402" s="156"/>
      <c r="AG402" s="156"/>
      <c r="AH402" s="156"/>
      <c r="AI402" s="29"/>
      <c r="AJ402" s="29"/>
      <c r="AK402" s="29"/>
      <c r="AL402" s="109"/>
    </row>
    <row r="403" spans="1:38" ht="14.1" customHeight="1">
      <c r="A403" s="347" t="e">
        <f>+'Estimate Details'!#REF!</f>
        <v>#REF!</v>
      </c>
      <c r="B403" s="347"/>
      <c r="C403" s="347"/>
      <c r="D403" s="210"/>
      <c r="E403" s="158" t="e">
        <f>+'Estimate Details'!#REF!</f>
        <v>#REF!</v>
      </c>
      <c r="F403" s="41"/>
      <c r="G403" s="117" t="e">
        <f>+'Estimate Details'!#REF!</f>
        <v>#REF!</v>
      </c>
      <c r="H403" s="41" t="e">
        <f>+'Estimate Details'!#REF!</f>
        <v>#REF!</v>
      </c>
      <c r="I403" s="217" t="e">
        <f>+'Estimate Details'!#REF!</f>
        <v>#REF!</v>
      </c>
      <c r="J403" s="42" t="e">
        <f>+'Estimate Details'!#REF!</f>
        <v>#REF!</v>
      </c>
      <c r="K403" s="42" t="e">
        <f>+'Estimate Details'!#REF!</f>
        <v>#REF!</v>
      </c>
      <c r="L403" s="42" t="e">
        <f>+'Estimate Details'!#REF!</f>
        <v>#REF!</v>
      </c>
      <c r="M403" s="227" t="e">
        <f>+'Estimate Details'!#REF!</f>
        <v>#REF!</v>
      </c>
      <c r="N403" s="195" t="e">
        <f>+'Estimate Details'!#REF!</f>
        <v>#REF!</v>
      </c>
      <c r="O403" s="171" t="e">
        <f>+'Estimate Details'!#REF!</f>
        <v>#REF!</v>
      </c>
      <c r="P403" s="172" t="e">
        <f>+'Estimate Details'!#REF!</f>
        <v>#REF!</v>
      </c>
      <c r="Q403" s="173" t="e">
        <f>+'Estimate Details'!#REF!</f>
        <v>#REF!</v>
      </c>
      <c r="R403" s="174" t="e">
        <f>+'Estimate Details'!#REF!</f>
        <v>#REF!</v>
      </c>
      <c r="S403" s="507"/>
      <c r="T403" s="174" t="e">
        <f>+'Estimate Details'!#REF!</f>
        <v>#REF!</v>
      </c>
      <c r="U403" s="481" t="s">
        <v>1310</v>
      </c>
      <c r="V403" s="172" t="e">
        <f>+'Estimate Details'!#REF!</f>
        <v>#REF!</v>
      </c>
      <c r="W403" s="481" t="s">
        <v>1310</v>
      </c>
      <c r="X403" s="172" t="e">
        <f>+'Estimate Details'!#REF!</f>
        <v>#REF!</v>
      </c>
      <c r="Y403" s="172" t="e">
        <f>+'Estimate Details'!#REF!</f>
        <v>#REF!</v>
      </c>
      <c r="Z403" s="174" t="e">
        <f>+'Estimate Details'!#REF!</f>
        <v>#REF!</v>
      </c>
      <c r="AA403" s="481"/>
      <c r="AB403" s="175" t="e">
        <f>+'Estimate Details'!#REF!</f>
        <v>#REF!</v>
      </c>
      <c r="AC403" s="569"/>
      <c r="AD403" s="176" t="e">
        <f>+'Estimate Details'!#REF!</f>
        <v>#REF!</v>
      </c>
      <c r="AE403" s="156"/>
      <c r="AF403" s="156"/>
      <c r="AG403" s="156"/>
      <c r="AH403" s="156"/>
      <c r="AI403" s="29"/>
      <c r="AJ403" s="29"/>
      <c r="AK403" s="29"/>
      <c r="AL403" s="109"/>
    </row>
    <row r="404" spans="1:38" ht="14.1" customHeight="1">
      <c r="A404" s="347" t="e">
        <f>+'Estimate Details'!#REF!</f>
        <v>#REF!</v>
      </c>
      <c r="B404" s="347"/>
      <c r="C404" s="347"/>
      <c r="D404" s="210"/>
      <c r="E404" s="158" t="e">
        <f>+'Estimate Details'!#REF!</f>
        <v>#REF!</v>
      </c>
      <c r="F404" s="41"/>
      <c r="G404" s="117" t="e">
        <f>+'Estimate Details'!#REF!</f>
        <v>#REF!</v>
      </c>
      <c r="H404" s="41" t="e">
        <f>+'Estimate Details'!#REF!</f>
        <v>#REF!</v>
      </c>
      <c r="I404" s="217" t="e">
        <f>+'Estimate Details'!#REF!</f>
        <v>#REF!</v>
      </c>
      <c r="J404" s="42" t="e">
        <f>+'Estimate Details'!#REF!</f>
        <v>#REF!</v>
      </c>
      <c r="K404" s="42" t="e">
        <f>+'Estimate Details'!#REF!</f>
        <v>#REF!</v>
      </c>
      <c r="L404" s="42" t="e">
        <f>+'Estimate Details'!#REF!</f>
        <v>#REF!</v>
      </c>
      <c r="M404" s="227" t="e">
        <f>+'Estimate Details'!#REF!</f>
        <v>#REF!</v>
      </c>
      <c r="N404" s="195" t="e">
        <f>+'Estimate Details'!#REF!</f>
        <v>#REF!</v>
      </c>
      <c r="O404" s="171" t="e">
        <f>+'Estimate Details'!#REF!</f>
        <v>#REF!</v>
      </c>
      <c r="P404" s="172" t="e">
        <f>+'Estimate Details'!#REF!</f>
        <v>#REF!</v>
      </c>
      <c r="Q404" s="173" t="e">
        <f>+'Estimate Details'!#REF!</f>
        <v>#REF!</v>
      </c>
      <c r="R404" s="174" t="e">
        <f>+'Estimate Details'!#REF!</f>
        <v>#REF!</v>
      </c>
      <c r="S404" s="507"/>
      <c r="T404" s="174" t="e">
        <f>+'Estimate Details'!#REF!</f>
        <v>#REF!</v>
      </c>
      <c r="U404" s="481" t="s">
        <v>1310</v>
      </c>
      <c r="V404" s="172" t="e">
        <f>+'Estimate Details'!#REF!</f>
        <v>#REF!</v>
      </c>
      <c r="W404" s="481" t="s">
        <v>1310</v>
      </c>
      <c r="X404" s="172" t="e">
        <f>+'Estimate Details'!#REF!</f>
        <v>#REF!</v>
      </c>
      <c r="Y404" s="172" t="e">
        <f>+'Estimate Details'!#REF!</f>
        <v>#REF!</v>
      </c>
      <c r="Z404" s="174" t="e">
        <f>+'Estimate Details'!#REF!</f>
        <v>#REF!</v>
      </c>
      <c r="AA404" s="481"/>
      <c r="AB404" s="175" t="e">
        <f>+'Estimate Details'!#REF!</f>
        <v>#REF!</v>
      </c>
      <c r="AC404" s="569"/>
      <c r="AD404" s="176" t="e">
        <f>+'Estimate Details'!#REF!</f>
        <v>#REF!</v>
      </c>
      <c r="AE404" s="156"/>
      <c r="AF404" s="156"/>
      <c r="AG404" s="156"/>
      <c r="AH404" s="156"/>
      <c r="AI404" s="29"/>
      <c r="AJ404" s="29"/>
      <c r="AK404" s="29"/>
      <c r="AL404" s="109"/>
    </row>
    <row r="405" spans="1:38" ht="14.1" customHeight="1">
      <c r="A405" s="347" t="e">
        <f>+'Estimate Details'!#REF!</f>
        <v>#REF!</v>
      </c>
      <c r="B405" s="347"/>
      <c r="C405" s="347"/>
      <c r="D405" s="210"/>
      <c r="E405" s="158" t="e">
        <f>+'Estimate Details'!#REF!</f>
        <v>#REF!</v>
      </c>
      <c r="F405" s="41"/>
      <c r="G405" s="117" t="e">
        <f>+'Estimate Details'!#REF!</f>
        <v>#REF!</v>
      </c>
      <c r="H405" s="41" t="e">
        <f>+'Estimate Details'!#REF!</f>
        <v>#REF!</v>
      </c>
      <c r="I405" s="217" t="e">
        <f>+'Estimate Details'!#REF!</f>
        <v>#REF!</v>
      </c>
      <c r="J405" s="42" t="e">
        <f>+'Estimate Details'!#REF!</f>
        <v>#REF!</v>
      </c>
      <c r="K405" s="42" t="e">
        <f>+'Estimate Details'!#REF!</f>
        <v>#REF!</v>
      </c>
      <c r="L405" s="42" t="e">
        <f>+'Estimate Details'!#REF!</f>
        <v>#REF!</v>
      </c>
      <c r="M405" s="227" t="e">
        <f>+'Estimate Details'!#REF!</f>
        <v>#REF!</v>
      </c>
      <c r="N405" s="195" t="e">
        <f>+'Estimate Details'!#REF!</f>
        <v>#REF!</v>
      </c>
      <c r="O405" s="171" t="e">
        <f>+'Estimate Details'!#REF!</f>
        <v>#REF!</v>
      </c>
      <c r="P405" s="172" t="e">
        <f>+'Estimate Details'!#REF!</f>
        <v>#REF!</v>
      </c>
      <c r="Q405" s="173" t="e">
        <f>+'Estimate Details'!#REF!</f>
        <v>#REF!</v>
      </c>
      <c r="R405" s="174" t="e">
        <f>+'Estimate Details'!#REF!</f>
        <v>#REF!</v>
      </c>
      <c r="S405" s="507"/>
      <c r="T405" s="174" t="e">
        <f>+'Estimate Details'!#REF!</f>
        <v>#REF!</v>
      </c>
      <c r="U405" s="481" t="s">
        <v>1310</v>
      </c>
      <c r="V405" s="172" t="e">
        <f>+'Estimate Details'!#REF!</f>
        <v>#REF!</v>
      </c>
      <c r="W405" s="481" t="s">
        <v>1310</v>
      </c>
      <c r="X405" s="172" t="e">
        <f>+'Estimate Details'!#REF!</f>
        <v>#REF!</v>
      </c>
      <c r="Y405" s="172" t="e">
        <f>+'Estimate Details'!#REF!</f>
        <v>#REF!</v>
      </c>
      <c r="Z405" s="174" t="e">
        <f>+'Estimate Details'!#REF!</f>
        <v>#REF!</v>
      </c>
      <c r="AA405" s="481"/>
      <c r="AB405" s="175" t="e">
        <f>+'Estimate Details'!#REF!</f>
        <v>#REF!</v>
      </c>
      <c r="AC405" s="569"/>
      <c r="AD405" s="176" t="e">
        <f>+'Estimate Details'!#REF!</f>
        <v>#REF!</v>
      </c>
      <c r="AE405" s="156"/>
      <c r="AF405" s="156"/>
      <c r="AG405" s="156"/>
      <c r="AH405" s="156"/>
      <c r="AI405" s="29"/>
      <c r="AJ405" s="29"/>
      <c r="AK405" s="29"/>
      <c r="AL405" s="109"/>
    </row>
    <row r="406" spans="1:38" ht="14.1" customHeight="1">
      <c r="A406" s="347" t="e">
        <f>+'Estimate Details'!#REF!</f>
        <v>#REF!</v>
      </c>
      <c r="B406" s="347"/>
      <c r="C406" s="347"/>
      <c r="D406" s="210"/>
      <c r="E406" s="158" t="e">
        <f>+'Estimate Details'!#REF!</f>
        <v>#REF!</v>
      </c>
      <c r="F406" s="41"/>
      <c r="G406" s="117" t="e">
        <f>+'Estimate Details'!#REF!</f>
        <v>#REF!</v>
      </c>
      <c r="H406" s="41" t="e">
        <f>+'Estimate Details'!#REF!</f>
        <v>#REF!</v>
      </c>
      <c r="I406" s="217" t="e">
        <f>+'Estimate Details'!#REF!</f>
        <v>#REF!</v>
      </c>
      <c r="J406" s="42" t="e">
        <f>+'Estimate Details'!#REF!</f>
        <v>#REF!</v>
      </c>
      <c r="K406" s="42" t="e">
        <f>+'Estimate Details'!#REF!</f>
        <v>#REF!</v>
      </c>
      <c r="L406" s="42" t="e">
        <f>+'Estimate Details'!#REF!</f>
        <v>#REF!</v>
      </c>
      <c r="M406" s="227" t="e">
        <f>+'Estimate Details'!#REF!</f>
        <v>#REF!</v>
      </c>
      <c r="N406" s="195" t="e">
        <f>+'Estimate Details'!#REF!</f>
        <v>#REF!</v>
      </c>
      <c r="O406" s="171" t="e">
        <f>+'Estimate Details'!#REF!</f>
        <v>#REF!</v>
      </c>
      <c r="P406" s="172" t="e">
        <f>+'Estimate Details'!#REF!</f>
        <v>#REF!</v>
      </c>
      <c r="Q406" s="173" t="e">
        <f>+'Estimate Details'!#REF!</f>
        <v>#REF!</v>
      </c>
      <c r="R406" s="174" t="e">
        <f>+'Estimate Details'!#REF!</f>
        <v>#REF!</v>
      </c>
      <c r="S406" s="507"/>
      <c r="T406" s="174" t="e">
        <f>+'Estimate Details'!#REF!</f>
        <v>#REF!</v>
      </c>
      <c r="U406" s="481" t="s">
        <v>1310</v>
      </c>
      <c r="V406" s="172" t="e">
        <f>+'Estimate Details'!#REF!</f>
        <v>#REF!</v>
      </c>
      <c r="W406" s="481" t="s">
        <v>1310</v>
      </c>
      <c r="X406" s="172" t="e">
        <f>+'Estimate Details'!#REF!</f>
        <v>#REF!</v>
      </c>
      <c r="Y406" s="172" t="e">
        <f>+'Estimate Details'!#REF!</f>
        <v>#REF!</v>
      </c>
      <c r="Z406" s="174" t="e">
        <f>+'Estimate Details'!#REF!</f>
        <v>#REF!</v>
      </c>
      <c r="AA406" s="481"/>
      <c r="AB406" s="175" t="e">
        <f>+'Estimate Details'!#REF!</f>
        <v>#REF!</v>
      </c>
      <c r="AC406" s="569"/>
      <c r="AD406" s="176" t="e">
        <f>+'Estimate Details'!#REF!</f>
        <v>#REF!</v>
      </c>
      <c r="AE406" s="156"/>
      <c r="AF406" s="156"/>
      <c r="AG406" s="156"/>
      <c r="AH406" s="156"/>
      <c r="AI406" s="29"/>
      <c r="AJ406" s="29"/>
      <c r="AK406" s="29"/>
      <c r="AL406" s="109"/>
    </row>
    <row r="407" spans="1:38" ht="14.1" customHeight="1">
      <c r="A407" s="347" t="e">
        <f>+'Estimate Details'!#REF!</f>
        <v>#REF!</v>
      </c>
      <c r="B407" s="347"/>
      <c r="C407" s="347"/>
      <c r="D407" s="210"/>
      <c r="E407" s="158" t="e">
        <f>+'Estimate Details'!#REF!</f>
        <v>#REF!</v>
      </c>
      <c r="F407" s="41"/>
      <c r="G407" s="117" t="e">
        <f>+'Estimate Details'!#REF!</f>
        <v>#REF!</v>
      </c>
      <c r="H407" s="41" t="e">
        <f>+'Estimate Details'!#REF!</f>
        <v>#REF!</v>
      </c>
      <c r="I407" s="217" t="e">
        <f>+'Estimate Details'!#REF!</f>
        <v>#REF!</v>
      </c>
      <c r="J407" s="42" t="e">
        <f>+'Estimate Details'!#REF!</f>
        <v>#REF!</v>
      </c>
      <c r="K407" s="42" t="e">
        <f>+'Estimate Details'!#REF!</f>
        <v>#REF!</v>
      </c>
      <c r="L407" s="42" t="e">
        <f>+'Estimate Details'!#REF!</f>
        <v>#REF!</v>
      </c>
      <c r="M407" s="227" t="e">
        <f>+'Estimate Details'!#REF!</f>
        <v>#REF!</v>
      </c>
      <c r="N407" s="195" t="e">
        <f>+'Estimate Details'!#REF!</f>
        <v>#REF!</v>
      </c>
      <c r="O407" s="171" t="e">
        <f>+'Estimate Details'!#REF!</f>
        <v>#REF!</v>
      </c>
      <c r="P407" s="172" t="e">
        <f>+'Estimate Details'!#REF!</f>
        <v>#REF!</v>
      </c>
      <c r="Q407" s="173" t="e">
        <f>+'Estimate Details'!#REF!</f>
        <v>#REF!</v>
      </c>
      <c r="R407" s="174" t="e">
        <f>+'Estimate Details'!#REF!</f>
        <v>#REF!</v>
      </c>
      <c r="S407" s="507"/>
      <c r="T407" s="174" t="e">
        <f>+'Estimate Details'!#REF!</f>
        <v>#REF!</v>
      </c>
      <c r="U407" s="481" t="s">
        <v>1310</v>
      </c>
      <c r="V407" s="172" t="e">
        <f>+'Estimate Details'!#REF!</f>
        <v>#REF!</v>
      </c>
      <c r="W407" s="481" t="s">
        <v>1310</v>
      </c>
      <c r="X407" s="172" t="e">
        <f>+'Estimate Details'!#REF!</f>
        <v>#REF!</v>
      </c>
      <c r="Y407" s="172" t="e">
        <f>+'Estimate Details'!#REF!</f>
        <v>#REF!</v>
      </c>
      <c r="Z407" s="174" t="e">
        <f>+'Estimate Details'!#REF!</f>
        <v>#REF!</v>
      </c>
      <c r="AA407" s="481"/>
      <c r="AB407" s="175" t="e">
        <f>+'Estimate Details'!#REF!</f>
        <v>#REF!</v>
      </c>
      <c r="AC407" s="569"/>
      <c r="AD407" s="176" t="e">
        <f>+'Estimate Details'!#REF!</f>
        <v>#REF!</v>
      </c>
      <c r="AE407" s="156"/>
      <c r="AF407" s="156"/>
      <c r="AG407" s="156"/>
      <c r="AH407" s="156"/>
      <c r="AI407" s="29"/>
      <c r="AJ407" s="29"/>
      <c r="AK407" s="29"/>
      <c r="AL407" s="109"/>
    </row>
    <row r="408" spans="1:38" ht="14.1" customHeight="1">
      <c r="A408" s="347" t="e">
        <f>+'Estimate Details'!#REF!</f>
        <v>#REF!</v>
      </c>
      <c r="B408" s="347"/>
      <c r="C408" s="347"/>
      <c r="D408" s="210"/>
      <c r="E408" s="158" t="e">
        <f>+'Estimate Details'!#REF!</f>
        <v>#REF!</v>
      </c>
      <c r="F408" s="41"/>
      <c r="G408" s="117" t="e">
        <f>+'Estimate Details'!#REF!</f>
        <v>#REF!</v>
      </c>
      <c r="H408" s="41" t="e">
        <f>+'Estimate Details'!#REF!</f>
        <v>#REF!</v>
      </c>
      <c r="I408" s="217" t="e">
        <f>+'Estimate Details'!#REF!</f>
        <v>#REF!</v>
      </c>
      <c r="J408" s="42" t="e">
        <f>+'Estimate Details'!#REF!</f>
        <v>#REF!</v>
      </c>
      <c r="K408" s="42" t="e">
        <f>+'Estimate Details'!#REF!</f>
        <v>#REF!</v>
      </c>
      <c r="L408" s="42" t="e">
        <f>+'Estimate Details'!#REF!</f>
        <v>#REF!</v>
      </c>
      <c r="M408" s="227" t="e">
        <f>+'Estimate Details'!#REF!</f>
        <v>#REF!</v>
      </c>
      <c r="N408" s="228" t="e">
        <f>+'Estimate Details'!#REF!</f>
        <v>#REF!</v>
      </c>
      <c r="O408" s="171" t="e">
        <f>+'Estimate Details'!#REF!</f>
        <v>#REF!</v>
      </c>
      <c r="P408" s="172" t="e">
        <f>+'Estimate Details'!#REF!</f>
        <v>#REF!</v>
      </c>
      <c r="Q408" s="173" t="e">
        <f>+'Estimate Details'!#REF!</f>
        <v>#REF!</v>
      </c>
      <c r="R408" s="174" t="e">
        <f>+'Estimate Details'!#REF!</f>
        <v>#REF!</v>
      </c>
      <c r="S408" s="507"/>
      <c r="T408" s="174" t="e">
        <f>+'Estimate Details'!#REF!</f>
        <v>#REF!</v>
      </c>
      <c r="U408" s="481" t="s">
        <v>1310</v>
      </c>
      <c r="V408" s="172" t="e">
        <f>+'Estimate Details'!#REF!</f>
        <v>#REF!</v>
      </c>
      <c r="W408" s="481" t="s">
        <v>1310</v>
      </c>
      <c r="X408" s="172" t="e">
        <f>+'Estimate Details'!#REF!</f>
        <v>#REF!</v>
      </c>
      <c r="Y408" s="172" t="e">
        <f>+'Estimate Details'!#REF!</f>
        <v>#REF!</v>
      </c>
      <c r="Z408" s="174" t="e">
        <f>+'Estimate Details'!#REF!</f>
        <v>#REF!</v>
      </c>
      <c r="AA408" s="481"/>
      <c r="AB408" s="175" t="e">
        <f>+'Estimate Details'!#REF!</f>
        <v>#REF!</v>
      </c>
      <c r="AC408" s="569"/>
      <c r="AD408" s="176" t="e">
        <f>+'Estimate Details'!#REF!</f>
        <v>#REF!</v>
      </c>
      <c r="AE408" s="156"/>
      <c r="AF408" s="156"/>
      <c r="AG408" s="156"/>
      <c r="AH408" s="156"/>
      <c r="AI408" s="29"/>
      <c r="AJ408" s="29"/>
      <c r="AK408" s="29"/>
      <c r="AL408" s="109"/>
    </row>
    <row r="409" spans="1:38" ht="14.1" customHeight="1">
      <c r="A409" s="347" t="e">
        <f>+'Estimate Details'!#REF!</f>
        <v>#REF!</v>
      </c>
      <c r="B409" s="347"/>
      <c r="C409" s="347"/>
      <c r="D409" s="210"/>
      <c r="E409" s="158" t="e">
        <f>+'Estimate Details'!#REF!</f>
        <v>#REF!</v>
      </c>
      <c r="F409" s="41"/>
      <c r="G409" s="117" t="e">
        <f>+'Estimate Details'!#REF!</f>
        <v>#REF!</v>
      </c>
      <c r="H409" s="41" t="e">
        <f>+'Estimate Details'!#REF!</f>
        <v>#REF!</v>
      </c>
      <c r="I409" s="217" t="e">
        <f>+'Estimate Details'!#REF!</f>
        <v>#REF!</v>
      </c>
      <c r="J409" s="42" t="e">
        <f>+'Estimate Details'!#REF!</f>
        <v>#REF!</v>
      </c>
      <c r="K409" s="42" t="e">
        <f>+'Estimate Details'!#REF!</f>
        <v>#REF!</v>
      </c>
      <c r="L409" s="42" t="e">
        <f>+'Estimate Details'!#REF!</f>
        <v>#REF!</v>
      </c>
      <c r="M409" s="227" t="e">
        <f>+'Estimate Details'!#REF!</f>
        <v>#REF!</v>
      </c>
      <c r="N409" s="195" t="e">
        <f>+'Estimate Details'!#REF!</f>
        <v>#REF!</v>
      </c>
      <c r="O409" s="171" t="e">
        <f>+'Estimate Details'!#REF!</f>
        <v>#REF!</v>
      </c>
      <c r="P409" s="172" t="e">
        <f>+'Estimate Details'!#REF!</f>
        <v>#REF!</v>
      </c>
      <c r="Q409" s="173" t="e">
        <f>+'Estimate Details'!#REF!</f>
        <v>#REF!</v>
      </c>
      <c r="R409" s="174" t="e">
        <f>+'Estimate Details'!#REF!</f>
        <v>#REF!</v>
      </c>
      <c r="S409" s="507"/>
      <c r="T409" s="174" t="e">
        <f>+'Estimate Details'!#REF!</f>
        <v>#REF!</v>
      </c>
      <c r="U409" s="481" t="s">
        <v>1298</v>
      </c>
      <c r="V409" s="172" t="e">
        <f>+'Estimate Details'!#REF!</f>
        <v>#REF!</v>
      </c>
      <c r="W409" s="481" t="s">
        <v>1310</v>
      </c>
      <c r="X409" s="172" t="e">
        <f>+'Estimate Details'!#REF!</f>
        <v>#REF!</v>
      </c>
      <c r="Y409" s="172" t="e">
        <f>+'Estimate Details'!#REF!</f>
        <v>#REF!</v>
      </c>
      <c r="Z409" s="174" t="e">
        <f>+'Estimate Details'!#REF!</f>
        <v>#REF!</v>
      </c>
      <c r="AA409" s="481"/>
      <c r="AB409" s="175" t="e">
        <f>+'Estimate Details'!#REF!</f>
        <v>#REF!</v>
      </c>
      <c r="AC409" s="569"/>
      <c r="AD409" s="176" t="e">
        <f>+'Estimate Details'!#REF!</f>
        <v>#REF!</v>
      </c>
      <c r="AE409" s="156"/>
      <c r="AF409" s="156"/>
      <c r="AG409" s="156"/>
      <c r="AH409" s="156"/>
      <c r="AI409" s="29"/>
      <c r="AJ409" s="29"/>
      <c r="AK409" s="29"/>
      <c r="AL409" s="109"/>
    </row>
    <row r="410" spans="1:38" ht="14.1" customHeight="1">
      <c r="A410" s="347" t="e">
        <f>+'Estimate Details'!#REF!</f>
        <v>#REF!</v>
      </c>
      <c r="B410" s="347"/>
      <c r="C410" s="347"/>
      <c r="D410" s="210"/>
      <c r="E410" s="158" t="e">
        <f>+'Estimate Details'!#REF!</f>
        <v>#REF!</v>
      </c>
      <c r="F410" s="41"/>
      <c r="G410" s="117" t="e">
        <f>+'Estimate Details'!#REF!</f>
        <v>#REF!</v>
      </c>
      <c r="H410" s="41" t="e">
        <f>+'Estimate Details'!#REF!</f>
        <v>#REF!</v>
      </c>
      <c r="I410" s="217" t="e">
        <f>+'Estimate Details'!#REF!</f>
        <v>#REF!</v>
      </c>
      <c r="J410" s="42" t="e">
        <f>+'Estimate Details'!#REF!</f>
        <v>#REF!</v>
      </c>
      <c r="K410" s="42" t="e">
        <f>+'Estimate Details'!#REF!</f>
        <v>#REF!</v>
      </c>
      <c r="L410" s="42" t="e">
        <f>+'Estimate Details'!#REF!</f>
        <v>#REF!</v>
      </c>
      <c r="M410" s="227" t="e">
        <f>+'Estimate Details'!#REF!</f>
        <v>#REF!</v>
      </c>
      <c r="N410" s="228" t="e">
        <f>+'Estimate Details'!#REF!</f>
        <v>#REF!</v>
      </c>
      <c r="O410" s="171" t="e">
        <f>+'Estimate Details'!#REF!</f>
        <v>#REF!</v>
      </c>
      <c r="P410" s="172" t="e">
        <f>+'Estimate Details'!#REF!</f>
        <v>#REF!</v>
      </c>
      <c r="Q410" s="173" t="e">
        <f>+'Estimate Details'!#REF!</f>
        <v>#REF!</v>
      </c>
      <c r="R410" s="174" t="e">
        <f>+'Estimate Details'!#REF!</f>
        <v>#REF!</v>
      </c>
      <c r="S410" s="507"/>
      <c r="T410" s="174" t="e">
        <f>+'Estimate Details'!#REF!</f>
        <v>#REF!</v>
      </c>
      <c r="U410" s="481" t="s">
        <v>1310</v>
      </c>
      <c r="V410" s="172" t="e">
        <f>+'Estimate Details'!#REF!</f>
        <v>#REF!</v>
      </c>
      <c r="W410" s="481" t="s">
        <v>1310</v>
      </c>
      <c r="X410" s="172" t="e">
        <f>+'Estimate Details'!#REF!</f>
        <v>#REF!</v>
      </c>
      <c r="Y410" s="172" t="e">
        <f>+'Estimate Details'!#REF!</f>
        <v>#REF!</v>
      </c>
      <c r="Z410" s="174" t="e">
        <f>+'Estimate Details'!#REF!</f>
        <v>#REF!</v>
      </c>
      <c r="AA410" s="481"/>
      <c r="AB410" s="175" t="e">
        <f>+'Estimate Details'!#REF!</f>
        <v>#REF!</v>
      </c>
      <c r="AC410" s="569"/>
      <c r="AD410" s="176" t="e">
        <f>+'Estimate Details'!#REF!</f>
        <v>#REF!</v>
      </c>
      <c r="AE410" s="156"/>
      <c r="AF410" s="156"/>
      <c r="AG410" s="156"/>
      <c r="AH410" s="156"/>
      <c r="AI410" s="29"/>
      <c r="AJ410" s="29"/>
      <c r="AK410" s="29"/>
      <c r="AL410" s="109"/>
    </row>
    <row r="411" spans="1:38" ht="14.1" customHeight="1">
      <c r="A411" s="347" t="e">
        <f>+'Estimate Details'!#REF!</f>
        <v>#REF!</v>
      </c>
      <c r="B411" s="347"/>
      <c r="C411" s="347"/>
      <c r="D411" s="210"/>
      <c r="E411" s="158" t="e">
        <f>+'Estimate Details'!#REF!</f>
        <v>#REF!</v>
      </c>
      <c r="F411" s="41"/>
      <c r="G411" s="117" t="e">
        <f>+'Estimate Details'!#REF!</f>
        <v>#REF!</v>
      </c>
      <c r="H411" s="41" t="e">
        <f>+'Estimate Details'!#REF!</f>
        <v>#REF!</v>
      </c>
      <c r="I411" s="217" t="e">
        <f>+'Estimate Details'!#REF!</f>
        <v>#REF!</v>
      </c>
      <c r="J411" s="42" t="e">
        <f>+'Estimate Details'!#REF!</f>
        <v>#REF!</v>
      </c>
      <c r="K411" s="42" t="e">
        <f>+'Estimate Details'!#REF!</f>
        <v>#REF!</v>
      </c>
      <c r="L411" s="42" t="e">
        <f>+'Estimate Details'!#REF!</f>
        <v>#REF!</v>
      </c>
      <c r="M411" s="227" t="e">
        <f>+'Estimate Details'!#REF!</f>
        <v>#REF!</v>
      </c>
      <c r="N411" s="228" t="e">
        <f>+'Estimate Details'!#REF!</f>
        <v>#REF!</v>
      </c>
      <c r="O411" s="171" t="e">
        <f>+'Estimate Details'!#REF!</f>
        <v>#REF!</v>
      </c>
      <c r="P411" s="172" t="e">
        <f>+'Estimate Details'!#REF!</f>
        <v>#REF!</v>
      </c>
      <c r="Q411" s="173" t="e">
        <f>+'Estimate Details'!#REF!</f>
        <v>#REF!</v>
      </c>
      <c r="R411" s="174" t="e">
        <f>+'Estimate Details'!#REF!</f>
        <v>#REF!</v>
      </c>
      <c r="S411" s="507"/>
      <c r="T411" s="174" t="e">
        <f>+'Estimate Details'!#REF!</f>
        <v>#REF!</v>
      </c>
      <c r="U411" s="481" t="s">
        <v>1310</v>
      </c>
      <c r="V411" s="172" t="e">
        <f>+'Estimate Details'!#REF!</f>
        <v>#REF!</v>
      </c>
      <c r="W411" s="481" t="s">
        <v>1310</v>
      </c>
      <c r="X411" s="172" t="e">
        <f>+'Estimate Details'!#REF!</f>
        <v>#REF!</v>
      </c>
      <c r="Y411" s="172" t="e">
        <f>+'Estimate Details'!#REF!</f>
        <v>#REF!</v>
      </c>
      <c r="Z411" s="174" t="e">
        <f>+'Estimate Details'!#REF!</f>
        <v>#REF!</v>
      </c>
      <c r="AA411" s="481"/>
      <c r="AB411" s="175" t="e">
        <f>+'Estimate Details'!#REF!</f>
        <v>#REF!</v>
      </c>
      <c r="AC411" s="569"/>
      <c r="AD411" s="176" t="e">
        <f>+'Estimate Details'!#REF!</f>
        <v>#REF!</v>
      </c>
      <c r="AE411" s="156"/>
      <c r="AF411" s="156"/>
      <c r="AG411" s="156"/>
      <c r="AH411" s="156"/>
      <c r="AI411" s="29"/>
      <c r="AJ411" s="29"/>
      <c r="AK411" s="29"/>
      <c r="AL411" s="109"/>
    </row>
    <row r="412" spans="1:38" ht="14.1" customHeight="1">
      <c r="A412" s="347" t="e">
        <f>+'Estimate Details'!#REF!</f>
        <v>#REF!</v>
      </c>
      <c r="B412" s="347"/>
      <c r="C412" s="347"/>
      <c r="D412" s="210"/>
      <c r="E412" s="158" t="e">
        <f>+'Estimate Details'!#REF!</f>
        <v>#REF!</v>
      </c>
      <c r="F412" s="41"/>
      <c r="G412" s="117" t="e">
        <f>+'Estimate Details'!#REF!</f>
        <v>#REF!</v>
      </c>
      <c r="H412" s="41" t="e">
        <f>+'Estimate Details'!#REF!</f>
        <v>#REF!</v>
      </c>
      <c r="I412" s="217" t="e">
        <f>+'Estimate Details'!#REF!</f>
        <v>#REF!</v>
      </c>
      <c r="J412" s="42" t="e">
        <f>+'Estimate Details'!#REF!</f>
        <v>#REF!</v>
      </c>
      <c r="K412" s="42" t="e">
        <f>+'Estimate Details'!#REF!</f>
        <v>#REF!</v>
      </c>
      <c r="L412" s="42" t="e">
        <f>+'Estimate Details'!#REF!</f>
        <v>#REF!</v>
      </c>
      <c r="M412" s="227" t="e">
        <f>+'Estimate Details'!#REF!</f>
        <v>#REF!</v>
      </c>
      <c r="N412" s="195" t="e">
        <f>+'Estimate Details'!#REF!</f>
        <v>#REF!</v>
      </c>
      <c r="O412" s="171" t="e">
        <f>+'Estimate Details'!#REF!</f>
        <v>#REF!</v>
      </c>
      <c r="P412" s="172" t="e">
        <f>+'Estimate Details'!#REF!</f>
        <v>#REF!</v>
      </c>
      <c r="Q412" s="173" t="e">
        <f>+'Estimate Details'!#REF!</f>
        <v>#REF!</v>
      </c>
      <c r="R412" s="174" t="e">
        <f>+'Estimate Details'!#REF!</f>
        <v>#REF!</v>
      </c>
      <c r="S412" s="507"/>
      <c r="T412" s="174" t="e">
        <f>+'Estimate Details'!#REF!</f>
        <v>#REF!</v>
      </c>
      <c r="U412" s="481" t="s">
        <v>1310</v>
      </c>
      <c r="V412" s="172" t="e">
        <f>+'Estimate Details'!#REF!</f>
        <v>#REF!</v>
      </c>
      <c r="W412" s="481" t="s">
        <v>1310</v>
      </c>
      <c r="X412" s="172" t="e">
        <f>+'Estimate Details'!#REF!</f>
        <v>#REF!</v>
      </c>
      <c r="Y412" s="172" t="e">
        <f>+'Estimate Details'!#REF!</f>
        <v>#REF!</v>
      </c>
      <c r="Z412" s="174" t="e">
        <f>+'Estimate Details'!#REF!</f>
        <v>#REF!</v>
      </c>
      <c r="AA412" s="481"/>
      <c r="AB412" s="175" t="e">
        <f>+'Estimate Details'!#REF!</f>
        <v>#REF!</v>
      </c>
      <c r="AC412" s="569"/>
      <c r="AD412" s="176" t="e">
        <f>+'Estimate Details'!#REF!</f>
        <v>#REF!</v>
      </c>
      <c r="AE412" s="156"/>
      <c r="AF412" s="156"/>
      <c r="AG412" s="156"/>
      <c r="AH412" s="156"/>
      <c r="AI412" s="29"/>
      <c r="AJ412" s="29"/>
      <c r="AK412" s="29"/>
      <c r="AL412" s="109"/>
    </row>
    <row r="413" spans="1:38" ht="14.1" customHeight="1">
      <c r="A413" s="347" t="e">
        <f>+'Estimate Details'!#REF!</f>
        <v>#REF!</v>
      </c>
      <c r="B413" s="347"/>
      <c r="C413" s="347"/>
      <c r="D413" s="210"/>
      <c r="E413" s="158" t="e">
        <f>+'Estimate Details'!#REF!</f>
        <v>#REF!</v>
      </c>
      <c r="F413" s="41"/>
      <c r="G413" s="117" t="e">
        <f>+'Estimate Details'!#REF!</f>
        <v>#REF!</v>
      </c>
      <c r="H413" s="41" t="e">
        <f>+'Estimate Details'!#REF!</f>
        <v>#REF!</v>
      </c>
      <c r="I413" s="217" t="e">
        <f>+'Estimate Details'!#REF!</f>
        <v>#REF!</v>
      </c>
      <c r="J413" s="42" t="e">
        <f>+'Estimate Details'!#REF!</f>
        <v>#REF!</v>
      </c>
      <c r="K413" s="42" t="e">
        <f>+'Estimate Details'!#REF!</f>
        <v>#REF!</v>
      </c>
      <c r="L413" s="42" t="e">
        <f>+'Estimate Details'!#REF!</f>
        <v>#REF!</v>
      </c>
      <c r="M413" s="227" t="e">
        <f>+'Estimate Details'!#REF!</f>
        <v>#REF!</v>
      </c>
      <c r="N413" s="195" t="e">
        <f>+'Estimate Details'!#REF!</f>
        <v>#REF!</v>
      </c>
      <c r="O413" s="171" t="e">
        <f>+'Estimate Details'!#REF!</f>
        <v>#REF!</v>
      </c>
      <c r="P413" s="172" t="e">
        <f>+'Estimate Details'!#REF!</f>
        <v>#REF!</v>
      </c>
      <c r="Q413" s="173" t="e">
        <f>+'Estimate Details'!#REF!</f>
        <v>#REF!</v>
      </c>
      <c r="R413" s="174" t="e">
        <f>+'Estimate Details'!#REF!</f>
        <v>#REF!</v>
      </c>
      <c r="S413" s="507"/>
      <c r="T413" s="174" t="e">
        <f>+'Estimate Details'!#REF!</f>
        <v>#REF!</v>
      </c>
      <c r="U413" s="481" t="s">
        <v>1310</v>
      </c>
      <c r="V413" s="172" t="e">
        <f>+'Estimate Details'!#REF!</f>
        <v>#REF!</v>
      </c>
      <c r="W413" s="481" t="s">
        <v>1310</v>
      </c>
      <c r="X413" s="172" t="e">
        <f>+'Estimate Details'!#REF!</f>
        <v>#REF!</v>
      </c>
      <c r="Y413" s="172" t="e">
        <f>+'Estimate Details'!#REF!</f>
        <v>#REF!</v>
      </c>
      <c r="Z413" s="174" t="e">
        <f>+'Estimate Details'!#REF!</f>
        <v>#REF!</v>
      </c>
      <c r="AA413" s="481"/>
      <c r="AB413" s="175" t="e">
        <f>+'Estimate Details'!#REF!</f>
        <v>#REF!</v>
      </c>
      <c r="AC413" s="569"/>
      <c r="AD413" s="176" t="e">
        <f>+'Estimate Details'!#REF!</f>
        <v>#REF!</v>
      </c>
      <c r="AE413" s="156"/>
      <c r="AF413" s="156"/>
      <c r="AG413" s="156"/>
      <c r="AH413" s="156"/>
      <c r="AI413" s="29"/>
      <c r="AJ413" s="29"/>
      <c r="AK413" s="29"/>
      <c r="AL413" s="109"/>
    </row>
    <row r="414" spans="1:38" ht="14.1" customHeight="1">
      <c r="A414" s="347" t="e">
        <f>+'Estimate Details'!#REF!</f>
        <v>#REF!</v>
      </c>
      <c r="B414" s="347"/>
      <c r="C414" s="347"/>
      <c r="D414" s="210"/>
      <c r="E414" s="158" t="e">
        <f>+'Estimate Details'!#REF!</f>
        <v>#REF!</v>
      </c>
      <c r="F414" s="41"/>
      <c r="G414" s="117" t="e">
        <f>+'Estimate Details'!#REF!</f>
        <v>#REF!</v>
      </c>
      <c r="H414" s="41" t="e">
        <f>+'Estimate Details'!#REF!</f>
        <v>#REF!</v>
      </c>
      <c r="I414" s="217" t="e">
        <f>+'Estimate Details'!#REF!</f>
        <v>#REF!</v>
      </c>
      <c r="J414" s="42" t="e">
        <f>+'Estimate Details'!#REF!</f>
        <v>#REF!</v>
      </c>
      <c r="K414" s="42" t="e">
        <f>+'Estimate Details'!#REF!</f>
        <v>#REF!</v>
      </c>
      <c r="L414" s="42" t="e">
        <f>+'Estimate Details'!#REF!</f>
        <v>#REF!</v>
      </c>
      <c r="M414" s="227" t="e">
        <f>+'Estimate Details'!#REF!</f>
        <v>#REF!</v>
      </c>
      <c r="N414" s="195" t="e">
        <f>+'Estimate Details'!#REF!</f>
        <v>#REF!</v>
      </c>
      <c r="O414" s="171" t="e">
        <f>+'Estimate Details'!#REF!</f>
        <v>#REF!</v>
      </c>
      <c r="P414" s="172" t="e">
        <f>+'Estimate Details'!#REF!</f>
        <v>#REF!</v>
      </c>
      <c r="Q414" s="173" t="e">
        <f>+'Estimate Details'!#REF!</f>
        <v>#REF!</v>
      </c>
      <c r="R414" s="174" t="e">
        <f>+'Estimate Details'!#REF!</f>
        <v>#REF!</v>
      </c>
      <c r="S414" s="507"/>
      <c r="T414" s="174" t="e">
        <f>+'Estimate Details'!#REF!</f>
        <v>#REF!</v>
      </c>
      <c r="U414" s="481" t="s">
        <v>1310</v>
      </c>
      <c r="V414" s="172" t="e">
        <f>+'Estimate Details'!#REF!</f>
        <v>#REF!</v>
      </c>
      <c r="W414" s="481" t="s">
        <v>1310</v>
      </c>
      <c r="X414" s="172" t="e">
        <f>+'Estimate Details'!#REF!</f>
        <v>#REF!</v>
      </c>
      <c r="Y414" s="172" t="e">
        <f>+'Estimate Details'!#REF!</f>
        <v>#REF!</v>
      </c>
      <c r="Z414" s="174" t="e">
        <f>+'Estimate Details'!#REF!</f>
        <v>#REF!</v>
      </c>
      <c r="AA414" s="481"/>
      <c r="AB414" s="175" t="e">
        <f>+'Estimate Details'!#REF!</f>
        <v>#REF!</v>
      </c>
      <c r="AC414" s="569"/>
      <c r="AD414" s="176" t="e">
        <f>+'Estimate Details'!#REF!</f>
        <v>#REF!</v>
      </c>
      <c r="AE414" s="156"/>
      <c r="AF414" s="156"/>
      <c r="AG414" s="156"/>
      <c r="AH414" s="156"/>
      <c r="AI414" s="29"/>
      <c r="AJ414" s="29"/>
      <c r="AK414" s="29"/>
      <c r="AL414" s="109"/>
    </row>
    <row r="415" spans="1:38" ht="14.1" customHeight="1">
      <c r="A415" s="347" t="e">
        <f>+'Estimate Details'!#REF!</f>
        <v>#REF!</v>
      </c>
      <c r="B415" s="347"/>
      <c r="C415" s="347"/>
      <c r="D415" s="210"/>
      <c r="E415" s="158" t="e">
        <f>+'Estimate Details'!#REF!</f>
        <v>#REF!</v>
      </c>
      <c r="F415" s="41"/>
      <c r="G415" s="117" t="e">
        <f>+'Estimate Details'!#REF!</f>
        <v>#REF!</v>
      </c>
      <c r="H415" s="41" t="e">
        <f>+'Estimate Details'!#REF!</f>
        <v>#REF!</v>
      </c>
      <c r="I415" s="217" t="e">
        <f>+'Estimate Details'!#REF!</f>
        <v>#REF!</v>
      </c>
      <c r="J415" s="42" t="e">
        <f>+'Estimate Details'!#REF!</f>
        <v>#REF!</v>
      </c>
      <c r="K415" s="42" t="e">
        <f>+'Estimate Details'!#REF!</f>
        <v>#REF!</v>
      </c>
      <c r="L415" s="42" t="e">
        <f>+'Estimate Details'!#REF!</f>
        <v>#REF!</v>
      </c>
      <c r="M415" s="227" t="e">
        <f>+'Estimate Details'!#REF!</f>
        <v>#REF!</v>
      </c>
      <c r="N415" s="195" t="e">
        <f>+'Estimate Details'!#REF!</f>
        <v>#REF!</v>
      </c>
      <c r="O415" s="171" t="e">
        <f>+'Estimate Details'!#REF!</f>
        <v>#REF!</v>
      </c>
      <c r="P415" s="172" t="e">
        <f>+'Estimate Details'!#REF!</f>
        <v>#REF!</v>
      </c>
      <c r="Q415" s="173" t="e">
        <f>+'Estimate Details'!#REF!</f>
        <v>#REF!</v>
      </c>
      <c r="R415" s="174" t="e">
        <f>+'Estimate Details'!#REF!</f>
        <v>#REF!</v>
      </c>
      <c r="S415" s="507"/>
      <c r="T415" s="174" t="e">
        <f>+'Estimate Details'!#REF!</f>
        <v>#REF!</v>
      </c>
      <c r="U415" s="481" t="s">
        <v>1310</v>
      </c>
      <c r="V415" s="172" t="e">
        <f>+'Estimate Details'!#REF!</f>
        <v>#REF!</v>
      </c>
      <c r="W415" s="481" t="s">
        <v>1310</v>
      </c>
      <c r="X415" s="172" t="e">
        <f>+'Estimate Details'!#REF!</f>
        <v>#REF!</v>
      </c>
      <c r="Y415" s="172" t="e">
        <f>+'Estimate Details'!#REF!</f>
        <v>#REF!</v>
      </c>
      <c r="Z415" s="174" t="e">
        <f>+'Estimate Details'!#REF!</f>
        <v>#REF!</v>
      </c>
      <c r="AA415" s="481"/>
      <c r="AB415" s="175" t="e">
        <f>+'Estimate Details'!#REF!</f>
        <v>#REF!</v>
      </c>
      <c r="AC415" s="569"/>
      <c r="AD415" s="176" t="e">
        <f>+'Estimate Details'!#REF!</f>
        <v>#REF!</v>
      </c>
      <c r="AE415" s="156"/>
      <c r="AF415" s="156"/>
      <c r="AG415" s="156"/>
      <c r="AH415" s="156"/>
      <c r="AI415" s="29"/>
      <c r="AJ415" s="29"/>
      <c r="AK415" s="29"/>
      <c r="AL415" s="109"/>
    </row>
    <row r="416" spans="1:38" ht="14.1" customHeight="1">
      <c r="A416" s="347" t="e">
        <f>+'Estimate Details'!#REF!</f>
        <v>#REF!</v>
      </c>
      <c r="B416" s="347"/>
      <c r="C416" s="347"/>
      <c r="D416" s="210"/>
      <c r="E416" s="158" t="e">
        <f>+'Estimate Details'!#REF!</f>
        <v>#REF!</v>
      </c>
      <c r="F416" s="41"/>
      <c r="G416" s="117" t="e">
        <f>+'Estimate Details'!#REF!</f>
        <v>#REF!</v>
      </c>
      <c r="H416" s="41" t="e">
        <f>+'Estimate Details'!#REF!</f>
        <v>#REF!</v>
      </c>
      <c r="I416" s="217" t="e">
        <f>+'Estimate Details'!#REF!</f>
        <v>#REF!</v>
      </c>
      <c r="J416" s="42" t="e">
        <f>+'Estimate Details'!#REF!</f>
        <v>#REF!</v>
      </c>
      <c r="K416" s="42" t="e">
        <f>+'Estimate Details'!#REF!</f>
        <v>#REF!</v>
      </c>
      <c r="L416" s="42" t="e">
        <f>+'Estimate Details'!#REF!</f>
        <v>#REF!</v>
      </c>
      <c r="M416" s="227" t="e">
        <f>+'Estimate Details'!#REF!</f>
        <v>#REF!</v>
      </c>
      <c r="N416" s="195" t="e">
        <f>+'Estimate Details'!#REF!</f>
        <v>#REF!</v>
      </c>
      <c r="O416" s="171" t="e">
        <f>+'Estimate Details'!#REF!</f>
        <v>#REF!</v>
      </c>
      <c r="P416" s="172" t="e">
        <f>+'Estimate Details'!#REF!</f>
        <v>#REF!</v>
      </c>
      <c r="Q416" s="173" t="e">
        <f>+'Estimate Details'!#REF!</f>
        <v>#REF!</v>
      </c>
      <c r="R416" s="174" t="e">
        <f>+'Estimate Details'!#REF!</f>
        <v>#REF!</v>
      </c>
      <c r="S416" s="507"/>
      <c r="T416" s="174" t="e">
        <f>+'Estimate Details'!#REF!</f>
        <v>#REF!</v>
      </c>
      <c r="U416" s="481" t="s">
        <v>1310</v>
      </c>
      <c r="V416" s="172" t="e">
        <f>+'Estimate Details'!#REF!</f>
        <v>#REF!</v>
      </c>
      <c r="W416" s="481" t="s">
        <v>1310</v>
      </c>
      <c r="X416" s="172" t="e">
        <f>+'Estimate Details'!#REF!</f>
        <v>#REF!</v>
      </c>
      <c r="Y416" s="172" t="e">
        <f>+'Estimate Details'!#REF!</f>
        <v>#REF!</v>
      </c>
      <c r="Z416" s="174" t="e">
        <f>+'Estimate Details'!#REF!</f>
        <v>#REF!</v>
      </c>
      <c r="AA416" s="481"/>
      <c r="AB416" s="175" t="e">
        <f>+'Estimate Details'!#REF!</f>
        <v>#REF!</v>
      </c>
      <c r="AC416" s="569"/>
      <c r="AD416" s="176" t="e">
        <f>+'Estimate Details'!#REF!</f>
        <v>#REF!</v>
      </c>
      <c r="AE416" s="296"/>
      <c r="AF416" s="156"/>
      <c r="AG416" s="156"/>
      <c r="AH416" s="156"/>
      <c r="AI416" s="29"/>
      <c r="AJ416" s="39"/>
      <c r="AK416" s="29"/>
      <c r="AL416" s="109"/>
    </row>
    <row r="417" spans="1:38" ht="14.1" customHeight="1">
      <c r="A417" s="347" t="e">
        <f>+'Estimate Details'!#REF!</f>
        <v>#REF!</v>
      </c>
      <c r="B417" s="347"/>
      <c r="C417" s="347"/>
      <c r="D417" s="210"/>
      <c r="E417" s="158" t="e">
        <f>+'Estimate Details'!#REF!</f>
        <v>#REF!</v>
      </c>
      <c r="F417" s="41"/>
      <c r="G417" s="117" t="e">
        <f>+'Estimate Details'!#REF!</f>
        <v>#REF!</v>
      </c>
      <c r="H417" s="41" t="e">
        <f>+'Estimate Details'!#REF!</f>
        <v>#REF!</v>
      </c>
      <c r="I417" s="217" t="e">
        <f>+'Estimate Details'!#REF!</f>
        <v>#REF!</v>
      </c>
      <c r="J417" s="42" t="e">
        <f>+'Estimate Details'!#REF!</f>
        <v>#REF!</v>
      </c>
      <c r="K417" s="42" t="e">
        <f>+'Estimate Details'!#REF!</f>
        <v>#REF!</v>
      </c>
      <c r="L417" s="42" t="e">
        <f>+'Estimate Details'!#REF!</f>
        <v>#REF!</v>
      </c>
      <c r="M417" s="227" t="e">
        <f>+'Estimate Details'!#REF!</f>
        <v>#REF!</v>
      </c>
      <c r="N417" s="195" t="e">
        <f>+'Estimate Details'!#REF!</f>
        <v>#REF!</v>
      </c>
      <c r="O417" s="171" t="e">
        <f>+'Estimate Details'!#REF!</f>
        <v>#REF!</v>
      </c>
      <c r="P417" s="172" t="e">
        <f>+'Estimate Details'!#REF!</f>
        <v>#REF!</v>
      </c>
      <c r="Q417" s="173" t="e">
        <f>+'Estimate Details'!#REF!</f>
        <v>#REF!</v>
      </c>
      <c r="R417" s="174" t="e">
        <f>+'Estimate Details'!#REF!</f>
        <v>#REF!</v>
      </c>
      <c r="S417" s="507"/>
      <c r="T417" s="174" t="e">
        <f>+'Estimate Details'!#REF!</f>
        <v>#REF!</v>
      </c>
      <c r="U417" s="481" t="s">
        <v>1310</v>
      </c>
      <c r="V417" s="172" t="e">
        <f>+'Estimate Details'!#REF!</f>
        <v>#REF!</v>
      </c>
      <c r="W417" s="481" t="s">
        <v>1310</v>
      </c>
      <c r="X417" s="172" t="e">
        <f>+'Estimate Details'!#REF!</f>
        <v>#REF!</v>
      </c>
      <c r="Y417" s="172" t="e">
        <f>+'Estimate Details'!#REF!</f>
        <v>#REF!</v>
      </c>
      <c r="Z417" s="174" t="e">
        <f>+'Estimate Details'!#REF!</f>
        <v>#REF!</v>
      </c>
      <c r="AA417" s="481"/>
      <c r="AB417" s="175" t="e">
        <f>+'Estimate Details'!#REF!</f>
        <v>#REF!</v>
      </c>
      <c r="AC417" s="569"/>
      <c r="AD417" s="176" t="e">
        <f>+'Estimate Details'!#REF!</f>
        <v>#REF!</v>
      </c>
      <c r="AE417" s="156"/>
      <c r="AF417" s="156"/>
      <c r="AG417" s="156"/>
      <c r="AH417" s="156"/>
      <c r="AI417" s="29"/>
      <c r="AJ417" s="29"/>
      <c r="AK417" s="29"/>
      <c r="AL417" s="109"/>
    </row>
    <row r="418" spans="1:38" ht="14.1" customHeight="1">
      <c r="A418" s="347" t="e">
        <f>+'Estimate Details'!#REF!</f>
        <v>#REF!</v>
      </c>
      <c r="B418" s="347"/>
      <c r="C418" s="347"/>
      <c r="D418" s="210"/>
      <c r="E418" s="158" t="e">
        <f>+'Estimate Details'!#REF!</f>
        <v>#REF!</v>
      </c>
      <c r="F418" s="41"/>
      <c r="G418" s="117" t="e">
        <f>+'Estimate Details'!#REF!</f>
        <v>#REF!</v>
      </c>
      <c r="H418" s="41" t="e">
        <f>+'Estimate Details'!#REF!</f>
        <v>#REF!</v>
      </c>
      <c r="I418" s="217" t="e">
        <f>+'Estimate Details'!#REF!</f>
        <v>#REF!</v>
      </c>
      <c r="J418" s="42" t="e">
        <f>+'Estimate Details'!#REF!</f>
        <v>#REF!</v>
      </c>
      <c r="K418" s="42" t="e">
        <f>+'Estimate Details'!#REF!</f>
        <v>#REF!</v>
      </c>
      <c r="L418" s="42" t="e">
        <f>+'Estimate Details'!#REF!</f>
        <v>#REF!</v>
      </c>
      <c r="M418" s="227" t="e">
        <f>+'Estimate Details'!#REF!</f>
        <v>#REF!</v>
      </c>
      <c r="N418" s="195" t="e">
        <f>+'Estimate Details'!#REF!</f>
        <v>#REF!</v>
      </c>
      <c r="O418" s="171" t="e">
        <f>+'Estimate Details'!#REF!</f>
        <v>#REF!</v>
      </c>
      <c r="P418" s="172" t="e">
        <f>+'Estimate Details'!#REF!</f>
        <v>#REF!</v>
      </c>
      <c r="Q418" s="173" t="e">
        <f>+'Estimate Details'!#REF!</f>
        <v>#REF!</v>
      </c>
      <c r="R418" s="174" t="e">
        <f>+'Estimate Details'!#REF!</f>
        <v>#REF!</v>
      </c>
      <c r="S418" s="507"/>
      <c r="T418" s="174" t="e">
        <f>+'Estimate Details'!#REF!</f>
        <v>#REF!</v>
      </c>
      <c r="U418" s="481"/>
      <c r="V418" s="172" t="e">
        <f>+'Estimate Details'!#REF!</f>
        <v>#REF!</v>
      </c>
      <c r="W418" s="481" t="s">
        <v>1310</v>
      </c>
      <c r="X418" s="172" t="e">
        <f>+'Estimate Details'!#REF!</f>
        <v>#REF!</v>
      </c>
      <c r="Y418" s="172" t="e">
        <f>+'Estimate Details'!#REF!</f>
        <v>#REF!</v>
      </c>
      <c r="Z418" s="174" t="e">
        <f>+'Estimate Details'!#REF!</f>
        <v>#REF!</v>
      </c>
      <c r="AA418" s="481"/>
      <c r="AB418" s="175" t="e">
        <f>+'Estimate Details'!#REF!</f>
        <v>#REF!</v>
      </c>
      <c r="AC418" s="569"/>
      <c r="AD418" s="176" t="e">
        <f>+'Estimate Details'!#REF!</f>
        <v>#REF!</v>
      </c>
      <c r="AE418" s="156"/>
      <c r="AF418" s="156"/>
      <c r="AG418" s="156"/>
      <c r="AH418" s="156"/>
      <c r="AI418" s="29"/>
      <c r="AJ418" s="29"/>
      <c r="AK418" s="29"/>
      <c r="AL418" s="109"/>
    </row>
    <row r="419" spans="1:38" ht="14.1" customHeight="1">
      <c r="A419" s="116" t="e">
        <f>+'Estimate Details'!#REF!</f>
        <v>#REF!</v>
      </c>
      <c r="B419" s="116"/>
      <c r="C419" s="116"/>
      <c r="D419" s="166"/>
      <c r="E419" s="158" t="e">
        <f>+'Estimate Details'!#REF!</f>
        <v>#REF!</v>
      </c>
      <c r="F419" s="41"/>
      <c r="G419" s="117" t="e">
        <f>+'Estimate Details'!#REF!</f>
        <v>#REF!</v>
      </c>
      <c r="H419" s="41" t="e">
        <f>+'Estimate Details'!#REF!</f>
        <v>#REF!</v>
      </c>
      <c r="I419" s="217" t="e">
        <f>+'Estimate Details'!#REF!</f>
        <v>#REF!</v>
      </c>
      <c r="J419" s="42" t="e">
        <f>+'Estimate Details'!#REF!</f>
        <v>#REF!</v>
      </c>
      <c r="K419" s="42" t="e">
        <f>+'Estimate Details'!#REF!</f>
        <v>#REF!</v>
      </c>
      <c r="L419" s="42" t="e">
        <f>+'Estimate Details'!#REF!</f>
        <v>#REF!</v>
      </c>
      <c r="M419" s="227" t="e">
        <f>+'Estimate Details'!#REF!</f>
        <v>#REF!</v>
      </c>
      <c r="N419" s="195" t="e">
        <f>+'Estimate Details'!#REF!</f>
        <v>#REF!</v>
      </c>
      <c r="O419" s="171" t="e">
        <f>+'Estimate Details'!#REF!</f>
        <v>#REF!</v>
      </c>
      <c r="P419" s="172" t="e">
        <f>+'Estimate Details'!#REF!</f>
        <v>#REF!</v>
      </c>
      <c r="Q419" s="173" t="e">
        <f>+'Estimate Details'!#REF!</f>
        <v>#REF!</v>
      </c>
      <c r="R419" s="174" t="e">
        <f>+'Estimate Details'!#REF!</f>
        <v>#REF!</v>
      </c>
      <c r="S419" s="507"/>
      <c r="T419" s="174" t="e">
        <f>+'Estimate Details'!#REF!</f>
        <v>#REF!</v>
      </c>
      <c r="U419" s="481" t="s">
        <v>1310</v>
      </c>
      <c r="V419" s="172" t="e">
        <f>+'Estimate Details'!#REF!</f>
        <v>#REF!</v>
      </c>
      <c r="W419" s="481" t="s">
        <v>1310</v>
      </c>
      <c r="X419" s="172" t="e">
        <f>+'Estimate Details'!#REF!</f>
        <v>#REF!</v>
      </c>
      <c r="Y419" s="172" t="e">
        <f>+'Estimate Details'!#REF!</f>
        <v>#REF!</v>
      </c>
      <c r="Z419" s="174" t="e">
        <f>+'Estimate Details'!#REF!</f>
        <v>#REF!</v>
      </c>
      <c r="AA419" s="481"/>
      <c r="AB419" s="175" t="e">
        <f>+'Estimate Details'!#REF!</f>
        <v>#REF!</v>
      </c>
      <c r="AC419" s="569"/>
      <c r="AD419" s="176" t="e">
        <f>+'Estimate Details'!#REF!</f>
        <v>#REF!</v>
      </c>
      <c r="AE419" s="156"/>
      <c r="AF419" s="156"/>
      <c r="AG419" s="156"/>
      <c r="AH419" s="156"/>
      <c r="AI419" s="29"/>
      <c r="AJ419" s="29"/>
      <c r="AK419" s="29"/>
      <c r="AL419" s="109"/>
    </row>
    <row r="420" spans="1:38" ht="14.1" customHeight="1">
      <c r="A420" s="347" t="e">
        <f>+'Estimate Details'!#REF!</f>
        <v>#REF!</v>
      </c>
      <c r="B420" s="347"/>
      <c r="C420" s="347"/>
      <c r="D420" s="210"/>
      <c r="E420" s="158" t="e">
        <f>+'Estimate Details'!#REF!</f>
        <v>#REF!</v>
      </c>
      <c r="F420" s="41"/>
      <c r="G420" s="117" t="e">
        <f>+'Estimate Details'!#REF!</f>
        <v>#REF!</v>
      </c>
      <c r="H420" s="41" t="e">
        <f>+'Estimate Details'!#REF!</f>
        <v>#REF!</v>
      </c>
      <c r="I420" s="217" t="e">
        <f>+'Estimate Details'!#REF!</f>
        <v>#REF!</v>
      </c>
      <c r="J420" s="42" t="e">
        <f>+'Estimate Details'!#REF!</f>
        <v>#REF!</v>
      </c>
      <c r="K420" s="42" t="e">
        <f>+'Estimate Details'!#REF!</f>
        <v>#REF!</v>
      </c>
      <c r="L420" s="42" t="e">
        <f>+'Estimate Details'!#REF!</f>
        <v>#REF!</v>
      </c>
      <c r="M420" s="227" t="e">
        <f>+'Estimate Details'!#REF!</f>
        <v>#REF!</v>
      </c>
      <c r="N420" s="195" t="e">
        <f>+'Estimate Details'!#REF!</f>
        <v>#REF!</v>
      </c>
      <c r="O420" s="171" t="e">
        <f>+'Estimate Details'!#REF!</f>
        <v>#REF!</v>
      </c>
      <c r="P420" s="172" t="e">
        <f>+'Estimate Details'!#REF!</f>
        <v>#REF!</v>
      </c>
      <c r="Q420" s="173" t="e">
        <f>+'Estimate Details'!#REF!</f>
        <v>#REF!</v>
      </c>
      <c r="R420" s="174" t="e">
        <f>+'Estimate Details'!#REF!</f>
        <v>#REF!</v>
      </c>
      <c r="S420" s="507"/>
      <c r="T420" s="174" t="e">
        <f>+'Estimate Details'!#REF!</f>
        <v>#REF!</v>
      </c>
      <c r="U420" s="481"/>
      <c r="V420" s="172" t="e">
        <f>+'Estimate Details'!#REF!</f>
        <v>#REF!</v>
      </c>
      <c r="W420" s="481" t="s">
        <v>1310</v>
      </c>
      <c r="X420" s="172" t="e">
        <f>+'Estimate Details'!#REF!</f>
        <v>#REF!</v>
      </c>
      <c r="Y420" s="172" t="e">
        <f>+'Estimate Details'!#REF!</f>
        <v>#REF!</v>
      </c>
      <c r="Z420" s="174" t="e">
        <f>+'Estimate Details'!#REF!</f>
        <v>#REF!</v>
      </c>
      <c r="AA420" s="481"/>
      <c r="AB420" s="175" t="e">
        <f>+'Estimate Details'!#REF!</f>
        <v>#REF!</v>
      </c>
      <c r="AC420" s="569"/>
      <c r="AD420" s="176" t="e">
        <f>+'Estimate Details'!#REF!</f>
        <v>#REF!</v>
      </c>
      <c r="AE420" s="156"/>
      <c r="AF420" s="156"/>
      <c r="AG420" s="156"/>
      <c r="AH420" s="156"/>
      <c r="AI420" s="29"/>
      <c r="AJ420" s="29"/>
      <c r="AK420" s="29"/>
      <c r="AL420" s="109"/>
    </row>
    <row r="421" spans="1:38" ht="14.1" customHeight="1">
      <c r="A421" s="347" t="e">
        <f>+'Estimate Details'!#REF!</f>
        <v>#REF!</v>
      </c>
      <c r="B421" s="347"/>
      <c r="C421" s="347"/>
      <c r="D421" s="210"/>
      <c r="E421" s="158" t="e">
        <f>+'Estimate Details'!#REF!</f>
        <v>#REF!</v>
      </c>
      <c r="F421" s="41"/>
      <c r="G421" s="117" t="e">
        <f>+'Estimate Details'!#REF!</f>
        <v>#REF!</v>
      </c>
      <c r="H421" s="41" t="e">
        <f>+'Estimate Details'!#REF!</f>
        <v>#REF!</v>
      </c>
      <c r="I421" s="217" t="e">
        <f>+'Estimate Details'!#REF!</f>
        <v>#REF!</v>
      </c>
      <c r="J421" s="42" t="e">
        <f>+'Estimate Details'!#REF!</f>
        <v>#REF!</v>
      </c>
      <c r="K421" s="42" t="e">
        <f>+'Estimate Details'!#REF!</f>
        <v>#REF!</v>
      </c>
      <c r="L421" s="42" t="e">
        <f>+'Estimate Details'!#REF!</f>
        <v>#REF!</v>
      </c>
      <c r="M421" s="227" t="e">
        <f>+'Estimate Details'!#REF!</f>
        <v>#REF!</v>
      </c>
      <c r="N421" s="195" t="e">
        <f>+'Estimate Details'!#REF!</f>
        <v>#REF!</v>
      </c>
      <c r="O421" s="171" t="e">
        <f>+'Estimate Details'!#REF!</f>
        <v>#REF!</v>
      </c>
      <c r="P421" s="172" t="e">
        <f>+'Estimate Details'!#REF!</f>
        <v>#REF!</v>
      </c>
      <c r="Q421" s="173" t="e">
        <f>+'Estimate Details'!#REF!</f>
        <v>#REF!</v>
      </c>
      <c r="R421" s="174" t="e">
        <f>+'Estimate Details'!#REF!</f>
        <v>#REF!</v>
      </c>
      <c r="S421" s="507"/>
      <c r="T421" s="174" t="e">
        <f>+'Estimate Details'!#REF!</f>
        <v>#REF!</v>
      </c>
      <c r="U421" s="481"/>
      <c r="V421" s="172" t="e">
        <f>+'Estimate Details'!#REF!</f>
        <v>#REF!</v>
      </c>
      <c r="W421" s="481" t="s">
        <v>1310</v>
      </c>
      <c r="X421" s="172" t="e">
        <f>+'Estimate Details'!#REF!</f>
        <v>#REF!</v>
      </c>
      <c r="Y421" s="172" t="e">
        <f>+'Estimate Details'!#REF!</f>
        <v>#REF!</v>
      </c>
      <c r="Z421" s="174" t="e">
        <f>+'Estimate Details'!#REF!</f>
        <v>#REF!</v>
      </c>
      <c r="AA421" s="481"/>
      <c r="AB421" s="175" t="e">
        <f>+'Estimate Details'!#REF!</f>
        <v>#REF!</v>
      </c>
      <c r="AC421" s="569"/>
      <c r="AD421" s="176" t="e">
        <f>+'Estimate Details'!#REF!</f>
        <v>#REF!</v>
      </c>
      <c r="AE421" s="156"/>
      <c r="AF421" s="156"/>
      <c r="AG421" s="156"/>
      <c r="AH421" s="156"/>
      <c r="AI421" s="29"/>
      <c r="AJ421" s="29"/>
      <c r="AK421" s="29"/>
      <c r="AL421" s="109"/>
    </row>
    <row r="422" spans="1:38" ht="14.1" customHeight="1">
      <c r="A422" s="347" t="e">
        <f>+'Estimate Details'!#REF!</f>
        <v>#REF!</v>
      </c>
      <c r="B422" s="347"/>
      <c r="C422" s="347"/>
      <c r="D422" s="210"/>
      <c r="E422" s="158" t="e">
        <f>+'Estimate Details'!#REF!</f>
        <v>#REF!</v>
      </c>
      <c r="F422" s="41"/>
      <c r="G422" s="117" t="e">
        <f>+'Estimate Details'!#REF!</f>
        <v>#REF!</v>
      </c>
      <c r="H422" s="41" t="e">
        <f>+'Estimate Details'!#REF!</f>
        <v>#REF!</v>
      </c>
      <c r="I422" s="217" t="e">
        <f>+'Estimate Details'!#REF!</f>
        <v>#REF!</v>
      </c>
      <c r="J422" s="42" t="e">
        <f>+'Estimate Details'!#REF!</f>
        <v>#REF!</v>
      </c>
      <c r="K422" s="42" t="e">
        <f>+'Estimate Details'!#REF!</f>
        <v>#REF!</v>
      </c>
      <c r="L422" s="42" t="e">
        <f>+'Estimate Details'!#REF!</f>
        <v>#REF!</v>
      </c>
      <c r="M422" s="227" t="e">
        <f>+'Estimate Details'!#REF!</f>
        <v>#REF!</v>
      </c>
      <c r="N422" s="195" t="e">
        <f>+'Estimate Details'!#REF!</f>
        <v>#REF!</v>
      </c>
      <c r="O422" s="171" t="e">
        <f>+'Estimate Details'!#REF!</f>
        <v>#REF!</v>
      </c>
      <c r="P422" s="172" t="e">
        <f>+'Estimate Details'!#REF!</f>
        <v>#REF!</v>
      </c>
      <c r="Q422" s="173" t="e">
        <f>+'Estimate Details'!#REF!</f>
        <v>#REF!</v>
      </c>
      <c r="R422" s="174" t="e">
        <f>+'Estimate Details'!#REF!</f>
        <v>#REF!</v>
      </c>
      <c r="S422" s="507"/>
      <c r="T422" s="174" t="e">
        <f>+'Estimate Details'!#REF!</f>
        <v>#REF!</v>
      </c>
      <c r="U422" s="481"/>
      <c r="V422" s="172" t="e">
        <f>+'Estimate Details'!#REF!</f>
        <v>#REF!</v>
      </c>
      <c r="W422" s="481" t="s">
        <v>1310</v>
      </c>
      <c r="X422" s="172" t="e">
        <f>+'Estimate Details'!#REF!</f>
        <v>#REF!</v>
      </c>
      <c r="Y422" s="172" t="e">
        <f>+'Estimate Details'!#REF!</f>
        <v>#REF!</v>
      </c>
      <c r="Z422" s="174" t="e">
        <f>+'Estimate Details'!#REF!</f>
        <v>#REF!</v>
      </c>
      <c r="AA422" s="481"/>
      <c r="AB422" s="175" t="e">
        <f>+'Estimate Details'!#REF!</f>
        <v>#REF!</v>
      </c>
      <c r="AC422" s="569"/>
      <c r="AD422" s="176" t="e">
        <f>+'Estimate Details'!#REF!</f>
        <v>#REF!</v>
      </c>
      <c r="AE422" s="156"/>
      <c r="AF422" s="156"/>
      <c r="AG422" s="156"/>
      <c r="AH422" s="156"/>
      <c r="AI422" s="29"/>
      <c r="AJ422" s="29"/>
      <c r="AK422" s="29"/>
      <c r="AL422" s="109"/>
    </row>
    <row r="423" spans="1:38" ht="14.1" customHeight="1">
      <c r="A423" s="347" t="e">
        <f>+'Estimate Details'!#REF!</f>
        <v>#REF!</v>
      </c>
      <c r="B423" s="347"/>
      <c r="C423" s="347"/>
      <c r="D423" s="210"/>
      <c r="E423" s="158" t="e">
        <f>+'Estimate Details'!#REF!</f>
        <v>#REF!</v>
      </c>
      <c r="F423" s="41"/>
      <c r="G423" s="117" t="e">
        <f>+'Estimate Details'!#REF!</f>
        <v>#REF!</v>
      </c>
      <c r="H423" s="41" t="e">
        <f>+'Estimate Details'!#REF!</f>
        <v>#REF!</v>
      </c>
      <c r="I423" s="217" t="e">
        <f>+'Estimate Details'!#REF!</f>
        <v>#REF!</v>
      </c>
      <c r="J423" s="42" t="e">
        <f>+'Estimate Details'!#REF!</f>
        <v>#REF!</v>
      </c>
      <c r="K423" s="42" t="e">
        <f>+'Estimate Details'!#REF!</f>
        <v>#REF!</v>
      </c>
      <c r="L423" s="42" t="e">
        <f>+'Estimate Details'!#REF!</f>
        <v>#REF!</v>
      </c>
      <c r="M423" s="227" t="e">
        <f>+'Estimate Details'!#REF!</f>
        <v>#REF!</v>
      </c>
      <c r="N423" s="195" t="e">
        <f>+'Estimate Details'!#REF!</f>
        <v>#REF!</v>
      </c>
      <c r="O423" s="171" t="e">
        <f>+'Estimate Details'!#REF!</f>
        <v>#REF!</v>
      </c>
      <c r="P423" s="172" t="e">
        <f>+'Estimate Details'!#REF!</f>
        <v>#REF!</v>
      </c>
      <c r="Q423" s="173" t="e">
        <f>+'Estimate Details'!#REF!</f>
        <v>#REF!</v>
      </c>
      <c r="R423" s="174" t="e">
        <f>+'Estimate Details'!#REF!</f>
        <v>#REF!</v>
      </c>
      <c r="S423" s="507"/>
      <c r="T423" s="174" t="e">
        <f>+'Estimate Details'!#REF!</f>
        <v>#REF!</v>
      </c>
      <c r="U423" s="481" t="s">
        <v>1310</v>
      </c>
      <c r="V423" s="172" t="e">
        <f>+'Estimate Details'!#REF!</f>
        <v>#REF!</v>
      </c>
      <c r="W423" s="481" t="s">
        <v>1310</v>
      </c>
      <c r="X423" s="172" t="e">
        <f>+'Estimate Details'!#REF!</f>
        <v>#REF!</v>
      </c>
      <c r="Y423" s="172" t="e">
        <f>+'Estimate Details'!#REF!</f>
        <v>#REF!</v>
      </c>
      <c r="Z423" s="174" t="e">
        <f>+'Estimate Details'!#REF!</f>
        <v>#REF!</v>
      </c>
      <c r="AA423" s="481"/>
      <c r="AB423" s="175" t="e">
        <f>+'Estimate Details'!#REF!</f>
        <v>#REF!</v>
      </c>
      <c r="AC423" s="569"/>
      <c r="AD423" s="176" t="e">
        <f>+'Estimate Details'!#REF!</f>
        <v>#REF!</v>
      </c>
      <c r="AE423" s="156"/>
      <c r="AF423" s="156"/>
      <c r="AG423" s="156"/>
      <c r="AH423" s="156"/>
      <c r="AI423" s="29"/>
      <c r="AJ423" s="29"/>
      <c r="AK423" s="29"/>
      <c r="AL423" s="109"/>
    </row>
    <row r="424" spans="1:38" ht="14.1" customHeight="1">
      <c r="A424" s="347" t="e">
        <f>+'Estimate Details'!#REF!</f>
        <v>#REF!</v>
      </c>
      <c r="B424" s="347"/>
      <c r="C424" s="347"/>
      <c r="D424" s="210"/>
      <c r="E424" s="158" t="e">
        <f>+'Estimate Details'!#REF!</f>
        <v>#REF!</v>
      </c>
      <c r="F424" s="41"/>
      <c r="G424" s="117" t="e">
        <f>+'Estimate Details'!#REF!</f>
        <v>#REF!</v>
      </c>
      <c r="H424" s="41" t="e">
        <f>+'Estimate Details'!#REF!</f>
        <v>#REF!</v>
      </c>
      <c r="I424" s="217" t="e">
        <f>+'Estimate Details'!#REF!</f>
        <v>#REF!</v>
      </c>
      <c r="J424" s="42" t="e">
        <f>+'Estimate Details'!#REF!</f>
        <v>#REF!</v>
      </c>
      <c r="K424" s="42" t="e">
        <f>+'Estimate Details'!#REF!</f>
        <v>#REF!</v>
      </c>
      <c r="L424" s="42" t="e">
        <f>+'Estimate Details'!#REF!</f>
        <v>#REF!</v>
      </c>
      <c r="M424" s="227" t="e">
        <f>+'Estimate Details'!#REF!</f>
        <v>#REF!</v>
      </c>
      <c r="N424" s="195" t="e">
        <f>+'Estimate Details'!#REF!</f>
        <v>#REF!</v>
      </c>
      <c r="O424" s="171" t="e">
        <f>+'Estimate Details'!#REF!</f>
        <v>#REF!</v>
      </c>
      <c r="P424" s="172" t="e">
        <f>+'Estimate Details'!#REF!</f>
        <v>#REF!</v>
      </c>
      <c r="Q424" s="173" t="e">
        <f>+'Estimate Details'!#REF!</f>
        <v>#REF!</v>
      </c>
      <c r="R424" s="174" t="e">
        <f>+'Estimate Details'!#REF!</f>
        <v>#REF!</v>
      </c>
      <c r="S424" s="507"/>
      <c r="T424" s="174" t="e">
        <f>+'Estimate Details'!#REF!</f>
        <v>#REF!</v>
      </c>
      <c r="U424" s="481" t="s">
        <v>1301</v>
      </c>
      <c r="V424" s="172" t="e">
        <f>+'Estimate Details'!#REF!</f>
        <v>#REF!</v>
      </c>
      <c r="W424" s="481" t="s">
        <v>1310</v>
      </c>
      <c r="X424" s="172" t="e">
        <f>+'Estimate Details'!#REF!</f>
        <v>#REF!</v>
      </c>
      <c r="Y424" s="172" t="e">
        <f>+'Estimate Details'!#REF!</f>
        <v>#REF!</v>
      </c>
      <c r="Z424" s="174" t="e">
        <f>+'Estimate Details'!#REF!</f>
        <v>#REF!</v>
      </c>
      <c r="AA424" s="481"/>
      <c r="AB424" s="175" t="e">
        <f>+'Estimate Details'!#REF!</f>
        <v>#REF!</v>
      </c>
      <c r="AC424" s="569"/>
      <c r="AD424" s="176" t="e">
        <f>+'Estimate Details'!#REF!</f>
        <v>#REF!</v>
      </c>
      <c r="AE424" s="156"/>
      <c r="AF424" s="156"/>
      <c r="AG424" s="156"/>
      <c r="AH424" s="156"/>
      <c r="AI424" s="29"/>
      <c r="AJ424" s="29"/>
      <c r="AK424" s="29"/>
      <c r="AL424" s="109"/>
    </row>
    <row r="425" spans="1:38" ht="14.1" customHeight="1">
      <c r="A425" s="347" t="e">
        <f>+'Estimate Details'!#REF!</f>
        <v>#REF!</v>
      </c>
      <c r="B425" s="347"/>
      <c r="C425" s="347"/>
      <c r="D425" s="210"/>
      <c r="E425" s="158" t="e">
        <f>+'Estimate Details'!#REF!</f>
        <v>#REF!</v>
      </c>
      <c r="F425" s="41"/>
      <c r="G425" s="117" t="e">
        <f>+'Estimate Details'!#REF!</f>
        <v>#REF!</v>
      </c>
      <c r="H425" s="41" t="e">
        <f>+'Estimate Details'!#REF!</f>
        <v>#REF!</v>
      </c>
      <c r="I425" s="217" t="e">
        <f>+'Estimate Details'!#REF!</f>
        <v>#REF!</v>
      </c>
      <c r="J425" s="42" t="e">
        <f>+'Estimate Details'!#REF!</f>
        <v>#REF!</v>
      </c>
      <c r="K425" s="42" t="e">
        <f>+'Estimate Details'!#REF!</f>
        <v>#REF!</v>
      </c>
      <c r="L425" s="42" t="e">
        <f>+'Estimate Details'!#REF!</f>
        <v>#REF!</v>
      </c>
      <c r="M425" s="227" t="e">
        <f>+'Estimate Details'!#REF!</f>
        <v>#REF!</v>
      </c>
      <c r="N425" s="195" t="e">
        <f>+'Estimate Details'!#REF!</f>
        <v>#REF!</v>
      </c>
      <c r="O425" s="171" t="e">
        <f>+'Estimate Details'!#REF!</f>
        <v>#REF!</v>
      </c>
      <c r="P425" s="172" t="e">
        <f>+'Estimate Details'!#REF!</f>
        <v>#REF!</v>
      </c>
      <c r="Q425" s="173" t="e">
        <f>+'Estimate Details'!#REF!</f>
        <v>#REF!</v>
      </c>
      <c r="R425" s="174" t="e">
        <f>+'Estimate Details'!#REF!</f>
        <v>#REF!</v>
      </c>
      <c r="S425" s="507"/>
      <c r="T425" s="174" t="e">
        <f>+'Estimate Details'!#REF!</f>
        <v>#REF!</v>
      </c>
      <c r="U425" s="481" t="s">
        <v>1301</v>
      </c>
      <c r="V425" s="172" t="e">
        <f>+'Estimate Details'!#REF!</f>
        <v>#REF!</v>
      </c>
      <c r="W425" s="481" t="s">
        <v>1310</v>
      </c>
      <c r="X425" s="172" t="e">
        <f>+'Estimate Details'!#REF!</f>
        <v>#REF!</v>
      </c>
      <c r="Y425" s="172" t="e">
        <f>+'Estimate Details'!#REF!</f>
        <v>#REF!</v>
      </c>
      <c r="Z425" s="174" t="e">
        <f>+'Estimate Details'!#REF!</f>
        <v>#REF!</v>
      </c>
      <c r="AA425" s="481"/>
      <c r="AB425" s="175" t="e">
        <f>+'Estimate Details'!#REF!</f>
        <v>#REF!</v>
      </c>
      <c r="AC425" s="569"/>
      <c r="AD425" s="176" t="e">
        <f>+'Estimate Details'!#REF!</f>
        <v>#REF!</v>
      </c>
      <c r="AE425" s="178"/>
      <c r="AF425" s="156"/>
      <c r="AG425" s="156"/>
      <c r="AH425" s="156"/>
      <c r="AI425" s="29"/>
      <c r="AJ425" s="29"/>
      <c r="AK425" s="29"/>
      <c r="AL425" s="109"/>
    </row>
    <row r="426" spans="1:38" ht="14.1" customHeight="1">
      <c r="A426" s="347" t="e">
        <f>+'Estimate Details'!#REF!</f>
        <v>#REF!</v>
      </c>
      <c r="B426" s="347"/>
      <c r="C426" s="347"/>
      <c r="D426" s="210"/>
      <c r="E426" s="158" t="e">
        <f>+'Estimate Details'!#REF!</f>
        <v>#REF!</v>
      </c>
      <c r="F426" s="41"/>
      <c r="G426" s="117" t="e">
        <f>+'Estimate Details'!#REF!</f>
        <v>#REF!</v>
      </c>
      <c r="H426" s="41" t="e">
        <f>+'Estimate Details'!#REF!</f>
        <v>#REF!</v>
      </c>
      <c r="I426" s="217" t="e">
        <f>+'Estimate Details'!#REF!</f>
        <v>#REF!</v>
      </c>
      <c r="J426" s="42" t="e">
        <f>+'Estimate Details'!#REF!</f>
        <v>#REF!</v>
      </c>
      <c r="K426" s="42" t="e">
        <f>+'Estimate Details'!#REF!</f>
        <v>#REF!</v>
      </c>
      <c r="L426" s="42" t="e">
        <f>+'Estimate Details'!#REF!</f>
        <v>#REF!</v>
      </c>
      <c r="M426" s="227" t="e">
        <f>+'Estimate Details'!#REF!</f>
        <v>#REF!</v>
      </c>
      <c r="N426" s="228" t="e">
        <f>+'Estimate Details'!#REF!</f>
        <v>#REF!</v>
      </c>
      <c r="O426" s="171" t="e">
        <f>+'Estimate Details'!#REF!</f>
        <v>#REF!</v>
      </c>
      <c r="P426" s="172" t="e">
        <f>+'Estimate Details'!#REF!</f>
        <v>#REF!</v>
      </c>
      <c r="Q426" s="173" t="e">
        <f>+'Estimate Details'!#REF!</f>
        <v>#REF!</v>
      </c>
      <c r="R426" s="174" t="e">
        <f>+'Estimate Details'!#REF!</f>
        <v>#REF!</v>
      </c>
      <c r="S426" s="507"/>
      <c r="T426" s="174" t="e">
        <f>+'Estimate Details'!#REF!</f>
        <v>#REF!</v>
      </c>
      <c r="U426" s="481" t="s">
        <v>1310</v>
      </c>
      <c r="V426" s="172" t="e">
        <f>+'Estimate Details'!#REF!</f>
        <v>#REF!</v>
      </c>
      <c r="W426" s="481" t="s">
        <v>1310</v>
      </c>
      <c r="X426" s="172" t="e">
        <f>+'Estimate Details'!#REF!</f>
        <v>#REF!</v>
      </c>
      <c r="Y426" s="172" t="e">
        <f>+'Estimate Details'!#REF!</f>
        <v>#REF!</v>
      </c>
      <c r="Z426" s="174" t="e">
        <f>+'Estimate Details'!#REF!</f>
        <v>#REF!</v>
      </c>
      <c r="AA426" s="481"/>
      <c r="AB426" s="175" t="e">
        <f>+'Estimate Details'!#REF!</f>
        <v>#REF!</v>
      </c>
      <c r="AC426" s="569"/>
      <c r="AD426" s="176" t="e">
        <f>+'Estimate Details'!#REF!</f>
        <v>#REF!</v>
      </c>
      <c r="AE426" s="156"/>
      <c r="AF426" s="156"/>
      <c r="AG426" s="156"/>
      <c r="AH426" s="156"/>
      <c r="AI426" s="29"/>
      <c r="AJ426" s="29"/>
      <c r="AK426" s="29"/>
      <c r="AL426" s="109"/>
    </row>
    <row r="427" spans="1:38" ht="14.1" customHeight="1">
      <c r="A427" s="347" t="e">
        <f>+'Estimate Details'!#REF!</f>
        <v>#REF!</v>
      </c>
      <c r="B427" s="347"/>
      <c r="C427" s="347"/>
      <c r="D427" s="210"/>
      <c r="E427" s="158" t="e">
        <f>+'Estimate Details'!#REF!</f>
        <v>#REF!</v>
      </c>
      <c r="F427" s="41"/>
      <c r="G427" s="117" t="e">
        <f>+'Estimate Details'!#REF!</f>
        <v>#REF!</v>
      </c>
      <c r="H427" s="41" t="e">
        <f>+'Estimate Details'!#REF!</f>
        <v>#REF!</v>
      </c>
      <c r="I427" s="217" t="e">
        <f>+'Estimate Details'!#REF!</f>
        <v>#REF!</v>
      </c>
      <c r="J427" s="42" t="e">
        <f>+'Estimate Details'!#REF!</f>
        <v>#REF!</v>
      </c>
      <c r="K427" s="42" t="e">
        <f>+'Estimate Details'!#REF!</f>
        <v>#REF!</v>
      </c>
      <c r="L427" s="42" t="e">
        <f>+'Estimate Details'!#REF!</f>
        <v>#REF!</v>
      </c>
      <c r="M427" s="227" t="e">
        <f>+'Estimate Details'!#REF!</f>
        <v>#REF!</v>
      </c>
      <c r="N427" s="228" t="e">
        <f>+'Estimate Details'!#REF!</f>
        <v>#REF!</v>
      </c>
      <c r="O427" s="171" t="e">
        <f>+'Estimate Details'!#REF!</f>
        <v>#REF!</v>
      </c>
      <c r="P427" s="172" t="e">
        <f>+'Estimate Details'!#REF!</f>
        <v>#REF!</v>
      </c>
      <c r="Q427" s="173" t="e">
        <f>+'Estimate Details'!#REF!</f>
        <v>#REF!</v>
      </c>
      <c r="R427" s="174" t="e">
        <f>+'Estimate Details'!#REF!</f>
        <v>#REF!</v>
      </c>
      <c r="S427" s="507"/>
      <c r="T427" s="174" t="e">
        <f>+'Estimate Details'!#REF!</f>
        <v>#REF!</v>
      </c>
      <c r="U427" s="481" t="s">
        <v>1310</v>
      </c>
      <c r="V427" s="172" t="e">
        <f>+'Estimate Details'!#REF!</f>
        <v>#REF!</v>
      </c>
      <c r="W427" s="481" t="s">
        <v>1310</v>
      </c>
      <c r="X427" s="172" t="e">
        <f>+'Estimate Details'!#REF!</f>
        <v>#REF!</v>
      </c>
      <c r="Y427" s="172" t="e">
        <f>+'Estimate Details'!#REF!</f>
        <v>#REF!</v>
      </c>
      <c r="Z427" s="174" t="e">
        <f>+'Estimate Details'!#REF!</f>
        <v>#REF!</v>
      </c>
      <c r="AA427" s="481"/>
      <c r="AB427" s="175" t="e">
        <f>+'Estimate Details'!#REF!</f>
        <v>#REF!</v>
      </c>
      <c r="AC427" s="569"/>
      <c r="AD427" s="176" t="e">
        <f>+'Estimate Details'!#REF!</f>
        <v>#REF!</v>
      </c>
      <c r="AE427" s="156"/>
      <c r="AF427" s="156"/>
      <c r="AG427" s="156"/>
      <c r="AH427" s="156"/>
      <c r="AI427" s="29"/>
      <c r="AJ427" s="29"/>
      <c r="AK427" s="29"/>
      <c r="AL427" s="109"/>
    </row>
    <row r="428" spans="1:38" ht="14.1" customHeight="1">
      <c r="A428" s="347" t="e">
        <f>+'Estimate Details'!#REF!</f>
        <v>#REF!</v>
      </c>
      <c r="B428" s="347"/>
      <c r="C428" s="347"/>
      <c r="D428" s="210"/>
      <c r="E428" s="158" t="e">
        <f>+'Estimate Details'!#REF!</f>
        <v>#REF!</v>
      </c>
      <c r="F428" s="41"/>
      <c r="G428" s="117" t="e">
        <f>+'Estimate Details'!#REF!</f>
        <v>#REF!</v>
      </c>
      <c r="H428" s="41" t="e">
        <f>+'Estimate Details'!#REF!</f>
        <v>#REF!</v>
      </c>
      <c r="I428" s="217" t="e">
        <f>+'Estimate Details'!#REF!</f>
        <v>#REF!</v>
      </c>
      <c r="J428" s="42" t="e">
        <f>+'Estimate Details'!#REF!</f>
        <v>#REF!</v>
      </c>
      <c r="K428" s="42" t="e">
        <f>+'Estimate Details'!#REF!</f>
        <v>#REF!</v>
      </c>
      <c r="L428" s="42" t="e">
        <f>+'Estimate Details'!#REF!</f>
        <v>#REF!</v>
      </c>
      <c r="M428" s="227" t="e">
        <f>+'Estimate Details'!#REF!</f>
        <v>#REF!</v>
      </c>
      <c r="N428" s="228" t="e">
        <f>+'Estimate Details'!#REF!</f>
        <v>#REF!</v>
      </c>
      <c r="O428" s="171" t="e">
        <f>+'Estimate Details'!#REF!</f>
        <v>#REF!</v>
      </c>
      <c r="P428" s="172" t="e">
        <f>+'Estimate Details'!#REF!</f>
        <v>#REF!</v>
      </c>
      <c r="Q428" s="173" t="e">
        <f>+'Estimate Details'!#REF!</f>
        <v>#REF!</v>
      </c>
      <c r="R428" s="174" t="e">
        <f>+'Estimate Details'!#REF!</f>
        <v>#REF!</v>
      </c>
      <c r="S428" s="507"/>
      <c r="T428" s="174" t="e">
        <f>+'Estimate Details'!#REF!</f>
        <v>#REF!</v>
      </c>
      <c r="U428" s="481" t="s">
        <v>1310</v>
      </c>
      <c r="V428" s="172" t="e">
        <f>+'Estimate Details'!#REF!</f>
        <v>#REF!</v>
      </c>
      <c r="W428" s="481" t="s">
        <v>1310</v>
      </c>
      <c r="X428" s="172" t="e">
        <f>+'Estimate Details'!#REF!</f>
        <v>#REF!</v>
      </c>
      <c r="Y428" s="172" t="e">
        <f>+'Estimate Details'!#REF!</f>
        <v>#REF!</v>
      </c>
      <c r="Z428" s="174" t="e">
        <f>+'Estimate Details'!#REF!</f>
        <v>#REF!</v>
      </c>
      <c r="AA428" s="481"/>
      <c r="AB428" s="175" t="e">
        <f>+'Estimate Details'!#REF!</f>
        <v>#REF!</v>
      </c>
      <c r="AC428" s="569"/>
      <c r="AD428" s="176" t="e">
        <f>+'Estimate Details'!#REF!</f>
        <v>#REF!</v>
      </c>
      <c r="AE428" s="156"/>
      <c r="AF428" s="156"/>
      <c r="AG428" s="156"/>
      <c r="AH428" s="156"/>
      <c r="AI428" s="29"/>
      <c r="AJ428" s="29"/>
      <c r="AK428" s="29"/>
      <c r="AL428" s="109"/>
    </row>
    <row r="429" spans="1:38" ht="14.1" customHeight="1">
      <c r="A429" s="347" t="e">
        <f>+'Estimate Details'!#REF!</f>
        <v>#REF!</v>
      </c>
      <c r="B429" s="347"/>
      <c r="C429" s="347"/>
      <c r="D429" s="210"/>
      <c r="E429" s="158" t="e">
        <f>+'Estimate Details'!#REF!</f>
        <v>#REF!</v>
      </c>
      <c r="F429" s="41"/>
      <c r="G429" s="117" t="e">
        <f>+'Estimate Details'!#REF!</f>
        <v>#REF!</v>
      </c>
      <c r="H429" s="41" t="e">
        <f>+'Estimate Details'!#REF!</f>
        <v>#REF!</v>
      </c>
      <c r="I429" s="217" t="e">
        <f>+'Estimate Details'!#REF!</f>
        <v>#REF!</v>
      </c>
      <c r="J429" s="42" t="e">
        <f>+'Estimate Details'!#REF!</f>
        <v>#REF!</v>
      </c>
      <c r="K429" s="42" t="e">
        <f>+'Estimate Details'!#REF!</f>
        <v>#REF!</v>
      </c>
      <c r="L429" s="42" t="e">
        <f>+'Estimate Details'!#REF!</f>
        <v>#REF!</v>
      </c>
      <c r="M429" s="227" t="e">
        <f>+'Estimate Details'!#REF!</f>
        <v>#REF!</v>
      </c>
      <c r="N429" s="228" t="e">
        <f>+'Estimate Details'!#REF!</f>
        <v>#REF!</v>
      </c>
      <c r="O429" s="171" t="e">
        <f>+'Estimate Details'!#REF!</f>
        <v>#REF!</v>
      </c>
      <c r="P429" s="172" t="e">
        <f>+'Estimate Details'!#REF!</f>
        <v>#REF!</v>
      </c>
      <c r="Q429" s="173" t="e">
        <f>+'Estimate Details'!#REF!</f>
        <v>#REF!</v>
      </c>
      <c r="R429" s="174" t="e">
        <f>+'Estimate Details'!#REF!</f>
        <v>#REF!</v>
      </c>
      <c r="S429" s="507"/>
      <c r="T429" s="174" t="e">
        <f>+'Estimate Details'!#REF!</f>
        <v>#REF!</v>
      </c>
      <c r="U429" s="481" t="s">
        <v>1301</v>
      </c>
      <c r="V429" s="172" t="e">
        <f>+'Estimate Details'!#REF!</f>
        <v>#REF!</v>
      </c>
      <c r="W429" s="481" t="s">
        <v>1310</v>
      </c>
      <c r="X429" s="172" t="e">
        <f>+'Estimate Details'!#REF!</f>
        <v>#REF!</v>
      </c>
      <c r="Y429" s="172" t="e">
        <f>+'Estimate Details'!#REF!</f>
        <v>#REF!</v>
      </c>
      <c r="Z429" s="174" t="e">
        <f>+'Estimate Details'!#REF!</f>
        <v>#REF!</v>
      </c>
      <c r="AA429" s="481"/>
      <c r="AB429" s="175" t="e">
        <f>+'Estimate Details'!#REF!</f>
        <v>#REF!</v>
      </c>
      <c r="AC429" s="569"/>
      <c r="AD429" s="176" t="e">
        <f>+'Estimate Details'!#REF!</f>
        <v>#REF!</v>
      </c>
      <c r="AE429" s="156"/>
      <c r="AF429" s="156"/>
      <c r="AG429" s="156"/>
      <c r="AH429" s="156"/>
      <c r="AI429" s="29"/>
      <c r="AJ429" s="29"/>
      <c r="AK429" s="29"/>
      <c r="AL429" s="109"/>
    </row>
    <row r="430" spans="1:38" ht="14.1" customHeight="1">
      <c r="A430" s="347" t="e">
        <f>+'Estimate Details'!#REF!</f>
        <v>#REF!</v>
      </c>
      <c r="B430" s="347"/>
      <c r="C430" s="347"/>
      <c r="D430" s="210"/>
      <c r="E430" s="158" t="e">
        <f>+'Estimate Details'!#REF!</f>
        <v>#REF!</v>
      </c>
      <c r="F430" s="41"/>
      <c r="G430" s="117" t="e">
        <f>+'Estimate Details'!#REF!</f>
        <v>#REF!</v>
      </c>
      <c r="H430" s="41" t="e">
        <f>+'Estimate Details'!#REF!</f>
        <v>#REF!</v>
      </c>
      <c r="I430" s="217" t="e">
        <f>+'Estimate Details'!#REF!</f>
        <v>#REF!</v>
      </c>
      <c r="J430" s="42" t="e">
        <f>+'Estimate Details'!#REF!</f>
        <v>#REF!</v>
      </c>
      <c r="K430" s="42" t="e">
        <f>+'Estimate Details'!#REF!</f>
        <v>#REF!</v>
      </c>
      <c r="L430" s="42" t="e">
        <f>+'Estimate Details'!#REF!</f>
        <v>#REF!</v>
      </c>
      <c r="M430" s="227" t="e">
        <f>+'Estimate Details'!#REF!</f>
        <v>#REF!</v>
      </c>
      <c r="N430" s="228" t="e">
        <f>+'Estimate Details'!#REF!</f>
        <v>#REF!</v>
      </c>
      <c r="O430" s="171" t="e">
        <f>+'Estimate Details'!#REF!</f>
        <v>#REF!</v>
      </c>
      <c r="P430" s="172" t="e">
        <f>+'Estimate Details'!#REF!</f>
        <v>#REF!</v>
      </c>
      <c r="Q430" s="173" t="e">
        <f>+'Estimate Details'!#REF!</f>
        <v>#REF!</v>
      </c>
      <c r="R430" s="174" t="e">
        <f>+'Estimate Details'!#REF!</f>
        <v>#REF!</v>
      </c>
      <c r="S430" s="507"/>
      <c r="T430" s="174" t="e">
        <f>+'Estimate Details'!#REF!</f>
        <v>#REF!</v>
      </c>
      <c r="U430" s="481" t="s">
        <v>1310</v>
      </c>
      <c r="V430" s="172" t="e">
        <f>+'Estimate Details'!#REF!</f>
        <v>#REF!</v>
      </c>
      <c r="W430" s="481" t="s">
        <v>1310</v>
      </c>
      <c r="X430" s="172" t="e">
        <f>+'Estimate Details'!#REF!</f>
        <v>#REF!</v>
      </c>
      <c r="Y430" s="172" t="e">
        <f>+'Estimate Details'!#REF!</f>
        <v>#REF!</v>
      </c>
      <c r="Z430" s="174" t="e">
        <f>+'Estimate Details'!#REF!</f>
        <v>#REF!</v>
      </c>
      <c r="AA430" s="481"/>
      <c r="AB430" s="175" t="e">
        <f>+'Estimate Details'!#REF!</f>
        <v>#REF!</v>
      </c>
      <c r="AC430" s="569"/>
      <c r="AD430" s="176" t="e">
        <f>+'Estimate Details'!#REF!</f>
        <v>#REF!</v>
      </c>
      <c r="AE430" s="156"/>
      <c r="AF430" s="156"/>
      <c r="AG430" s="156"/>
      <c r="AH430" s="156"/>
      <c r="AI430" s="29"/>
      <c r="AJ430" s="29"/>
      <c r="AK430" s="29"/>
      <c r="AL430" s="109"/>
    </row>
    <row r="431" spans="1:38" ht="14.1" customHeight="1">
      <c r="A431" s="347" t="e">
        <f>+'Estimate Details'!#REF!</f>
        <v>#REF!</v>
      </c>
      <c r="B431" s="347"/>
      <c r="C431" s="347"/>
      <c r="D431" s="210"/>
      <c r="E431" s="158" t="e">
        <f>+'Estimate Details'!#REF!</f>
        <v>#REF!</v>
      </c>
      <c r="F431" s="41"/>
      <c r="G431" s="117" t="e">
        <f>+'Estimate Details'!#REF!</f>
        <v>#REF!</v>
      </c>
      <c r="H431" s="41" t="e">
        <f>+'Estimate Details'!#REF!</f>
        <v>#REF!</v>
      </c>
      <c r="I431" s="217" t="e">
        <f>+'Estimate Details'!#REF!</f>
        <v>#REF!</v>
      </c>
      <c r="J431" s="42" t="e">
        <f>+'Estimate Details'!#REF!</f>
        <v>#REF!</v>
      </c>
      <c r="K431" s="42" t="e">
        <f>+'Estimate Details'!#REF!</f>
        <v>#REF!</v>
      </c>
      <c r="L431" s="42" t="e">
        <f>+'Estimate Details'!#REF!</f>
        <v>#REF!</v>
      </c>
      <c r="M431" s="227" t="e">
        <f>+'Estimate Details'!#REF!</f>
        <v>#REF!</v>
      </c>
      <c r="N431" s="228" t="e">
        <f>+'Estimate Details'!#REF!</f>
        <v>#REF!</v>
      </c>
      <c r="O431" s="171" t="e">
        <f>+'Estimate Details'!#REF!</f>
        <v>#REF!</v>
      </c>
      <c r="P431" s="172" t="e">
        <f>+'Estimate Details'!#REF!</f>
        <v>#REF!</v>
      </c>
      <c r="Q431" s="173" t="e">
        <f>+'Estimate Details'!#REF!</f>
        <v>#REF!</v>
      </c>
      <c r="R431" s="174" t="e">
        <f>+'Estimate Details'!#REF!</f>
        <v>#REF!</v>
      </c>
      <c r="S431" s="507"/>
      <c r="T431" s="174" t="e">
        <f>+'Estimate Details'!#REF!</f>
        <v>#REF!</v>
      </c>
      <c r="U431" s="481" t="s">
        <v>1310</v>
      </c>
      <c r="V431" s="172" t="e">
        <f>+'Estimate Details'!#REF!</f>
        <v>#REF!</v>
      </c>
      <c r="W431" s="481" t="s">
        <v>1310</v>
      </c>
      <c r="X431" s="172" t="e">
        <f>+'Estimate Details'!#REF!</f>
        <v>#REF!</v>
      </c>
      <c r="Y431" s="172" t="e">
        <f>+'Estimate Details'!#REF!</f>
        <v>#REF!</v>
      </c>
      <c r="Z431" s="174" t="e">
        <f>+'Estimate Details'!#REF!</f>
        <v>#REF!</v>
      </c>
      <c r="AA431" s="481"/>
      <c r="AB431" s="175" t="e">
        <f>+'Estimate Details'!#REF!</f>
        <v>#REF!</v>
      </c>
      <c r="AC431" s="569"/>
      <c r="AD431" s="176" t="e">
        <f>+'Estimate Details'!#REF!</f>
        <v>#REF!</v>
      </c>
      <c r="AE431" s="156"/>
      <c r="AF431" s="156"/>
      <c r="AG431" s="156"/>
      <c r="AH431" s="156"/>
      <c r="AI431" s="29"/>
      <c r="AJ431" s="29"/>
      <c r="AK431" s="29"/>
      <c r="AL431" s="109"/>
    </row>
    <row r="432" spans="1:38" ht="13.5" customHeight="1">
      <c r="A432" s="347" t="e">
        <f>+'Estimate Details'!#REF!</f>
        <v>#REF!</v>
      </c>
      <c r="B432" s="347"/>
      <c r="C432" s="347"/>
      <c r="D432" s="210"/>
      <c r="E432" s="158" t="e">
        <f>+'Estimate Details'!#REF!</f>
        <v>#REF!</v>
      </c>
      <c r="F432" s="41"/>
      <c r="G432" s="117" t="e">
        <f>+'Estimate Details'!#REF!</f>
        <v>#REF!</v>
      </c>
      <c r="H432" s="41" t="e">
        <f>+'Estimate Details'!#REF!</f>
        <v>#REF!</v>
      </c>
      <c r="I432" s="217" t="e">
        <f>+'Estimate Details'!#REF!</f>
        <v>#REF!</v>
      </c>
      <c r="J432" s="42" t="e">
        <f>+'Estimate Details'!#REF!</f>
        <v>#REF!</v>
      </c>
      <c r="K432" s="42" t="e">
        <f>+'Estimate Details'!#REF!</f>
        <v>#REF!</v>
      </c>
      <c r="L432" s="42" t="e">
        <f>+'Estimate Details'!#REF!</f>
        <v>#REF!</v>
      </c>
      <c r="M432" s="227" t="e">
        <f>+'Estimate Details'!#REF!</f>
        <v>#REF!</v>
      </c>
      <c r="N432" s="228" t="e">
        <f>+'Estimate Details'!#REF!</f>
        <v>#REF!</v>
      </c>
      <c r="O432" s="171" t="e">
        <f>+'Estimate Details'!#REF!</f>
        <v>#REF!</v>
      </c>
      <c r="P432" s="172" t="e">
        <f>+'Estimate Details'!#REF!</f>
        <v>#REF!</v>
      </c>
      <c r="Q432" s="173" t="e">
        <f>+'Estimate Details'!#REF!</f>
        <v>#REF!</v>
      </c>
      <c r="R432" s="174" t="e">
        <f>+'Estimate Details'!#REF!</f>
        <v>#REF!</v>
      </c>
      <c r="S432" s="507"/>
      <c r="T432" s="174" t="e">
        <f>+'Estimate Details'!#REF!</f>
        <v>#REF!</v>
      </c>
      <c r="U432" s="481" t="s">
        <v>1310</v>
      </c>
      <c r="V432" s="172" t="e">
        <f>+'Estimate Details'!#REF!</f>
        <v>#REF!</v>
      </c>
      <c r="W432" s="481" t="s">
        <v>1310</v>
      </c>
      <c r="X432" s="172" t="e">
        <f>+'Estimate Details'!#REF!</f>
        <v>#REF!</v>
      </c>
      <c r="Y432" s="172" t="e">
        <f>+'Estimate Details'!#REF!</f>
        <v>#REF!</v>
      </c>
      <c r="Z432" s="174" t="e">
        <f>+'Estimate Details'!#REF!</f>
        <v>#REF!</v>
      </c>
      <c r="AA432" s="481"/>
      <c r="AB432" s="175" t="e">
        <f>+'Estimate Details'!#REF!</f>
        <v>#REF!</v>
      </c>
      <c r="AC432" s="569"/>
      <c r="AD432" s="176" t="e">
        <f>+'Estimate Details'!#REF!</f>
        <v>#REF!</v>
      </c>
      <c r="AE432" s="156"/>
      <c r="AF432" s="156"/>
      <c r="AG432" s="156"/>
      <c r="AH432" s="156"/>
      <c r="AI432" s="29"/>
      <c r="AJ432" s="29"/>
      <c r="AK432" s="29"/>
      <c r="AL432" s="109"/>
    </row>
    <row r="433" spans="1:38" ht="14.1" customHeight="1">
      <c r="A433" s="347" t="e">
        <f>+'Estimate Details'!#REF!</f>
        <v>#REF!</v>
      </c>
      <c r="B433" s="347"/>
      <c r="C433" s="347"/>
      <c r="D433" s="210"/>
      <c r="E433" s="158" t="e">
        <f>+'Estimate Details'!#REF!</f>
        <v>#REF!</v>
      </c>
      <c r="F433" s="41"/>
      <c r="G433" s="117" t="e">
        <f>+'Estimate Details'!#REF!</f>
        <v>#REF!</v>
      </c>
      <c r="H433" s="41" t="e">
        <f>+'Estimate Details'!#REF!</f>
        <v>#REF!</v>
      </c>
      <c r="I433" s="217" t="e">
        <f>+'Estimate Details'!#REF!</f>
        <v>#REF!</v>
      </c>
      <c r="J433" s="42" t="e">
        <f>+'Estimate Details'!#REF!</f>
        <v>#REF!</v>
      </c>
      <c r="K433" s="42" t="e">
        <f>+'Estimate Details'!#REF!</f>
        <v>#REF!</v>
      </c>
      <c r="L433" s="42" t="e">
        <f>+'Estimate Details'!#REF!</f>
        <v>#REF!</v>
      </c>
      <c r="M433" s="227" t="e">
        <f>+'Estimate Details'!#REF!</f>
        <v>#REF!</v>
      </c>
      <c r="N433" s="228" t="e">
        <f>+'Estimate Details'!#REF!</f>
        <v>#REF!</v>
      </c>
      <c r="O433" s="171" t="e">
        <f>+'Estimate Details'!#REF!</f>
        <v>#REF!</v>
      </c>
      <c r="P433" s="172" t="e">
        <f>+'Estimate Details'!#REF!</f>
        <v>#REF!</v>
      </c>
      <c r="Q433" s="173" t="e">
        <f>+'Estimate Details'!#REF!</f>
        <v>#REF!</v>
      </c>
      <c r="R433" s="174" t="e">
        <f>+'Estimate Details'!#REF!</f>
        <v>#REF!</v>
      </c>
      <c r="S433" s="507"/>
      <c r="T433" s="174" t="e">
        <f>+'Estimate Details'!#REF!</f>
        <v>#REF!</v>
      </c>
      <c r="U433" s="481" t="s">
        <v>1310</v>
      </c>
      <c r="V433" s="172" t="e">
        <f>+'Estimate Details'!#REF!</f>
        <v>#REF!</v>
      </c>
      <c r="W433" s="481" t="s">
        <v>1310</v>
      </c>
      <c r="X433" s="172" t="e">
        <f>+'Estimate Details'!#REF!</f>
        <v>#REF!</v>
      </c>
      <c r="Y433" s="172" t="e">
        <f>+'Estimate Details'!#REF!</f>
        <v>#REF!</v>
      </c>
      <c r="Z433" s="174" t="e">
        <f>+'Estimate Details'!#REF!</f>
        <v>#REF!</v>
      </c>
      <c r="AA433" s="481"/>
      <c r="AB433" s="175" t="e">
        <f>+'Estimate Details'!#REF!</f>
        <v>#REF!</v>
      </c>
      <c r="AC433" s="569"/>
      <c r="AD433" s="176" t="e">
        <f>+'Estimate Details'!#REF!</f>
        <v>#REF!</v>
      </c>
      <c r="AE433" s="156"/>
      <c r="AF433" s="156"/>
      <c r="AG433" s="156"/>
      <c r="AH433" s="156"/>
      <c r="AI433" s="29"/>
      <c r="AJ433" s="29"/>
      <c r="AK433" s="29"/>
      <c r="AL433" s="109"/>
    </row>
    <row r="434" spans="1:38" ht="14.1" customHeight="1">
      <c r="A434" s="347" t="e">
        <f>+'Estimate Details'!#REF!</f>
        <v>#REF!</v>
      </c>
      <c r="B434" s="347"/>
      <c r="C434" s="347"/>
      <c r="D434" s="210"/>
      <c r="E434" s="158" t="e">
        <f>+'Estimate Details'!#REF!</f>
        <v>#REF!</v>
      </c>
      <c r="F434" s="41"/>
      <c r="G434" s="117" t="e">
        <f>+'Estimate Details'!#REF!</f>
        <v>#REF!</v>
      </c>
      <c r="H434" s="41" t="e">
        <f>+'Estimate Details'!#REF!</f>
        <v>#REF!</v>
      </c>
      <c r="I434" s="217" t="e">
        <f>+'Estimate Details'!#REF!</f>
        <v>#REF!</v>
      </c>
      <c r="J434" s="42" t="e">
        <f>+'Estimate Details'!#REF!</f>
        <v>#REF!</v>
      </c>
      <c r="K434" s="42" t="e">
        <f>+'Estimate Details'!#REF!</f>
        <v>#REF!</v>
      </c>
      <c r="L434" s="42" t="e">
        <f>+'Estimate Details'!#REF!</f>
        <v>#REF!</v>
      </c>
      <c r="M434" s="227" t="e">
        <f>+'Estimate Details'!#REF!</f>
        <v>#REF!</v>
      </c>
      <c r="N434" s="228" t="e">
        <f>+'Estimate Details'!#REF!</f>
        <v>#REF!</v>
      </c>
      <c r="O434" s="171" t="e">
        <f>+'Estimate Details'!#REF!</f>
        <v>#REF!</v>
      </c>
      <c r="P434" s="172" t="e">
        <f>+'Estimate Details'!#REF!</f>
        <v>#REF!</v>
      </c>
      <c r="Q434" s="173" t="e">
        <f>+'Estimate Details'!#REF!</f>
        <v>#REF!</v>
      </c>
      <c r="R434" s="174" t="e">
        <f>+'Estimate Details'!#REF!</f>
        <v>#REF!</v>
      </c>
      <c r="S434" s="507"/>
      <c r="T434" s="174" t="e">
        <f>+'Estimate Details'!#REF!</f>
        <v>#REF!</v>
      </c>
      <c r="U434" s="481" t="s">
        <v>1310</v>
      </c>
      <c r="V434" s="172" t="e">
        <f>+'Estimate Details'!#REF!</f>
        <v>#REF!</v>
      </c>
      <c r="W434" s="481" t="s">
        <v>1310</v>
      </c>
      <c r="X434" s="172" t="e">
        <f>+'Estimate Details'!#REF!</f>
        <v>#REF!</v>
      </c>
      <c r="Y434" s="172" t="e">
        <f>+'Estimate Details'!#REF!</f>
        <v>#REF!</v>
      </c>
      <c r="Z434" s="174" t="e">
        <f>+'Estimate Details'!#REF!</f>
        <v>#REF!</v>
      </c>
      <c r="AA434" s="481"/>
      <c r="AB434" s="175" t="e">
        <f>+'Estimate Details'!#REF!</f>
        <v>#REF!</v>
      </c>
      <c r="AC434" s="569"/>
      <c r="AD434" s="176" t="e">
        <f>+'Estimate Details'!#REF!</f>
        <v>#REF!</v>
      </c>
      <c r="AE434" s="156"/>
      <c r="AF434" s="156"/>
      <c r="AG434" s="156"/>
      <c r="AH434" s="156"/>
      <c r="AI434" s="29"/>
      <c r="AJ434" s="29"/>
      <c r="AK434" s="29"/>
      <c r="AL434" s="109"/>
    </row>
    <row r="435" spans="1:38" ht="14.1" customHeight="1">
      <c r="A435" s="347" t="e">
        <f>+'Estimate Details'!#REF!</f>
        <v>#REF!</v>
      </c>
      <c r="B435" s="347"/>
      <c r="C435" s="347"/>
      <c r="D435" s="210"/>
      <c r="E435" s="158" t="e">
        <f>+'Estimate Details'!#REF!</f>
        <v>#REF!</v>
      </c>
      <c r="F435" s="41"/>
      <c r="G435" s="117" t="e">
        <f>+'Estimate Details'!#REF!</f>
        <v>#REF!</v>
      </c>
      <c r="H435" s="41" t="e">
        <f>+'Estimate Details'!#REF!</f>
        <v>#REF!</v>
      </c>
      <c r="I435" s="217" t="e">
        <f>+'Estimate Details'!#REF!</f>
        <v>#REF!</v>
      </c>
      <c r="J435" s="42" t="e">
        <f>+'Estimate Details'!#REF!</f>
        <v>#REF!</v>
      </c>
      <c r="K435" s="42" t="e">
        <f>+'Estimate Details'!#REF!</f>
        <v>#REF!</v>
      </c>
      <c r="L435" s="42" t="e">
        <f>+'Estimate Details'!#REF!</f>
        <v>#REF!</v>
      </c>
      <c r="M435" s="227" t="e">
        <f>+'Estimate Details'!#REF!</f>
        <v>#REF!</v>
      </c>
      <c r="N435" s="228" t="e">
        <f>+'Estimate Details'!#REF!</f>
        <v>#REF!</v>
      </c>
      <c r="O435" s="171" t="e">
        <f>+'Estimate Details'!#REF!</f>
        <v>#REF!</v>
      </c>
      <c r="P435" s="172" t="e">
        <f>+'Estimate Details'!#REF!</f>
        <v>#REF!</v>
      </c>
      <c r="Q435" s="173" t="e">
        <f>+'Estimate Details'!#REF!</f>
        <v>#REF!</v>
      </c>
      <c r="R435" s="174" t="e">
        <f>+'Estimate Details'!#REF!</f>
        <v>#REF!</v>
      </c>
      <c r="S435" s="507"/>
      <c r="T435" s="174" t="e">
        <f>+'Estimate Details'!#REF!</f>
        <v>#REF!</v>
      </c>
      <c r="U435" s="481" t="s">
        <v>1310</v>
      </c>
      <c r="V435" s="172" t="e">
        <f>+'Estimate Details'!#REF!</f>
        <v>#REF!</v>
      </c>
      <c r="W435" s="481" t="s">
        <v>1310</v>
      </c>
      <c r="X435" s="172" t="e">
        <f>+'Estimate Details'!#REF!</f>
        <v>#REF!</v>
      </c>
      <c r="Y435" s="172" t="e">
        <f>+'Estimate Details'!#REF!</f>
        <v>#REF!</v>
      </c>
      <c r="Z435" s="174" t="e">
        <f>+'Estimate Details'!#REF!</f>
        <v>#REF!</v>
      </c>
      <c r="AA435" s="481"/>
      <c r="AB435" s="175" t="e">
        <f>+'Estimate Details'!#REF!</f>
        <v>#REF!</v>
      </c>
      <c r="AC435" s="569"/>
      <c r="AD435" s="176" t="e">
        <f>+'Estimate Details'!#REF!</f>
        <v>#REF!</v>
      </c>
      <c r="AE435" s="156"/>
      <c r="AF435" s="156"/>
      <c r="AG435" s="156"/>
      <c r="AH435" s="156"/>
      <c r="AI435" s="29"/>
      <c r="AJ435" s="29"/>
      <c r="AK435" s="29"/>
      <c r="AL435" s="109"/>
    </row>
    <row r="436" spans="1:38" ht="14.1" customHeight="1">
      <c r="A436" s="347" t="e">
        <f>+'Estimate Details'!#REF!</f>
        <v>#REF!</v>
      </c>
      <c r="B436" s="347"/>
      <c r="C436" s="347"/>
      <c r="D436" s="210"/>
      <c r="E436" s="158" t="e">
        <f>+'Estimate Details'!#REF!</f>
        <v>#REF!</v>
      </c>
      <c r="F436" s="41"/>
      <c r="G436" s="117" t="e">
        <f>+'Estimate Details'!#REF!</f>
        <v>#REF!</v>
      </c>
      <c r="H436" s="41" t="e">
        <f>+'Estimate Details'!#REF!</f>
        <v>#REF!</v>
      </c>
      <c r="I436" s="217" t="e">
        <f>+'Estimate Details'!#REF!</f>
        <v>#REF!</v>
      </c>
      <c r="J436" s="42" t="e">
        <f>+'Estimate Details'!#REF!</f>
        <v>#REF!</v>
      </c>
      <c r="K436" s="42" t="e">
        <f>+'Estimate Details'!#REF!</f>
        <v>#REF!</v>
      </c>
      <c r="L436" s="42" t="e">
        <f>+'Estimate Details'!#REF!</f>
        <v>#REF!</v>
      </c>
      <c r="M436" s="227" t="e">
        <f>+'Estimate Details'!#REF!</f>
        <v>#REF!</v>
      </c>
      <c r="N436" s="228" t="e">
        <f>+'Estimate Details'!#REF!</f>
        <v>#REF!</v>
      </c>
      <c r="O436" s="171" t="e">
        <f>+'Estimate Details'!#REF!</f>
        <v>#REF!</v>
      </c>
      <c r="P436" s="172" t="e">
        <f>+'Estimate Details'!#REF!</f>
        <v>#REF!</v>
      </c>
      <c r="Q436" s="173" t="e">
        <f>+'Estimate Details'!#REF!</f>
        <v>#REF!</v>
      </c>
      <c r="R436" s="174" t="e">
        <f>+'Estimate Details'!#REF!</f>
        <v>#REF!</v>
      </c>
      <c r="S436" s="507"/>
      <c r="T436" s="174" t="e">
        <f>+'Estimate Details'!#REF!</f>
        <v>#REF!</v>
      </c>
      <c r="U436" s="481" t="s">
        <v>1310</v>
      </c>
      <c r="V436" s="172" t="e">
        <f>+'Estimate Details'!#REF!</f>
        <v>#REF!</v>
      </c>
      <c r="W436" s="481" t="s">
        <v>1310</v>
      </c>
      <c r="X436" s="172" t="e">
        <f>+'Estimate Details'!#REF!</f>
        <v>#REF!</v>
      </c>
      <c r="Y436" s="172" t="e">
        <f>+'Estimate Details'!#REF!</f>
        <v>#REF!</v>
      </c>
      <c r="Z436" s="174" t="e">
        <f>+'Estimate Details'!#REF!</f>
        <v>#REF!</v>
      </c>
      <c r="AA436" s="481"/>
      <c r="AB436" s="175" t="e">
        <f>+'Estimate Details'!#REF!</f>
        <v>#REF!</v>
      </c>
      <c r="AC436" s="569"/>
      <c r="AD436" s="176" t="e">
        <f>+'Estimate Details'!#REF!</f>
        <v>#REF!</v>
      </c>
      <c r="AE436" s="156"/>
      <c r="AF436" s="156"/>
      <c r="AG436" s="156"/>
      <c r="AH436" s="156"/>
      <c r="AI436" s="29"/>
      <c r="AJ436" s="29"/>
      <c r="AK436" s="29"/>
      <c r="AL436" s="109"/>
    </row>
    <row r="437" spans="1:38" ht="14.1" customHeight="1">
      <c r="A437" s="347" t="e">
        <f>+'Estimate Details'!#REF!</f>
        <v>#REF!</v>
      </c>
      <c r="B437" s="347"/>
      <c r="C437" s="347"/>
      <c r="D437" s="210"/>
      <c r="E437" s="158" t="e">
        <f>+'Estimate Details'!#REF!</f>
        <v>#REF!</v>
      </c>
      <c r="F437" s="41"/>
      <c r="G437" s="117" t="e">
        <f>+'Estimate Details'!#REF!</f>
        <v>#REF!</v>
      </c>
      <c r="H437" s="41" t="e">
        <f>+'Estimate Details'!#REF!</f>
        <v>#REF!</v>
      </c>
      <c r="I437" s="217" t="e">
        <f>+'Estimate Details'!#REF!</f>
        <v>#REF!</v>
      </c>
      <c r="J437" s="42" t="e">
        <f>+'Estimate Details'!#REF!</f>
        <v>#REF!</v>
      </c>
      <c r="K437" s="42" t="e">
        <f>+'Estimate Details'!#REF!</f>
        <v>#REF!</v>
      </c>
      <c r="L437" s="42" t="e">
        <f>+'Estimate Details'!#REF!</f>
        <v>#REF!</v>
      </c>
      <c r="M437" s="227" t="e">
        <f>+'Estimate Details'!#REF!</f>
        <v>#REF!</v>
      </c>
      <c r="N437" s="228" t="e">
        <f>+'Estimate Details'!#REF!</f>
        <v>#REF!</v>
      </c>
      <c r="O437" s="171" t="e">
        <f>+'Estimate Details'!#REF!</f>
        <v>#REF!</v>
      </c>
      <c r="P437" s="172" t="e">
        <f>+'Estimate Details'!#REF!</f>
        <v>#REF!</v>
      </c>
      <c r="Q437" s="173" t="e">
        <f>+'Estimate Details'!#REF!</f>
        <v>#REF!</v>
      </c>
      <c r="R437" s="174" t="e">
        <f>+'Estimate Details'!#REF!</f>
        <v>#REF!</v>
      </c>
      <c r="S437" s="507"/>
      <c r="T437" s="174" t="e">
        <f>+'Estimate Details'!#REF!</f>
        <v>#REF!</v>
      </c>
      <c r="U437" s="481" t="s">
        <v>1310</v>
      </c>
      <c r="V437" s="172" t="e">
        <f>+'Estimate Details'!#REF!</f>
        <v>#REF!</v>
      </c>
      <c r="W437" s="481" t="s">
        <v>1310</v>
      </c>
      <c r="X437" s="172" t="e">
        <f>+'Estimate Details'!#REF!</f>
        <v>#REF!</v>
      </c>
      <c r="Y437" s="172" t="e">
        <f>+'Estimate Details'!#REF!</f>
        <v>#REF!</v>
      </c>
      <c r="Z437" s="174" t="e">
        <f>+'Estimate Details'!#REF!</f>
        <v>#REF!</v>
      </c>
      <c r="AA437" s="481"/>
      <c r="AB437" s="175" t="e">
        <f>+'Estimate Details'!#REF!</f>
        <v>#REF!</v>
      </c>
      <c r="AC437" s="569"/>
      <c r="AD437" s="176" t="e">
        <f>+'Estimate Details'!#REF!</f>
        <v>#REF!</v>
      </c>
      <c r="AE437" s="156"/>
      <c r="AF437" s="156"/>
      <c r="AG437" s="156"/>
      <c r="AH437" s="156"/>
      <c r="AI437" s="29"/>
      <c r="AJ437" s="29"/>
      <c r="AK437" s="29"/>
      <c r="AL437" s="109"/>
    </row>
    <row r="438" spans="1:38" ht="14.1" customHeight="1">
      <c r="A438" s="347" t="e">
        <f>+'Estimate Details'!#REF!</f>
        <v>#REF!</v>
      </c>
      <c r="B438" s="347"/>
      <c r="C438" s="347"/>
      <c r="D438" s="210"/>
      <c r="E438" s="158" t="e">
        <f>+'Estimate Details'!#REF!</f>
        <v>#REF!</v>
      </c>
      <c r="F438" s="41"/>
      <c r="G438" s="117" t="e">
        <f>+'Estimate Details'!#REF!</f>
        <v>#REF!</v>
      </c>
      <c r="H438" s="41" t="e">
        <f>+'Estimate Details'!#REF!</f>
        <v>#REF!</v>
      </c>
      <c r="I438" s="217" t="e">
        <f>+'Estimate Details'!#REF!</f>
        <v>#REF!</v>
      </c>
      <c r="J438" s="42" t="e">
        <f>+'Estimate Details'!#REF!</f>
        <v>#REF!</v>
      </c>
      <c r="K438" s="42" t="e">
        <f>+'Estimate Details'!#REF!</f>
        <v>#REF!</v>
      </c>
      <c r="L438" s="42" t="e">
        <f>+'Estimate Details'!#REF!</f>
        <v>#REF!</v>
      </c>
      <c r="M438" s="227" t="e">
        <f>+'Estimate Details'!#REF!</f>
        <v>#REF!</v>
      </c>
      <c r="N438" s="228" t="e">
        <f>+'Estimate Details'!#REF!</f>
        <v>#REF!</v>
      </c>
      <c r="O438" s="171" t="e">
        <f>+'Estimate Details'!#REF!</f>
        <v>#REF!</v>
      </c>
      <c r="P438" s="172" t="e">
        <f>+'Estimate Details'!#REF!</f>
        <v>#REF!</v>
      </c>
      <c r="Q438" s="173" t="e">
        <f>+'Estimate Details'!#REF!</f>
        <v>#REF!</v>
      </c>
      <c r="R438" s="174" t="e">
        <f>+'Estimate Details'!#REF!</f>
        <v>#REF!</v>
      </c>
      <c r="S438" s="507"/>
      <c r="T438" s="174" t="e">
        <f>+'Estimate Details'!#REF!</f>
        <v>#REF!</v>
      </c>
      <c r="U438" s="481" t="s">
        <v>1298</v>
      </c>
      <c r="V438" s="172" t="e">
        <f>+'Estimate Details'!#REF!</f>
        <v>#REF!</v>
      </c>
      <c r="W438" s="481" t="s">
        <v>1310</v>
      </c>
      <c r="X438" s="172" t="e">
        <f>+'Estimate Details'!#REF!</f>
        <v>#REF!</v>
      </c>
      <c r="Y438" s="172" t="e">
        <f>+'Estimate Details'!#REF!</f>
        <v>#REF!</v>
      </c>
      <c r="Z438" s="174" t="e">
        <f>+'Estimate Details'!#REF!</f>
        <v>#REF!</v>
      </c>
      <c r="AA438" s="481"/>
      <c r="AB438" s="175" t="e">
        <f>+'Estimate Details'!#REF!</f>
        <v>#REF!</v>
      </c>
      <c r="AC438" s="569"/>
      <c r="AD438" s="176" t="e">
        <f>+'Estimate Details'!#REF!</f>
        <v>#REF!</v>
      </c>
      <c r="AE438" s="156"/>
      <c r="AF438" s="156"/>
      <c r="AG438" s="156"/>
      <c r="AH438" s="156"/>
      <c r="AI438" s="29"/>
      <c r="AJ438" s="29"/>
      <c r="AK438" s="29"/>
      <c r="AL438" s="109"/>
    </row>
    <row r="439" spans="1:38" ht="14.1" customHeight="1">
      <c r="A439" s="347" t="e">
        <f>+'Estimate Details'!#REF!</f>
        <v>#REF!</v>
      </c>
      <c r="B439" s="347"/>
      <c r="C439" s="347"/>
      <c r="D439" s="210"/>
      <c r="E439" s="158" t="e">
        <f>+'Estimate Details'!#REF!</f>
        <v>#REF!</v>
      </c>
      <c r="F439" s="41"/>
      <c r="G439" s="117" t="e">
        <f>+'Estimate Details'!#REF!</f>
        <v>#REF!</v>
      </c>
      <c r="H439" s="41" t="e">
        <f>+'Estimate Details'!#REF!</f>
        <v>#REF!</v>
      </c>
      <c r="I439" s="217" t="e">
        <f>+'Estimate Details'!#REF!</f>
        <v>#REF!</v>
      </c>
      <c r="J439" s="42" t="e">
        <f>+'Estimate Details'!#REF!</f>
        <v>#REF!</v>
      </c>
      <c r="K439" s="42" t="e">
        <f>+'Estimate Details'!#REF!</f>
        <v>#REF!</v>
      </c>
      <c r="L439" s="42" t="e">
        <f>+'Estimate Details'!#REF!</f>
        <v>#REF!</v>
      </c>
      <c r="M439" s="227" t="e">
        <f>+'Estimate Details'!#REF!</f>
        <v>#REF!</v>
      </c>
      <c r="N439" s="228" t="e">
        <f>+'Estimate Details'!#REF!</f>
        <v>#REF!</v>
      </c>
      <c r="O439" s="171" t="e">
        <f>+'Estimate Details'!#REF!</f>
        <v>#REF!</v>
      </c>
      <c r="P439" s="172" t="e">
        <f>+'Estimate Details'!#REF!</f>
        <v>#REF!</v>
      </c>
      <c r="Q439" s="173" t="e">
        <f>+'Estimate Details'!#REF!</f>
        <v>#REF!</v>
      </c>
      <c r="R439" s="174" t="e">
        <f>+'Estimate Details'!#REF!</f>
        <v>#REF!</v>
      </c>
      <c r="S439" s="507"/>
      <c r="T439" s="174" t="e">
        <f>+'Estimate Details'!#REF!</f>
        <v>#REF!</v>
      </c>
      <c r="U439" s="481"/>
      <c r="V439" s="172" t="e">
        <f>+'Estimate Details'!#REF!</f>
        <v>#REF!</v>
      </c>
      <c r="W439" s="481" t="s">
        <v>1310</v>
      </c>
      <c r="X439" s="172" t="e">
        <f>+'Estimate Details'!#REF!</f>
        <v>#REF!</v>
      </c>
      <c r="Y439" s="172" t="e">
        <f>+'Estimate Details'!#REF!</f>
        <v>#REF!</v>
      </c>
      <c r="Z439" s="174" t="e">
        <f>+'Estimate Details'!#REF!</f>
        <v>#REF!</v>
      </c>
      <c r="AA439" s="481"/>
      <c r="AB439" s="175" t="e">
        <f>+'Estimate Details'!#REF!</f>
        <v>#REF!</v>
      </c>
      <c r="AC439" s="569"/>
      <c r="AD439" s="176" t="e">
        <f>+'Estimate Details'!#REF!</f>
        <v>#REF!</v>
      </c>
      <c r="AE439" s="156"/>
      <c r="AF439" s="156"/>
      <c r="AG439" s="156"/>
      <c r="AH439" s="156"/>
      <c r="AI439" s="29"/>
      <c r="AJ439" s="29"/>
      <c r="AK439" s="29"/>
      <c r="AL439" s="109"/>
    </row>
    <row r="440" spans="1:38" ht="14.1" customHeight="1">
      <c r="A440" s="347" t="e">
        <f>+'Estimate Details'!#REF!</f>
        <v>#REF!</v>
      </c>
      <c r="B440" s="347"/>
      <c r="C440" s="347"/>
      <c r="D440" s="210"/>
      <c r="E440" s="158" t="e">
        <f>+'Estimate Details'!#REF!</f>
        <v>#REF!</v>
      </c>
      <c r="F440" s="41"/>
      <c r="G440" s="117" t="e">
        <f>+'Estimate Details'!#REF!</f>
        <v>#REF!</v>
      </c>
      <c r="H440" s="41" t="e">
        <f>+'Estimate Details'!#REF!</f>
        <v>#REF!</v>
      </c>
      <c r="I440" s="217" t="e">
        <f>+'Estimate Details'!#REF!</f>
        <v>#REF!</v>
      </c>
      <c r="J440" s="42" t="e">
        <f>+'Estimate Details'!#REF!</f>
        <v>#REF!</v>
      </c>
      <c r="K440" s="42" t="e">
        <f>+'Estimate Details'!#REF!</f>
        <v>#REF!</v>
      </c>
      <c r="L440" s="42" t="e">
        <f>+'Estimate Details'!#REF!</f>
        <v>#REF!</v>
      </c>
      <c r="M440" s="227" t="e">
        <f>+'Estimate Details'!#REF!</f>
        <v>#REF!</v>
      </c>
      <c r="N440" s="228" t="e">
        <f>+'Estimate Details'!#REF!</f>
        <v>#REF!</v>
      </c>
      <c r="O440" s="171" t="e">
        <f>+'Estimate Details'!#REF!</f>
        <v>#REF!</v>
      </c>
      <c r="P440" s="172" t="e">
        <f>+'Estimate Details'!#REF!</f>
        <v>#REF!</v>
      </c>
      <c r="Q440" s="173" t="e">
        <f>+'Estimate Details'!#REF!</f>
        <v>#REF!</v>
      </c>
      <c r="R440" s="174" t="e">
        <f>+'Estimate Details'!#REF!</f>
        <v>#REF!</v>
      </c>
      <c r="S440" s="507"/>
      <c r="T440" s="174" t="e">
        <f>+'Estimate Details'!#REF!</f>
        <v>#REF!</v>
      </c>
      <c r="U440" s="481"/>
      <c r="V440" s="172" t="e">
        <f>+'Estimate Details'!#REF!</f>
        <v>#REF!</v>
      </c>
      <c r="W440" s="481"/>
      <c r="X440" s="172" t="e">
        <f>+'Estimate Details'!#REF!</f>
        <v>#REF!</v>
      </c>
      <c r="Y440" s="172" t="e">
        <f>+'Estimate Details'!#REF!</f>
        <v>#REF!</v>
      </c>
      <c r="Z440" s="174" t="e">
        <f>+'Estimate Details'!#REF!</f>
        <v>#REF!</v>
      </c>
      <c r="AA440" s="481" t="s">
        <v>1310</v>
      </c>
      <c r="AB440" s="175" t="e">
        <f>+'Estimate Details'!#REF!</f>
        <v>#REF!</v>
      </c>
      <c r="AC440" s="569"/>
      <c r="AD440" s="176" t="e">
        <f>+'Estimate Details'!#REF!</f>
        <v>#REF!</v>
      </c>
      <c r="AE440" s="156"/>
      <c r="AF440" s="156"/>
      <c r="AG440" s="156"/>
      <c r="AH440" s="156"/>
      <c r="AI440" s="29"/>
      <c r="AJ440" s="29"/>
      <c r="AK440" s="29"/>
      <c r="AL440" s="109"/>
    </row>
    <row r="441" spans="1:38" ht="14.1" customHeight="1">
      <c r="A441" s="347" t="e">
        <f>+'Estimate Details'!#REF!</f>
        <v>#REF!</v>
      </c>
      <c r="B441" s="347"/>
      <c r="C441" s="347"/>
      <c r="D441" s="210"/>
      <c r="E441" s="158" t="e">
        <f>+'Estimate Details'!#REF!</f>
        <v>#REF!</v>
      </c>
      <c r="F441" s="41"/>
      <c r="G441" s="117" t="e">
        <f>+'Estimate Details'!#REF!</f>
        <v>#REF!</v>
      </c>
      <c r="H441" s="41" t="e">
        <f>+'Estimate Details'!#REF!</f>
        <v>#REF!</v>
      </c>
      <c r="I441" s="217" t="e">
        <f>+'Estimate Details'!#REF!</f>
        <v>#REF!</v>
      </c>
      <c r="J441" s="42" t="e">
        <f>+'Estimate Details'!#REF!</f>
        <v>#REF!</v>
      </c>
      <c r="K441" s="42" t="e">
        <f>+'Estimate Details'!#REF!</f>
        <v>#REF!</v>
      </c>
      <c r="L441" s="42" t="e">
        <f>+'Estimate Details'!#REF!</f>
        <v>#REF!</v>
      </c>
      <c r="M441" s="227" t="e">
        <f>+'Estimate Details'!#REF!</f>
        <v>#REF!</v>
      </c>
      <c r="N441" s="228" t="e">
        <f>+'Estimate Details'!#REF!</f>
        <v>#REF!</v>
      </c>
      <c r="O441" s="171" t="e">
        <f>+'Estimate Details'!#REF!</f>
        <v>#REF!</v>
      </c>
      <c r="P441" s="172" t="e">
        <f>+'Estimate Details'!#REF!</f>
        <v>#REF!</v>
      </c>
      <c r="Q441" s="173" t="e">
        <f>+'Estimate Details'!#REF!</f>
        <v>#REF!</v>
      </c>
      <c r="R441" s="174" t="e">
        <f>+'Estimate Details'!#REF!</f>
        <v>#REF!</v>
      </c>
      <c r="S441" s="507"/>
      <c r="T441" s="174" t="e">
        <f>+'Estimate Details'!#REF!</f>
        <v>#REF!</v>
      </c>
      <c r="U441" s="481"/>
      <c r="V441" s="172" t="e">
        <f>+'Estimate Details'!#REF!</f>
        <v>#REF!</v>
      </c>
      <c r="W441" s="481"/>
      <c r="X441" s="172" t="e">
        <f>+'Estimate Details'!#REF!</f>
        <v>#REF!</v>
      </c>
      <c r="Y441" s="172" t="e">
        <f>+'Estimate Details'!#REF!</f>
        <v>#REF!</v>
      </c>
      <c r="Z441" s="174" t="e">
        <f>+'Estimate Details'!#REF!</f>
        <v>#REF!</v>
      </c>
      <c r="AA441" s="481" t="s">
        <v>1310</v>
      </c>
      <c r="AB441" s="175" t="e">
        <f>+'Estimate Details'!#REF!</f>
        <v>#REF!</v>
      </c>
      <c r="AC441" s="569"/>
      <c r="AD441" s="176" t="e">
        <f>+'Estimate Details'!#REF!</f>
        <v>#REF!</v>
      </c>
      <c r="AE441" s="156"/>
      <c r="AF441" s="156"/>
      <c r="AG441" s="156"/>
      <c r="AH441" s="156"/>
      <c r="AI441" s="29"/>
      <c r="AJ441" s="29"/>
      <c r="AK441" s="29"/>
      <c r="AL441" s="109"/>
    </row>
    <row r="442" spans="1:38" ht="14.1" customHeight="1">
      <c r="A442" s="347" t="e">
        <f>+'Estimate Details'!#REF!</f>
        <v>#REF!</v>
      </c>
      <c r="B442" s="347"/>
      <c r="C442" s="347"/>
      <c r="D442" s="210"/>
      <c r="E442" s="158" t="e">
        <f>+'Estimate Details'!#REF!</f>
        <v>#REF!</v>
      </c>
      <c r="F442" s="41"/>
      <c r="G442" s="117" t="e">
        <f>+'Estimate Details'!#REF!</f>
        <v>#REF!</v>
      </c>
      <c r="H442" s="41" t="e">
        <f>+'Estimate Details'!#REF!</f>
        <v>#REF!</v>
      </c>
      <c r="I442" s="217" t="e">
        <f>+'Estimate Details'!#REF!</f>
        <v>#REF!</v>
      </c>
      <c r="J442" s="42" t="e">
        <f>+'Estimate Details'!#REF!</f>
        <v>#REF!</v>
      </c>
      <c r="K442" s="42" t="e">
        <f>+'Estimate Details'!#REF!</f>
        <v>#REF!</v>
      </c>
      <c r="L442" s="42" t="e">
        <f>+'Estimate Details'!#REF!</f>
        <v>#REF!</v>
      </c>
      <c r="M442" s="227" t="e">
        <f>+'Estimate Details'!#REF!</f>
        <v>#REF!</v>
      </c>
      <c r="N442" s="228" t="e">
        <f>+'Estimate Details'!#REF!</f>
        <v>#REF!</v>
      </c>
      <c r="O442" s="171" t="e">
        <f>+'Estimate Details'!#REF!</f>
        <v>#REF!</v>
      </c>
      <c r="P442" s="172" t="e">
        <f>+'Estimate Details'!#REF!</f>
        <v>#REF!</v>
      </c>
      <c r="Q442" s="173" t="e">
        <f>+'Estimate Details'!#REF!</f>
        <v>#REF!</v>
      </c>
      <c r="R442" s="174" t="e">
        <f>+'Estimate Details'!#REF!</f>
        <v>#REF!</v>
      </c>
      <c r="S442" s="507"/>
      <c r="T442" s="174" t="e">
        <f>+'Estimate Details'!#REF!</f>
        <v>#REF!</v>
      </c>
      <c r="U442" s="481" t="s">
        <v>1310</v>
      </c>
      <c r="V442" s="172" t="e">
        <f>+'Estimate Details'!#REF!</f>
        <v>#REF!</v>
      </c>
      <c r="W442" s="481" t="s">
        <v>1310</v>
      </c>
      <c r="X442" s="172" t="e">
        <f>+'Estimate Details'!#REF!</f>
        <v>#REF!</v>
      </c>
      <c r="Y442" s="172" t="e">
        <f>+'Estimate Details'!#REF!</f>
        <v>#REF!</v>
      </c>
      <c r="Z442" s="174" t="e">
        <f>+'Estimate Details'!#REF!</f>
        <v>#REF!</v>
      </c>
      <c r="AA442" s="481"/>
      <c r="AB442" s="175" t="e">
        <f>+'Estimate Details'!#REF!</f>
        <v>#REF!</v>
      </c>
      <c r="AC442" s="569"/>
      <c r="AD442" s="176" t="e">
        <f>+'Estimate Details'!#REF!</f>
        <v>#REF!</v>
      </c>
      <c r="AE442" s="156"/>
      <c r="AF442" s="156"/>
      <c r="AG442" s="156"/>
      <c r="AH442" s="156"/>
      <c r="AI442" s="29"/>
      <c r="AJ442" s="29"/>
      <c r="AK442" s="29"/>
      <c r="AL442" s="109"/>
    </row>
    <row r="443" spans="1:38" ht="14.1" customHeight="1">
      <c r="A443" s="347" t="e">
        <f>+'Estimate Details'!#REF!</f>
        <v>#REF!</v>
      </c>
      <c r="B443" s="347"/>
      <c r="C443" s="347"/>
      <c r="D443" s="210"/>
      <c r="E443" s="158" t="e">
        <f>+'Estimate Details'!#REF!</f>
        <v>#REF!</v>
      </c>
      <c r="F443" s="41"/>
      <c r="G443" s="117" t="e">
        <f>+'Estimate Details'!#REF!</f>
        <v>#REF!</v>
      </c>
      <c r="H443" s="41" t="e">
        <f>+'Estimate Details'!#REF!</f>
        <v>#REF!</v>
      </c>
      <c r="I443" s="217" t="e">
        <f>+'Estimate Details'!#REF!</f>
        <v>#REF!</v>
      </c>
      <c r="J443" s="42" t="e">
        <f>+'Estimate Details'!#REF!</f>
        <v>#REF!</v>
      </c>
      <c r="K443" s="42" t="e">
        <f>+'Estimate Details'!#REF!</f>
        <v>#REF!</v>
      </c>
      <c r="L443" s="42" t="e">
        <f>+'Estimate Details'!#REF!</f>
        <v>#REF!</v>
      </c>
      <c r="M443" s="204" t="e">
        <f>+'Estimate Details'!#REF!</f>
        <v>#REF!</v>
      </c>
      <c r="N443" s="170" t="e">
        <f>+'Estimate Details'!#REF!</f>
        <v>#REF!</v>
      </c>
      <c r="O443" s="171" t="e">
        <f>+'Estimate Details'!#REF!</f>
        <v>#REF!</v>
      </c>
      <c r="P443" s="172" t="e">
        <f>+'Estimate Details'!#REF!</f>
        <v>#REF!</v>
      </c>
      <c r="Q443" s="173" t="e">
        <f>+'Estimate Details'!#REF!</f>
        <v>#REF!</v>
      </c>
      <c r="R443" s="174" t="e">
        <f>+'Estimate Details'!#REF!</f>
        <v>#REF!</v>
      </c>
      <c r="S443" s="507"/>
      <c r="T443" s="174" t="e">
        <f>+'Estimate Details'!#REF!</f>
        <v>#REF!</v>
      </c>
      <c r="U443" s="481" t="s">
        <v>1310</v>
      </c>
      <c r="V443" s="172" t="e">
        <f>+'Estimate Details'!#REF!</f>
        <v>#REF!</v>
      </c>
      <c r="W443" s="481" t="s">
        <v>1310</v>
      </c>
      <c r="X443" s="172" t="e">
        <f>+'Estimate Details'!#REF!</f>
        <v>#REF!</v>
      </c>
      <c r="Y443" s="172" t="e">
        <f>+'Estimate Details'!#REF!</f>
        <v>#REF!</v>
      </c>
      <c r="Z443" s="174" t="e">
        <f>+'Estimate Details'!#REF!</f>
        <v>#REF!</v>
      </c>
      <c r="AA443" s="481"/>
      <c r="AB443" s="175" t="e">
        <f>+'Estimate Details'!#REF!</f>
        <v>#REF!</v>
      </c>
      <c r="AC443" s="569"/>
      <c r="AD443" s="176" t="e">
        <f>+'Estimate Details'!#REF!</f>
        <v>#REF!</v>
      </c>
      <c r="AE443" s="156"/>
      <c r="AF443" s="156"/>
      <c r="AG443" s="156"/>
      <c r="AH443" s="156"/>
      <c r="AI443" s="29"/>
      <c r="AJ443" s="29"/>
      <c r="AK443" s="29"/>
      <c r="AL443" s="109"/>
    </row>
    <row r="444" spans="1:38" ht="14.1" customHeight="1">
      <c r="A444" s="347" t="e">
        <f>+'Estimate Details'!#REF!</f>
        <v>#REF!</v>
      </c>
      <c r="B444" s="347"/>
      <c r="C444" s="347"/>
      <c r="D444" s="210"/>
      <c r="E444" s="158" t="e">
        <f>+'Estimate Details'!#REF!</f>
        <v>#REF!</v>
      </c>
      <c r="F444" s="41"/>
      <c r="G444" s="117" t="e">
        <f>+'Estimate Details'!#REF!</f>
        <v>#REF!</v>
      </c>
      <c r="H444" s="41" t="e">
        <f>+'Estimate Details'!#REF!</f>
        <v>#REF!</v>
      </c>
      <c r="I444" s="217" t="e">
        <f>+'Estimate Details'!#REF!</f>
        <v>#REF!</v>
      </c>
      <c r="J444" s="42" t="e">
        <f>+'Estimate Details'!#REF!</f>
        <v>#REF!</v>
      </c>
      <c r="K444" s="42" t="e">
        <f>+'Estimate Details'!#REF!</f>
        <v>#REF!</v>
      </c>
      <c r="L444" s="42" t="e">
        <f>+'Estimate Details'!#REF!</f>
        <v>#REF!</v>
      </c>
      <c r="M444" s="204" t="e">
        <f>+'Estimate Details'!#REF!</f>
        <v>#REF!</v>
      </c>
      <c r="N444" s="170" t="e">
        <f>+'Estimate Details'!#REF!</f>
        <v>#REF!</v>
      </c>
      <c r="O444" s="171" t="e">
        <f>+'Estimate Details'!#REF!</f>
        <v>#REF!</v>
      </c>
      <c r="P444" s="172" t="e">
        <f>+'Estimate Details'!#REF!</f>
        <v>#REF!</v>
      </c>
      <c r="Q444" s="173" t="e">
        <f>+'Estimate Details'!#REF!</f>
        <v>#REF!</v>
      </c>
      <c r="R444" s="174" t="e">
        <f>+'Estimate Details'!#REF!</f>
        <v>#REF!</v>
      </c>
      <c r="S444" s="507"/>
      <c r="T444" s="174" t="e">
        <f>+'Estimate Details'!#REF!</f>
        <v>#REF!</v>
      </c>
      <c r="U444" s="481" t="s">
        <v>1310</v>
      </c>
      <c r="V444" s="172" t="e">
        <f>+'Estimate Details'!#REF!</f>
        <v>#REF!</v>
      </c>
      <c r="W444" s="481" t="s">
        <v>1310</v>
      </c>
      <c r="X444" s="172" t="e">
        <f>+'Estimate Details'!#REF!</f>
        <v>#REF!</v>
      </c>
      <c r="Y444" s="172" t="e">
        <f>+'Estimate Details'!#REF!</f>
        <v>#REF!</v>
      </c>
      <c r="Z444" s="174" t="e">
        <f>+'Estimate Details'!#REF!</f>
        <v>#REF!</v>
      </c>
      <c r="AA444" s="481"/>
      <c r="AB444" s="175" t="e">
        <f>+'Estimate Details'!#REF!</f>
        <v>#REF!</v>
      </c>
      <c r="AC444" s="569"/>
      <c r="AD444" s="176" t="e">
        <f>+'Estimate Details'!#REF!</f>
        <v>#REF!</v>
      </c>
      <c r="AE444" s="156"/>
      <c r="AF444" s="156"/>
      <c r="AG444" s="156"/>
      <c r="AH444" s="156"/>
      <c r="AI444" s="29"/>
      <c r="AJ444" s="29"/>
      <c r="AK444" s="29"/>
      <c r="AL444" s="109"/>
    </row>
    <row r="445" spans="1:38" ht="14.1" customHeight="1">
      <c r="A445" s="210" t="e">
        <f>+'Estimate Details'!#REF!</f>
        <v>#REF!</v>
      </c>
      <c r="B445" s="167"/>
      <c r="C445" s="167"/>
      <c r="D445" s="349"/>
      <c r="E445" s="158" t="e">
        <f>+'Estimate Details'!#REF!</f>
        <v>#REF!</v>
      </c>
      <c r="F445" s="41"/>
      <c r="G445" s="117" t="e">
        <f>+'Estimate Details'!#REF!</f>
        <v>#REF!</v>
      </c>
      <c r="H445" s="41" t="e">
        <f>+'Estimate Details'!#REF!</f>
        <v>#REF!</v>
      </c>
      <c r="I445" s="217" t="e">
        <f>+'Estimate Details'!#REF!</f>
        <v>#REF!</v>
      </c>
      <c r="J445" s="42" t="e">
        <f>+'Estimate Details'!#REF!</f>
        <v>#REF!</v>
      </c>
      <c r="K445" s="42" t="e">
        <f>+'Estimate Details'!#REF!</f>
        <v>#REF!</v>
      </c>
      <c r="L445" s="42" t="e">
        <f>+'Estimate Details'!#REF!</f>
        <v>#REF!</v>
      </c>
      <c r="M445" s="204" t="e">
        <f>+'Estimate Details'!#REF!</f>
        <v>#REF!</v>
      </c>
      <c r="N445" s="170" t="e">
        <f>+'Estimate Details'!#REF!</f>
        <v>#REF!</v>
      </c>
      <c r="O445" s="171" t="e">
        <f>+'Estimate Details'!#REF!</f>
        <v>#REF!</v>
      </c>
      <c r="P445" s="172" t="e">
        <f>+'Estimate Details'!#REF!</f>
        <v>#REF!</v>
      </c>
      <c r="Q445" s="173" t="e">
        <f>+'Estimate Details'!#REF!</f>
        <v>#REF!</v>
      </c>
      <c r="R445" s="174" t="e">
        <f>+'Estimate Details'!#REF!</f>
        <v>#REF!</v>
      </c>
      <c r="S445" s="507"/>
      <c r="T445" s="174" t="e">
        <f>+'Estimate Details'!#REF!</f>
        <v>#REF!</v>
      </c>
      <c r="U445" s="481" t="s">
        <v>1310</v>
      </c>
      <c r="V445" s="172" t="e">
        <f>+'Estimate Details'!#REF!</f>
        <v>#REF!</v>
      </c>
      <c r="W445" s="481" t="s">
        <v>1310</v>
      </c>
      <c r="X445" s="172" t="e">
        <f>+'Estimate Details'!#REF!</f>
        <v>#REF!</v>
      </c>
      <c r="Y445" s="172" t="e">
        <f>+'Estimate Details'!#REF!</f>
        <v>#REF!</v>
      </c>
      <c r="Z445" s="174" t="e">
        <f>+'Estimate Details'!#REF!</f>
        <v>#REF!</v>
      </c>
      <c r="AA445" s="481"/>
      <c r="AB445" s="175" t="e">
        <f>+'Estimate Details'!#REF!</f>
        <v>#REF!</v>
      </c>
      <c r="AC445" s="569"/>
      <c r="AD445" s="176" t="e">
        <f>+'Estimate Details'!#REF!</f>
        <v>#REF!</v>
      </c>
      <c r="AE445" s="156"/>
      <c r="AF445" s="156"/>
      <c r="AG445" s="156"/>
      <c r="AH445" s="156"/>
      <c r="AI445" s="29"/>
      <c r="AJ445" s="29"/>
      <c r="AK445" s="29"/>
      <c r="AL445" s="109"/>
    </row>
    <row r="446" spans="1:38" ht="14.1" customHeight="1">
      <c r="A446" s="347" t="e">
        <f>+'Estimate Details'!#REF!</f>
        <v>#REF!</v>
      </c>
      <c r="B446" s="347"/>
      <c r="C446" s="347"/>
      <c r="D446" s="210"/>
      <c r="E446" s="158" t="e">
        <f>+'Estimate Details'!#REF!</f>
        <v>#REF!</v>
      </c>
      <c r="F446" s="41"/>
      <c r="G446" s="117" t="e">
        <f>+'Estimate Details'!#REF!</f>
        <v>#REF!</v>
      </c>
      <c r="H446" s="41" t="e">
        <f>+'Estimate Details'!#REF!</f>
        <v>#REF!</v>
      </c>
      <c r="I446" s="217" t="e">
        <f>+'Estimate Details'!#REF!</f>
        <v>#REF!</v>
      </c>
      <c r="J446" s="42" t="e">
        <f>+'Estimate Details'!#REF!</f>
        <v>#REF!</v>
      </c>
      <c r="K446" s="42" t="e">
        <f>+'Estimate Details'!#REF!</f>
        <v>#REF!</v>
      </c>
      <c r="L446" s="42" t="e">
        <f>+'Estimate Details'!#REF!</f>
        <v>#REF!</v>
      </c>
      <c r="M446" s="204" t="e">
        <f>+'Estimate Details'!#REF!</f>
        <v>#REF!</v>
      </c>
      <c r="N446" s="170" t="e">
        <f>+'Estimate Details'!#REF!</f>
        <v>#REF!</v>
      </c>
      <c r="O446" s="171" t="e">
        <f>+'Estimate Details'!#REF!</f>
        <v>#REF!</v>
      </c>
      <c r="P446" s="172" t="e">
        <f>+'Estimate Details'!#REF!</f>
        <v>#REF!</v>
      </c>
      <c r="Q446" s="173" t="e">
        <f>+'Estimate Details'!#REF!</f>
        <v>#REF!</v>
      </c>
      <c r="R446" s="174" t="e">
        <f>+'Estimate Details'!#REF!</f>
        <v>#REF!</v>
      </c>
      <c r="S446" s="507"/>
      <c r="T446" s="174" t="e">
        <f>+'Estimate Details'!#REF!</f>
        <v>#REF!</v>
      </c>
      <c r="U446" s="481" t="s">
        <v>1310</v>
      </c>
      <c r="V446" s="172" t="e">
        <f>+'Estimate Details'!#REF!</f>
        <v>#REF!</v>
      </c>
      <c r="W446" s="481" t="s">
        <v>1310</v>
      </c>
      <c r="X446" s="172" t="e">
        <f>+'Estimate Details'!#REF!</f>
        <v>#REF!</v>
      </c>
      <c r="Y446" s="172" t="e">
        <f>+'Estimate Details'!#REF!</f>
        <v>#REF!</v>
      </c>
      <c r="Z446" s="174" t="e">
        <f>+'Estimate Details'!#REF!</f>
        <v>#REF!</v>
      </c>
      <c r="AA446" s="481"/>
      <c r="AB446" s="175" t="e">
        <f>+'Estimate Details'!#REF!</f>
        <v>#REF!</v>
      </c>
      <c r="AC446" s="569"/>
      <c r="AD446" s="176" t="e">
        <f>+'Estimate Details'!#REF!</f>
        <v>#REF!</v>
      </c>
      <c r="AE446" s="156"/>
      <c r="AF446" s="156"/>
      <c r="AG446" s="156"/>
      <c r="AH446" s="156"/>
      <c r="AI446" s="29"/>
      <c r="AJ446" s="29"/>
      <c r="AK446" s="29"/>
      <c r="AL446" s="109"/>
    </row>
    <row r="447" spans="1:38" ht="14.1" customHeight="1">
      <c r="A447" s="347" t="e">
        <f>+'Estimate Details'!#REF!</f>
        <v>#REF!</v>
      </c>
      <c r="B447" s="347"/>
      <c r="C447" s="347"/>
      <c r="D447" s="210"/>
      <c r="E447" s="158" t="e">
        <f>+'Estimate Details'!#REF!</f>
        <v>#REF!</v>
      </c>
      <c r="F447" s="41"/>
      <c r="G447" s="117" t="e">
        <f>+'Estimate Details'!#REF!</f>
        <v>#REF!</v>
      </c>
      <c r="H447" s="41" t="e">
        <f>+'Estimate Details'!#REF!</f>
        <v>#REF!</v>
      </c>
      <c r="I447" s="217" t="e">
        <f>+'Estimate Details'!#REF!</f>
        <v>#REF!</v>
      </c>
      <c r="J447" s="42" t="e">
        <f>+'Estimate Details'!#REF!</f>
        <v>#REF!</v>
      </c>
      <c r="K447" s="42" t="e">
        <f>+'Estimate Details'!#REF!</f>
        <v>#REF!</v>
      </c>
      <c r="L447" s="42" t="e">
        <f>+'Estimate Details'!#REF!</f>
        <v>#REF!</v>
      </c>
      <c r="M447" s="204" t="e">
        <f>+'Estimate Details'!#REF!</f>
        <v>#REF!</v>
      </c>
      <c r="N447" s="170" t="e">
        <f>+'Estimate Details'!#REF!</f>
        <v>#REF!</v>
      </c>
      <c r="O447" s="171" t="e">
        <f>+'Estimate Details'!#REF!</f>
        <v>#REF!</v>
      </c>
      <c r="P447" s="172" t="e">
        <f>+'Estimate Details'!#REF!</f>
        <v>#REF!</v>
      </c>
      <c r="Q447" s="173" t="e">
        <f>+'Estimate Details'!#REF!</f>
        <v>#REF!</v>
      </c>
      <c r="R447" s="174" t="e">
        <f>+'Estimate Details'!#REF!</f>
        <v>#REF!</v>
      </c>
      <c r="S447" s="507"/>
      <c r="T447" s="174" t="e">
        <f>+'Estimate Details'!#REF!</f>
        <v>#REF!</v>
      </c>
      <c r="U447" s="481" t="s">
        <v>1310</v>
      </c>
      <c r="V447" s="172" t="e">
        <f>+'Estimate Details'!#REF!</f>
        <v>#REF!</v>
      </c>
      <c r="W447" s="481" t="s">
        <v>1310</v>
      </c>
      <c r="X447" s="172" t="e">
        <f>+'Estimate Details'!#REF!</f>
        <v>#REF!</v>
      </c>
      <c r="Y447" s="172" t="e">
        <f>+'Estimate Details'!#REF!</f>
        <v>#REF!</v>
      </c>
      <c r="Z447" s="174" t="e">
        <f>+'Estimate Details'!#REF!</f>
        <v>#REF!</v>
      </c>
      <c r="AA447" s="481"/>
      <c r="AB447" s="175" t="e">
        <f>+'Estimate Details'!#REF!</f>
        <v>#REF!</v>
      </c>
      <c r="AC447" s="569"/>
      <c r="AD447" s="176" t="e">
        <f>+'Estimate Details'!#REF!</f>
        <v>#REF!</v>
      </c>
      <c r="AE447" s="156"/>
      <c r="AF447" s="156"/>
      <c r="AG447" s="156"/>
      <c r="AH447" s="156"/>
      <c r="AI447" s="29"/>
      <c r="AJ447" s="29"/>
      <c r="AK447" s="29"/>
      <c r="AL447" s="109"/>
    </row>
    <row r="448" spans="1:38" ht="14.1" customHeight="1">
      <c r="A448" s="347" t="e">
        <f>+'Estimate Details'!#REF!</f>
        <v>#REF!</v>
      </c>
      <c r="B448" s="347"/>
      <c r="C448" s="347"/>
      <c r="D448" s="210"/>
      <c r="E448" s="158" t="e">
        <f>+'Estimate Details'!#REF!</f>
        <v>#REF!</v>
      </c>
      <c r="F448" s="41"/>
      <c r="G448" s="117" t="e">
        <f>+'Estimate Details'!#REF!</f>
        <v>#REF!</v>
      </c>
      <c r="H448" s="41" t="e">
        <f>+'Estimate Details'!#REF!</f>
        <v>#REF!</v>
      </c>
      <c r="I448" s="217" t="e">
        <f>+'Estimate Details'!#REF!</f>
        <v>#REF!</v>
      </c>
      <c r="J448" s="42" t="e">
        <f>+'Estimate Details'!#REF!</f>
        <v>#REF!</v>
      </c>
      <c r="K448" s="42" t="e">
        <f>+'Estimate Details'!#REF!</f>
        <v>#REF!</v>
      </c>
      <c r="L448" s="42" t="e">
        <f>+'Estimate Details'!#REF!</f>
        <v>#REF!</v>
      </c>
      <c r="M448" s="204" t="e">
        <f>+'Estimate Details'!#REF!</f>
        <v>#REF!</v>
      </c>
      <c r="N448" s="170" t="e">
        <f>+'Estimate Details'!#REF!</f>
        <v>#REF!</v>
      </c>
      <c r="O448" s="171" t="e">
        <f>+'Estimate Details'!#REF!</f>
        <v>#REF!</v>
      </c>
      <c r="P448" s="172" t="e">
        <f>+'Estimate Details'!#REF!</f>
        <v>#REF!</v>
      </c>
      <c r="Q448" s="173" t="e">
        <f>+'Estimate Details'!#REF!</f>
        <v>#REF!</v>
      </c>
      <c r="R448" s="174" t="e">
        <f>+'Estimate Details'!#REF!</f>
        <v>#REF!</v>
      </c>
      <c r="S448" s="507"/>
      <c r="T448" s="174" t="e">
        <f>+'Estimate Details'!#REF!</f>
        <v>#REF!</v>
      </c>
      <c r="U448" s="481" t="s">
        <v>1310</v>
      </c>
      <c r="V448" s="172" t="e">
        <f>+'Estimate Details'!#REF!</f>
        <v>#REF!</v>
      </c>
      <c r="W448" s="481" t="s">
        <v>1310</v>
      </c>
      <c r="X448" s="172" t="e">
        <f>+'Estimate Details'!#REF!</f>
        <v>#REF!</v>
      </c>
      <c r="Y448" s="172" t="e">
        <f>+'Estimate Details'!#REF!</f>
        <v>#REF!</v>
      </c>
      <c r="Z448" s="174" t="e">
        <f>+'Estimate Details'!#REF!</f>
        <v>#REF!</v>
      </c>
      <c r="AA448" s="481"/>
      <c r="AB448" s="175" t="e">
        <f>+'Estimate Details'!#REF!</f>
        <v>#REF!</v>
      </c>
      <c r="AC448" s="569"/>
      <c r="AD448" s="176" t="e">
        <f>+'Estimate Details'!#REF!</f>
        <v>#REF!</v>
      </c>
      <c r="AE448" s="156"/>
      <c r="AF448" s="156"/>
      <c r="AG448" s="156"/>
      <c r="AH448" s="156"/>
      <c r="AI448" s="29"/>
      <c r="AJ448" s="29"/>
      <c r="AK448" s="29"/>
      <c r="AL448" s="109"/>
    </row>
    <row r="449" spans="1:38" ht="14.1" customHeight="1">
      <c r="A449" s="347" t="e">
        <f>+'Estimate Details'!#REF!</f>
        <v>#REF!</v>
      </c>
      <c r="B449" s="347"/>
      <c r="C449" s="347"/>
      <c r="D449" s="210"/>
      <c r="E449" s="158" t="e">
        <f>+'Estimate Details'!#REF!</f>
        <v>#REF!</v>
      </c>
      <c r="F449" s="41"/>
      <c r="G449" s="117" t="e">
        <f>+'Estimate Details'!#REF!</f>
        <v>#REF!</v>
      </c>
      <c r="H449" s="41" t="e">
        <f>+'Estimate Details'!#REF!</f>
        <v>#REF!</v>
      </c>
      <c r="I449" s="217" t="e">
        <f>+'Estimate Details'!#REF!</f>
        <v>#REF!</v>
      </c>
      <c r="J449" s="42" t="e">
        <f>+'Estimate Details'!#REF!</f>
        <v>#REF!</v>
      </c>
      <c r="K449" s="42" t="e">
        <f>+'Estimate Details'!#REF!</f>
        <v>#REF!</v>
      </c>
      <c r="L449" s="42" t="e">
        <f>+'Estimate Details'!#REF!</f>
        <v>#REF!</v>
      </c>
      <c r="M449" s="204" t="e">
        <f>+'Estimate Details'!#REF!</f>
        <v>#REF!</v>
      </c>
      <c r="N449" s="170" t="e">
        <f>+'Estimate Details'!#REF!</f>
        <v>#REF!</v>
      </c>
      <c r="O449" s="171" t="e">
        <f>+'Estimate Details'!#REF!</f>
        <v>#REF!</v>
      </c>
      <c r="P449" s="172" t="e">
        <f>+'Estimate Details'!#REF!</f>
        <v>#REF!</v>
      </c>
      <c r="Q449" s="173" t="e">
        <f>+'Estimate Details'!#REF!</f>
        <v>#REF!</v>
      </c>
      <c r="R449" s="174" t="e">
        <f>+'Estimate Details'!#REF!</f>
        <v>#REF!</v>
      </c>
      <c r="S449" s="507"/>
      <c r="T449" s="174" t="e">
        <f>+'Estimate Details'!#REF!</f>
        <v>#REF!</v>
      </c>
      <c r="U449" s="481" t="s">
        <v>1310</v>
      </c>
      <c r="V449" s="172" t="e">
        <f>+'Estimate Details'!#REF!</f>
        <v>#REF!</v>
      </c>
      <c r="W449" s="481" t="s">
        <v>1310</v>
      </c>
      <c r="X449" s="172" t="e">
        <f>+'Estimate Details'!#REF!</f>
        <v>#REF!</v>
      </c>
      <c r="Y449" s="172" t="e">
        <f>+'Estimate Details'!#REF!</f>
        <v>#REF!</v>
      </c>
      <c r="Z449" s="174" t="e">
        <f>+'Estimate Details'!#REF!</f>
        <v>#REF!</v>
      </c>
      <c r="AA449" s="481"/>
      <c r="AB449" s="175" t="e">
        <f>+'Estimate Details'!#REF!</f>
        <v>#REF!</v>
      </c>
      <c r="AC449" s="569"/>
      <c r="AD449" s="176" t="e">
        <f>+'Estimate Details'!#REF!</f>
        <v>#REF!</v>
      </c>
      <c r="AE449" s="156"/>
      <c r="AF449" s="156"/>
      <c r="AG449" s="156"/>
      <c r="AH449" s="156"/>
      <c r="AI449" s="29"/>
      <c r="AJ449" s="29"/>
      <c r="AK449" s="29"/>
      <c r="AL449" s="109"/>
    </row>
    <row r="450" spans="1:38" ht="14.1" customHeight="1">
      <c r="A450" s="347" t="e">
        <f>+'Estimate Details'!#REF!</f>
        <v>#REF!</v>
      </c>
      <c r="B450" s="347"/>
      <c r="C450" s="347"/>
      <c r="D450" s="210"/>
      <c r="E450" s="158" t="e">
        <f>+'Estimate Details'!#REF!</f>
        <v>#REF!</v>
      </c>
      <c r="F450" s="41"/>
      <c r="G450" s="117" t="e">
        <f>+'Estimate Details'!#REF!</f>
        <v>#REF!</v>
      </c>
      <c r="H450" s="41" t="e">
        <f>+'Estimate Details'!#REF!</f>
        <v>#REF!</v>
      </c>
      <c r="I450" s="217" t="e">
        <f>+'Estimate Details'!#REF!</f>
        <v>#REF!</v>
      </c>
      <c r="J450" s="42" t="e">
        <f>+'Estimate Details'!#REF!</f>
        <v>#REF!</v>
      </c>
      <c r="K450" s="42" t="e">
        <f>+'Estimate Details'!#REF!</f>
        <v>#REF!</v>
      </c>
      <c r="L450" s="42" t="e">
        <f>+'Estimate Details'!#REF!</f>
        <v>#REF!</v>
      </c>
      <c r="M450" s="204" t="e">
        <f>+'Estimate Details'!#REF!</f>
        <v>#REF!</v>
      </c>
      <c r="N450" s="170" t="e">
        <f>+'Estimate Details'!#REF!</f>
        <v>#REF!</v>
      </c>
      <c r="O450" s="171" t="e">
        <f>+'Estimate Details'!#REF!</f>
        <v>#REF!</v>
      </c>
      <c r="P450" s="172" t="e">
        <f>+'Estimate Details'!#REF!</f>
        <v>#REF!</v>
      </c>
      <c r="Q450" s="173" t="e">
        <f>+'Estimate Details'!#REF!</f>
        <v>#REF!</v>
      </c>
      <c r="R450" s="174" t="e">
        <f>+'Estimate Details'!#REF!</f>
        <v>#REF!</v>
      </c>
      <c r="S450" s="507"/>
      <c r="T450" s="174" t="e">
        <f>+'Estimate Details'!#REF!</f>
        <v>#REF!</v>
      </c>
      <c r="U450" s="481" t="s">
        <v>1310</v>
      </c>
      <c r="V450" s="172" t="e">
        <f>+'Estimate Details'!#REF!</f>
        <v>#REF!</v>
      </c>
      <c r="W450" s="481" t="s">
        <v>1310</v>
      </c>
      <c r="X450" s="172" t="e">
        <f>+'Estimate Details'!#REF!</f>
        <v>#REF!</v>
      </c>
      <c r="Y450" s="172" t="e">
        <f>+'Estimate Details'!#REF!</f>
        <v>#REF!</v>
      </c>
      <c r="Z450" s="174" t="e">
        <f>+'Estimate Details'!#REF!</f>
        <v>#REF!</v>
      </c>
      <c r="AA450" s="481"/>
      <c r="AB450" s="175" t="e">
        <f>+'Estimate Details'!#REF!</f>
        <v>#REF!</v>
      </c>
      <c r="AC450" s="569"/>
      <c r="AD450" s="176" t="e">
        <f>+'Estimate Details'!#REF!</f>
        <v>#REF!</v>
      </c>
      <c r="AE450" s="156"/>
      <c r="AF450" s="156"/>
      <c r="AG450" s="156"/>
      <c r="AH450" s="156"/>
      <c r="AI450" s="29"/>
      <c r="AJ450" s="29"/>
      <c r="AK450" s="29"/>
      <c r="AL450" s="109"/>
    </row>
    <row r="451" spans="1:38" ht="14.1" customHeight="1">
      <c r="A451" s="347" t="e">
        <f>+'Estimate Details'!#REF!</f>
        <v>#REF!</v>
      </c>
      <c r="B451" s="347"/>
      <c r="C451" s="347"/>
      <c r="D451" s="210"/>
      <c r="E451" s="158" t="e">
        <f>+'Estimate Details'!#REF!</f>
        <v>#REF!</v>
      </c>
      <c r="F451" s="41"/>
      <c r="G451" s="117" t="e">
        <f>+'Estimate Details'!#REF!</f>
        <v>#REF!</v>
      </c>
      <c r="H451" s="41" t="e">
        <f>+'Estimate Details'!#REF!</f>
        <v>#REF!</v>
      </c>
      <c r="I451" s="217" t="e">
        <f>+'Estimate Details'!#REF!</f>
        <v>#REF!</v>
      </c>
      <c r="J451" s="42" t="e">
        <f>+'Estimate Details'!#REF!</f>
        <v>#REF!</v>
      </c>
      <c r="K451" s="42" t="e">
        <f>+'Estimate Details'!#REF!</f>
        <v>#REF!</v>
      </c>
      <c r="L451" s="42" t="e">
        <f>+'Estimate Details'!#REF!</f>
        <v>#REF!</v>
      </c>
      <c r="M451" s="204" t="e">
        <f>+'Estimate Details'!#REF!</f>
        <v>#REF!</v>
      </c>
      <c r="N451" s="170" t="e">
        <f>+'Estimate Details'!#REF!</f>
        <v>#REF!</v>
      </c>
      <c r="O451" s="171" t="e">
        <f>+'Estimate Details'!#REF!</f>
        <v>#REF!</v>
      </c>
      <c r="P451" s="172" t="e">
        <f>+'Estimate Details'!#REF!</f>
        <v>#REF!</v>
      </c>
      <c r="Q451" s="173" t="e">
        <f>+'Estimate Details'!#REF!</f>
        <v>#REF!</v>
      </c>
      <c r="R451" s="174" t="e">
        <f>+'Estimate Details'!#REF!</f>
        <v>#REF!</v>
      </c>
      <c r="S451" s="507"/>
      <c r="T451" s="174" t="e">
        <f>+'Estimate Details'!#REF!</f>
        <v>#REF!</v>
      </c>
      <c r="U451" s="481" t="s">
        <v>1310</v>
      </c>
      <c r="V451" s="172" t="e">
        <f>+'Estimate Details'!#REF!</f>
        <v>#REF!</v>
      </c>
      <c r="W451" s="481" t="s">
        <v>1310</v>
      </c>
      <c r="X451" s="172" t="e">
        <f>+'Estimate Details'!#REF!</f>
        <v>#REF!</v>
      </c>
      <c r="Y451" s="172" t="e">
        <f>+'Estimate Details'!#REF!</f>
        <v>#REF!</v>
      </c>
      <c r="Z451" s="174" t="e">
        <f>+'Estimate Details'!#REF!</f>
        <v>#REF!</v>
      </c>
      <c r="AA451" s="481"/>
      <c r="AB451" s="175" t="e">
        <f>+'Estimate Details'!#REF!</f>
        <v>#REF!</v>
      </c>
      <c r="AC451" s="569"/>
      <c r="AD451" s="176" t="e">
        <f>+'Estimate Details'!#REF!</f>
        <v>#REF!</v>
      </c>
      <c r="AE451" s="156"/>
      <c r="AF451" s="156"/>
      <c r="AG451" s="156"/>
      <c r="AH451" s="156"/>
      <c r="AI451" s="29"/>
      <c r="AJ451" s="29"/>
      <c r="AK451" s="29"/>
      <c r="AL451" s="109"/>
    </row>
    <row r="452" spans="1:38" ht="14.1" customHeight="1">
      <c r="A452" s="347" t="e">
        <f>+'Estimate Details'!#REF!</f>
        <v>#REF!</v>
      </c>
      <c r="B452" s="347"/>
      <c r="C452" s="347"/>
      <c r="D452" s="210"/>
      <c r="E452" s="158" t="e">
        <f>+'Estimate Details'!#REF!</f>
        <v>#REF!</v>
      </c>
      <c r="F452" s="41"/>
      <c r="G452" s="117" t="e">
        <f>+'Estimate Details'!#REF!</f>
        <v>#REF!</v>
      </c>
      <c r="H452" s="41" t="e">
        <f>+'Estimate Details'!#REF!</f>
        <v>#REF!</v>
      </c>
      <c r="I452" s="217" t="e">
        <f>+'Estimate Details'!#REF!</f>
        <v>#REF!</v>
      </c>
      <c r="J452" s="42" t="e">
        <f>+'Estimate Details'!#REF!</f>
        <v>#REF!</v>
      </c>
      <c r="K452" s="42" t="e">
        <f>+'Estimate Details'!#REF!</f>
        <v>#REF!</v>
      </c>
      <c r="L452" s="42" t="e">
        <f>+'Estimate Details'!#REF!</f>
        <v>#REF!</v>
      </c>
      <c r="M452" s="204" t="e">
        <f>+'Estimate Details'!#REF!</f>
        <v>#REF!</v>
      </c>
      <c r="N452" s="170" t="e">
        <f>+'Estimate Details'!#REF!</f>
        <v>#REF!</v>
      </c>
      <c r="O452" s="171" t="e">
        <f>+'Estimate Details'!#REF!</f>
        <v>#REF!</v>
      </c>
      <c r="P452" s="172" t="e">
        <f>+'Estimate Details'!#REF!</f>
        <v>#REF!</v>
      </c>
      <c r="Q452" s="173" t="e">
        <f>+'Estimate Details'!#REF!</f>
        <v>#REF!</v>
      </c>
      <c r="R452" s="174" t="e">
        <f>+'Estimate Details'!#REF!</f>
        <v>#REF!</v>
      </c>
      <c r="S452" s="507"/>
      <c r="T452" s="174" t="e">
        <f>+'Estimate Details'!#REF!</f>
        <v>#REF!</v>
      </c>
      <c r="U452" s="481" t="s">
        <v>1310</v>
      </c>
      <c r="V452" s="172" t="e">
        <f>+'Estimate Details'!#REF!</f>
        <v>#REF!</v>
      </c>
      <c r="W452" s="481" t="s">
        <v>1310</v>
      </c>
      <c r="X452" s="172" t="e">
        <f>+'Estimate Details'!#REF!</f>
        <v>#REF!</v>
      </c>
      <c r="Y452" s="172" t="e">
        <f>+'Estimate Details'!#REF!</f>
        <v>#REF!</v>
      </c>
      <c r="Z452" s="174" t="e">
        <f>+'Estimate Details'!#REF!</f>
        <v>#REF!</v>
      </c>
      <c r="AA452" s="481"/>
      <c r="AB452" s="175" t="e">
        <f>+'Estimate Details'!#REF!</f>
        <v>#REF!</v>
      </c>
      <c r="AC452" s="569"/>
      <c r="AD452" s="176" t="e">
        <f>+'Estimate Details'!#REF!</f>
        <v>#REF!</v>
      </c>
      <c r="AE452" s="156"/>
      <c r="AF452" s="156"/>
      <c r="AG452" s="156"/>
      <c r="AH452" s="156"/>
      <c r="AI452" s="29"/>
      <c r="AJ452" s="29"/>
      <c r="AK452" s="29"/>
      <c r="AL452" s="109"/>
    </row>
    <row r="453" spans="1:38" ht="14.1" customHeight="1">
      <c r="A453" s="347" t="e">
        <f>+'Estimate Details'!#REF!</f>
        <v>#REF!</v>
      </c>
      <c r="B453" s="347"/>
      <c r="C453" s="347"/>
      <c r="D453" s="210"/>
      <c r="E453" s="158" t="e">
        <f>+'Estimate Details'!#REF!</f>
        <v>#REF!</v>
      </c>
      <c r="F453" s="41"/>
      <c r="G453" s="117" t="e">
        <f>+'Estimate Details'!#REF!</f>
        <v>#REF!</v>
      </c>
      <c r="H453" s="118" t="e">
        <f>+'Estimate Details'!#REF!</f>
        <v>#REF!</v>
      </c>
      <c r="I453" s="108" t="e">
        <f>+'Estimate Details'!#REF!</f>
        <v>#REF!</v>
      </c>
      <c r="J453" s="168" t="e">
        <f>+'Estimate Details'!#REF!</f>
        <v>#REF!</v>
      </c>
      <c r="K453" s="42" t="e">
        <f>+'Estimate Details'!#REF!</f>
        <v>#REF!</v>
      </c>
      <c r="L453" s="42" t="e">
        <f>+'Estimate Details'!#REF!</f>
        <v>#REF!</v>
      </c>
      <c r="M453" s="177" t="e">
        <f>+'Estimate Details'!#REF!</f>
        <v>#REF!</v>
      </c>
      <c r="N453" s="170" t="e">
        <f>+'Estimate Details'!#REF!</f>
        <v>#REF!</v>
      </c>
      <c r="O453" s="171" t="e">
        <f>+'Estimate Details'!#REF!</f>
        <v>#REF!</v>
      </c>
      <c r="P453" s="172" t="e">
        <f>+'Estimate Details'!#REF!</f>
        <v>#REF!</v>
      </c>
      <c r="Q453" s="173" t="e">
        <f>+'Estimate Details'!#REF!</f>
        <v>#REF!</v>
      </c>
      <c r="R453" s="174" t="e">
        <f>+'Estimate Details'!#REF!</f>
        <v>#REF!</v>
      </c>
      <c r="S453" s="507"/>
      <c r="T453" s="174" t="e">
        <f>+'Estimate Details'!#REF!</f>
        <v>#REF!</v>
      </c>
      <c r="U453" s="481" t="s">
        <v>1310</v>
      </c>
      <c r="V453" s="172" t="e">
        <f>+'Estimate Details'!#REF!</f>
        <v>#REF!</v>
      </c>
      <c r="W453" s="481" t="s">
        <v>1310</v>
      </c>
      <c r="X453" s="172" t="e">
        <f>+'Estimate Details'!#REF!</f>
        <v>#REF!</v>
      </c>
      <c r="Y453" s="172" t="e">
        <f>+'Estimate Details'!#REF!</f>
        <v>#REF!</v>
      </c>
      <c r="Z453" s="174" t="e">
        <f>+'Estimate Details'!#REF!</f>
        <v>#REF!</v>
      </c>
      <c r="AA453" s="481"/>
      <c r="AB453" s="175" t="e">
        <f>+'Estimate Details'!#REF!</f>
        <v>#REF!</v>
      </c>
      <c r="AC453" s="569"/>
      <c r="AD453" s="176" t="e">
        <f>+'Estimate Details'!#REF!</f>
        <v>#REF!</v>
      </c>
      <c r="AE453" s="156"/>
      <c r="AF453" s="156"/>
      <c r="AG453" s="156"/>
      <c r="AH453" s="156"/>
      <c r="AI453" s="29"/>
      <c r="AJ453" s="29"/>
      <c r="AK453" s="29"/>
      <c r="AL453" s="109"/>
    </row>
    <row r="454" spans="1:38" ht="14.1" customHeight="1">
      <c r="A454" s="347" t="e">
        <f>+'Estimate Details'!#REF!</f>
        <v>#REF!</v>
      </c>
      <c r="B454" s="347"/>
      <c r="C454" s="347"/>
      <c r="D454" s="210"/>
      <c r="E454" s="158" t="e">
        <f>+'Estimate Details'!#REF!</f>
        <v>#REF!</v>
      </c>
      <c r="F454" s="41"/>
      <c r="G454" s="117" t="e">
        <f>+'Estimate Details'!#REF!</f>
        <v>#REF!</v>
      </c>
      <c r="H454" s="118" t="e">
        <f>+'Estimate Details'!#REF!</f>
        <v>#REF!</v>
      </c>
      <c r="I454" s="108" t="e">
        <f>+'Estimate Details'!#REF!</f>
        <v>#REF!</v>
      </c>
      <c r="J454" s="168" t="e">
        <f>+'Estimate Details'!#REF!</f>
        <v>#REF!</v>
      </c>
      <c r="K454" s="42" t="e">
        <f>+'Estimate Details'!#REF!</f>
        <v>#REF!</v>
      </c>
      <c r="L454" s="42" t="e">
        <f>+'Estimate Details'!#REF!</f>
        <v>#REF!</v>
      </c>
      <c r="M454" s="177" t="e">
        <f>+'Estimate Details'!#REF!</f>
        <v>#REF!</v>
      </c>
      <c r="N454" s="170" t="e">
        <f>+'Estimate Details'!#REF!</f>
        <v>#REF!</v>
      </c>
      <c r="O454" s="171" t="e">
        <f>+'Estimate Details'!#REF!</f>
        <v>#REF!</v>
      </c>
      <c r="P454" s="172" t="e">
        <f>+'Estimate Details'!#REF!</f>
        <v>#REF!</v>
      </c>
      <c r="Q454" s="173" t="e">
        <f>+'Estimate Details'!#REF!</f>
        <v>#REF!</v>
      </c>
      <c r="R454" s="174" t="e">
        <f>+'Estimate Details'!#REF!</f>
        <v>#REF!</v>
      </c>
      <c r="S454" s="507"/>
      <c r="T454" s="174" t="e">
        <f>+'Estimate Details'!#REF!</f>
        <v>#REF!</v>
      </c>
      <c r="U454" s="481" t="s">
        <v>1310</v>
      </c>
      <c r="V454" s="172" t="e">
        <f>+'Estimate Details'!#REF!</f>
        <v>#REF!</v>
      </c>
      <c r="W454" s="481" t="s">
        <v>1310</v>
      </c>
      <c r="X454" s="172" t="e">
        <f>+'Estimate Details'!#REF!</f>
        <v>#REF!</v>
      </c>
      <c r="Y454" s="172" t="e">
        <f>+'Estimate Details'!#REF!</f>
        <v>#REF!</v>
      </c>
      <c r="Z454" s="174" t="e">
        <f>+'Estimate Details'!#REF!</f>
        <v>#REF!</v>
      </c>
      <c r="AA454" s="481"/>
      <c r="AB454" s="175" t="e">
        <f>+'Estimate Details'!#REF!</f>
        <v>#REF!</v>
      </c>
      <c r="AC454" s="569"/>
      <c r="AD454" s="176" t="e">
        <f>+'Estimate Details'!#REF!</f>
        <v>#REF!</v>
      </c>
      <c r="AE454" s="156"/>
      <c r="AF454" s="156"/>
      <c r="AG454" s="156"/>
      <c r="AH454" s="156"/>
      <c r="AI454" s="29"/>
      <c r="AJ454" s="29"/>
      <c r="AK454" s="29"/>
      <c r="AL454" s="109"/>
    </row>
    <row r="455" spans="1:38" ht="14.1" customHeight="1">
      <c r="A455" s="347" t="e">
        <f>+'Estimate Details'!#REF!</f>
        <v>#REF!</v>
      </c>
      <c r="B455" s="347"/>
      <c r="C455" s="347"/>
      <c r="D455" s="210"/>
      <c r="E455" s="158" t="e">
        <f>+'Estimate Details'!#REF!</f>
        <v>#REF!</v>
      </c>
      <c r="F455" s="41"/>
      <c r="G455" s="117" t="e">
        <f>+'Estimate Details'!#REF!</f>
        <v>#REF!</v>
      </c>
      <c r="H455" s="118" t="e">
        <f>+'Estimate Details'!#REF!</f>
        <v>#REF!</v>
      </c>
      <c r="I455" s="108" t="e">
        <f>+'Estimate Details'!#REF!</f>
        <v>#REF!</v>
      </c>
      <c r="J455" s="168" t="e">
        <f>+'Estimate Details'!#REF!</f>
        <v>#REF!</v>
      </c>
      <c r="K455" s="42" t="e">
        <f>+'Estimate Details'!#REF!</f>
        <v>#REF!</v>
      </c>
      <c r="L455" s="42" t="e">
        <f>+'Estimate Details'!#REF!</f>
        <v>#REF!</v>
      </c>
      <c r="M455" s="177" t="e">
        <f>+'Estimate Details'!#REF!</f>
        <v>#REF!</v>
      </c>
      <c r="N455" s="170" t="e">
        <f>+'Estimate Details'!#REF!</f>
        <v>#REF!</v>
      </c>
      <c r="O455" s="171" t="e">
        <f>+'Estimate Details'!#REF!</f>
        <v>#REF!</v>
      </c>
      <c r="P455" s="172" t="e">
        <f>+'Estimate Details'!#REF!</f>
        <v>#REF!</v>
      </c>
      <c r="Q455" s="173" t="e">
        <f>+'Estimate Details'!#REF!</f>
        <v>#REF!</v>
      </c>
      <c r="R455" s="174" t="e">
        <f>+'Estimate Details'!#REF!</f>
        <v>#REF!</v>
      </c>
      <c r="S455" s="507"/>
      <c r="T455" s="174" t="e">
        <f>+'Estimate Details'!#REF!</f>
        <v>#REF!</v>
      </c>
      <c r="U455" s="481" t="s">
        <v>1310</v>
      </c>
      <c r="V455" s="172" t="e">
        <f>+'Estimate Details'!#REF!</f>
        <v>#REF!</v>
      </c>
      <c r="W455" s="481" t="s">
        <v>1310</v>
      </c>
      <c r="X455" s="172" t="e">
        <f>+'Estimate Details'!#REF!</f>
        <v>#REF!</v>
      </c>
      <c r="Y455" s="172" t="e">
        <f>+'Estimate Details'!#REF!</f>
        <v>#REF!</v>
      </c>
      <c r="Z455" s="174" t="e">
        <f>+'Estimate Details'!#REF!</f>
        <v>#REF!</v>
      </c>
      <c r="AA455" s="481"/>
      <c r="AB455" s="175" t="e">
        <f>+'Estimate Details'!#REF!</f>
        <v>#REF!</v>
      </c>
      <c r="AC455" s="569"/>
      <c r="AD455" s="176" t="e">
        <f>+'Estimate Details'!#REF!</f>
        <v>#REF!</v>
      </c>
      <c r="AE455" s="156"/>
      <c r="AF455" s="156"/>
      <c r="AG455" s="156"/>
      <c r="AH455" s="156"/>
      <c r="AI455" s="29"/>
      <c r="AJ455" s="29"/>
      <c r="AK455" s="29"/>
      <c r="AL455" s="109"/>
    </row>
    <row r="456" spans="1:38" ht="14.1" customHeight="1">
      <c r="A456" s="116" t="e">
        <f>+'Estimate Details'!#REF!</f>
        <v>#REF!</v>
      </c>
      <c r="B456" s="116"/>
      <c r="C456" s="116"/>
      <c r="D456" s="166"/>
      <c r="E456" s="158" t="e">
        <f>+'Estimate Details'!#REF!</f>
        <v>#REF!</v>
      </c>
      <c r="F456" s="41"/>
      <c r="G456" s="117" t="e">
        <f>+'Estimate Details'!#REF!</f>
        <v>#REF!</v>
      </c>
      <c r="H456" s="118" t="e">
        <f>+'Estimate Details'!#REF!</f>
        <v>#REF!</v>
      </c>
      <c r="I456" s="108" t="e">
        <f>+'Estimate Details'!#REF!</f>
        <v>#REF!</v>
      </c>
      <c r="J456" s="168" t="e">
        <f>+'Estimate Details'!#REF!</f>
        <v>#REF!</v>
      </c>
      <c r="K456" s="42" t="e">
        <f>+'Estimate Details'!#REF!</f>
        <v>#REF!</v>
      </c>
      <c r="L456" s="42" t="e">
        <f>+'Estimate Details'!#REF!</f>
        <v>#REF!</v>
      </c>
      <c r="M456" s="177" t="e">
        <f>+'Estimate Details'!#REF!</f>
        <v>#REF!</v>
      </c>
      <c r="N456" s="170" t="e">
        <f>+'Estimate Details'!#REF!</f>
        <v>#REF!</v>
      </c>
      <c r="O456" s="171" t="e">
        <f>+'Estimate Details'!#REF!</f>
        <v>#REF!</v>
      </c>
      <c r="P456" s="172" t="e">
        <f>+'Estimate Details'!#REF!</f>
        <v>#REF!</v>
      </c>
      <c r="Q456" s="173" t="e">
        <f>+'Estimate Details'!#REF!</f>
        <v>#REF!</v>
      </c>
      <c r="R456" s="174" t="e">
        <f>+'Estimate Details'!#REF!</f>
        <v>#REF!</v>
      </c>
      <c r="S456" s="507"/>
      <c r="T456" s="174" t="e">
        <f>+'Estimate Details'!#REF!</f>
        <v>#REF!</v>
      </c>
      <c r="U456" s="481" t="s">
        <v>1310</v>
      </c>
      <c r="V456" s="172" t="e">
        <f>+'Estimate Details'!#REF!</f>
        <v>#REF!</v>
      </c>
      <c r="W456" s="481" t="s">
        <v>1310</v>
      </c>
      <c r="X456" s="172" t="e">
        <f>+'Estimate Details'!#REF!</f>
        <v>#REF!</v>
      </c>
      <c r="Y456" s="172" t="e">
        <f>+'Estimate Details'!#REF!</f>
        <v>#REF!</v>
      </c>
      <c r="Z456" s="174" t="e">
        <f>+'Estimate Details'!#REF!</f>
        <v>#REF!</v>
      </c>
      <c r="AA456" s="481"/>
      <c r="AB456" s="175" t="e">
        <f>+'Estimate Details'!#REF!</f>
        <v>#REF!</v>
      </c>
      <c r="AC456" s="569"/>
      <c r="AD456" s="176" t="e">
        <f>+'Estimate Details'!#REF!</f>
        <v>#REF!</v>
      </c>
      <c r="AE456" s="156"/>
      <c r="AF456" s="156"/>
      <c r="AG456" s="156"/>
      <c r="AH456" s="156"/>
      <c r="AI456" s="29"/>
      <c r="AJ456" s="29"/>
      <c r="AK456" s="29"/>
      <c r="AL456" s="109"/>
    </row>
    <row r="457" spans="1:38" ht="14.1" customHeight="1">
      <c r="A457" s="116" t="e">
        <f>+'Estimate Details'!#REF!</f>
        <v>#REF!</v>
      </c>
      <c r="B457" s="116"/>
      <c r="C457" s="116"/>
      <c r="D457" s="166"/>
      <c r="E457" s="158" t="e">
        <f>+'Estimate Details'!#REF!</f>
        <v>#REF!</v>
      </c>
      <c r="F457" s="41"/>
      <c r="G457" s="117" t="e">
        <f>+'Estimate Details'!#REF!</f>
        <v>#REF!</v>
      </c>
      <c r="H457" s="41" t="e">
        <f>+'Estimate Details'!#REF!</f>
        <v>#REF!</v>
      </c>
      <c r="I457" s="108" t="e">
        <f>+'Estimate Details'!#REF!</f>
        <v>#REF!</v>
      </c>
      <c r="J457" s="168" t="e">
        <f>+'Estimate Details'!#REF!</f>
        <v>#REF!</v>
      </c>
      <c r="K457" s="42" t="e">
        <f>+'Estimate Details'!#REF!</f>
        <v>#REF!</v>
      </c>
      <c r="L457" s="42" t="e">
        <f>+'Estimate Details'!#REF!</f>
        <v>#REF!</v>
      </c>
      <c r="M457" s="177" t="e">
        <f>+'Estimate Details'!#REF!</f>
        <v>#REF!</v>
      </c>
      <c r="N457" s="170" t="e">
        <f>+'Estimate Details'!#REF!</f>
        <v>#REF!</v>
      </c>
      <c r="O457" s="171" t="e">
        <f>+'Estimate Details'!#REF!</f>
        <v>#REF!</v>
      </c>
      <c r="P457" s="172" t="e">
        <f>+'Estimate Details'!#REF!</f>
        <v>#REF!</v>
      </c>
      <c r="Q457" s="173" t="e">
        <f>+'Estimate Details'!#REF!</f>
        <v>#REF!</v>
      </c>
      <c r="R457" s="174" t="e">
        <f>+'Estimate Details'!#REF!</f>
        <v>#REF!</v>
      </c>
      <c r="S457" s="507"/>
      <c r="T457" s="174" t="e">
        <f>+'Estimate Details'!#REF!</f>
        <v>#REF!</v>
      </c>
      <c r="U457" s="481" t="s">
        <v>1310</v>
      </c>
      <c r="V457" s="172" t="e">
        <f>+'Estimate Details'!#REF!</f>
        <v>#REF!</v>
      </c>
      <c r="W457" s="481" t="s">
        <v>1310</v>
      </c>
      <c r="X457" s="172" t="e">
        <f>+'Estimate Details'!#REF!</f>
        <v>#REF!</v>
      </c>
      <c r="Y457" s="172" t="e">
        <f>+'Estimate Details'!#REF!</f>
        <v>#REF!</v>
      </c>
      <c r="Z457" s="174" t="e">
        <f>+'Estimate Details'!#REF!</f>
        <v>#REF!</v>
      </c>
      <c r="AA457" s="481"/>
      <c r="AB457" s="175" t="e">
        <f>+'Estimate Details'!#REF!</f>
        <v>#REF!</v>
      </c>
      <c r="AC457" s="569"/>
      <c r="AD457" s="176" t="e">
        <f>+'Estimate Details'!#REF!</f>
        <v>#REF!</v>
      </c>
      <c r="AE457" s="156"/>
      <c r="AF457" s="156"/>
      <c r="AG457" s="156"/>
      <c r="AH457" s="156"/>
      <c r="AI457" s="29"/>
      <c r="AJ457" s="29"/>
      <c r="AK457" s="29"/>
      <c r="AL457" s="109"/>
    </row>
    <row r="458" spans="1:38" ht="14.1" customHeight="1">
      <c r="A458" s="116" t="e">
        <f>+'Estimate Details'!#REF!</f>
        <v>#REF!</v>
      </c>
      <c r="B458" s="116"/>
      <c r="C458" s="116"/>
      <c r="D458" s="166"/>
      <c r="E458" s="158" t="e">
        <f>+'Estimate Details'!#REF!</f>
        <v>#REF!</v>
      </c>
      <c r="F458" s="41"/>
      <c r="G458" s="117" t="e">
        <f>+'Estimate Details'!#REF!</f>
        <v>#REF!</v>
      </c>
      <c r="H458" s="41" t="e">
        <f>+'Estimate Details'!#REF!</f>
        <v>#REF!</v>
      </c>
      <c r="I458" s="108" t="e">
        <f>+'Estimate Details'!#REF!</f>
        <v>#REF!</v>
      </c>
      <c r="J458" s="168" t="e">
        <f>+'Estimate Details'!#REF!</f>
        <v>#REF!</v>
      </c>
      <c r="K458" s="42" t="e">
        <f>+'Estimate Details'!#REF!</f>
        <v>#REF!</v>
      </c>
      <c r="L458" s="42" t="e">
        <f>+'Estimate Details'!#REF!</f>
        <v>#REF!</v>
      </c>
      <c r="M458" s="177" t="e">
        <f>+'Estimate Details'!#REF!</f>
        <v>#REF!</v>
      </c>
      <c r="N458" s="170" t="e">
        <f>+'Estimate Details'!#REF!</f>
        <v>#REF!</v>
      </c>
      <c r="O458" s="171" t="e">
        <f>+'Estimate Details'!#REF!</f>
        <v>#REF!</v>
      </c>
      <c r="P458" s="172" t="e">
        <f>+'Estimate Details'!#REF!</f>
        <v>#REF!</v>
      </c>
      <c r="Q458" s="173" t="e">
        <f>+'Estimate Details'!#REF!</f>
        <v>#REF!</v>
      </c>
      <c r="R458" s="174" t="e">
        <f>+'Estimate Details'!#REF!</f>
        <v>#REF!</v>
      </c>
      <c r="S458" s="507"/>
      <c r="T458" s="174" t="e">
        <f>+'Estimate Details'!#REF!</f>
        <v>#REF!</v>
      </c>
      <c r="U458" s="481" t="s">
        <v>1310</v>
      </c>
      <c r="V458" s="172" t="e">
        <f>+'Estimate Details'!#REF!</f>
        <v>#REF!</v>
      </c>
      <c r="W458" s="481" t="s">
        <v>1310</v>
      </c>
      <c r="X458" s="172" t="e">
        <f>+'Estimate Details'!#REF!</f>
        <v>#REF!</v>
      </c>
      <c r="Y458" s="172" t="e">
        <f>+'Estimate Details'!#REF!</f>
        <v>#REF!</v>
      </c>
      <c r="Z458" s="174" t="e">
        <f>+'Estimate Details'!#REF!</f>
        <v>#REF!</v>
      </c>
      <c r="AA458" s="481"/>
      <c r="AB458" s="175" t="e">
        <f>+'Estimate Details'!#REF!</f>
        <v>#REF!</v>
      </c>
      <c r="AC458" s="569"/>
      <c r="AD458" s="176" t="e">
        <f>+'Estimate Details'!#REF!</f>
        <v>#REF!</v>
      </c>
      <c r="AE458" s="156"/>
      <c r="AF458" s="156"/>
      <c r="AG458" s="156"/>
      <c r="AH458" s="156"/>
      <c r="AI458" s="29"/>
      <c r="AJ458" s="29"/>
      <c r="AK458" s="29"/>
      <c r="AL458" s="109"/>
    </row>
    <row r="459" spans="1:38" ht="14.1" customHeight="1">
      <c r="A459" s="116" t="e">
        <f>+'Estimate Details'!#REF!</f>
        <v>#REF!</v>
      </c>
      <c r="B459" s="116"/>
      <c r="C459" s="116"/>
      <c r="D459" s="166"/>
      <c r="E459" s="158" t="e">
        <f>+'Estimate Details'!#REF!</f>
        <v>#REF!</v>
      </c>
      <c r="F459" s="41"/>
      <c r="G459" s="117" t="e">
        <f>+'Estimate Details'!#REF!</f>
        <v>#REF!</v>
      </c>
      <c r="H459" s="41" t="e">
        <f>+'Estimate Details'!#REF!</f>
        <v>#REF!</v>
      </c>
      <c r="I459" s="108" t="e">
        <f>+'Estimate Details'!#REF!</f>
        <v>#REF!</v>
      </c>
      <c r="J459" s="168" t="e">
        <f>+'Estimate Details'!#REF!</f>
        <v>#REF!</v>
      </c>
      <c r="K459" s="42" t="e">
        <f>+'Estimate Details'!#REF!</f>
        <v>#REF!</v>
      </c>
      <c r="L459" s="42" t="e">
        <f>+'Estimate Details'!#REF!</f>
        <v>#REF!</v>
      </c>
      <c r="M459" s="177" t="e">
        <f>+'Estimate Details'!#REF!</f>
        <v>#REF!</v>
      </c>
      <c r="N459" s="170" t="e">
        <f>+'Estimate Details'!#REF!</f>
        <v>#REF!</v>
      </c>
      <c r="O459" s="171" t="e">
        <f>+'Estimate Details'!#REF!</f>
        <v>#REF!</v>
      </c>
      <c r="P459" s="172" t="e">
        <f>+'Estimate Details'!#REF!</f>
        <v>#REF!</v>
      </c>
      <c r="Q459" s="173" t="e">
        <f>+'Estimate Details'!#REF!</f>
        <v>#REF!</v>
      </c>
      <c r="R459" s="174" t="e">
        <f>+'Estimate Details'!#REF!</f>
        <v>#REF!</v>
      </c>
      <c r="S459" s="507"/>
      <c r="T459" s="174" t="e">
        <f>+'Estimate Details'!#REF!</f>
        <v>#REF!</v>
      </c>
      <c r="U459" s="481" t="s">
        <v>1310</v>
      </c>
      <c r="V459" s="172" t="e">
        <f>+'Estimate Details'!#REF!</f>
        <v>#REF!</v>
      </c>
      <c r="W459" s="481" t="s">
        <v>1310</v>
      </c>
      <c r="X459" s="172" t="e">
        <f>+'Estimate Details'!#REF!</f>
        <v>#REF!</v>
      </c>
      <c r="Y459" s="172" t="e">
        <f>+'Estimate Details'!#REF!</f>
        <v>#REF!</v>
      </c>
      <c r="Z459" s="174" t="e">
        <f>+'Estimate Details'!#REF!</f>
        <v>#REF!</v>
      </c>
      <c r="AA459" s="481"/>
      <c r="AB459" s="175" t="e">
        <f>+'Estimate Details'!#REF!</f>
        <v>#REF!</v>
      </c>
      <c r="AC459" s="569"/>
      <c r="AD459" s="176" t="e">
        <f>+'Estimate Details'!#REF!</f>
        <v>#REF!</v>
      </c>
      <c r="AE459" s="156"/>
      <c r="AF459" s="156"/>
      <c r="AG459" s="156"/>
      <c r="AH459" s="156"/>
      <c r="AI459" s="29"/>
      <c r="AJ459" s="29"/>
      <c r="AK459" s="29"/>
      <c r="AL459" s="109"/>
    </row>
    <row r="460" spans="1:38" ht="14.1" customHeight="1">
      <c r="A460" s="116" t="e">
        <f>+'Estimate Details'!#REF!</f>
        <v>#REF!</v>
      </c>
      <c r="B460" s="116"/>
      <c r="C460" s="116"/>
      <c r="D460" s="166"/>
      <c r="E460" s="158" t="e">
        <f>+'Estimate Details'!#REF!</f>
        <v>#REF!</v>
      </c>
      <c r="F460" s="41"/>
      <c r="G460" s="117" t="e">
        <f>+'Estimate Details'!#REF!</f>
        <v>#REF!</v>
      </c>
      <c r="H460" s="41" t="e">
        <f>+'Estimate Details'!#REF!</f>
        <v>#REF!</v>
      </c>
      <c r="I460" s="108" t="e">
        <f>+'Estimate Details'!#REF!</f>
        <v>#REF!</v>
      </c>
      <c r="J460" s="168" t="e">
        <f>+'Estimate Details'!#REF!</f>
        <v>#REF!</v>
      </c>
      <c r="K460" s="42" t="e">
        <f>+'Estimate Details'!#REF!</f>
        <v>#REF!</v>
      </c>
      <c r="L460" s="42" t="e">
        <f>+'Estimate Details'!#REF!</f>
        <v>#REF!</v>
      </c>
      <c r="M460" s="177" t="e">
        <f>+'Estimate Details'!#REF!</f>
        <v>#REF!</v>
      </c>
      <c r="N460" s="170" t="e">
        <f>+'Estimate Details'!#REF!</f>
        <v>#REF!</v>
      </c>
      <c r="O460" s="171" t="e">
        <f>+'Estimate Details'!#REF!</f>
        <v>#REF!</v>
      </c>
      <c r="P460" s="172" t="e">
        <f>+'Estimate Details'!#REF!</f>
        <v>#REF!</v>
      </c>
      <c r="Q460" s="173" t="e">
        <f>+'Estimate Details'!#REF!</f>
        <v>#REF!</v>
      </c>
      <c r="R460" s="174" t="e">
        <f>+'Estimate Details'!#REF!</f>
        <v>#REF!</v>
      </c>
      <c r="S460" s="507"/>
      <c r="T460" s="174" t="e">
        <f>+'Estimate Details'!#REF!</f>
        <v>#REF!</v>
      </c>
      <c r="U460" s="481" t="s">
        <v>1310</v>
      </c>
      <c r="V460" s="172" t="e">
        <f>+'Estimate Details'!#REF!</f>
        <v>#REF!</v>
      </c>
      <c r="W460" s="481" t="s">
        <v>1309</v>
      </c>
      <c r="X460" s="172" t="e">
        <f>+'Estimate Details'!#REF!</f>
        <v>#REF!</v>
      </c>
      <c r="Y460" s="172" t="e">
        <f>+'Estimate Details'!#REF!</f>
        <v>#REF!</v>
      </c>
      <c r="Z460" s="174" t="e">
        <f>+'Estimate Details'!#REF!</f>
        <v>#REF!</v>
      </c>
      <c r="AA460" s="481"/>
      <c r="AB460" s="175" t="e">
        <f>+'Estimate Details'!#REF!</f>
        <v>#REF!</v>
      </c>
      <c r="AC460" s="569"/>
      <c r="AD460" s="176" t="e">
        <f>+'Estimate Details'!#REF!</f>
        <v>#REF!</v>
      </c>
      <c r="AE460" s="156"/>
      <c r="AF460" s="156"/>
      <c r="AG460" s="156"/>
      <c r="AH460" s="156"/>
      <c r="AI460" s="29"/>
      <c r="AJ460" s="29"/>
      <c r="AK460" s="29"/>
      <c r="AL460" s="109"/>
    </row>
    <row r="461" spans="1:38" ht="14.1" customHeight="1">
      <c r="A461" s="116" t="e">
        <f>+'Estimate Details'!#REF!</f>
        <v>#REF!</v>
      </c>
      <c r="B461" s="116"/>
      <c r="C461" s="116"/>
      <c r="D461" s="166"/>
      <c r="E461" s="158" t="e">
        <f>+'Estimate Details'!#REF!</f>
        <v>#REF!</v>
      </c>
      <c r="F461" s="41"/>
      <c r="G461" s="116" t="e">
        <f>+'Estimate Details'!#REF!</f>
        <v>#REF!</v>
      </c>
      <c r="H461" s="118" t="e">
        <f>+'Estimate Details'!#REF!</f>
        <v>#REF!</v>
      </c>
      <c r="I461" s="217" t="e">
        <f>+'Estimate Details'!#REF!</f>
        <v>#REF!</v>
      </c>
      <c r="J461" s="42" t="e">
        <f>+'Estimate Details'!#REF!</f>
        <v>#REF!</v>
      </c>
      <c r="K461" s="42" t="e">
        <f>+'Estimate Details'!#REF!</f>
        <v>#REF!</v>
      </c>
      <c r="L461" s="42" t="e">
        <f>+'Estimate Details'!#REF!</f>
        <v>#REF!</v>
      </c>
      <c r="M461" s="235" t="e">
        <f>+'Estimate Details'!#REF!</f>
        <v>#REF!</v>
      </c>
      <c r="N461" s="170" t="e">
        <f>+'Estimate Details'!#REF!</f>
        <v>#REF!</v>
      </c>
      <c r="O461" s="171" t="e">
        <f>+'Estimate Details'!#REF!</f>
        <v>#REF!</v>
      </c>
      <c r="P461" s="172" t="e">
        <f>+'Estimate Details'!#REF!</f>
        <v>#REF!</v>
      </c>
      <c r="Q461" s="173" t="e">
        <f>+'Estimate Details'!#REF!</f>
        <v>#REF!</v>
      </c>
      <c r="R461" s="174" t="e">
        <f>+'Estimate Details'!#REF!</f>
        <v>#REF!</v>
      </c>
      <c r="S461" s="507"/>
      <c r="T461" s="174" t="e">
        <f>+'Estimate Details'!#REF!</f>
        <v>#REF!</v>
      </c>
      <c r="U461" s="481" t="s">
        <v>1309</v>
      </c>
      <c r="V461" s="172" t="e">
        <f>+'Estimate Details'!#REF!</f>
        <v>#REF!</v>
      </c>
      <c r="W461" s="481" t="s">
        <v>1310</v>
      </c>
      <c r="X461" s="172" t="e">
        <f>+'Estimate Details'!#REF!</f>
        <v>#REF!</v>
      </c>
      <c r="Y461" s="172" t="e">
        <f>+'Estimate Details'!#REF!</f>
        <v>#REF!</v>
      </c>
      <c r="Z461" s="174" t="e">
        <f>+'Estimate Details'!#REF!</f>
        <v>#REF!</v>
      </c>
      <c r="AA461" s="481"/>
      <c r="AB461" s="175" t="e">
        <f>+'Estimate Details'!#REF!</f>
        <v>#REF!</v>
      </c>
      <c r="AC461" s="569"/>
      <c r="AD461" s="176" t="e">
        <f>+'Estimate Details'!#REF!</f>
        <v>#REF!</v>
      </c>
      <c r="AE461" s="156"/>
      <c r="AF461" s="156"/>
      <c r="AG461" s="156"/>
      <c r="AH461" s="156"/>
      <c r="AI461" s="29"/>
      <c r="AJ461" s="29"/>
      <c r="AK461" s="29"/>
      <c r="AL461" s="109"/>
    </row>
    <row r="462" spans="1:38" ht="14.1" customHeight="1">
      <c r="A462" s="116" t="e">
        <f>+'Estimate Details'!#REF!</f>
        <v>#REF!</v>
      </c>
      <c r="B462" s="116"/>
      <c r="C462" s="116"/>
      <c r="D462" s="166"/>
      <c r="E462" s="158" t="e">
        <f>+'Estimate Details'!#REF!</f>
        <v>#REF!</v>
      </c>
      <c r="F462" s="41"/>
      <c r="G462" s="116" t="e">
        <f>+'Estimate Details'!#REF!</f>
        <v>#REF!</v>
      </c>
      <c r="H462" s="118" t="e">
        <f>+'Estimate Details'!#REF!</f>
        <v>#REF!</v>
      </c>
      <c r="I462" s="217" t="e">
        <f>+'Estimate Details'!#REF!</f>
        <v>#REF!</v>
      </c>
      <c r="J462" s="42" t="e">
        <f>+'Estimate Details'!#REF!</f>
        <v>#REF!</v>
      </c>
      <c r="K462" s="42" t="e">
        <f>+'Estimate Details'!#REF!</f>
        <v>#REF!</v>
      </c>
      <c r="L462" s="42" t="e">
        <f>+'Estimate Details'!#REF!</f>
        <v>#REF!</v>
      </c>
      <c r="M462" s="235" t="e">
        <f>+'Estimate Details'!#REF!</f>
        <v>#REF!</v>
      </c>
      <c r="N462" s="170" t="e">
        <f>+'Estimate Details'!#REF!</f>
        <v>#REF!</v>
      </c>
      <c r="O462" s="171" t="e">
        <f>+'Estimate Details'!#REF!</f>
        <v>#REF!</v>
      </c>
      <c r="P462" s="172" t="e">
        <f>+'Estimate Details'!#REF!</f>
        <v>#REF!</v>
      </c>
      <c r="Q462" s="173" t="e">
        <f>+'Estimate Details'!#REF!</f>
        <v>#REF!</v>
      </c>
      <c r="R462" s="174" t="e">
        <f>+'Estimate Details'!#REF!</f>
        <v>#REF!</v>
      </c>
      <c r="S462" s="507"/>
      <c r="T462" s="174" t="e">
        <f>+'Estimate Details'!#REF!</f>
        <v>#REF!</v>
      </c>
      <c r="U462" s="481" t="s">
        <v>1298</v>
      </c>
      <c r="V462" s="172" t="e">
        <f>+'Estimate Details'!#REF!</f>
        <v>#REF!</v>
      </c>
      <c r="W462" s="481" t="s">
        <v>1310</v>
      </c>
      <c r="X462" s="172" t="e">
        <f>+'Estimate Details'!#REF!</f>
        <v>#REF!</v>
      </c>
      <c r="Y462" s="172" t="e">
        <f>+'Estimate Details'!#REF!</f>
        <v>#REF!</v>
      </c>
      <c r="Z462" s="174" t="e">
        <f>+'Estimate Details'!#REF!</f>
        <v>#REF!</v>
      </c>
      <c r="AA462" s="481"/>
      <c r="AB462" s="175" t="e">
        <f>+'Estimate Details'!#REF!</f>
        <v>#REF!</v>
      </c>
      <c r="AC462" s="569"/>
      <c r="AD462" s="176" t="e">
        <f>+'Estimate Details'!#REF!</f>
        <v>#REF!</v>
      </c>
      <c r="AE462" s="156"/>
      <c r="AF462" s="156"/>
      <c r="AG462" s="156"/>
      <c r="AH462" s="156"/>
      <c r="AI462" s="29"/>
      <c r="AJ462" s="29"/>
      <c r="AK462" s="29"/>
      <c r="AL462" s="109"/>
    </row>
    <row r="463" spans="1:38" ht="14.1" customHeight="1">
      <c r="A463" s="116" t="e">
        <f>+'Estimate Details'!#REF!</f>
        <v>#REF!</v>
      </c>
      <c r="B463" s="116"/>
      <c r="C463" s="116"/>
      <c r="D463" s="166"/>
      <c r="E463" s="158" t="e">
        <f>+'Estimate Details'!#REF!</f>
        <v>#REF!</v>
      </c>
      <c r="F463" s="41"/>
      <c r="G463" s="116" t="e">
        <f>+'Estimate Details'!#REF!</f>
        <v>#REF!</v>
      </c>
      <c r="H463" s="118" t="e">
        <f>+'Estimate Details'!#REF!</f>
        <v>#REF!</v>
      </c>
      <c r="I463" s="217" t="e">
        <f>+'Estimate Details'!#REF!</f>
        <v>#REF!</v>
      </c>
      <c r="J463" s="42" t="e">
        <f>+'Estimate Details'!#REF!</f>
        <v>#REF!</v>
      </c>
      <c r="K463" s="42" t="e">
        <f>+'Estimate Details'!#REF!</f>
        <v>#REF!</v>
      </c>
      <c r="L463" s="42" t="e">
        <f>+'Estimate Details'!#REF!</f>
        <v>#REF!</v>
      </c>
      <c r="M463" s="235" t="e">
        <f>+'Estimate Details'!#REF!</f>
        <v>#REF!</v>
      </c>
      <c r="N463" s="170" t="e">
        <f>+'Estimate Details'!#REF!</f>
        <v>#REF!</v>
      </c>
      <c r="O463" s="171" t="e">
        <f>+'Estimate Details'!#REF!</f>
        <v>#REF!</v>
      </c>
      <c r="P463" s="172" t="e">
        <f>+'Estimate Details'!#REF!</f>
        <v>#REF!</v>
      </c>
      <c r="Q463" s="173" t="e">
        <f>+'Estimate Details'!#REF!</f>
        <v>#REF!</v>
      </c>
      <c r="R463" s="174" t="e">
        <f>+'Estimate Details'!#REF!</f>
        <v>#REF!</v>
      </c>
      <c r="S463" s="507"/>
      <c r="T463" s="174" t="e">
        <f>+'Estimate Details'!#REF!</f>
        <v>#REF!</v>
      </c>
      <c r="U463" s="481" t="s">
        <v>1310</v>
      </c>
      <c r="V463" s="172" t="e">
        <f>+'Estimate Details'!#REF!</f>
        <v>#REF!</v>
      </c>
      <c r="W463" s="481" t="s">
        <v>1310</v>
      </c>
      <c r="X463" s="172" t="e">
        <f>+'Estimate Details'!#REF!</f>
        <v>#REF!</v>
      </c>
      <c r="Y463" s="172" t="e">
        <f>+'Estimate Details'!#REF!</f>
        <v>#REF!</v>
      </c>
      <c r="Z463" s="174" t="e">
        <f>+'Estimate Details'!#REF!</f>
        <v>#REF!</v>
      </c>
      <c r="AA463" s="481"/>
      <c r="AB463" s="175" t="e">
        <f>+'Estimate Details'!#REF!</f>
        <v>#REF!</v>
      </c>
      <c r="AC463" s="569"/>
      <c r="AD463" s="176" t="e">
        <f>+'Estimate Details'!#REF!</f>
        <v>#REF!</v>
      </c>
      <c r="AE463" s="156"/>
      <c r="AF463" s="156"/>
      <c r="AG463" s="156"/>
      <c r="AH463" s="156"/>
      <c r="AI463" s="29"/>
      <c r="AJ463" s="29"/>
      <c r="AK463" s="29"/>
      <c r="AL463" s="109"/>
    </row>
    <row r="464" spans="1:38" ht="14.1" customHeight="1">
      <c r="A464" s="116" t="e">
        <f>+'Estimate Details'!#REF!</f>
        <v>#REF!</v>
      </c>
      <c r="B464" s="116"/>
      <c r="C464" s="116"/>
      <c r="D464" s="166"/>
      <c r="E464" s="158" t="e">
        <f>+'Estimate Details'!#REF!</f>
        <v>#REF!</v>
      </c>
      <c r="F464" s="185"/>
      <c r="G464" s="116" t="e">
        <f>+'Estimate Details'!#REF!</f>
        <v>#REF!</v>
      </c>
      <c r="H464" s="184" t="e">
        <f>+'Estimate Details'!#REF!</f>
        <v>#REF!</v>
      </c>
      <c r="I464" s="108" t="e">
        <f>+'Estimate Details'!#REF!</f>
        <v>#REF!</v>
      </c>
      <c r="J464" s="42" t="e">
        <f>+'Estimate Details'!#REF!</f>
        <v>#REF!</v>
      </c>
      <c r="K464" s="42" t="e">
        <f>+'Estimate Details'!#REF!</f>
        <v>#REF!</v>
      </c>
      <c r="L464" s="42" t="e">
        <f>+'Estimate Details'!#REF!</f>
        <v>#REF!</v>
      </c>
      <c r="M464" s="235" t="e">
        <f>+'Estimate Details'!#REF!</f>
        <v>#REF!</v>
      </c>
      <c r="N464" s="170" t="e">
        <f>+'Estimate Details'!#REF!</f>
        <v>#REF!</v>
      </c>
      <c r="O464" s="171" t="e">
        <f>+'Estimate Details'!#REF!</f>
        <v>#REF!</v>
      </c>
      <c r="P464" s="172" t="e">
        <f>+'Estimate Details'!#REF!</f>
        <v>#REF!</v>
      </c>
      <c r="Q464" s="173" t="e">
        <f>+'Estimate Details'!#REF!</f>
        <v>#REF!</v>
      </c>
      <c r="R464" s="174" t="e">
        <f>+'Estimate Details'!#REF!</f>
        <v>#REF!</v>
      </c>
      <c r="S464" s="507"/>
      <c r="T464" s="174" t="e">
        <f>+'Estimate Details'!#REF!</f>
        <v>#REF!</v>
      </c>
      <c r="U464" s="481" t="s">
        <v>1310</v>
      </c>
      <c r="V464" s="172" t="e">
        <f>+'Estimate Details'!#REF!</f>
        <v>#REF!</v>
      </c>
      <c r="W464" s="481" t="s">
        <v>1310</v>
      </c>
      <c r="X464" s="172" t="e">
        <f>+'Estimate Details'!#REF!</f>
        <v>#REF!</v>
      </c>
      <c r="Y464" s="172" t="e">
        <f>+'Estimate Details'!#REF!</f>
        <v>#REF!</v>
      </c>
      <c r="Z464" s="174" t="e">
        <f>+'Estimate Details'!#REF!</f>
        <v>#REF!</v>
      </c>
      <c r="AA464" s="481"/>
      <c r="AB464" s="175" t="e">
        <f>+'Estimate Details'!#REF!</f>
        <v>#REF!</v>
      </c>
      <c r="AC464" s="569"/>
      <c r="AD464" s="176" t="e">
        <f>+'Estimate Details'!#REF!</f>
        <v>#REF!</v>
      </c>
      <c r="AE464" s="156"/>
      <c r="AF464" s="156"/>
      <c r="AG464" s="156"/>
      <c r="AH464" s="156"/>
      <c r="AI464" s="29"/>
      <c r="AJ464" s="29"/>
      <c r="AK464" s="29"/>
      <c r="AL464" s="29"/>
    </row>
    <row r="465" spans="1:44" ht="14.1" customHeight="1">
      <c r="A465" s="116" t="e">
        <f>+'Estimate Details'!#REF!</f>
        <v>#REF!</v>
      </c>
      <c r="B465" s="116"/>
      <c r="C465" s="116"/>
      <c r="D465" s="166"/>
      <c r="E465" s="158" t="e">
        <f>+'Estimate Details'!#REF!</f>
        <v>#REF!</v>
      </c>
      <c r="F465" s="41"/>
      <c r="G465" s="117" t="e">
        <f>+'Estimate Details'!#REF!</f>
        <v>#REF!</v>
      </c>
      <c r="H465" s="118" t="e">
        <f>+'Estimate Details'!#REF!</f>
        <v>#REF!</v>
      </c>
      <c r="I465" s="108" t="e">
        <f>+'Estimate Details'!#REF!</f>
        <v>#REF!</v>
      </c>
      <c r="J465" s="116" t="e">
        <f>+'Estimate Details'!#REF!</f>
        <v>#REF!</v>
      </c>
      <c r="K465" s="116" t="e">
        <f>+'Estimate Details'!#REF!</f>
        <v>#REF!</v>
      </c>
      <c r="L465" s="116" t="e">
        <f>+'Estimate Details'!#REF!</f>
        <v>#REF!</v>
      </c>
      <c r="M465" s="204" t="e">
        <f>+'Estimate Details'!#REF!</f>
        <v>#REF!</v>
      </c>
      <c r="N465" s="194" t="e">
        <f>+'Estimate Details'!#REF!</f>
        <v>#REF!</v>
      </c>
      <c r="O465" s="171" t="e">
        <f>+'Estimate Details'!#REF!</f>
        <v>#REF!</v>
      </c>
      <c r="P465" s="172" t="e">
        <f>+'Estimate Details'!#REF!</f>
        <v>#REF!</v>
      </c>
      <c r="Q465" s="173" t="e">
        <f>+'Estimate Details'!#REF!</f>
        <v>#REF!</v>
      </c>
      <c r="R465" s="174" t="e">
        <f>+'Estimate Details'!#REF!</f>
        <v>#REF!</v>
      </c>
      <c r="S465" s="507"/>
      <c r="T465" s="174" t="e">
        <f>+'Estimate Details'!#REF!</f>
        <v>#REF!</v>
      </c>
      <c r="U465" s="481" t="s">
        <v>1310</v>
      </c>
      <c r="V465" s="172" t="e">
        <f>+'Estimate Details'!#REF!</f>
        <v>#REF!</v>
      </c>
      <c r="W465" s="481" t="s">
        <v>1310</v>
      </c>
      <c r="X465" s="172" t="e">
        <f>+'Estimate Details'!#REF!</f>
        <v>#REF!</v>
      </c>
      <c r="Y465" s="172" t="e">
        <f>+'Estimate Details'!#REF!</f>
        <v>#REF!</v>
      </c>
      <c r="Z465" s="174" t="e">
        <f>+'Estimate Details'!#REF!</f>
        <v>#REF!</v>
      </c>
      <c r="AA465" s="481"/>
      <c r="AB465" s="175" t="e">
        <f>+'Estimate Details'!#REF!</f>
        <v>#REF!</v>
      </c>
      <c r="AC465" s="569"/>
      <c r="AD465" s="183" t="e">
        <f>+'Estimate Details'!#REF!</f>
        <v>#REF!</v>
      </c>
      <c r="AE465" s="156"/>
      <c r="AF465" s="156"/>
      <c r="AG465" s="156"/>
      <c r="AH465" s="156"/>
      <c r="AI465" s="29"/>
      <c r="AJ465" s="29"/>
      <c r="AK465" s="29"/>
      <c r="AL465" s="109"/>
    </row>
    <row r="466" spans="1:44" ht="14.1" customHeight="1">
      <c r="A466" s="116" t="e">
        <f>+'Estimate Details'!#REF!</f>
        <v>#REF!</v>
      </c>
      <c r="B466" s="116"/>
      <c r="C466" s="116"/>
      <c r="D466" s="166"/>
      <c r="E466" s="158" t="e">
        <f>+'Estimate Details'!#REF!</f>
        <v>#REF!</v>
      </c>
      <c r="F466" s="41"/>
      <c r="G466" s="117" t="e">
        <f>+'Estimate Details'!#REF!</f>
        <v>#REF!</v>
      </c>
      <c r="H466" s="118" t="e">
        <f>+'Estimate Details'!#REF!</f>
        <v>#REF!</v>
      </c>
      <c r="I466" s="108" t="e">
        <f>+'Estimate Details'!#REF!</f>
        <v>#REF!</v>
      </c>
      <c r="J466" s="116" t="e">
        <f>+'Estimate Details'!#REF!</f>
        <v>#REF!</v>
      </c>
      <c r="K466" s="116" t="e">
        <f>+'Estimate Details'!#REF!</f>
        <v>#REF!</v>
      </c>
      <c r="L466" s="116" t="e">
        <f>+'Estimate Details'!#REF!</f>
        <v>#REF!</v>
      </c>
      <c r="M466" s="204" t="e">
        <f>+'Estimate Details'!#REF!</f>
        <v>#REF!</v>
      </c>
      <c r="N466" s="194" t="e">
        <f>+'Estimate Details'!#REF!</f>
        <v>#REF!</v>
      </c>
      <c r="O466" s="171" t="e">
        <f>+'Estimate Details'!#REF!</f>
        <v>#REF!</v>
      </c>
      <c r="P466" s="172" t="e">
        <f>+'Estimate Details'!#REF!</f>
        <v>#REF!</v>
      </c>
      <c r="Q466" s="173" t="e">
        <f>+'Estimate Details'!#REF!</f>
        <v>#REF!</v>
      </c>
      <c r="R466" s="174" t="e">
        <f>+'Estimate Details'!#REF!</f>
        <v>#REF!</v>
      </c>
      <c r="S466" s="507"/>
      <c r="T466" s="174" t="e">
        <f>+'Estimate Details'!#REF!</f>
        <v>#REF!</v>
      </c>
      <c r="U466" s="481" t="s">
        <v>1310</v>
      </c>
      <c r="V466" s="172" t="e">
        <f>+'Estimate Details'!#REF!</f>
        <v>#REF!</v>
      </c>
      <c r="W466" s="481" t="s">
        <v>1310</v>
      </c>
      <c r="X466" s="172" t="e">
        <f>+'Estimate Details'!#REF!</f>
        <v>#REF!</v>
      </c>
      <c r="Y466" s="172" t="e">
        <f>+'Estimate Details'!#REF!</f>
        <v>#REF!</v>
      </c>
      <c r="Z466" s="174" t="e">
        <f>+'Estimate Details'!#REF!</f>
        <v>#REF!</v>
      </c>
      <c r="AA466" s="481"/>
      <c r="AB466" s="175" t="e">
        <f>+'Estimate Details'!#REF!</f>
        <v>#REF!</v>
      </c>
      <c r="AC466" s="569"/>
      <c r="AD466" s="183" t="e">
        <f>+'Estimate Details'!#REF!</f>
        <v>#REF!</v>
      </c>
      <c r="AE466" s="156"/>
      <c r="AF466" s="156"/>
      <c r="AG466" s="156"/>
      <c r="AH466" s="156"/>
      <c r="AI466" s="29"/>
      <c r="AJ466" s="29"/>
      <c r="AK466" s="29"/>
      <c r="AL466" s="109"/>
    </row>
    <row r="467" spans="1:44" ht="14.1" customHeight="1">
      <c r="A467" s="116" t="e">
        <f>+'Estimate Details'!#REF!</f>
        <v>#REF!</v>
      </c>
      <c r="B467" s="116"/>
      <c r="C467" s="116"/>
      <c r="D467" s="166"/>
      <c r="E467" s="158" t="e">
        <f>+'Estimate Details'!#REF!</f>
        <v>#REF!</v>
      </c>
      <c r="F467" s="41"/>
      <c r="G467" s="117" t="e">
        <f>+'Estimate Details'!#REF!</f>
        <v>#REF!</v>
      </c>
      <c r="H467" s="118" t="e">
        <f>+'Estimate Details'!#REF!</f>
        <v>#REF!</v>
      </c>
      <c r="I467" s="108" t="e">
        <f>+'Estimate Details'!#REF!</f>
        <v>#REF!</v>
      </c>
      <c r="J467" s="116" t="e">
        <f>+'Estimate Details'!#REF!</f>
        <v>#REF!</v>
      </c>
      <c r="K467" s="116" t="e">
        <f>+'Estimate Details'!#REF!</f>
        <v>#REF!</v>
      </c>
      <c r="L467" s="116" t="e">
        <f>+'Estimate Details'!#REF!</f>
        <v>#REF!</v>
      </c>
      <c r="M467" s="204" t="e">
        <f>+'Estimate Details'!#REF!</f>
        <v>#REF!</v>
      </c>
      <c r="N467" s="194" t="e">
        <f>+'Estimate Details'!#REF!</f>
        <v>#REF!</v>
      </c>
      <c r="O467" s="171" t="e">
        <f>+'Estimate Details'!#REF!</f>
        <v>#REF!</v>
      </c>
      <c r="P467" s="172" t="e">
        <f>+'Estimate Details'!#REF!</f>
        <v>#REF!</v>
      </c>
      <c r="Q467" s="173" t="e">
        <f>+'Estimate Details'!#REF!</f>
        <v>#REF!</v>
      </c>
      <c r="R467" s="174" t="e">
        <f>+'Estimate Details'!#REF!</f>
        <v>#REF!</v>
      </c>
      <c r="S467" s="507"/>
      <c r="T467" s="174" t="e">
        <f>+'Estimate Details'!#REF!</f>
        <v>#REF!</v>
      </c>
      <c r="U467" s="481" t="s">
        <v>1310</v>
      </c>
      <c r="V467" s="172" t="e">
        <f>+'Estimate Details'!#REF!</f>
        <v>#REF!</v>
      </c>
      <c r="W467" s="481" t="s">
        <v>1310</v>
      </c>
      <c r="X467" s="172" t="e">
        <f>+'Estimate Details'!#REF!</f>
        <v>#REF!</v>
      </c>
      <c r="Y467" s="172" t="e">
        <f>+'Estimate Details'!#REF!</f>
        <v>#REF!</v>
      </c>
      <c r="Z467" s="174" t="e">
        <f>+'Estimate Details'!#REF!</f>
        <v>#REF!</v>
      </c>
      <c r="AA467" s="481"/>
      <c r="AB467" s="175" t="e">
        <f>+'Estimate Details'!#REF!</f>
        <v>#REF!</v>
      </c>
      <c r="AC467" s="569"/>
      <c r="AD467" s="176" t="e">
        <f>+'Estimate Details'!#REF!</f>
        <v>#REF!</v>
      </c>
      <c r="AE467" s="156"/>
      <c r="AF467" s="295"/>
      <c r="AG467" s="295"/>
      <c r="AH467" s="295"/>
      <c r="AI467" s="397"/>
      <c r="AJ467" s="397"/>
      <c r="AK467" s="29"/>
      <c r="AL467" s="29"/>
    </row>
    <row r="468" spans="1:44" ht="14.1" customHeight="1">
      <c r="A468" s="116" t="e">
        <f>+'Estimate Details'!#REF!</f>
        <v>#REF!</v>
      </c>
      <c r="B468" s="116"/>
      <c r="C468" s="116"/>
      <c r="D468" s="166"/>
      <c r="E468" s="158" t="e">
        <f>+'Estimate Details'!#REF!</f>
        <v>#REF!</v>
      </c>
      <c r="F468" s="41"/>
      <c r="G468" s="117" t="e">
        <f>+'Estimate Details'!#REF!</f>
        <v>#REF!</v>
      </c>
      <c r="H468" s="41" t="e">
        <f>+'Estimate Details'!#REF!</f>
        <v>#REF!</v>
      </c>
      <c r="I468" s="108" t="e">
        <f>+'Estimate Details'!#REF!</f>
        <v>#REF!</v>
      </c>
      <c r="J468" s="116" t="e">
        <f>+'Estimate Details'!#REF!</f>
        <v>#REF!</v>
      </c>
      <c r="K468" s="116" t="e">
        <f>+'Estimate Details'!#REF!</f>
        <v>#REF!</v>
      </c>
      <c r="L468" s="116" t="e">
        <f>+'Estimate Details'!#REF!</f>
        <v>#REF!</v>
      </c>
      <c r="M468" s="204" t="e">
        <f>+'Estimate Details'!#REF!</f>
        <v>#REF!</v>
      </c>
      <c r="N468" s="194" t="e">
        <f>+'Estimate Details'!#REF!</f>
        <v>#REF!</v>
      </c>
      <c r="O468" s="171" t="e">
        <f>+'Estimate Details'!#REF!</f>
        <v>#REF!</v>
      </c>
      <c r="P468" s="172" t="e">
        <f>+'Estimate Details'!#REF!</f>
        <v>#REF!</v>
      </c>
      <c r="Q468" s="173" t="e">
        <f>+'Estimate Details'!#REF!</f>
        <v>#REF!</v>
      </c>
      <c r="R468" s="174" t="e">
        <f>+'Estimate Details'!#REF!</f>
        <v>#REF!</v>
      </c>
      <c r="S468" s="507"/>
      <c r="T468" s="174" t="e">
        <f>+'Estimate Details'!#REF!</f>
        <v>#REF!</v>
      </c>
      <c r="U468" s="481" t="s">
        <v>1310</v>
      </c>
      <c r="V468" s="172" t="e">
        <f>+'Estimate Details'!#REF!</f>
        <v>#REF!</v>
      </c>
      <c r="W468" s="481" t="s">
        <v>1310</v>
      </c>
      <c r="X468" s="172" t="e">
        <f>+'Estimate Details'!#REF!</f>
        <v>#REF!</v>
      </c>
      <c r="Y468" s="172" t="e">
        <f>+'Estimate Details'!#REF!</f>
        <v>#REF!</v>
      </c>
      <c r="Z468" s="174" t="e">
        <f>+'Estimate Details'!#REF!</f>
        <v>#REF!</v>
      </c>
      <c r="AA468" s="481"/>
      <c r="AB468" s="175" t="e">
        <f>+'Estimate Details'!#REF!</f>
        <v>#REF!</v>
      </c>
      <c r="AC468" s="569"/>
      <c r="AD468" s="183" t="e">
        <f>+'Estimate Details'!#REF!</f>
        <v>#REF!</v>
      </c>
      <c r="AE468" s="296"/>
      <c r="AF468" s="156"/>
      <c r="AG468" s="156"/>
      <c r="AH468" s="156"/>
      <c r="AI468" s="29"/>
      <c r="AJ468" s="39"/>
      <c r="AK468" s="29"/>
      <c r="AL468" s="109"/>
    </row>
    <row r="469" spans="1:44" ht="14.25" customHeight="1">
      <c r="A469" s="116" t="e">
        <f>+'Estimate Details'!#REF!</f>
        <v>#REF!</v>
      </c>
      <c r="B469" s="116"/>
      <c r="C469" s="116"/>
      <c r="D469" s="166"/>
      <c r="E469" s="158" t="e">
        <f>+'Estimate Details'!#REF!</f>
        <v>#REF!</v>
      </c>
      <c r="F469" s="41"/>
      <c r="G469" s="117" t="e">
        <f>+'Estimate Details'!#REF!</f>
        <v>#REF!</v>
      </c>
      <c r="H469" s="41" t="e">
        <f>+'Estimate Details'!#REF!</f>
        <v>#REF!</v>
      </c>
      <c r="I469" s="108" t="e">
        <f>+'Estimate Details'!#REF!</f>
        <v>#REF!</v>
      </c>
      <c r="J469" s="116" t="e">
        <f>+'Estimate Details'!#REF!</f>
        <v>#REF!</v>
      </c>
      <c r="K469" s="116" t="e">
        <f>+'Estimate Details'!#REF!</f>
        <v>#REF!</v>
      </c>
      <c r="L469" s="116" t="e">
        <f>+'Estimate Details'!#REF!</f>
        <v>#REF!</v>
      </c>
      <c r="M469" s="204" t="e">
        <f>+'Estimate Details'!#REF!</f>
        <v>#REF!</v>
      </c>
      <c r="N469" s="194" t="e">
        <f>+'Estimate Details'!#REF!</f>
        <v>#REF!</v>
      </c>
      <c r="O469" s="171" t="e">
        <f>+'Estimate Details'!#REF!</f>
        <v>#REF!</v>
      </c>
      <c r="P469" s="172" t="e">
        <f>+'Estimate Details'!#REF!</f>
        <v>#REF!</v>
      </c>
      <c r="Q469" s="173" t="e">
        <f>+'Estimate Details'!#REF!</f>
        <v>#REF!</v>
      </c>
      <c r="R469" s="174" t="e">
        <f>+'Estimate Details'!#REF!</f>
        <v>#REF!</v>
      </c>
      <c r="S469" s="507"/>
      <c r="T469" s="174" t="e">
        <f>+'Estimate Details'!#REF!</f>
        <v>#REF!</v>
      </c>
      <c r="U469" s="481" t="s">
        <v>1302</v>
      </c>
      <c r="V469" s="172" t="e">
        <f>+'Estimate Details'!#REF!</f>
        <v>#REF!</v>
      </c>
      <c r="W469" s="481" t="s">
        <v>1309</v>
      </c>
      <c r="X469" s="172" t="e">
        <f>+'Estimate Details'!#REF!</f>
        <v>#REF!</v>
      </c>
      <c r="Y469" s="172" t="e">
        <f>+'Estimate Details'!#REF!</f>
        <v>#REF!</v>
      </c>
      <c r="Z469" s="174" t="e">
        <f>+'Estimate Details'!#REF!</f>
        <v>#REF!</v>
      </c>
      <c r="AA469" s="481"/>
      <c r="AB469" s="175" t="e">
        <f>+'Estimate Details'!#REF!</f>
        <v>#REF!</v>
      </c>
      <c r="AC469" s="569"/>
      <c r="AD469" s="183" t="e">
        <f>+'Estimate Details'!#REF!</f>
        <v>#REF!</v>
      </c>
      <c r="AE469" s="296"/>
      <c r="AF469" s="156"/>
      <c r="AG469" s="156"/>
      <c r="AH469" s="296"/>
      <c r="AI469" s="39"/>
      <c r="AJ469" s="39"/>
      <c r="AK469" s="29"/>
      <c r="AL469" s="109"/>
    </row>
    <row r="470" spans="1:44" ht="13.5" customHeight="1">
      <c r="A470" s="116" t="e">
        <f>+'Estimate Details'!#REF!</f>
        <v>#REF!</v>
      </c>
      <c r="B470" s="116"/>
      <c r="C470" s="116"/>
      <c r="D470" s="166"/>
      <c r="E470" s="158" t="e">
        <f>+'Estimate Details'!#REF!</f>
        <v>#REF!</v>
      </c>
      <c r="F470" s="41"/>
      <c r="G470" s="117" t="e">
        <f>+'Estimate Details'!#REF!</f>
        <v>#REF!</v>
      </c>
      <c r="H470" s="118" t="e">
        <f>+'Estimate Details'!#REF!</f>
        <v>#REF!</v>
      </c>
      <c r="I470" s="108" t="e">
        <f>+'Estimate Details'!#REF!</f>
        <v>#REF!</v>
      </c>
      <c r="J470" s="168" t="e">
        <f>+'Estimate Details'!#REF!</f>
        <v>#REF!</v>
      </c>
      <c r="K470" s="116" t="e">
        <f>+'Estimate Details'!#REF!</f>
        <v>#REF!</v>
      </c>
      <c r="L470" s="42" t="e">
        <f>+'Estimate Details'!#REF!</f>
        <v>#REF!</v>
      </c>
      <c r="M470" s="177" t="e">
        <f>+'Estimate Details'!#REF!</f>
        <v>#REF!</v>
      </c>
      <c r="N470" s="170" t="e">
        <f>+'Estimate Details'!#REF!</f>
        <v>#REF!</v>
      </c>
      <c r="O470" s="171" t="e">
        <f>+'Estimate Details'!#REF!</f>
        <v>#REF!</v>
      </c>
      <c r="P470" s="172" t="e">
        <f>+'Estimate Details'!#REF!</f>
        <v>#REF!</v>
      </c>
      <c r="Q470" s="173" t="e">
        <f>+'Estimate Details'!#REF!</f>
        <v>#REF!</v>
      </c>
      <c r="R470" s="174" t="e">
        <f>+'Estimate Details'!#REF!</f>
        <v>#REF!</v>
      </c>
      <c r="S470" s="507"/>
      <c r="T470" s="174" t="e">
        <f>+'Estimate Details'!#REF!</f>
        <v>#REF!</v>
      </c>
      <c r="U470" s="481"/>
      <c r="V470" s="172" t="e">
        <f>+'Estimate Details'!#REF!</f>
        <v>#REF!</v>
      </c>
      <c r="W470" s="481" t="s">
        <v>1310</v>
      </c>
      <c r="X470" s="172" t="e">
        <f>+'Estimate Details'!#REF!</f>
        <v>#REF!</v>
      </c>
      <c r="Y470" s="172" t="e">
        <f>+'Estimate Details'!#REF!</f>
        <v>#REF!</v>
      </c>
      <c r="Z470" s="174" t="e">
        <f>+'Estimate Details'!#REF!</f>
        <v>#REF!</v>
      </c>
      <c r="AA470" s="481" t="s">
        <v>1310</v>
      </c>
      <c r="AB470" s="175" t="e">
        <f>+'Estimate Details'!#REF!</f>
        <v>#REF!</v>
      </c>
      <c r="AC470" s="569"/>
      <c r="AD470" s="176" t="e">
        <f>+'Estimate Details'!#REF!</f>
        <v>#REF!</v>
      </c>
      <c r="AE470" s="296"/>
      <c r="AF470" s="156"/>
      <c r="AG470" s="156"/>
      <c r="AH470" s="156"/>
      <c r="AI470" s="29"/>
      <c r="AJ470" s="39"/>
      <c r="AK470" s="29"/>
      <c r="AL470" s="109"/>
    </row>
    <row r="471" spans="1:44" ht="14.1" customHeight="1">
      <c r="A471" s="116" t="e">
        <f>+'Estimate Details'!#REF!</f>
        <v>#REF!</v>
      </c>
      <c r="B471" s="116"/>
      <c r="C471" s="116"/>
      <c r="D471" s="166"/>
      <c r="E471" s="158" t="e">
        <f>+'Estimate Details'!#REF!</f>
        <v>#REF!</v>
      </c>
      <c r="F471" s="41"/>
      <c r="G471" s="117" t="e">
        <f>+'Estimate Details'!#REF!</f>
        <v>#REF!</v>
      </c>
      <c r="H471" s="118" t="e">
        <f>+'Estimate Details'!#REF!</f>
        <v>#REF!</v>
      </c>
      <c r="I471" s="108" t="e">
        <f>+'Estimate Details'!#REF!</f>
        <v>#REF!</v>
      </c>
      <c r="J471" s="179" t="e">
        <f>+'Estimate Details'!#REF!</f>
        <v>#REF!</v>
      </c>
      <c r="K471" s="116" t="e">
        <f>+'Estimate Details'!#REF!</f>
        <v>#REF!</v>
      </c>
      <c r="L471" s="116" t="e">
        <f>+'Estimate Details'!#REF!</f>
        <v>#REF!</v>
      </c>
      <c r="M471" s="204" t="e">
        <f>+'Estimate Details'!#REF!</f>
        <v>#REF!</v>
      </c>
      <c r="N471" s="218" t="e">
        <f>+'Estimate Details'!#REF!</f>
        <v>#REF!</v>
      </c>
      <c r="O471" s="171" t="e">
        <f>+'Estimate Details'!#REF!</f>
        <v>#REF!</v>
      </c>
      <c r="P471" s="172" t="e">
        <f>+'Estimate Details'!#REF!</f>
        <v>#REF!</v>
      </c>
      <c r="Q471" s="173" t="e">
        <f>+'Estimate Details'!#REF!</f>
        <v>#REF!</v>
      </c>
      <c r="R471" s="174" t="e">
        <f>+'Estimate Details'!#REF!</f>
        <v>#REF!</v>
      </c>
      <c r="S471" s="507" t="s">
        <v>1303</v>
      </c>
      <c r="T471" s="174" t="e">
        <f>+'Estimate Details'!#REF!</f>
        <v>#REF!</v>
      </c>
      <c r="U471" s="481"/>
      <c r="V471" s="172" t="e">
        <f>+'Estimate Details'!#REF!</f>
        <v>#REF!</v>
      </c>
      <c r="W471" s="481"/>
      <c r="X471" s="172" t="e">
        <f>+'Estimate Details'!#REF!</f>
        <v>#REF!</v>
      </c>
      <c r="Y471" s="172" t="e">
        <f>+'Estimate Details'!#REF!</f>
        <v>#REF!</v>
      </c>
      <c r="Z471" s="174" t="e">
        <f>+'Estimate Details'!#REF!</f>
        <v>#REF!</v>
      </c>
      <c r="AA471" s="481"/>
      <c r="AB471" s="175" t="e">
        <f>+'Estimate Details'!#REF!</f>
        <v>#REF!</v>
      </c>
      <c r="AC471" s="569"/>
      <c r="AD471" s="183" t="e">
        <f>+'Estimate Details'!#REF!</f>
        <v>#REF!</v>
      </c>
      <c r="AE471" s="296"/>
      <c r="AF471" s="156"/>
      <c r="AG471" s="156"/>
      <c r="AH471" s="156"/>
      <c r="AI471" s="29"/>
      <c r="AJ471" s="39"/>
      <c r="AK471" s="29"/>
      <c r="AL471" s="109"/>
    </row>
    <row r="472" spans="1:44" ht="14.1" customHeight="1">
      <c r="A472" s="116" t="e">
        <f>+'Estimate Details'!#REF!</f>
        <v>#REF!</v>
      </c>
      <c r="B472" s="116"/>
      <c r="C472" s="116"/>
      <c r="D472" s="166"/>
      <c r="E472" s="158" t="e">
        <f>+'Estimate Details'!#REF!</f>
        <v>#REF!</v>
      </c>
      <c r="F472" s="41"/>
      <c r="G472" s="117" t="e">
        <f>+'Estimate Details'!#REF!</f>
        <v>#REF!</v>
      </c>
      <c r="H472" s="118" t="e">
        <f>+'Estimate Details'!#REF!</f>
        <v>#REF!</v>
      </c>
      <c r="I472" s="108" t="e">
        <f>+'Estimate Details'!#REF!</f>
        <v>#REF!</v>
      </c>
      <c r="J472" s="179" t="e">
        <f>+'Estimate Details'!#REF!</f>
        <v>#REF!</v>
      </c>
      <c r="K472" s="116" t="e">
        <f>+'Estimate Details'!#REF!</f>
        <v>#REF!</v>
      </c>
      <c r="L472" s="116" t="e">
        <f>+'Estimate Details'!#REF!</f>
        <v>#REF!</v>
      </c>
      <c r="M472" s="204" t="e">
        <f>+'Estimate Details'!#REF!</f>
        <v>#REF!</v>
      </c>
      <c r="N472" s="218" t="e">
        <f>+'Estimate Details'!#REF!</f>
        <v>#REF!</v>
      </c>
      <c r="O472" s="171" t="e">
        <f>+'Estimate Details'!#REF!</f>
        <v>#REF!</v>
      </c>
      <c r="P472" s="172" t="e">
        <f>+'Estimate Details'!#REF!</f>
        <v>#REF!</v>
      </c>
      <c r="Q472" s="173" t="e">
        <f>+'Estimate Details'!#REF!</f>
        <v>#REF!</v>
      </c>
      <c r="R472" s="174" t="e">
        <f>+'Estimate Details'!#REF!</f>
        <v>#REF!</v>
      </c>
      <c r="S472" s="507"/>
      <c r="T472" s="174" t="e">
        <f>+'Estimate Details'!#REF!</f>
        <v>#REF!</v>
      </c>
      <c r="U472" s="481"/>
      <c r="V472" s="172" t="e">
        <f>+'Estimate Details'!#REF!</f>
        <v>#REF!</v>
      </c>
      <c r="W472" s="481" t="s">
        <v>1303</v>
      </c>
      <c r="X472" s="172" t="e">
        <f>+'Estimate Details'!#REF!</f>
        <v>#REF!</v>
      </c>
      <c r="Y472" s="172" t="e">
        <f>+'Estimate Details'!#REF!</f>
        <v>#REF!</v>
      </c>
      <c r="Z472" s="174" t="e">
        <f>+'Estimate Details'!#REF!</f>
        <v>#REF!</v>
      </c>
      <c r="AA472" s="481"/>
      <c r="AB472" s="175" t="e">
        <f>+'Estimate Details'!#REF!</f>
        <v>#REF!</v>
      </c>
      <c r="AC472" s="569"/>
      <c r="AD472" s="183" t="e">
        <f>+'Estimate Details'!#REF!</f>
        <v>#REF!</v>
      </c>
      <c r="AE472" s="296"/>
      <c r="AF472" s="156"/>
      <c r="AG472" s="156"/>
      <c r="AH472" s="296"/>
      <c r="AI472" s="39"/>
      <c r="AJ472" s="39"/>
      <c r="AK472" s="29"/>
      <c r="AL472" s="109"/>
    </row>
    <row r="473" spans="1:44" ht="14.1" customHeight="1">
      <c r="A473" s="116" t="e">
        <f>+'Estimate Details'!#REF!</f>
        <v>#REF!</v>
      </c>
      <c r="B473" s="116"/>
      <c r="C473" s="116"/>
      <c r="D473" s="166"/>
      <c r="E473" s="158" t="e">
        <f>+'Estimate Details'!#REF!</f>
        <v>#REF!</v>
      </c>
      <c r="F473" s="41"/>
      <c r="G473" s="117" t="e">
        <f>+'Estimate Details'!#REF!</f>
        <v>#REF!</v>
      </c>
      <c r="H473" s="118" t="e">
        <f>+'Estimate Details'!#REF!</f>
        <v>#REF!</v>
      </c>
      <c r="I473" s="108" t="e">
        <f>+'Estimate Details'!#REF!</f>
        <v>#REF!</v>
      </c>
      <c r="J473" s="179" t="e">
        <f>+'Estimate Details'!#REF!</f>
        <v>#REF!</v>
      </c>
      <c r="K473" s="116" t="e">
        <f>+'Estimate Details'!#REF!</f>
        <v>#REF!</v>
      </c>
      <c r="L473" s="116" t="e">
        <f>+'Estimate Details'!#REF!</f>
        <v>#REF!</v>
      </c>
      <c r="M473" s="204" t="e">
        <f>+'Estimate Details'!#REF!</f>
        <v>#REF!</v>
      </c>
      <c r="N473" s="194" t="e">
        <f>+'Estimate Details'!#REF!</f>
        <v>#REF!</v>
      </c>
      <c r="O473" s="171" t="e">
        <f>+'Estimate Details'!#REF!</f>
        <v>#REF!</v>
      </c>
      <c r="P473" s="172" t="e">
        <f>+'Estimate Details'!#REF!</f>
        <v>#REF!</v>
      </c>
      <c r="Q473" s="173" t="e">
        <f>+'Estimate Details'!#REF!</f>
        <v>#REF!</v>
      </c>
      <c r="R473" s="174" t="e">
        <f>+'Estimate Details'!#REF!</f>
        <v>#REF!</v>
      </c>
      <c r="S473" s="507"/>
      <c r="T473" s="174" t="e">
        <f>+'Estimate Details'!#REF!</f>
        <v>#REF!</v>
      </c>
      <c r="U473" s="481" t="s">
        <v>1310</v>
      </c>
      <c r="V473" s="172" t="e">
        <f>+'Estimate Details'!#REF!</f>
        <v>#REF!</v>
      </c>
      <c r="W473" s="481" t="s">
        <v>1310</v>
      </c>
      <c r="X473" s="172" t="e">
        <f>+'Estimate Details'!#REF!</f>
        <v>#REF!</v>
      </c>
      <c r="Y473" s="172" t="e">
        <f>+'Estimate Details'!#REF!</f>
        <v>#REF!</v>
      </c>
      <c r="Z473" s="174" t="e">
        <f>+'Estimate Details'!#REF!</f>
        <v>#REF!</v>
      </c>
      <c r="AA473" s="481"/>
      <c r="AB473" s="175" t="e">
        <f>+'Estimate Details'!#REF!</f>
        <v>#REF!</v>
      </c>
      <c r="AC473" s="569"/>
      <c r="AD473" s="176" t="e">
        <f>+'Estimate Details'!#REF!</f>
        <v>#REF!</v>
      </c>
      <c r="AE473" s="296"/>
      <c r="AF473" s="156"/>
      <c r="AG473" s="156"/>
      <c r="AH473" s="156"/>
      <c r="AI473" s="29"/>
      <c r="AJ473" s="39"/>
      <c r="AK473" s="29"/>
      <c r="AL473" s="109"/>
      <c r="AO473" s="399"/>
    </row>
    <row r="474" spans="1:44" s="30" customFormat="1" ht="14.1" customHeight="1">
      <c r="A474" s="116" t="e">
        <f>+'Estimate Details'!#REF!</f>
        <v>#REF!</v>
      </c>
      <c r="B474" s="116"/>
      <c r="C474" s="116"/>
      <c r="D474" s="166"/>
      <c r="E474" s="158" t="e">
        <f>+'Estimate Details'!#REF!</f>
        <v>#REF!</v>
      </c>
      <c r="F474" s="41"/>
      <c r="G474" s="117" t="e">
        <f>+'Estimate Details'!#REF!</f>
        <v>#REF!</v>
      </c>
      <c r="H474" s="118" t="e">
        <f>+'Estimate Details'!#REF!</f>
        <v>#REF!</v>
      </c>
      <c r="I474" s="108" t="e">
        <f>+'Estimate Details'!#REF!</f>
        <v>#REF!</v>
      </c>
      <c r="J474" s="179" t="e">
        <f>+'Estimate Details'!#REF!</f>
        <v>#REF!</v>
      </c>
      <c r="K474" s="116" t="e">
        <f>+'Estimate Details'!#REF!</f>
        <v>#REF!</v>
      </c>
      <c r="L474" s="116" t="e">
        <f>+'Estimate Details'!#REF!</f>
        <v>#REF!</v>
      </c>
      <c r="M474" s="204" t="e">
        <f>+'Estimate Details'!#REF!</f>
        <v>#REF!</v>
      </c>
      <c r="N474" s="194" t="e">
        <f>+'Estimate Details'!#REF!</f>
        <v>#REF!</v>
      </c>
      <c r="O474" s="171" t="e">
        <f>+'Estimate Details'!#REF!</f>
        <v>#REF!</v>
      </c>
      <c r="P474" s="172" t="e">
        <f>+'Estimate Details'!#REF!</f>
        <v>#REF!</v>
      </c>
      <c r="Q474" s="173" t="e">
        <f>+'Estimate Details'!#REF!</f>
        <v>#REF!</v>
      </c>
      <c r="R474" s="174" t="e">
        <f>+'Estimate Details'!#REF!</f>
        <v>#REF!</v>
      </c>
      <c r="S474" s="507"/>
      <c r="T474" s="174" t="e">
        <f>+'Estimate Details'!#REF!</f>
        <v>#REF!</v>
      </c>
      <c r="U474" s="481" t="s">
        <v>1310</v>
      </c>
      <c r="V474" s="172" t="e">
        <f>+'Estimate Details'!#REF!</f>
        <v>#REF!</v>
      </c>
      <c r="W474" s="481" t="s">
        <v>1310</v>
      </c>
      <c r="X474" s="172" t="e">
        <f>+'Estimate Details'!#REF!</f>
        <v>#REF!</v>
      </c>
      <c r="Y474" s="172" t="e">
        <f>+'Estimate Details'!#REF!</f>
        <v>#REF!</v>
      </c>
      <c r="Z474" s="174" t="e">
        <f>+'Estimate Details'!#REF!</f>
        <v>#REF!</v>
      </c>
      <c r="AA474" s="481"/>
      <c r="AB474" s="175" t="e">
        <f>+'Estimate Details'!#REF!</f>
        <v>#REF!</v>
      </c>
      <c r="AC474" s="569"/>
      <c r="AD474" s="176" t="e">
        <f>+'Estimate Details'!#REF!</f>
        <v>#REF!</v>
      </c>
      <c r="AE474" s="156"/>
      <c r="AF474" s="156"/>
      <c r="AG474" s="156"/>
      <c r="AH474" s="156"/>
      <c r="AI474" s="29"/>
      <c r="AJ474" s="29"/>
      <c r="AK474" s="29"/>
      <c r="AL474" s="109"/>
      <c r="AM474" s="29"/>
      <c r="AN474" s="29"/>
      <c r="AO474" s="29"/>
      <c r="AP474" s="29"/>
      <c r="AQ474" s="29"/>
      <c r="AR474" s="29"/>
    </row>
    <row r="475" spans="1:44" s="30" customFormat="1" ht="14.1" customHeight="1">
      <c r="A475" s="116" t="e">
        <f>+'Estimate Details'!#REF!</f>
        <v>#REF!</v>
      </c>
      <c r="B475" s="116"/>
      <c r="C475" s="116"/>
      <c r="D475" s="166"/>
      <c r="E475" s="158" t="e">
        <f>+'Estimate Details'!#REF!</f>
        <v>#REF!</v>
      </c>
      <c r="F475" s="41"/>
      <c r="G475" s="117" t="e">
        <f>+'Estimate Details'!#REF!</f>
        <v>#REF!</v>
      </c>
      <c r="H475" s="118" t="e">
        <f>+'Estimate Details'!#REF!</f>
        <v>#REF!</v>
      </c>
      <c r="I475" s="108" t="e">
        <f>+'Estimate Details'!#REF!</f>
        <v>#REF!</v>
      </c>
      <c r="J475" s="179" t="e">
        <f>+'Estimate Details'!#REF!</f>
        <v>#REF!</v>
      </c>
      <c r="K475" s="116" t="e">
        <f>+'Estimate Details'!#REF!</f>
        <v>#REF!</v>
      </c>
      <c r="L475" s="116" t="e">
        <f>+'Estimate Details'!#REF!</f>
        <v>#REF!</v>
      </c>
      <c r="M475" s="204" t="e">
        <f>+'Estimate Details'!#REF!</f>
        <v>#REF!</v>
      </c>
      <c r="N475" s="237" t="e">
        <f>+'Estimate Details'!#REF!</f>
        <v>#REF!</v>
      </c>
      <c r="O475" s="171" t="e">
        <f>+'Estimate Details'!#REF!</f>
        <v>#REF!</v>
      </c>
      <c r="P475" s="172" t="e">
        <f>+'Estimate Details'!#REF!</f>
        <v>#REF!</v>
      </c>
      <c r="Q475" s="173" t="e">
        <f>+'Estimate Details'!#REF!</f>
        <v>#REF!</v>
      </c>
      <c r="R475" s="174" t="e">
        <f>+'Estimate Details'!#REF!</f>
        <v>#REF!</v>
      </c>
      <c r="S475" s="507" t="s">
        <v>1297</v>
      </c>
      <c r="T475" s="174" t="e">
        <f>+'Estimate Details'!#REF!</f>
        <v>#REF!</v>
      </c>
      <c r="U475" s="481"/>
      <c r="V475" s="172" t="e">
        <f>+'Estimate Details'!#REF!</f>
        <v>#REF!</v>
      </c>
      <c r="W475" s="481"/>
      <c r="X475" s="172" t="e">
        <f>+'Estimate Details'!#REF!</f>
        <v>#REF!</v>
      </c>
      <c r="Y475" s="172" t="e">
        <f>+'Estimate Details'!#REF!</f>
        <v>#REF!</v>
      </c>
      <c r="Z475" s="174" t="e">
        <f>+'Estimate Details'!#REF!</f>
        <v>#REF!</v>
      </c>
      <c r="AA475" s="481"/>
      <c r="AB475" s="175" t="e">
        <f>+'Estimate Details'!#REF!</f>
        <v>#REF!</v>
      </c>
      <c r="AC475" s="569"/>
      <c r="AD475" s="176" t="e">
        <f>+'Estimate Details'!#REF!</f>
        <v>#REF!</v>
      </c>
      <c r="AE475" s="156"/>
      <c r="AF475" s="156"/>
      <c r="AG475" s="156"/>
      <c r="AH475" s="156"/>
      <c r="AI475" s="29"/>
      <c r="AJ475" s="29"/>
      <c r="AK475" s="29"/>
      <c r="AL475" s="109"/>
      <c r="AM475" s="29"/>
      <c r="AN475" s="29"/>
      <c r="AO475" s="29"/>
      <c r="AP475" s="29"/>
      <c r="AQ475" s="29"/>
      <c r="AR475" s="29"/>
    </row>
    <row r="476" spans="1:44" ht="14.1" customHeight="1">
      <c r="A476" s="116" t="e">
        <f>+'Estimate Details'!#REF!</f>
        <v>#REF!</v>
      </c>
      <c r="B476" s="116"/>
      <c r="C476" s="116"/>
      <c r="D476" s="166"/>
      <c r="E476" s="158" t="e">
        <f>+'Estimate Details'!#REF!</f>
        <v>#REF!</v>
      </c>
      <c r="F476" s="41"/>
      <c r="G476" s="117" t="e">
        <f>+'Estimate Details'!#REF!</f>
        <v>#REF!</v>
      </c>
      <c r="H476" s="118" t="e">
        <f>+'Estimate Details'!#REF!</f>
        <v>#REF!</v>
      </c>
      <c r="I476" s="108" t="e">
        <f>+'Estimate Details'!#REF!</f>
        <v>#REF!</v>
      </c>
      <c r="J476" s="179" t="e">
        <f>+'Estimate Details'!#REF!</f>
        <v>#REF!</v>
      </c>
      <c r="K476" s="116" t="e">
        <f>+'Estimate Details'!#REF!</f>
        <v>#REF!</v>
      </c>
      <c r="L476" s="116" t="e">
        <f>+'Estimate Details'!#REF!</f>
        <v>#REF!</v>
      </c>
      <c r="M476" s="204" t="e">
        <f>+'Estimate Details'!#REF!</f>
        <v>#REF!</v>
      </c>
      <c r="N476" s="237" t="e">
        <f>+'Estimate Details'!#REF!</f>
        <v>#REF!</v>
      </c>
      <c r="O476" s="171" t="e">
        <f>+'Estimate Details'!#REF!</f>
        <v>#REF!</v>
      </c>
      <c r="P476" s="172" t="e">
        <f>+'Estimate Details'!#REF!</f>
        <v>#REF!</v>
      </c>
      <c r="Q476" s="173" t="e">
        <f>+'Estimate Details'!#REF!</f>
        <v>#REF!</v>
      </c>
      <c r="R476" s="174" t="e">
        <f>+'Estimate Details'!#REF!</f>
        <v>#REF!</v>
      </c>
      <c r="S476" s="507"/>
      <c r="T476" s="174" t="e">
        <f>+'Estimate Details'!#REF!</f>
        <v>#REF!</v>
      </c>
      <c r="U476" s="481"/>
      <c r="V476" s="172" t="e">
        <f>+'Estimate Details'!#REF!</f>
        <v>#REF!</v>
      </c>
      <c r="W476" s="481" t="s">
        <v>1310</v>
      </c>
      <c r="X476" s="172" t="e">
        <f>+'Estimate Details'!#REF!</f>
        <v>#REF!</v>
      </c>
      <c r="Y476" s="172" t="e">
        <f>+'Estimate Details'!#REF!</f>
        <v>#REF!</v>
      </c>
      <c r="Z476" s="174" t="e">
        <f>+'Estimate Details'!#REF!</f>
        <v>#REF!</v>
      </c>
      <c r="AA476" s="481"/>
      <c r="AB476" s="175" t="e">
        <f>+'Estimate Details'!#REF!</f>
        <v>#REF!</v>
      </c>
      <c r="AC476" s="569"/>
      <c r="AD476" s="176" t="e">
        <f>+'Estimate Details'!#REF!</f>
        <v>#REF!</v>
      </c>
      <c r="AE476" s="156"/>
      <c r="AF476" s="156"/>
      <c r="AG476" s="156"/>
      <c r="AH476" s="156"/>
      <c r="AI476" s="29"/>
      <c r="AJ476" s="29"/>
      <c r="AK476" s="29"/>
      <c r="AL476" s="109"/>
    </row>
    <row r="477" spans="1:44" ht="14.1" customHeight="1">
      <c r="A477" s="116" t="e">
        <f>+'Estimate Details'!#REF!</f>
        <v>#REF!</v>
      </c>
      <c r="B477" s="116"/>
      <c r="C477" s="116"/>
      <c r="D477" s="166"/>
      <c r="E477" s="158" t="e">
        <f>+'Estimate Details'!#REF!</f>
        <v>#REF!</v>
      </c>
      <c r="F477" s="41"/>
      <c r="G477" s="117" t="e">
        <f>+'Estimate Details'!#REF!</f>
        <v>#REF!</v>
      </c>
      <c r="H477" s="118" t="e">
        <f>+'Estimate Details'!#REF!</f>
        <v>#REF!</v>
      </c>
      <c r="I477" s="108" t="e">
        <f>+'Estimate Details'!#REF!</f>
        <v>#REF!</v>
      </c>
      <c r="J477" s="179" t="e">
        <f>+'Estimate Details'!#REF!</f>
        <v>#REF!</v>
      </c>
      <c r="K477" s="116" t="e">
        <f>+'Estimate Details'!#REF!</f>
        <v>#REF!</v>
      </c>
      <c r="L477" s="116" t="e">
        <f>+'Estimate Details'!#REF!</f>
        <v>#REF!</v>
      </c>
      <c r="M477" s="204" t="e">
        <f>+'Estimate Details'!#REF!</f>
        <v>#REF!</v>
      </c>
      <c r="N477" s="218" t="e">
        <f>+'Estimate Details'!#REF!</f>
        <v>#REF!</v>
      </c>
      <c r="O477" s="171" t="e">
        <f>+'Estimate Details'!#REF!</f>
        <v>#REF!</v>
      </c>
      <c r="P477" s="172" t="e">
        <f>+'Estimate Details'!#REF!</f>
        <v>#REF!</v>
      </c>
      <c r="Q477" s="173" t="e">
        <f>+'Estimate Details'!#REF!</f>
        <v>#REF!</v>
      </c>
      <c r="R477" s="174" t="e">
        <f>+'Estimate Details'!#REF!</f>
        <v>#REF!</v>
      </c>
      <c r="S477" s="507" t="s">
        <v>1304</v>
      </c>
      <c r="T477" s="174" t="e">
        <f>+'Estimate Details'!#REF!</f>
        <v>#REF!</v>
      </c>
      <c r="U477" s="481"/>
      <c r="V477" s="172" t="e">
        <f>+'Estimate Details'!#REF!</f>
        <v>#REF!</v>
      </c>
      <c r="W477" s="481" t="s">
        <v>1304</v>
      </c>
      <c r="X477" s="172" t="e">
        <f>+'Estimate Details'!#REF!</f>
        <v>#REF!</v>
      </c>
      <c r="Y477" s="172" t="e">
        <f>+'Estimate Details'!#REF!</f>
        <v>#REF!</v>
      </c>
      <c r="Z477" s="174" t="e">
        <f>+'Estimate Details'!#REF!</f>
        <v>#REF!</v>
      </c>
      <c r="AA477" s="481"/>
      <c r="AB477" s="175" t="e">
        <f>+'Estimate Details'!#REF!</f>
        <v>#REF!</v>
      </c>
      <c r="AC477" s="569"/>
      <c r="AD477" s="183" t="e">
        <f>+'Estimate Details'!#REF!</f>
        <v>#REF!</v>
      </c>
      <c r="AE477" s="156"/>
      <c r="AF477" s="156"/>
      <c r="AG477" s="156"/>
      <c r="AH477" s="156"/>
      <c r="AI477" s="29"/>
      <c r="AJ477" s="29"/>
      <c r="AK477" s="29"/>
      <c r="AL477" s="109"/>
    </row>
    <row r="478" spans="1:44" ht="14.1" customHeight="1">
      <c r="A478" s="116" t="e">
        <f>+'Estimate Details'!#REF!</f>
        <v>#REF!</v>
      </c>
      <c r="B478" s="116"/>
      <c r="C478" s="116"/>
      <c r="D478" s="166"/>
      <c r="E478" s="158" t="e">
        <f>+'Estimate Details'!#REF!</f>
        <v>#REF!</v>
      </c>
      <c r="F478" s="41"/>
      <c r="G478" s="117" t="e">
        <f>+'Estimate Details'!#REF!</f>
        <v>#REF!</v>
      </c>
      <c r="H478" s="118" t="e">
        <f>+'Estimate Details'!#REF!</f>
        <v>#REF!</v>
      </c>
      <c r="I478" s="108" t="e">
        <f>+'Estimate Details'!#REF!</f>
        <v>#REF!</v>
      </c>
      <c r="J478" s="179" t="e">
        <f>+'Estimate Details'!#REF!</f>
        <v>#REF!</v>
      </c>
      <c r="K478" s="116" t="e">
        <f>+'Estimate Details'!#REF!</f>
        <v>#REF!</v>
      </c>
      <c r="L478" s="116" t="e">
        <f>+'Estimate Details'!#REF!</f>
        <v>#REF!</v>
      </c>
      <c r="M478" s="204" t="e">
        <f>+'Estimate Details'!#REF!</f>
        <v>#REF!</v>
      </c>
      <c r="N478" s="194" t="e">
        <f>+'Estimate Details'!#REF!</f>
        <v>#REF!</v>
      </c>
      <c r="O478" s="171" t="e">
        <f>+'Estimate Details'!#REF!</f>
        <v>#REF!</v>
      </c>
      <c r="P478" s="172" t="e">
        <f>+'Estimate Details'!#REF!</f>
        <v>#REF!</v>
      </c>
      <c r="Q478" s="173" t="e">
        <f>+'Estimate Details'!#REF!</f>
        <v>#REF!</v>
      </c>
      <c r="R478" s="174" t="e">
        <f>+'Estimate Details'!#REF!</f>
        <v>#REF!</v>
      </c>
      <c r="S478" s="507"/>
      <c r="T478" s="174" t="e">
        <f>+'Estimate Details'!#REF!</f>
        <v>#REF!</v>
      </c>
      <c r="U478" s="481" t="s">
        <v>1309</v>
      </c>
      <c r="V478" s="172" t="e">
        <f>+'Estimate Details'!#REF!</f>
        <v>#REF!</v>
      </c>
      <c r="W478" s="481" t="s">
        <v>1309</v>
      </c>
      <c r="X478" s="172" t="e">
        <f>+'Estimate Details'!#REF!</f>
        <v>#REF!</v>
      </c>
      <c r="Y478" s="172" t="e">
        <f>+'Estimate Details'!#REF!</f>
        <v>#REF!</v>
      </c>
      <c r="Z478" s="174" t="e">
        <f>+'Estimate Details'!#REF!</f>
        <v>#REF!</v>
      </c>
      <c r="AA478" s="481"/>
      <c r="AB478" s="175" t="e">
        <f>+'Estimate Details'!#REF!</f>
        <v>#REF!</v>
      </c>
      <c r="AC478" s="569"/>
      <c r="AD478" s="183" t="e">
        <f>+'Estimate Details'!#REF!</f>
        <v>#REF!</v>
      </c>
      <c r="AE478" s="156"/>
      <c r="AF478" s="156"/>
      <c r="AG478" s="156"/>
      <c r="AH478" s="156"/>
      <c r="AI478" s="29"/>
      <c r="AJ478" s="29"/>
      <c r="AK478" s="29"/>
      <c r="AL478" s="109"/>
    </row>
    <row r="479" spans="1:44" ht="14.1" customHeight="1">
      <c r="A479" s="116" t="e">
        <f>+'Estimate Details'!#REF!</f>
        <v>#REF!</v>
      </c>
      <c r="B479" s="116"/>
      <c r="C479" s="116"/>
      <c r="D479" s="166"/>
      <c r="E479" s="158" t="e">
        <f>+'Estimate Details'!#REF!</f>
        <v>#REF!</v>
      </c>
      <c r="F479" s="41"/>
      <c r="G479" s="117" t="e">
        <f>+'Estimate Details'!#REF!</f>
        <v>#REF!</v>
      </c>
      <c r="H479" s="118" t="e">
        <f>+'Estimate Details'!#REF!</f>
        <v>#REF!</v>
      </c>
      <c r="I479" s="108" t="e">
        <f>+'Estimate Details'!#REF!</f>
        <v>#REF!</v>
      </c>
      <c r="J479" s="179" t="e">
        <f>+'Estimate Details'!#REF!</f>
        <v>#REF!</v>
      </c>
      <c r="K479" s="116" t="e">
        <f>+'Estimate Details'!#REF!</f>
        <v>#REF!</v>
      </c>
      <c r="L479" s="116" t="e">
        <f>+'Estimate Details'!#REF!</f>
        <v>#REF!</v>
      </c>
      <c r="M479" s="204" t="e">
        <f>+'Estimate Details'!#REF!</f>
        <v>#REF!</v>
      </c>
      <c r="N479" s="194" t="e">
        <f>+'Estimate Details'!#REF!</f>
        <v>#REF!</v>
      </c>
      <c r="O479" s="171" t="e">
        <f>+'Estimate Details'!#REF!</f>
        <v>#REF!</v>
      </c>
      <c r="P479" s="172" t="e">
        <f>+'Estimate Details'!#REF!</f>
        <v>#REF!</v>
      </c>
      <c r="Q479" s="173" t="e">
        <f>+'Estimate Details'!#REF!</f>
        <v>#REF!</v>
      </c>
      <c r="R479" s="174" t="e">
        <f>+'Estimate Details'!#REF!</f>
        <v>#REF!</v>
      </c>
      <c r="S479" s="507"/>
      <c r="T479" s="174" t="e">
        <f>+'Estimate Details'!#REF!</f>
        <v>#REF!</v>
      </c>
      <c r="U479" s="481"/>
      <c r="V479" s="172" t="e">
        <f>+'Estimate Details'!#REF!</f>
        <v>#REF!</v>
      </c>
      <c r="W479" s="481"/>
      <c r="X479" s="172" t="e">
        <f>+'Estimate Details'!#REF!</f>
        <v>#REF!</v>
      </c>
      <c r="Y479" s="172" t="e">
        <f>+'Estimate Details'!#REF!</f>
        <v>#REF!</v>
      </c>
      <c r="Z479" s="174" t="e">
        <f>+'Estimate Details'!#REF!</f>
        <v>#REF!</v>
      </c>
      <c r="AA479" s="481"/>
      <c r="AB479" s="175" t="e">
        <f>+'Estimate Details'!#REF!</f>
        <v>#REF!</v>
      </c>
      <c r="AC479" s="569"/>
      <c r="AD479" s="183" t="e">
        <f>+'Estimate Details'!#REF!</f>
        <v>#REF!</v>
      </c>
      <c r="AE479" s="156"/>
      <c r="AF479" s="156"/>
      <c r="AG479" s="156"/>
      <c r="AH479" s="156"/>
      <c r="AI479" s="29"/>
      <c r="AJ479" s="29"/>
      <c r="AK479" s="29"/>
      <c r="AL479" s="109"/>
    </row>
    <row r="480" spans="1:44" ht="14.1" customHeight="1">
      <c r="A480" s="116" t="e">
        <f>+'Estimate Details'!#REF!</f>
        <v>#REF!</v>
      </c>
      <c r="B480" s="116"/>
      <c r="C480" s="116"/>
      <c r="D480" s="166"/>
      <c r="E480" s="158" t="e">
        <f>+'Estimate Details'!#REF!</f>
        <v>#REF!</v>
      </c>
      <c r="F480" s="41"/>
      <c r="G480" s="117" t="e">
        <f>+'Estimate Details'!#REF!</f>
        <v>#REF!</v>
      </c>
      <c r="H480" s="118" t="e">
        <f>+'Estimate Details'!#REF!</f>
        <v>#REF!</v>
      </c>
      <c r="I480" s="108" t="e">
        <f>+'Estimate Details'!#REF!</f>
        <v>#REF!</v>
      </c>
      <c r="J480" s="179" t="e">
        <f>+'Estimate Details'!#REF!</f>
        <v>#REF!</v>
      </c>
      <c r="K480" s="116" t="e">
        <f>+'Estimate Details'!#REF!</f>
        <v>#REF!</v>
      </c>
      <c r="L480" s="116" t="e">
        <f>+'Estimate Details'!#REF!</f>
        <v>#REF!</v>
      </c>
      <c r="M480" s="204" t="e">
        <f>+'Estimate Details'!#REF!</f>
        <v>#REF!</v>
      </c>
      <c r="N480" s="218" t="e">
        <f>+'Estimate Details'!#REF!</f>
        <v>#REF!</v>
      </c>
      <c r="O480" s="171" t="e">
        <f>+'Estimate Details'!#REF!</f>
        <v>#REF!</v>
      </c>
      <c r="P480" s="172" t="e">
        <f>+'Estimate Details'!#REF!</f>
        <v>#REF!</v>
      </c>
      <c r="Q480" s="173" t="e">
        <f>+'Estimate Details'!#REF!</f>
        <v>#REF!</v>
      </c>
      <c r="R480" s="174" t="e">
        <f>+'Estimate Details'!#REF!</f>
        <v>#REF!</v>
      </c>
      <c r="S480" s="507" t="s">
        <v>1304</v>
      </c>
      <c r="T480" s="174" t="e">
        <f>+'Estimate Details'!#REF!</f>
        <v>#REF!</v>
      </c>
      <c r="U480" s="481"/>
      <c r="V480" s="172" t="e">
        <f>+'Estimate Details'!#REF!</f>
        <v>#REF!</v>
      </c>
      <c r="W480" s="481" t="s">
        <v>1304</v>
      </c>
      <c r="X480" s="172" t="e">
        <f>+'Estimate Details'!#REF!</f>
        <v>#REF!</v>
      </c>
      <c r="Y480" s="172" t="e">
        <f>+'Estimate Details'!#REF!</f>
        <v>#REF!</v>
      </c>
      <c r="Z480" s="174" t="e">
        <f>+'Estimate Details'!#REF!</f>
        <v>#REF!</v>
      </c>
      <c r="AA480" s="481"/>
      <c r="AB480" s="175" t="e">
        <f>+'Estimate Details'!#REF!</f>
        <v>#REF!</v>
      </c>
      <c r="AC480" s="569"/>
      <c r="AD480" s="183" t="e">
        <f>+'Estimate Details'!#REF!</f>
        <v>#REF!</v>
      </c>
      <c r="AE480" s="156"/>
      <c r="AF480" s="156"/>
      <c r="AG480" s="156"/>
      <c r="AH480" s="156"/>
      <c r="AI480" s="29"/>
      <c r="AJ480" s="29"/>
      <c r="AK480" s="29"/>
      <c r="AL480" s="109"/>
    </row>
    <row r="481" spans="1:38" ht="14.1" customHeight="1">
      <c r="A481" s="116" t="e">
        <f>+'Estimate Details'!#REF!</f>
        <v>#REF!</v>
      </c>
      <c r="B481" s="116"/>
      <c r="C481" s="116"/>
      <c r="D481" s="166"/>
      <c r="E481" s="158" t="e">
        <f>+'Estimate Details'!#REF!</f>
        <v>#REF!</v>
      </c>
      <c r="F481" s="41"/>
      <c r="G481" s="117" t="e">
        <f>+'Estimate Details'!#REF!</f>
        <v>#REF!</v>
      </c>
      <c r="H481" s="118" t="e">
        <f>+'Estimate Details'!#REF!</f>
        <v>#REF!</v>
      </c>
      <c r="I481" s="108" t="e">
        <f>+'Estimate Details'!#REF!</f>
        <v>#REF!</v>
      </c>
      <c r="J481" s="179" t="e">
        <f>+'Estimate Details'!#REF!</f>
        <v>#REF!</v>
      </c>
      <c r="K481" s="116" t="e">
        <f>+'Estimate Details'!#REF!</f>
        <v>#REF!</v>
      </c>
      <c r="L481" s="116" t="e">
        <f>+'Estimate Details'!#REF!</f>
        <v>#REF!</v>
      </c>
      <c r="M481" s="204" t="e">
        <f>+'Estimate Details'!#REF!</f>
        <v>#REF!</v>
      </c>
      <c r="N481" s="194" t="e">
        <f>+'Estimate Details'!#REF!</f>
        <v>#REF!</v>
      </c>
      <c r="O481" s="171" t="e">
        <f>+'Estimate Details'!#REF!</f>
        <v>#REF!</v>
      </c>
      <c r="P481" s="172" t="e">
        <f>+'Estimate Details'!#REF!</f>
        <v>#REF!</v>
      </c>
      <c r="Q481" s="173" t="e">
        <f>+'Estimate Details'!#REF!</f>
        <v>#REF!</v>
      </c>
      <c r="R481" s="174" t="e">
        <f>+'Estimate Details'!#REF!</f>
        <v>#REF!</v>
      </c>
      <c r="S481" s="507" t="s">
        <v>1304</v>
      </c>
      <c r="T481" s="174" t="e">
        <f>+'Estimate Details'!#REF!</f>
        <v>#REF!</v>
      </c>
      <c r="U481" s="481"/>
      <c r="V481" s="172" t="e">
        <f>+'Estimate Details'!#REF!</f>
        <v>#REF!</v>
      </c>
      <c r="W481" s="481"/>
      <c r="X481" s="172" t="e">
        <f>+'Estimate Details'!#REF!</f>
        <v>#REF!</v>
      </c>
      <c r="Y481" s="172" t="e">
        <f>+'Estimate Details'!#REF!</f>
        <v>#REF!</v>
      </c>
      <c r="Z481" s="174" t="e">
        <f>+'Estimate Details'!#REF!</f>
        <v>#REF!</v>
      </c>
      <c r="AA481" s="481"/>
      <c r="AB481" s="175" t="e">
        <f>+'Estimate Details'!#REF!</f>
        <v>#REF!</v>
      </c>
      <c r="AC481" s="569"/>
      <c r="AD481" s="183" t="e">
        <f>+'Estimate Details'!#REF!</f>
        <v>#REF!</v>
      </c>
      <c r="AE481" s="156"/>
      <c r="AF481" s="156"/>
      <c r="AG481" s="156"/>
      <c r="AH481" s="156"/>
      <c r="AI481" s="29"/>
      <c r="AJ481" s="29"/>
      <c r="AK481" s="29"/>
      <c r="AL481" s="109"/>
    </row>
    <row r="482" spans="1:38" ht="14.1" customHeight="1">
      <c r="A482" s="116" t="e">
        <f>+'Estimate Details'!#REF!</f>
        <v>#REF!</v>
      </c>
      <c r="B482" s="116"/>
      <c r="C482" s="116"/>
      <c r="D482" s="166"/>
      <c r="E482" s="158" t="e">
        <f>+'Estimate Details'!#REF!</f>
        <v>#REF!</v>
      </c>
      <c r="F482" s="41"/>
      <c r="G482" s="117" t="e">
        <f>+'Estimate Details'!#REF!</f>
        <v>#REF!</v>
      </c>
      <c r="H482" s="118" t="e">
        <f>+'Estimate Details'!#REF!</f>
        <v>#REF!</v>
      </c>
      <c r="I482" s="108" t="e">
        <f>+'Estimate Details'!#REF!</f>
        <v>#REF!</v>
      </c>
      <c r="J482" s="179" t="e">
        <f>+'Estimate Details'!#REF!</f>
        <v>#REF!</v>
      </c>
      <c r="K482" s="116" t="e">
        <f>+'Estimate Details'!#REF!</f>
        <v>#REF!</v>
      </c>
      <c r="L482" s="116" t="e">
        <f>+'Estimate Details'!#REF!</f>
        <v>#REF!</v>
      </c>
      <c r="M482" s="204" t="e">
        <f>+'Estimate Details'!#REF!</f>
        <v>#REF!</v>
      </c>
      <c r="N482" s="194" t="e">
        <f>+'Estimate Details'!#REF!</f>
        <v>#REF!</v>
      </c>
      <c r="O482" s="171" t="e">
        <f>+'Estimate Details'!#REF!</f>
        <v>#REF!</v>
      </c>
      <c r="P482" s="172" t="e">
        <f>+'Estimate Details'!#REF!</f>
        <v>#REF!</v>
      </c>
      <c r="Q482" s="173" t="e">
        <f>+'Estimate Details'!#REF!</f>
        <v>#REF!</v>
      </c>
      <c r="R482" s="174" t="e">
        <f>+'Estimate Details'!#REF!</f>
        <v>#REF!</v>
      </c>
      <c r="S482" s="507"/>
      <c r="T482" s="174" t="e">
        <f>+'Estimate Details'!#REF!</f>
        <v>#REF!</v>
      </c>
      <c r="U482" s="481"/>
      <c r="V482" s="172" t="e">
        <f>+'Estimate Details'!#REF!</f>
        <v>#REF!</v>
      </c>
      <c r="W482" s="481" t="s">
        <v>1304</v>
      </c>
      <c r="X482" s="172" t="e">
        <f>+'Estimate Details'!#REF!</f>
        <v>#REF!</v>
      </c>
      <c r="Y482" s="172" t="e">
        <f>+'Estimate Details'!#REF!</f>
        <v>#REF!</v>
      </c>
      <c r="Z482" s="174" t="e">
        <f>+'Estimate Details'!#REF!</f>
        <v>#REF!</v>
      </c>
      <c r="AA482" s="481"/>
      <c r="AB482" s="175" t="e">
        <f>+'Estimate Details'!#REF!</f>
        <v>#REF!</v>
      </c>
      <c r="AC482" s="569"/>
      <c r="AD482" s="183" t="e">
        <f>+'Estimate Details'!#REF!</f>
        <v>#REF!</v>
      </c>
      <c r="AE482" s="156"/>
      <c r="AF482" s="156"/>
      <c r="AG482" s="156"/>
      <c r="AH482" s="156"/>
      <c r="AI482" s="29"/>
      <c r="AJ482" s="29"/>
      <c r="AK482" s="29"/>
      <c r="AL482" s="109"/>
    </row>
    <row r="483" spans="1:38" ht="14.1" customHeight="1">
      <c r="A483" s="116" t="e">
        <f>+'Estimate Details'!#REF!</f>
        <v>#REF!</v>
      </c>
      <c r="B483" s="116"/>
      <c r="C483" s="116"/>
      <c r="D483" s="166"/>
      <c r="E483" s="158" t="e">
        <f>+'Estimate Details'!#REF!</f>
        <v>#REF!</v>
      </c>
      <c r="F483" s="41"/>
      <c r="G483" s="117" t="e">
        <f>+'Estimate Details'!#REF!</f>
        <v>#REF!</v>
      </c>
      <c r="H483" s="118" t="e">
        <f>+'Estimate Details'!#REF!</f>
        <v>#REF!</v>
      </c>
      <c r="I483" s="108" t="e">
        <f>+'Estimate Details'!#REF!</f>
        <v>#REF!</v>
      </c>
      <c r="J483" s="179" t="e">
        <f>+'Estimate Details'!#REF!</f>
        <v>#REF!</v>
      </c>
      <c r="K483" s="116" t="e">
        <f>+'Estimate Details'!#REF!</f>
        <v>#REF!</v>
      </c>
      <c r="L483" s="116" t="e">
        <f>+'Estimate Details'!#REF!</f>
        <v>#REF!</v>
      </c>
      <c r="M483" s="204" t="e">
        <f>+'Estimate Details'!#REF!</f>
        <v>#REF!</v>
      </c>
      <c r="N483" s="194" t="e">
        <f>+'Estimate Details'!#REF!</f>
        <v>#REF!</v>
      </c>
      <c r="O483" s="171" t="e">
        <f>+'Estimate Details'!#REF!</f>
        <v>#REF!</v>
      </c>
      <c r="P483" s="172" t="e">
        <f>+'Estimate Details'!#REF!</f>
        <v>#REF!</v>
      </c>
      <c r="Q483" s="173" t="e">
        <f>+'Estimate Details'!#REF!</f>
        <v>#REF!</v>
      </c>
      <c r="R483" s="174" t="e">
        <f>+'Estimate Details'!#REF!</f>
        <v>#REF!</v>
      </c>
      <c r="S483" s="507" t="s">
        <v>1304</v>
      </c>
      <c r="T483" s="174" t="e">
        <f>+'Estimate Details'!#REF!</f>
        <v>#REF!</v>
      </c>
      <c r="U483" s="481"/>
      <c r="V483" s="172" t="e">
        <f>+'Estimate Details'!#REF!</f>
        <v>#REF!</v>
      </c>
      <c r="W483" s="481"/>
      <c r="X483" s="172" t="e">
        <f>+'Estimate Details'!#REF!</f>
        <v>#REF!</v>
      </c>
      <c r="Y483" s="172" t="e">
        <f>+'Estimate Details'!#REF!</f>
        <v>#REF!</v>
      </c>
      <c r="Z483" s="174" t="e">
        <f>+'Estimate Details'!#REF!</f>
        <v>#REF!</v>
      </c>
      <c r="AA483" s="481"/>
      <c r="AB483" s="175" t="e">
        <f>+'Estimate Details'!#REF!</f>
        <v>#REF!</v>
      </c>
      <c r="AC483" s="569"/>
      <c r="AD483" s="183" t="e">
        <f>+'Estimate Details'!#REF!</f>
        <v>#REF!</v>
      </c>
      <c r="AE483" s="156"/>
      <c r="AF483" s="156"/>
      <c r="AG483" s="156"/>
      <c r="AH483" s="156"/>
      <c r="AI483" s="29"/>
      <c r="AJ483" s="29"/>
      <c r="AK483" s="29"/>
      <c r="AL483" s="109"/>
    </row>
    <row r="484" spans="1:38" ht="14.1" customHeight="1">
      <c r="A484" s="116" t="e">
        <f>+'Estimate Details'!#REF!</f>
        <v>#REF!</v>
      </c>
      <c r="B484" s="116"/>
      <c r="C484" s="116"/>
      <c r="D484" s="166"/>
      <c r="E484" s="158" t="e">
        <f>+'Estimate Details'!#REF!</f>
        <v>#REF!</v>
      </c>
      <c r="F484" s="41"/>
      <c r="G484" s="117" t="e">
        <f>+'Estimate Details'!#REF!</f>
        <v>#REF!</v>
      </c>
      <c r="H484" s="118" t="e">
        <f>+'Estimate Details'!#REF!</f>
        <v>#REF!</v>
      </c>
      <c r="I484" s="108" t="e">
        <f>+'Estimate Details'!#REF!</f>
        <v>#REF!</v>
      </c>
      <c r="J484" s="179" t="e">
        <f>+'Estimate Details'!#REF!</f>
        <v>#REF!</v>
      </c>
      <c r="K484" s="116" t="e">
        <f>+'Estimate Details'!#REF!</f>
        <v>#REF!</v>
      </c>
      <c r="L484" s="116" t="e">
        <f>+'Estimate Details'!#REF!</f>
        <v>#REF!</v>
      </c>
      <c r="M484" s="204" t="e">
        <f>+'Estimate Details'!#REF!</f>
        <v>#REF!</v>
      </c>
      <c r="N484" s="194" t="e">
        <f>+'Estimate Details'!#REF!</f>
        <v>#REF!</v>
      </c>
      <c r="O484" s="171" t="e">
        <f>+'Estimate Details'!#REF!</f>
        <v>#REF!</v>
      </c>
      <c r="P484" s="172" t="e">
        <f>+'Estimate Details'!#REF!</f>
        <v>#REF!</v>
      </c>
      <c r="Q484" s="173" t="e">
        <f>+'Estimate Details'!#REF!</f>
        <v>#REF!</v>
      </c>
      <c r="R484" s="174" t="e">
        <f>+'Estimate Details'!#REF!</f>
        <v>#REF!</v>
      </c>
      <c r="S484" s="507"/>
      <c r="T484" s="174" t="e">
        <f>+'Estimate Details'!#REF!</f>
        <v>#REF!</v>
      </c>
      <c r="U484" s="481" t="s">
        <v>1304</v>
      </c>
      <c r="V484" s="172" t="e">
        <f>+'Estimate Details'!#REF!</f>
        <v>#REF!</v>
      </c>
      <c r="W484" s="481" t="s">
        <v>1304</v>
      </c>
      <c r="X484" s="172" t="e">
        <f>+'Estimate Details'!#REF!</f>
        <v>#REF!</v>
      </c>
      <c r="Y484" s="172" t="e">
        <f>+'Estimate Details'!#REF!</f>
        <v>#REF!</v>
      </c>
      <c r="Z484" s="174" t="e">
        <f>+'Estimate Details'!#REF!</f>
        <v>#REF!</v>
      </c>
      <c r="AA484" s="481"/>
      <c r="AB484" s="175" t="e">
        <f>+'Estimate Details'!#REF!</f>
        <v>#REF!</v>
      </c>
      <c r="AC484" s="569"/>
      <c r="AD484" s="183" t="e">
        <f>+'Estimate Details'!#REF!</f>
        <v>#REF!</v>
      </c>
      <c r="AE484" s="156"/>
      <c r="AF484" s="156"/>
      <c r="AG484" s="156"/>
      <c r="AH484" s="156"/>
      <c r="AI484" s="29"/>
      <c r="AJ484" s="29"/>
      <c r="AK484" s="29"/>
      <c r="AL484" s="109"/>
    </row>
    <row r="485" spans="1:38" ht="14.1" customHeight="1">
      <c r="A485" s="116" t="e">
        <f>+'Estimate Details'!#REF!</f>
        <v>#REF!</v>
      </c>
      <c r="B485" s="116"/>
      <c r="C485" s="116"/>
      <c r="D485" s="166"/>
      <c r="E485" s="158" t="e">
        <f>+'Estimate Details'!#REF!</f>
        <v>#REF!</v>
      </c>
      <c r="F485" s="41"/>
      <c r="G485" s="117" t="e">
        <f>+'Estimate Details'!#REF!</f>
        <v>#REF!</v>
      </c>
      <c r="H485" s="118" t="e">
        <f>+'Estimate Details'!#REF!</f>
        <v>#REF!</v>
      </c>
      <c r="I485" s="108" t="e">
        <f>+'Estimate Details'!#REF!</f>
        <v>#REF!</v>
      </c>
      <c r="J485" s="179" t="e">
        <f>+'Estimate Details'!#REF!</f>
        <v>#REF!</v>
      </c>
      <c r="K485" s="116" t="e">
        <f>+'Estimate Details'!#REF!</f>
        <v>#REF!</v>
      </c>
      <c r="L485" s="116" t="e">
        <f>+'Estimate Details'!#REF!</f>
        <v>#REF!</v>
      </c>
      <c r="M485" s="204" t="e">
        <f>+'Estimate Details'!#REF!</f>
        <v>#REF!</v>
      </c>
      <c r="N485" s="238" t="e">
        <f>+'Estimate Details'!#REF!</f>
        <v>#REF!</v>
      </c>
      <c r="O485" s="171" t="e">
        <f>+'Estimate Details'!#REF!</f>
        <v>#REF!</v>
      </c>
      <c r="P485" s="172" t="e">
        <f>+'Estimate Details'!#REF!</f>
        <v>#REF!</v>
      </c>
      <c r="Q485" s="173" t="e">
        <f>+'Estimate Details'!#REF!</f>
        <v>#REF!</v>
      </c>
      <c r="R485" s="174" t="e">
        <f>+'Estimate Details'!#REF!</f>
        <v>#REF!</v>
      </c>
      <c r="S485" s="507"/>
      <c r="T485" s="174" t="e">
        <f>+'Estimate Details'!#REF!</f>
        <v>#REF!</v>
      </c>
      <c r="U485" s="481" t="s">
        <v>1298</v>
      </c>
      <c r="V485" s="172" t="e">
        <f>+'Estimate Details'!#REF!</f>
        <v>#REF!</v>
      </c>
      <c r="W485" s="481" t="s">
        <v>1310</v>
      </c>
      <c r="X485" s="172" t="e">
        <f>+'Estimate Details'!#REF!</f>
        <v>#REF!</v>
      </c>
      <c r="Y485" s="172" t="e">
        <f>+'Estimate Details'!#REF!</f>
        <v>#REF!</v>
      </c>
      <c r="Z485" s="174" t="e">
        <f>+'Estimate Details'!#REF!</f>
        <v>#REF!</v>
      </c>
      <c r="AA485" s="481"/>
      <c r="AB485" s="175" t="e">
        <f>+'Estimate Details'!#REF!</f>
        <v>#REF!</v>
      </c>
      <c r="AC485" s="569"/>
      <c r="AD485" s="176" t="e">
        <f>+'Estimate Details'!#REF!</f>
        <v>#REF!</v>
      </c>
      <c r="AE485" s="156"/>
      <c r="AF485" s="156"/>
      <c r="AG485" s="156"/>
      <c r="AH485" s="156"/>
      <c r="AI485" s="29"/>
      <c r="AJ485" s="29"/>
      <c r="AK485" s="29"/>
      <c r="AL485" s="109"/>
    </row>
    <row r="486" spans="1:38" ht="14.1" customHeight="1">
      <c r="A486" s="116" t="e">
        <f>+'Estimate Details'!#REF!</f>
        <v>#REF!</v>
      </c>
      <c r="B486" s="116"/>
      <c r="C486" s="116"/>
      <c r="D486" s="166"/>
      <c r="E486" s="158" t="e">
        <f>+'Estimate Details'!#REF!</f>
        <v>#REF!</v>
      </c>
      <c r="F486" s="41"/>
      <c r="G486" s="117" t="e">
        <f>+'Estimate Details'!#REF!</f>
        <v>#REF!</v>
      </c>
      <c r="H486" s="118" t="e">
        <f>+'Estimate Details'!#REF!</f>
        <v>#REF!</v>
      </c>
      <c r="I486" s="108" t="e">
        <f>+'Estimate Details'!#REF!</f>
        <v>#REF!</v>
      </c>
      <c r="J486" s="179" t="e">
        <f>+'Estimate Details'!#REF!</f>
        <v>#REF!</v>
      </c>
      <c r="K486" s="116" t="e">
        <f>+'Estimate Details'!#REF!</f>
        <v>#REF!</v>
      </c>
      <c r="L486" s="116" t="e">
        <f>+'Estimate Details'!#REF!</f>
        <v>#REF!</v>
      </c>
      <c r="M486" s="204" t="e">
        <f>+'Estimate Details'!#REF!</f>
        <v>#REF!</v>
      </c>
      <c r="N486" s="194" t="e">
        <f>+'Estimate Details'!#REF!</f>
        <v>#REF!</v>
      </c>
      <c r="O486" s="171" t="e">
        <f>+'Estimate Details'!#REF!</f>
        <v>#REF!</v>
      </c>
      <c r="P486" s="172" t="e">
        <f>+'Estimate Details'!#REF!</f>
        <v>#REF!</v>
      </c>
      <c r="Q486" s="173" t="e">
        <f>+'Estimate Details'!#REF!</f>
        <v>#REF!</v>
      </c>
      <c r="R486" s="174" t="e">
        <f>+'Estimate Details'!#REF!</f>
        <v>#REF!</v>
      </c>
      <c r="S486" s="507"/>
      <c r="T486" s="174" t="e">
        <f>+'Estimate Details'!#REF!</f>
        <v>#REF!</v>
      </c>
      <c r="U486" s="481" t="s">
        <v>1310</v>
      </c>
      <c r="V486" s="172" t="e">
        <f>+'Estimate Details'!#REF!</f>
        <v>#REF!</v>
      </c>
      <c r="W486" s="481" t="s">
        <v>1310</v>
      </c>
      <c r="X486" s="172" t="e">
        <f>+'Estimate Details'!#REF!</f>
        <v>#REF!</v>
      </c>
      <c r="Y486" s="172" t="e">
        <f>+'Estimate Details'!#REF!</f>
        <v>#REF!</v>
      </c>
      <c r="Z486" s="174" t="e">
        <f>+'Estimate Details'!#REF!</f>
        <v>#REF!</v>
      </c>
      <c r="AA486" s="481"/>
      <c r="AB486" s="175" t="e">
        <f>+'Estimate Details'!#REF!</f>
        <v>#REF!</v>
      </c>
      <c r="AC486" s="569"/>
      <c r="AD486" s="176" t="e">
        <f>+'Estimate Details'!#REF!</f>
        <v>#REF!</v>
      </c>
      <c r="AE486" s="156"/>
      <c r="AF486" s="156"/>
      <c r="AG486" s="156"/>
      <c r="AH486" s="156"/>
      <c r="AI486" s="29"/>
      <c r="AJ486" s="29"/>
      <c r="AK486" s="29"/>
      <c r="AL486" s="109"/>
    </row>
    <row r="487" spans="1:38" ht="14.1" customHeight="1">
      <c r="A487" s="116" t="e">
        <f>+'Estimate Details'!#REF!</f>
        <v>#REF!</v>
      </c>
      <c r="B487" s="116"/>
      <c r="C487" s="116"/>
      <c r="D487" s="166"/>
      <c r="E487" s="158" t="e">
        <f>+'Estimate Details'!#REF!</f>
        <v>#REF!</v>
      </c>
      <c r="F487" s="41"/>
      <c r="G487" s="117" t="e">
        <f>+'Estimate Details'!#REF!</f>
        <v>#REF!</v>
      </c>
      <c r="H487" s="118" t="e">
        <f>+'Estimate Details'!#REF!</f>
        <v>#REF!</v>
      </c>
      <c r="I487" s="108" t="e">
        <f>+'Estimate Details'!#REF!</f>
        <v>#REF!</v>
      </c>
      <c r="J487" s="179" t="e">
        <f>+'Estimate Details'!#REF!</f>
        <v>#REF!</v>
      </c>
      <c r="K487" s="116" t="e">
        <f>+'Estimate Details'!#REF!</f>
        <v>#REF!</v>
      </c>
      <c r="L487" s="116" t="e">
        <f>+'Estimate Details'!#REF!</f>
        <v>#REF!</v>
      </c>
      <c r="M487" s="204" t="e">
        <f>+'Estimate Details'!#REF!</f>
        <v>#REF!</v>
      </c>
      <c r="N487" s="194" t="e">
        <f>+'Estimate Details'!#REF!</f>
        <v>#REF!</v>
      </c>
      <c r="O487" s="171" t="e">
        <f>+'Estimate Details'!#REF!</f>
        <v>#REF!</v>
      </c>
      <c r="P487" s="172" t="e">
        <f>+'Estimate Details'!#REF!</f>
        <v>#REF!</v>
      </c>
      <c r="Q487" s="173" t="e">
        <f>+'Estimate Details'!#REF!</f>
        <v>#REF!</v>
      </c>
      <c r="R487" s="174" t="e">
        <f>+'Estimate Details'!#REF!</f>
        <v>#REF!</v>
      </c>
      <c r="S487" s="507"/>
      <c r="T487" s="174" t="e">
        <f>+'Estimate Details'!#REF!</f>
        <v>#REF!</v>
      </c>
      <c r="U487" s="481" t="s">
        <v>1310</v>
      </c>
      <c r="V487" s="172" t="e">
        <f>+'Estimate Details'!#REF!</f>
        <v>#REF!</v>
      </c>
      <c r="W487" s="481" t="s">
        <v>1310</v>
      </c>
      <c r="X487" s="172" t="e">
        <f>+'Estimate Details'!#REF!</f>
        <v>#REF!</v>
      </c>
      <c r="Y487" s="172" t="e">
        <f>+'Estimate Details'!#REF!</f>
        <v>#REF!</v>
      </c>
      <c r="Z487" s="174" t="e">
        <f>+'Estimate Details'!#REF!</f>
        <v>#REF!</v>
      </c>
      <c r="AA487" s="481"/>
      <c r="AB487" s="175" t="e">
        <f>+'Estimate Details'!#REF!</f>
        <v>#REF!</v>
      </c>
      <c r="AC487" s="569"/>
      <c r="AD487" s="176" t="e">
        <f>+'Estimate Details'!#REF!</f>
        <v>#REF!</v>
      </c>
      <c r="AE487" s="156"/>
      <c r="AF487" s="156"/>
      <c r="AG487" s="156"/>
      <c r="AH487" s="156"/>
      <c r="AI487" s="29"/>
      <c r="AJ487" s="29"/>
      <c r="AK487" s="29"/>
      <c r="AL487" s="109"/>
    </row>
    <row r="488" spans="1:38" ht="14.1" customHeight="1">
      <c r="A488" s="116" t="e">
        <f>+'Estimate Details'!#REF!</f>
        <v>#REF!</v>
      </c>
      <c r="B488" s="116"/>
      <c r="C488" s="116"/>
      <c r="D488" s="166"/>
      <c r="E488" s="158" t="e">
        <f>+'Estimate Details'!#REF!</f>
        <v>#REF!</v>
      </c>
      <c r="F488" s="41"/>
      <c r="G488" s="117" t="e">
        <f>+'Estimate Details'!#REF!</f>
        <v>#REF!</v>
      </c>
      <c r="H488" s="118" t="e">
        <f>+'Estimate Details'!#REF!</f>
        <v>#REF!</v>
      </c>
      <c r="I488" s="108" t="e">
        <f>+'Estimate Details'!#REF!</f>
        <v>#REF!</v>
      </c>
      <c r="J488" s="179" t="e">
        <f>+'Estimate Details'!#REF!</f>
        <v>#REF!</v>
      </c>
      <c r="K488" s="116" t="e">
        <f>+'Estimate Details'!#REF!</f>
        <v>#REF!</v>
      </c>
      <c r="L488" s="116" t="e">
        <f>+'Estimate Details'!#REF!</f>
        <v>#REF!</v>
      </c>
      <c r="M488" s="204" t="e">
        <f>+'Estimate Details'!#REF!</f>
        <v>#REF!</v>
      </c>
      <c r="N488" s="194" t="e">
        <f>+'Estimate Details'!#REF!</f>
        <v>#REF!</v>
      </c>
      <c r="O488" s="171" t="e">
        <f>+'Estimate Details'!#REF!</f>
        <v>#REF!</v>
      </c>
      <c r="P488" s="172" t="e">
        <f>+'Estimate Details'!#REF!</f>
        <v>#REF!</v>
      </c>
      <c r="Q488" s="173" t="e">
        <f>+'Estimate Details'!#REF!</f>
        <v>#REF!</v>
      </c>
      <c r="R488" s="174" t="e">
        <f>+'Estimate Details'!#REF!</f>
        <v>#REF!</v>
      </c>
      <c r="S488" s="507"/>
      <c r="T488" s="174" t="e">
        <f>+'Estimate Details'!#REF!</f>
        <v>#REF!</v>
      </c>
      <c r="U488" s="481" t="s">
        <v>1310</v>
      </c>
      <c r="V488" s="172" t="e">
        <f>+'Estimate Details'!#REF!</f>
        <v>#REF!</v>
      </c>
      <c r="W488" s="481" t="s">
        <v>1310</v>
      </c>
      <c r="X488" s="172" t="e">
        <f>+'Estimate Details'!#REF!</f>
        <v>#REF!</v>
      </c>
      <c r="Y488" s="172" t="e">
        <f>+'Estimate Details'!#REF!</f>
        <v>#REF!</v>
      </c>
      <c r="Z488" s="174" t="e">
        <f>+'Estimate Details'!#REF!</f>
        <v>#REF!</v>
      </c>
      <c r="AA488" s="481"/>
      <c r="AB488" s="175" t="e">
        <f>+'Estimate Details'!#REF!</f>
        <v>#REF!</v>
      </c>
      <c r="AC488" s="569"/>
      <c r="AD488" s="176" t="e">
        <f>+'Estimate Details'!#REF!</f>
        <v>#REF!</v>
      </c>
      <c r="AE488" s="156"/>
      <c r="AF488" s="156"/>
      <c r="AG488" s="156"/>
      <c r="AH488" s="156"/>
      <c r="AI488" s="29"/>
      <c r="AJ488" s="29"/>
      <c r="AK488" s="29"/>
      <c r="AL488" s="109"/>
    </row>
    <row r="489" spans="1:38" ht="14.1" customHeight="1">
      <c r="A489" s="116" t="e">
        <f>+'Estimate Details'!#REF!</f>
        <v>#REF!</v>
      </c>
      <c r="B489" s="116"/>
      <c r="C489" s="116"/>
      <c r="D489" s="166"/>
      <c r="E489" s="158" t="e">
        <f>+'Estimate Details'!#REF!</f>
        <v>#REF!</v>
      </c>
      <c r="F489" s="41"/>
      <c r="G489" s="117" t="e">
        <f>+'Estimate Details'!#REF!</f>
        <v>#REF!</v>
      </c>
      <c r="H489" s="118" t="e">
        <f>+'Estimate Details'!#REF!</f>
        <v>#REF!</v>
      </c>
      <c r="I489" s="108" t="e">
        <f>+'Estimate Details'!#REF!</f>
        <v>#REF!</v>
      </c>
      <c r="J489" s="179" t="e">
        <f>+'Estimate Details'!#REF!</f>
        <v>#REF!</v>
      </c>
      <c r="K489" s="116" t="e">
        <f>+'Estimate Details'!#REF!</f>
        <v>#REF!</v>
      </c>
      <c r="L489" s="116" t="e">
        <f>+'Estimate Details'!#REF!</f>
        <v>#REF!</v>
      </c>
      <c r="M489" s="204" t="e">
        <f>+'Estimate Details'!#REF!</f>
        <v>#REF!</v>
      </c>
      <c r="N489" s="194" t="e">
        <f>+'Estimate Details'!#REF!</f>
        <v>#REF!</v>
      </c>
      <c r="O489" s="171" t="e">
        <f>+'Estimate Details'!#REF!</f>
        <v>#REF!</v>
      </c>
      <c r="P489" s="172" t="e">
        <f>+'Estimate Details'!#REF!</f>
        <v>#REF!</v>
      </c>
      <c r="Q489" s="173" t="e">
        <f>+'Estimate Details'!#REF!</f>
        <v>#REF!</v>
      </c>
      <c r="R489" s="174" t="e">
        <f>+'Estimate Details'!#REF!</f>
        <v>#REF!</v>
      </c>
      <c r="S489" s="507"/>
      <c r="T489" s="174" t="e">
        <f>+'Estimate Details'!#REF!</f>
        <v>#REF!</v>
      </c>
      <c r="U489" s="481" t="s">
        <v>1309</v>
      </c>
      <c r="V489" s="172" t="e">
        <f>+'Estimate Details'!#REF!</f>
        <v>#REF!</v>
      </c>
      <c r="W489" s="481" t="s">
        <v>1310</v>
      </c>
      <c r="X489" s="172" t="e">
        <f>+'Estimate Details'!#REF!</f>
        <v>#REF!</v>
      </c>
      <c r="Y489" s="172" t="e">
        <f>+'Estimate Details'!#REF!</f>
        <v>#REF!</v>
      </c>
      <c r="Z489" s="174" t="e">
        <f>+'Estimate Details'!#REF!</f>
        <v>#REF!</v>
      </c>
      <c r="AA489" s="481"/>
      <c r="AB489" s="175" t="e">
        <f>+'Estimate Details'!#REF!</f>
        <v>#REF!</v>
      </c>
      <c r="AC489" s="569"/>
      <c r="AD489" s="176" t="e">
        <f>+'Estimate Details'!#REF!</f>
        <v>#REF!</v>
      </c>
      <c r="AE489" s="156"/>
      <c r="AF489" s="156"/>
      <c r="AG489" s="156"/>
      <c r="AH489" s="156"/>
      <c r="AI489" s="29"/>
      <c r="AJ489" s="29"/>
      <c r="AK489" s="29"/>
      <c r="AL489" s="109"/>
    </row>
    <row r="490" spans="1:38" ht="14.1" customHeight="1">
      <c r="A490" s="116" t="e">
        <f>+'Estimate Details'!#REF!</f>
        <v>#REF!</v>
      </c>
      <c r="B490" s="116"/>
      <c r="C490" s="116"/>
      <c r="D490" s="166"/>
      <c r="E490" s="158" t="e">
        <f>+'Estimate Details'!#REF!</f>
        <v>#REF!</v>
      </c>
      <c r="F490" s="41"/>
      <c r="G490" s="117" t="e">
        <f>+'Estimate Details'!#REF!</f>
        <v>#REF!</v>
      </c>
      <c r="H490" s="118" t="e">
        <f>+'Estimate Details'!#REF!</f>
        <v>#REF!</v>
      </c>
      <c r="I490" s="108" t="e">
        <f>+'Estimate Details'!#REF!</f>
        <v>#REF!</v>
      </c>
      <c r="J490" s="179" t="e">
        <f>+'Estimate Details'!#REF!</f>
        <v>#REF!</v>
      </c>
      <c r="K490" s="116" t="e">
        <f>+'Estimate Details'!#REF!</f>
        <v>#REF!</v>
      </c>
      <c r="L490" s="116" t="e">
        <f>+'Estimate Details'!#REF!</f>
        <v>#REF!</v>
      </c>
      <c r="M490" s="204" t="e">
        <f>+'Estimate Details'!#REF!</f>
        <v>#REF!</v>
      </c>
      <c r="N490" s="194" t="e">
        <f>+'Estimate Details'!#REF!</f>
        <v>#REF!</v>
      </c>
      <c r="O490" s="171" t="e">
        <f>+'Estimate Details'!#REF!</f>
        <v>#REF!</v>
      </c>
      <c r="P490" s="172" t="e">
        <f>+'Estimate Details'!#REF!</f>
        <v>#REF!</v>
      </c>
      <c r="Q490" s="173" t="e">
        <f>+'Estimate Details'!#REF!</f>
        <v>#REF!</v>
      </c>
      <c r="R490" s="174" t="e">
        <f>+'Estimate Details'!#REF!</f>
        <v>#REF!</v>
      </c>
      <c r="S490" s="507"/>
      <c r="T490" s="174" t="e">
        <f>+'Estimate Details'!#REF!</f>
        <v>#REF!</v>
      </c>
      <c r="U490" s="481"/>
      <c r="V490" s="172" t="e">
        <f>+'Estimate Details'!#REF!</f>
        <v>#REF!</v>
      </c>
      <c r="W490" s="481" t="s">
        <v>1310</v>
      </c>
      <c r="X490" s="172" t="e">
        <f>+'Estimate Details'!#REF!</f>
        <v>#REF!</v>
      </c>
      <c r="Y490" s="172" t="e">
        <f>+'Estimate Details'!#REF!</f>
        <v>#REF!</v>
      </c>
      <c r="Z490" s="174" t="e">
        <f>+'Estimate Details'!#REF!</f>
        <v>#REF!</v>
      </c>
      <c r="AA490" s="481" t="s">
        <v>1310</v>
      </c>
      <c r="AB490" s="175" t="e">
        <f>+'Estimate Details'!#REF!</f>
        <v>#REF!</v>
      </c>
      <c r="AC490" s="569"/>
      <c r="AD490" s="176" t="e">
        <f>+'Estimate Details'!#REF!</f>
        <v>#REF!</v>
      </c>
      <c r="AE490" s="156"/>
      <c r="AF490" s="156"/>
      <c r="AG490" s="156"/>
      <c r="AH490" s="156"/>
      <c r="AI490" s="29"/>
      <c r="AJ490" s="29"/>
      <c r="AK490" s="29"/>
      <c r="AL490" s="109"/>
    </row>
    <row r="491" spans="1:38" ht="14.1" customHeight="1">
      <c r="A491" s="116" t="e">
        <f>+'Estimate Details'!#REF!</f>
        <v>#REF!</v>
      </c>
      <c r="B491" s="116"/>
      <c r="C491" s="116"/>
      <c r="D491" s="166"/>
      <c r="E491" s="158" t="e">
        <f>+'Estimate Details'!#REF!</f>
        <v>#REF!</v>
      </c>
      <c r="F491" s="41"/>
      <c r="G491" s="117" t="e">
        <f>+'Estimate Details'!#REF!</f>
        <v>#REF!</v>
      </c>
      <c r="H491" s="118" t="e">
        <f>+'Estimate Details'!#REF!</f>
        <v>#REF!</v>
      </c>
      <c r="I491" s="108" t="e">
        <f>+'Estimate Details'!#REF!</f>
        <v>#REF!</v>
      </c>
      <c r="J491" s="179" t="e">
        <f>+'Estimate Details'!#REF!</f>
        <v>#REF!</v>
      </c>
      <c r="K491" s="116" t="e">
        <f>+'Estimate Details'!#REF!</f>
        <v>#REF!</v>
      </c>
      <c r="L491" s="116" t="e">
        <f>+'Estimate Details'!#REF!</f>
        <v>#REF!</v>
      </c>
      <c r="M491" s="204" t="e">
        <f>+'Estimate Details'!#REF!</f>
        <v>#REF!</v>
      </c>
      <c r="N491" s="194" t="e">
        <f>+'Estimate Details'!#REF!</f>
        <v>#REF!</v>
      </c>
      <c r="O491" s="171" t="e">
        <f>+'Estimate Details'!#REF!</f>
        <v>#REF!</v>
      </c>
      <c r="P491" s="172" t="e">
        <f>+'Estimate Details'!#REF!</f>
        <v>#REF!</v>
      </c>
      <c r="Q491" s="173" t="e">
        <f>+'Estimate Details'!#REF!</f>
        <v>#REF!</v>
      </c>
      <c r="R491" s="174" t="e">
        <f>+'Estimate Details'!#REF!</f>
        <v>#REF!</v>
      </c>
      <c r="S491" s="507"/>
      <c r="T491" s="174" t="e">
        <f>+'Estimate Details'!#REF!</f>
        <v>#REF!</v>
      </c>
      <c r="U491" s="481" t="s">
        <v>1310</v>
      </c>
      <c r="V491" s="172" t="e">
        <f>+'Estimate Details'!#REF!</f>
        <v>#REF!</v>
      </c>
      <c r="W491" s="481" t="s">
        <v>1310</v>
      </c>
      <c r="X491" s="172" t="e">
        <f>+'Estimate Details'!#REF!</f>
        <v>#REF!</v>
      </c>
      <c r="Y491" s="172" t="e">
        <f>+'Estimate Details'!#REF!</f>
        <v>#REF!</v>
      </c>
      <c r="Z491" s="174" t="e">
        <f>+'Estimate Details'!#REF!</f>
        <v>#REF!</v>
      </c>
      <c r="AA491" s="481"/>
      <c r="AB491" s="175" t="e">
        <f>+'Estimate Details'!#REF!</f>
        <v>#REF!</v>
      </c>
      <c r="AC491" s="569"/>
      <c r="AD491" s="176" t="e">
        <f>+'Estimate Details'!#REF!</f>
        <v>#REF!</v>
      </c>
      <c r="AE491" s="296"/>
      <c r="AF491" s="156"/>
      <c r="AG491" s="156"/>
      <c r="AH491" s="156"/>
      <c r="AI491" s="29"/>
      <c r="AJ491" s="39"/>
      <c r="AK491" s="29"/>
      <c r="AL491" s="109"/>
    </row>
    <row r="492" spans="1:38" ht="14.1" customHeight="1">
      <c r="A492" s="116" t="e">
        <f>+'Estimate Details'!#REF!</f>
        <v>#REF!</v>
      </c>
      <c r="B492" s="116"/>
      <c r="C492" s="116"/>
      <c r="D492" s="166"/>
      <c r="E492" s="158" t="e">
        <f>+'Estimate Details'!#REF!</f>
        <v>#REF!</v>
      </c>
      <c r="F492" s="41"/>
      <c r="G492" s="117" t="e">
        <f>+'Estimate Details'!#REF!</f>
        <v>#REF!</v>
      </c>
      <c r="H492" s="118" t="e">
        <f>+'Estimate Details'!#REF!</f>
        <v>#REF!</v>
      </c>
      <c r="I492" s="108" t="e">
        <f>+'Estimate Details'!#REF!</f>
        <v>#REF!</v>
      </c>
      <c r="J492" s="179" t="e">
        <f>+'Estimate Details'!#REF!</f>
        <v>#REF!</v>
      </c>
      <c r="K492" s="116" t="e">
        <f>+'Estimate Details'!#REF!</f>
        <v>#REF!</v>
      </c>
      <c r="L492" s="116" t="e">
        <f>+'Estimate Details'!#REF!</f>
        <v>#REF!</v>
      </c>
      <c r="M492" s="204" t="e">
        <f>+'Estimate Details'!#REF!</f>
        <v>#REF!</v>
      </c>
      <c r="N492" s="194" t="e">
        <f>+'Estimate Details'!#REF!</f>
        <v>#REF!</v>
      </c>
      <c r="O492" s="171" t="e">
        <f>+'Estimate Details'!#REF!</f>
        <v>#REF!</v>
      </c>
      <c r="P492" s="172" t="e">
        <f>+'Estimate Details'!#REF!</f>
        <v>#REF!</v>
      </c>
      <c r="Q492" s="173" t="e">
        <f>+'Estimate Details'!#REF!</f>
        <v>#REF!</v>
      </c>
      <c r="R492" s="174" t="e">
        <f>+'Estimate Details'!#REF!</f>
        <v>#REF!</v>
      </c>
      <c r="S492" s="507"/>
      <c r="T492" s="174" t="e">
        <f>+'Estimate Details'!#REF!</f>
        <v>#REF!</v>
      </c>
      <c r="U492" s="481" t="s">
        <v>1310</v>
      </c>
      <c r="V492" s="172" t="e">
        <f>+'Estimate Details'!#REF!</f>
        <v>#REF!</v>
      </c>
      <c r="W492" s="481" t="s">
        <v>1310</v>
      </c>
      <c r="X492" s="172" t="e">
        <f>+'Estimate Details'!#REF!</f>
        <v>#REF!</v>
      </c>
      <c r="Y492" s="172" t="e">
        <f>+'Estimate Details'!#REF!</f>
        <v>#REF!</v>
      </c>
      <c r="Z492" s="174" t="e">
        <f>+'Estimate Details'!#REF!</f>
        <v>#REF!</v>
      </c>
      <c r="AA492" s="481"/>
      <c r="AB492" s="175" t="e">
        <f>+'Estimate Details'!#REF!</f>
        <v>#REF!</v>
      </c>
      <c r="AC492" s="569"/>
      <c r="AD492" s="176" t="e">
        <f>+'Estimate Details'!#REF!</f>
        <v>#REF!</v>
      </c>
      <c r="AE492" s="156"/>
      <c r="AF492" s="156"/>
      <c r="AG492" s="156"/>
      <c r="AH492" s="156"/>
      <c r="AI492" s="29"/>
      <c r="AJ492" s="29"/>
      <c r="AK492" s="29"/>
      <c r="AL492" s="109"/>
    </row>
    <row r="493" spans="1:38" ht="14.1" customHeight="1">
      <c r="A493" s="116" t="e">
        <f>+'Estimate Details'!#REF!</f>
        <v>#REF!</v>
      </c>
      <c r="B493" s="116"/>
      <c r="C493" s="116"/>
      <c r="D493" s="166"/>
      <c r="E493" s="158" t="e">
        <f>+'Estimate Details'!#REF!</f>
        <v>#REF!</v>
      </c>
      <c r="F493" s="41"/>
      <c r="G493" s="117" t="e">
        <f>+'Estimate Details'!#REF!</f>
        <v>#REF!</v>
      </c>
      <c r="H493" s="118" t="e">
        <f>+'Estimate Details'!#REF!</f>
        <v>#REF!</v>
      </c>
      <c r="I493" s="108" t="e">
        <f>+'Estimate Details'!#REF!</f>
        <v>#REF!</v>
      </c>
      <c r="J493" s="179" t="e">
        <f>+'Estimate Details'!#REF!</f>
        <v>#REF!</v>
      </c>
      <c r="K493" s="116" t="e">
        <f>+'Estimate Details'!#REF!</f>
        <v>#REF!</v>
      </c>
      <c r="L493" s="116" t="e">
        <f>+'Estimate Details'!#REF!</f>
        <v>#REF!</v>
      </c>
      <c r="M493" s="204" t="e">
        <f>+'Estimate Details'!#REF!</f>
        <v>#REF!</v>
      </c>
      <c r="N493" s="194" t="e">
        <f>+'Estimate Details'!#REF!</f>
        <v>#REF!</v>
      </c>
      <c r="O493" s="171" t="e">
        <f>+'Estimate Details'!#REF!</f>
        <v>#REF!</v>
      </c>
      <c r="P493" s="172" t="e">
        <f>+'Estimate Details'!#REF!</f>
        <v>#REF!</v>
      </c>
      <c r="Q493" s="173" t="e">
        <f>+'Estimate Details'!#REF!</f>
        <v>#REF!</v>
      </c>
      <c r="R493" s="174" t="e">
        <f>+'Estimate Details'!#REF!</f>
        <v>#REF!</v>
      </c>
      <c r="S493" s="507"/>
      <c r="T493" s="174" t="e">
        <f>+'Estimate Details'!#REF!</f>
        <v>#REF!</v>
      </c>
      <c r="U493" s="481" t="s">
        <v>1310</v>
      </c>
      <c r="V493" s="172" t="e">
        <f>+'Estimate Details'!#REF!</f>
        <v>#REF!</v>
      </c>
      <c r="W493" s="481" t="s">
        <v>1310</v>
      </c>
      <c r="X493" s="172" t="e">
        <f>+'Estimate Details'!#REF!</f>
        <v>#REF!</v>
      </c>
      <c r="Y493" s="172" t="e">
        <f>+'Estimate Details'!#REF!</f>
        <v>#REF!</v>
      </c>
      <c r="Z493" s="174" t="e">
        <f>+'Estimate Details'!#REF!</f>
        <v>#REF!</v>
      </c>
      <c r="AA493" s="481"/>
      <c r="AB493" s="175" t="e">
        <f>+'Estimate Details'!#REF!</f>
        <v>#REF!</v>
      </c>
      <c r="AC493" s="569"/>
      <c r="AD493" s="176" t="e">
        <f>+'Estimate Details'!#REF!</f>
        <v>#REF!</v>
      </c>
      <c r="AE493" s="156"/>
      <c r="AF493" s="156"/>
      <c r="AG493" s="156"/>
      <c r="AH493" s="156"/>
      <c r="AI493" s="29"/>
      <c r="AJ493" s="29"/>
      <c r="AK493" s="29"/>
      <c r="AL493" s="109"/>
    </row>
    <row r="494" spans="1:38" ht="14.1" customHeight="1">
      <c r="A494" s="116" t="e">
        <f>+'Estimate Details'!#REF!</f>
        <v>#REF!</v>
      </c>
      <c r="B494" s="116"/>
      <c r="C494" s="116"/>
      <c r="D494" s="166"/>
      <c r="E494" s="158" t="e">
        <f>+'Estimate Details'!#REF!</f>
        <v>#REF!</v>
      </c>
      <c r="F494" s="41"/>
      <c r="G494" s="117" t="e">
        <f>+'Estimate Details'!#REF!</f>
        <v>#REF!</v>
      </c>
      <c r="H494" s="118" t="e">
        <f>+'Estimate Details'!#REF!</f>
        <v>#REF!</v>
      </c>
      <c r="I494" s="108" t="e">
        <f>+'Estimate Details'!#REF!</f>
        <v>#REF!</v>
      </c>
      <c r="J494" s="179" t="e">
        <f>+'Estimate Details'!#REF!</f>
        <v>#REF!</v>
      </c>
      <c r="K494" s="116" t="e">
        <f>+'Estimate Details'!#REF!</f>
        <v>#REF!</v>
      </c>
      <c r="L494" s="116" t="e">
        <f>+'Estimate Details'!#REF!</f>
        <v>#REF!</v>
      </c>
      <c r="M494" s="204" t="e">
        <f>+'Estimate Details'!#REF!</f>
        <v>#REF!</v>
      </c>
      <c r="N494" s="194" t="e">
        <f>+'Estimate Details'!#REF!</f>
        <v>#REF!</v>
      </c>
      <c r="O494" s="171" t="e">
        <f>+'Estimate Details'!#REF!</f>
        <v>#REF!</v>
      </c>
      <c r="P494" s="172" t="e">
        <f>+'Estimate Details'!#REF!</f>
        <v>#REF!</v>
      </c>
      <c r="Q494" s="173" t="e">
        <f>+'Estimate Details'!#REF!</f>
        <v>#REF!</v>
      </c>
      <c r="R494" s="174" t="e">
        <f>+'Estimate Details'!#REF!</f>
        <v>#REF!</v>
      </c>
      <c r="S494" s="507"/>
      <c r="T494" s="174" t="e">
        <f>+'Estimate Details'!#REF!</f>
        <v>#REF!</v>
      </c>
      <c r="U494" s="481" t="s">
        <v>1310</v>
      </c>
      <c r="V494" s="172" t="e">
        <f>+'Estimate Details'!#REF!</f>
        <v>#REF!</v>
      </c>
      <c r="W494" s="481" t="s">
        <v>1310</v>
      </c>
      <c r="X494" s="172" t="e">
        <f>+'Estimate Details'!#REF!</f>
        <v>#REF!</v>
      </c>
      <c r="Y494" s="172" t="e">
        <f>+'Estimate Details'!#REF!</f>
        <v>#REF!</v>
      </c>
      <c r="Z494" s="174" t="e">
        <f>+'Estimate Details'!#REF!</f>
        <v>#REF!</v>
      </c>
      <c r="AA494" s="481"/>
      <c r="AB494" s="175" t="e">
        <f>+'Estimate Details'!#REF!</f>
        <v>#REF!</v>
      </c>
      <c r="AC494" s="569"/>
      <c r="AD494" s="176" t="e">
        <f>+'Estimate Details'!#REF!</f>
        <v>#REF!</v>
      </c>
      <c r="AE494" s="156"/>
      <c r="AF494" s="156"/>
      <c r="AG494" s="156"/>
      <c r="AH494" s="156"/>
      <c r="AI494" s="29"/>
      <c r="AJ494" s="29"/>
      <c r="AK494" s="29"/>
      <c r="AL494" s="109"/>
    </row>
    <row r="495" spans="1:38" ht="14.1" customHeight="1">
      <c r="A495" s="116" t="e">
        <f>+'Estimate Details'!#REF!</f>
        <v>#REF!</v>
      </c>
      <c r="B495" s="116"/>
      <c r="C495" s="116"/>
      <c r="D495" s="166"/>
      <c r="E495" s="158" t="e">
        <f>+'Estimate Details'!#REF!</f>
        <v>#REF!</v>
      </c>
      <c r="F495" s="41"/>
      <c r="G495" s="117" t="e">
        <f>+'Estimate Details'!#REF!</f>
        <v>#REF!</v>
      </c>
      <c r="H495" s="118" t="e">
        <f>+'Estimate Details'!#REF!</f>
        <v>#REF!</v>
      </c>
      <c r="I495" s="108" t="e">
        <f>+'Estimate Details'!#REF!</f>
        <v>#REF!</v>
      </c>
      <c r="J495" s="179" t="e">
        <f>+'Estimate Details'!#REF!</f>
        <v>#REF!</v>
      </c>
      <c r="K495" s="116" t="e">
        <f>+'Estimate Details'!#REF!</f>
        <v>#REF!</v>
      </c>
      <c r="L495" s="116" t="e">
        <f>+'Estimate Details'!#REF!</f>
        <v>#REF!</v>
      </c>
      <c r="M495" s="204" t="e">
        <f>+'Estimate Details'!#REF!</f>
        <v>#REF!</v>
      </c>
      <c r="N495" s="194" t="e">
        <f>+'Estimate Details'!#REF!</f>
        <v>#REF!</v>
      </c>
      <c r="O495" s="171" t="e">
        <f>+'Estimate Details'!#REF!</f>
        <v>#REF!</v>
      </c>
      <c r="P495" s="172" t="e">
        <f>+'Estimate Details'!#REF!</f>
        <v>#REF!</v>
      </c>
      <c r="Q495" s="173" t="e">
        <f>+'Estimate Details'!#REF!</f>
        <v>#REF!</v>
      </c>
      <c r="R495" s="174" t="e">
        <f>+'Estimate Details'!#REF!</f>
        <v>#REF!</v>
      </c>
      <c r="S495" s="507"/>
      <c r="T495" s="174" t="e">
        <f>+'Estimate Details'!#REF!</f>
        <v>#REF!</v>
      </c>
      <c r="U495" s="481" t="s">
        <v>1310</v>
      </c>
      <c r="V495" s="172" t="e">
        <f>+'Estimate Details'!#REF!</f>
        <v>#REF!</v>
      </c>
      <c r="W495" s="481" t="s">
        <v>1310</v>
      </c>
      <c r="X495" s="172" t="e">
        <f>+'Estimate Details'!#REF!</f>
        <v>#REF!</v>
      </c>
      <c r="Y495" s="172" t="e">
        <f>+'Estimate Details'!#REF!</f>
        <v>#REF!</v>
      </c>
      <c r="Z495" s="174" t="e">
        <f>+'Estimate Details'!#REF!</f>
        <v>#REF!</v>
      </c>
      <c r="AA495" s="481"/>
      <c r="AB495" s="175" t="e">
        <f>+'Estimate Details'!#REF!</f>
        <v>#REF!</v>
      </c>
      <c r="AC495" s="569"/>
      <c r="AD495" s="176" t="e">
        <f>+'Estimate Details'!#REF!</f>
        <v>#REF!</v>
      </c>
      <c r="AE495" s="156"/>
      <c r="AF495" s="156"/>
      <c r="AG495" s="156"/>
      <c r="AH495" s="156"/>
      <c r="AI495" s="29"/>
      <c r="AJ495" s="29"/>
      <c r="AK495" s="29"/>
      <c r="AL495" s="109"/>
    </row>
    <row r="496" spans="1:38" ht="14.1" customHeight="1">
      <c r="A496" s="116" t="e">
        <f>+'Estimate Details'!#REF!</f>
        <v>#REF!</v>
      </c>
      <c r="B496" s="116"/>
      <c r="C496" s="116"/>
      <c r="D496" s="166"/>
      <c r="E496" s="158" t="e">
        <f>+'Estimate Details'!#REF!</f>
        <v>#REF!</v>
      </c>
      <c r="F496" s="41"/>
      <c r="G496" s="117" t="e">
        <f>+'Estimate Details'!#REF!</f>
        <v>#REF!</v>
      </c>
      <c r="H496" s="118" t="e">
        <f>+'Estimate Details'!#REF!</f>
        <v>#REF!</v>
      </c>
      <c r="I496" s="108" t="e">
        <f>+'Estimate Details'!#REF!</f>
        <v>#REF!</v>
      </c>
      <c r="J496" s="179" t="e">
        <f>+'Estimate Details'!#REF!</f>
        <v>#REF!</v>
      </c>
      <c r="K496" s="116" t="e">
        <f>+'Estimate Details'!#REF!</f>
        <v>#REF!</v>
      </c>
      <c r="L496" s="116" t="e">
        <f>+'Estimate Details'!#REF!</f>
        <v>#REF!</v>
      </c>
      <c r="M496" s="204" t="e">
        <f>+'Estimate Details'!#REF!</f>
        <v>#REF!</v>
      </c>
      <c r="N496" s="194" t="e">
        <f>+'Estimate Details'!#REF!</f>
        <v>#REF!</v>
      </c>
      <c r="O496" s="171" t="e">
        <f>+'Estimate Details'!#REF!</f>
        <v>#REF!</v>
      </c>
      <c r="P496" s="172" t="e">
        <f>+'Estimate Details'!#REF!</f>
        <v>#REF!</v>
      </c>
      <c r="Q496" s="173" t="e">
        <f>+'Estimate Details'!#REF!</f>
        <v>#REF!</v>
      </c>
      <c r="R496" s="174" t="e">
        <f>+'Estimate Details'!#REF!</f>
        <v>#REF!</v>
      </c>
      <c r="S496" s="507"/>
      <c r="T496" s="174" t="e">
        <f>+'Estimate Details'!#REF!</f>
        <v>#REF!</v>
      </c>
      <c r="U496" s="481" t="s">
        <v>1310</v>
      </c>
      <c r="V496" s="172" t="e">
        <f>+'Estimate Details'!#REF!</f>
        <v>#REF!</v>
      </c>
      <c r="W496" s="481" t="s">
        <v>1310</v>
      </c>
      <c r="X496" s="172" t="e">
        <f>+'Estimate Details'!#REF!</f>
        <v>#REF!</v>
      </c>
      <c r="Y496" s="172" t="e">
        <f>+'Estimate Details'!#REF!</f>
        <v>#REF!</v>
      </c>
      <c r="Z496" s="174" t="e">
        <f>+'Estimate Details'!#REF!</f>
        <v>#REF!</v>
      </c>
      <c r="AA496" s="481"/>
      <c r="AB496" s="175" t="e">
        <f>+'Estimate Details'!#REF!</f>
        <v>#REF!</v>
      </c>
      <c r="AC496" s="569"/>
      <c r="AD496" s="176" t="e">
        <f>+'Estimate Details'!#REF!</f>
        <v>#REF!</v>
      </c>
      <c r="AE496" s="156"/>
      <c r="AF496" s="156"/>
      <c r="AG496" s="156"/>
      <c r="AH496" s="156"/>
      <c r="AI496" s="29"/>
      <c r="AJ496" s="29"/>
      <c r="AK496" s="29"/>
      <c r="AL496" s="109"/>
    </row>
    <row r="497" spans="1:38" ht="14.1" customHeight="1">
      <c r="A497" s="116" t="e">
        <f>+'Estimate Details'!#REF!</f>
        <v>#REF!</v>
      </c>
      <c r="B497" s="116"/>
      <c r="C497" s="116"/>
      <c r="D497" s="166"/>
      <c r="E497" s="158" t="e">
        <f>+'Estimate Details'!#REF!</f>
        <v>#REF!</v>
      </c>
      <c r="F497" s="41"/>
      <c r="G497" s="117" t="e">
        <f>+'Estimate Details'!#REF!</f>
        <v>#REF!</v>
      </c>
      <c r="H497" s="118" t="e">
        <f>+'Estimate Details'!#REF!</f>
        <v>#REF!</v>
      </c>
      <c r="I497" s="108" t="e">
        <f>+'Estimate Details'!#REF!</f>
        <v>#REF!</v>
      </c>
      <c r="J497" s="179" t="e">
        <f>+'Estimate Details'!#REF!</f>
        <v>#REF!</v>
      </c>
      <c r="K497" s="116" t="e">
        <f>+'Estimate Details'!#REF!</f>
        <v>#REF!</v>
      </c>
      <c r="L497" s="116" t="e">
        <f>+'Estimate Details'!#REF!</f>
        <v>#REF!</v>
      </c>
      <c r="M497" s="204" t="e">
        <f>+'Estimate Details'!#REF!</f>
        <v>#REF!</v>
      </c>
      <c r="N497" s="194" t="e">
        <f>+'Estimate Details'!#REF!</f>
        <v>#REF!</v>
      </c>
      <c r="O497" s="171" t="e">
        <f>+'Estimate Details'!#REF!</f>
        <v>#REF!</v>
      </c>
      <c r="P497" s="172" t="e">
        <f>+'Estimate Details'!#REF!</f>
        <v>#REF!</v>
      </c>
      <c r="Q497" s="173" t="e">
        <f>+'Estimate Details'!#REF!</f>
        <v>#REF!</v>
      </c>
      <c r="R497" s="174" t="e">
        <f>+'Estimate Details'!#REF!</f>
        <v>#REF!</v>
      </c>
      <c r="S497" s="507"/>
      <c r="T497" s="174" t="e">
        <f>+'Estimate Details'!#REF!</f>
        <v>#REF!</v>
      </c>
      <c r="U497" s="481" t="s">
        <v>1310</v>
      </c>
      <c r="V497" s="172" t="e">
        <f>+'Estimate Details'!#REF!</f>
        <v>#REF!</v>
      </c>
      <c r="W497" s="481" t="s">
        <v>1310</v>
      </c>
      <c r="X497" s="172" t="e">
        <f>+'Estimate Details'!#REF!</f>
        <v>#REF!</v>
      </c>
      <c r="Y497" s="172" t="e">
        <f>+'Estimate Details'!#REF!</f>
        <v>#REF!</v>
      </c>
      <c r="Z497" s="174" t="e">
        <f>+'Estimate Details'!#REF!</f>
        <v>#REF!</v>
      </c>
      <c r="AA497" s="481"/>
      <c r="AB497" s="175" t="e">
        <f>+'Estimate Details'!#REF!</f>
        <v>#REF!</v>
      </c>
      <c r="AC497" s="569"/>
      <c r="AD497" s="176" t="e">
        <f>+'Estimate Details'!#REF!</f>
        <v>#REF!</v>
      </c>
      <c r="AE497" s="156"/>
      <c r="AF497" s="156"/>
      <c r="AG497" s="156"/>
      <c r="AH497" s="156"/>
      <c r="AI497" s="29"/>
      <c r="AJ497" s="29"/>
      <c r="AK497" s="29"/>
      <c r="AL497" s="109"/>
    </row>
    <row r="498" spans="1:38" ht="14.1" customHeight="1">
      <c r="A498" s="116" t="e">
        <f>+'Estimate Details'!#REF!</f>
        <v>#REF!</v>
      </c>
      <c r="B498" s="116"/>
      <c r="C498" s="116"/>
      <c r="D498" s="166"/>
      <c r="E498" s="158" t="e">
        <f>+'Estimate Details'!#REF!</f>
        <v>#REF!</v>
      </c>
      <c r="F498" s="41"/>
      <c r="G498" s="117" t="e">
        <f>+'Estimate Details'!#REF!</f>
        <v>#REF!</v>
      </c>
      <c r="H498" s="118" t="e">
        <f>+'Estimate Details'!#REF!</f>
        <v>#REF!</v>
      </c>
      <c r="I498" s="108" t="e">
        <f>+'Estimate Details'!#REF!</f>
        <v>#REF!</v>
      </c>
      <c r="J498" s="179" t="e">
        <f>+'Estimate Details'!#REF!</f>
        <v>#REF!</v>
      </c>
      <c r="K498" s="116" t="e">
        <f>+'Estimate Details'!#REF!</f>
        <v>#REF!</v>
      </c>
      <c r="L498" s="116" t="e">
        <f>+'Estimate Details'!#REF!</f>
        <v>#REF!</v>
      </c>
      <c r="M498" s="204" t="e">
        <f>+'Estimate Details'!#REF!</f>
        <v>#REF!</v>
      </c>
      <c r="N498" s="194" t="e">
        <f>+'Estimate Details'!#REF!</f>
        <v>#REF!</v>
      </c>
      <c r="O498" s="171" t="e">
        <f>+'Estimate Details'!#REF!</f>
        <v>#REF!</v>
      </c>
      <c r="P498" s="172" t="e">
        <f>+'Estimate Details'!#REF!</f>
        <v>#REF!</v>
      </c>
      <c r="Q498" s="173" t="e">
        <f>+'Estimate Details'!#REF!</f>
        <v>#REF!</v>
      </c>
      <c r="R498" s="174" t="e">
        <f>+'Estimate Details'!#REF!</f>
        <v>#REF!</v>
      </c>
      <c r="S498" s="507"/>
      <c r="T498" s="174" t="e">
        <f>+'Estimate Details'!#REF!</f>
        <v>#REF!</v>
      </c>
      <c r="U498" s="481" t="s">
        <v>1310</v>
      </c>
      <c r="V498" s="172" t="e">
        <f>+'Estimate Details'!#REF!</f>
        <v>#REF!</v>
      </c>
      <c r="W498" s="481" t="s">
        <v>1310</v>
      </c>
      <c r="X498" s="172" t="e">
        <f>+'Estimate Details'!#REF!</f>
        <v>#REF!</v>
      </c>
      <c r="Y498" s="172" t="e">
        <f>+'Estimate Details'!#REF!</f>
        <v>#REF!</v>
      </c>
      <c r="Z498" s="174" t="e">
        <f>+'Estimate Details'!#REF!</f>
        <v>#REF!</v>
      </c>
      <c r="AA498" s="481"/>
      <c r="AB498" s="175" t="e">
        <f>+'Estimate Details'!#REF!</f>
        <v>#REF!</v>
      </c>
      <c r="AC498" s="569"/>
      <c r="AD498" s="176" t="e">
        <f>+'Estimate Details'!#REF!</f>
        <v>#REF!</v>
      </c>
      <c r="AE498" s="156"/>
      <c r="AF498" s="156"/>
      <c r="AG498" s="156"/>
      <c r="AH498" s="156"/>
      <c r="AI498" s="29"/>
      <c r="AJ498" s="29"/>
      <c r="AK498" s="29"/>
      <c r="AL498" s="109"/>
    </row>
    <row r="499" spans="1:38" ht="14.1" customHeight="1">
      <c r="A499" s="116" t="e">
        <f>+'Estimate Details'!#REF!</f>
        <v>#REF!</v>
      </c>
      <c r="B499" s="116"/>
      <c r="C499" s="116"/>
      <c r="D499" s="166"/>
      <c r="E499" s="158" t="e">
        <f>+'Estimate Details'!#REF!</f>
        <v>#REF!</v>
      </c>
      <c r="F499" s="41"/>
      <c r="G499" s="117" t="e">
        <f>+'Estimate Details'!#REF!</f>
        <v>#REF!</v>
      </c>
      <c r="H499" s="118" t="e">
        <f>+'Estimate Details'!#REF!</f>
        <v>#REF!</v>
      </c>
      <c r="I499" s="108" t="e">
        <f>+'Estimate Details'!#REF!</f>
        <v>#REF!</v>
      </c>
      <c r="J499" s="179" t="e">
        <f>+'Estimate Details'!#REF!</f>
        <v>#REF!</v>
      </c>
      <c r="K499" s="116" t="e">
        <f>+'Estimate Details'!#REF!</f>
        <v>#REF!</v>
      </c>
      <c r="L499" s="116" t="e">
        <f>+'Estimate Details'!#REF!</f>
        <v>#REF!</v>
      </c>
      <c r="M499" s="204" t="e">
        <f>+'Estimate Details'!#REF!</f>
        <v>#REF!</v>
      </c>
      <c r="N499" s="194" t="e">
        <f>+'Estimate Details'!#REF!</f>
        <v>#REF!</v>
      </c>
      <c r="O499" s="171" t="e">
        <f>+'Estimate Details'!#REF!</f>
        <v>#REF!</v>
      </c>
      <c r="P499" s="172" t="e">
        <f>+'Estimate Details'!#REF!</f>
        <v>#REF!</v>
      </c>
      <c r="Q499" s="173" t="e">
        <f>+'Estimate Details'!#REF!</f>
        <v>#REF!</v>
      </c>
      <c r="R499" s="174" t="e">
        <f>+'Estimate Details'!#REF!</f>
        <v>#REF!</v>
      </c>
      <c r="S499" s="507"/>
      <c r="T499" s="174" t="e">
        <f>+'Estimate Details'!#REF!</f>
        <v>#REF!</v>
      </c>
      <c r="U499" s="481" t="s">
        <v>1310</v>
      </c>
      <c r="V499" s="172" t="e">
        <f>+'Estimate Details'!#REF!</f>
        <v>#REF!</v>
      </c>
      <c r="W499" s="481" t="s">
        <v>1310</v>
      </c>
      <c r="X499" s="172" t="e">
        <f>+'Estimate Details'!#REF!</f>
        <v>#REF!</v>
      </c>
      <c r="Y499" s="172" t="e">
        <f>+'Estimate Details'!#REF!</f>
        <v>#REF!</v>
      </c>
      <c r="Z499" s="174" t="e">
        <f>+'Estimate Details'!#REF!</f>
        <v>#REF!</v>
      </c>
      <c r="AA499" s="481"/>
      <c r="AB499" s="175" t="e">
        <f>+'Estimate Details'!#REF!</f>
        <v>#REF!</v>
      </c>
      <c r="AC499" s="569"/>
      <c r="AD499" s="176" t="e">
        <f>+'Estimate Details'!#REF!</f>
        <v>#REF!</v>
      </c>
      <c r="AE499" s="156"/>
      <c r="AF499" s="156"/>
      <c r="AG499" s="156"/>
      <c r="AH499" s="156"/>
      <c r="AI499" s="29"/>
      <c r="AJ499" s="29"/>
      <c r="AK499" s="29"/>
      <c r="AL499" s="109"/>
    </row>
    <row r="500" spans="1:38" ht="14.1" customHeight="1">
      <c r="A500" s="116" t="e">
        <f>+'Estimate Details'!#REF!</f>
        <v>#REF!</v>
      </c>
      <c r="B500" s="116"/>
      <c r="C500" s="116"/>
      <c r="D500" s="166"/>
      <c r="E500" s="158" t="e">
        <f>+'Estimate Details'!#REF!</f>
        <v>#REF!</v>
      </c>
      <c r="F500" s="41"/>
      <c r="G500" s="117" t="e">
        <f>+'Estimate Details'!#REF!</f>
        <v>#REF!</v>
      </c>
      <c r="H500" s="118" t="e">
        <f>+'Estimate Details'!#REF!</f>
        <v>#REF!</v>
      </c>
      <c r="I500" s="108" t="e">
        <f>+'Estimate Details'!#REF!</f>
        <v>#REF!</v>
      </c>
      <c r="J500" s="179" t="e">
        <f>+'Estimate Details'!#REF!</f>
        <v>#REF!</v>
      </c>
      <c r="K500" s="116" t="e">
        <f>+'Estimate Details'!#REF!</f>
        <v>#REF!</v>
      </c>
      <c r="L500" s="116" t="e">
        <f>+'Estimate Details'!#REF!</f>
        <v>#REF!</v>
      </c>
      <c r="M500" s="204" t="e">
        <f>+'Estimate Details'!#REF!</f>
        <v>#REF!</v>
      </c>
      <c r="N500" s="194" t="e">
        <f>+'Estimate Details'!#REF!</f>
        <v>#REF!</v>
      </c>
      <c r="O500" s="171" t="e">
        <f>+'Estimate Details'!#REF!</f>
        <v>#REF!</v>
      </c>
      <c r="P500" s="172" t="e">
        <f>+'Estimate Details'!#REF!</f>
        <v>#REF!</v>
      </c>
      <c r="Q500" s="173" t="e">
        <f>+'Estimate Details'!#REF!</f>
        <v>#REF!</v>
      </c>
      <c r="R500" s="174" t="e">
        <f>+'Estimate Details'!#REF!</f>
        <v>#REF!</v>
      </c>
      <c r="S500" s="507"/>
      <c r="T500" s="174" t="e">
        <f>+'Estimate Details'!#REF!</f>
        <v>#REF!</v>
      </c>
      <c r="U500" s="481" t="s">
        <v>1310</v>
      </c>
      <c r="V500" s="172" t="e">
        <f>+'Estimate Details'!#REF!</f>
        <v>#REF!</v>
      </c>
      <c r="W500" s="481" t="s">
        <v>1310</v>
      </c>
      <c r="X500" s="172" t="e">
        <f>+'Estimate Details'!#REF!</f>
        <v>#REF!</v>
      </c>
      <c r="Y500" s="172" t="e">
        <f>+'Estimate Details'!#REF!</f>
        <v>#REF!</v>
      </c>
      <c r="Z500" s="174" t="e">
        <f>+'Estimate Details'!#REF!</f>
        <v>#REF!</v>
      </c>
      <c r="AA500" s="481"/>
      <c r="AB500" s="175" t="e">
        <f>+'Estimate Details'!#REF!</f>
        <v>#REF!</v>
      </c>
      <c r="AC500" s="569"/>
      <c r="AD500" s="176" t="e">
        <f>+'Estimate Details'!#REF!</f>
        <v>#REF!</v>
      </c>
      <c r="AE500" s="178"/>
      <c r="AF500" s="156"/>
      <c r="AG500" s="156"/>
      <c r="AH500" s="156"/>
      <c r="AI500" s="29"/>
      <c r="AJ500" s="29"/>
      <c r="AK500" s="29"/>
      <c r="AL500" s="109"/>
    </row>
    <row r="501" spans="1:38" ht="14.1" customHeight="1">
      <c r="A501" s="116" t="e">
        <f>+'Estimate Details'!#REF!</f>
        <v>#REF!</v>
      </c>
      <c r="B501" s="116"/>
      <c r="C501" s="116"/>
      <c r="D501" s="166"/>
      <c r="E501" s="158" t="e">
        <f>+'Estimate Details'!#REF!</f>
        <v>#REF!</v>
      </c>
      <c r="F501" s="41"/>
      <c r="G501" s="117" t="e">
        <f>+'Estimate Details'!#REF!</f>
        <v>#REF!</v>
      </c>
      <c r="H501" s="118" t="e">
        <f>+'Estimate Details'!#REF!</f>
        <v>#REF!</v>
      </c>
      <c r="I501" s="108" t="e">
        <f>+'Estimate Details'!#REF!</f>
        <v>#REF!</v>
      </c>
      <c r="J501" s="179" t="e">
        <f>+'Estimate Details'!#REF!</f>
        <v>#REF!</v>
      </c>
      <c r="K501" s="116" t="e">
        <f>+'Estimate Details'!#REF!</f>
        <v>#REF!</v>
      </c>
      <c r="L501" s="116" t="e">
        <f>+'Estimate Details'!#REF!</f>
        <v>#REF!</v>
      </c>
      <c r="M501" s="204" t="e">
        <f>+'Estimate Details'!#REF!</f>
        <v>#REF!</v>
      </c>
      <c r="N501" s="194" t="e">
        <f>+'Estimate Details'!#REF!</f>
        <v>#REF!</v>
      </c>
      <c r="O501" s="171" t="e">
        <f>+'Estimate Details'!#REF!</f>
        <v>#REF!</v>
      </c>
      <c r="P501" s="172" t="e">
        <f>+'Estimate Details'!#REF!</f>
        <v>#REF!</v>
      </c>
      <c r="Q501" s="173" t="e">
        <f>+'Estimate Details'!#REF!</f>
        <v>#REF!</v>
      </c>
      <c r="R501" s="174" t="e">
        <f>+'Estimate Details'!#REF!</f>
        <v>#REF!</v>
      </c>
      <c r="S501" s="507"/>
      <c r="T501" s="174" t="e">
        <f>+'Estimate Details'!#REF!</f>
        <v>#REF!</v>
      </c>
      <c r="U501" s="481" t="s">
        <v>1310</v>
      </c>
      <c r="V501" s="172" t="e">
        <f>+'Estimate Details'!#REF!</f>
        <v>#REF!</v>
      </c>
      <c r="W501" s="481" t="s">
        <v>1310</v>
      </c>
      <c r="X501" s="172" t="e">
        <f>+'Estimate Details'!#REF!</f>
        <v>#REF!</v>
      </c>
      <c r="Y501" s="172" t="e">
        <f>+'Estimate Details'!#REF!</f>
        <v>#REF!</v>
      </c>
      <c r="Z501" s="174" t="e">
        <f>+'Estimate Details'!#REF!</f>
        <v>#REF!</v>
      </c>
      <c r="AA501" s="481"/>
      <c r="AB501" s="175" t="e">
        <f>+'Estimate Details'!#REF!</f>
        <v>#REF!</v>
      </c>
      <c r="AC501" s="569"/>
      <c r="AD501" s="176" t="e">
        <f>+'Estimate Details'!#REF!</f>
        <v>#REF!</v>
      </c>
      <c r="AE501" s="156"/>
      <c r="AF501" s="156"/>
      <c r="AG501" s="156"/>
      <c r="AH501" s="156"/>
      <c r="AI501" s="29"/>
      <c r="AJ501" s="29"/>
      <c r="AK501" s="29"/>
      <c r="AL501" s="109"/>
    </row>
    <row r="502" spans="1:38" ht="14.1" customHeight="1">
      <c r="A502" s="116" t="e">
        <f>+'Estimate Details'!#REF!</f>
        <v>#REF!</v>
      </c>
      <c r="B502" s="116"/>
      <c r="C502" s="116"/>
      <c r="D502" s="166"/>
      <c r="E502" s="158" t="e">
        <f>+'Estimate Details'!#REF!</f>
        <v>#REF!</v>
      </c>
      <c r="F502" s="41"/>
      <c r="G502" s="117" t="e">
        <f>+'Estimate Details'!#REF!</f>
        <v>#REF!</v>
      </c>
      <c r="H502" s="118" t="e">
        <f>+'Estimate Details'!#REF!</f>
        <v>#REF!</v>
      </c>
      <c r="I502" s="108" t="e">
        <f>+'Estimate Details'!#REF!</f>
        <v>#REF!</v>
      </c>
      <c r="J502" s="179" t="e">
        <f>+'Estimate Details'!#REF!</f>
        <v>#REF!</v>
      </c>
      <c r="K502" s="116" t="e">
        <f>+'Estimate Details'!#REF!</f>
        <v>#REF!</v>
      </c>
      <c r="L502" s="116" t="e">
        <f>+'Estimate Details'!#REF!</f>
        <v>#REF!</v>
      </c>
      <c r="M502" s="204" t="e">
        <f>+'Estimate Details'!#REF!</f>
        <v>#REF!</v>
      </c>
      <c r="N502" s="194" t="e">
        <f>+'Estimate Details'!#REF!</f>
        <v>#REF!</v>
      </c>
      <c r="O502" s="171" t="e">
        <f>+'Estimate Details'!#REF!</f>
        <v>#REF!</v>
      </c>
      <c r="P502" s="172" t="e">
        <f>+'Estimate Details'!#REF!</f>
        <v>#REF!</v>
      </c>
      <c r="Q502" s="173" t="e">
        <f>+'Estimate Details'!#REF!</f>
        <v>#REF!</v>
      </c>
      <c r="R502" s="174" t="e">
        <f>+'Estimate Details'!#REF!</f>
        <v>#REF!</v>
      </c>
      <c r="S502" s="507"/>
      <c r="T502" s="174" t="e">
        <f>+'Estimate Details'!#REF!</f>
        <v>#REF!</v>
      </c>
      <c r="U502" s="481" t="s">
        <v>1310</v>
      </c>
      <c r="V502" s="172" t="e">
        <f>+'Estimate Details'!#REF!</f>
        <v>#REF!</v>
      </c>
      <c r="W502" s="481" t="s">
        <v>1310</v>
      </c>
      <c r="X502" s="172" t="e">
        <f>+'Estimate Details'!#REF!</f>
        <v>#REF!</v>
      </c>
      <c r="Y502" s="172" t="e">
        <f>+'Estimate Details'!#REF!</f>
        <v>#REF!</v>
      </c>
      <c r="Z502" s="174" t="e">
        <f>+'Estimate Details'!#REF!</f>
        <v>#REF!</v>
      </c>
      <c r="AA502" s="481"/>
      <c r="AB502" s="175" t="e">
        <f>+'Estimate Details'!#REF!</f>
        <v>#REF!</v>
      </c>
      <c r="AC502" s="569"/>
      <c r="AD502" s="176" t="e">
        <f>+'Estimate Details'!#REF!</f>
        <v>#REF!</v>
      </c>
      <c r="AE502" s="156"/>
      <c r="AF502" s="156"/>
      <c r="AG502" s="156"/>
      <c r="AH502" s="156"/>
      <c r="AI502" s="29"/>
      <c r="AJ502" s="29"/>
      <c r="AK502" s="29"/>
      <c r="AL502" s="109"/>
    </row>
    <row r="503" spans="1:38" ht="14.1" customHeight="1">
      <c r="A503" s="116" t="e">
        <f>+'Estimate Details'!#REF!</f>
        <v>#REF!</v>
      </c>
      <c r="B503" s="116"/>
      <c r="C503" s="116"/>
      <c r="D503" s="166"/>
      <c r="E503" s="158" t="e">
        <f>+'Estimate Details'!#REF!</f>
        <v>#REF!</v>
      </c>
      <c r="F503" s="41"/>
      <c r="G503" s="117" t="e">
        <f>+'Estimate Details'!#REF!</f>
        <v>#REF!</v>
      </c>
      <c r="H503" s="118" t="e">
        <f>+'Estimate Details'!#REF!</f>
        <v>#REF!</v>
      </c>
      <c r="I503" s="108" t="e">
        <f>+'Estimate Details'!#REF!</f>
        <v>#REF!</v>
      </c>
      <c r="J503" s="179" t="e">
        <f>+'Estimate Details'!#REF!</f>
        <v>#REF!</v>
      </c>
      <c r="K503" s="116" t="e">
        <f>+'Estimate Details'!#REF!</f>
        <v>#REF!</v>
      </c>
      <c r="L503" s="116" t="e">
        <f>+'Estimate Details'!#REF!</f>
        <v>#REF!</v>
      </c>
      <c r="M503" s="204" t="e">
        <f>+'Estimate Details'!#REF!</f>
        <v>#REF!</v>
      </c>
      <c r="N503" s="194" t="e">
        <f>+'Estimate Details'!#REF!</f>
        <v>#REF!</v>
      </c>
      <c r="O503" s="171" t="e">
        <f>+'Estimate Details'!#REF!</f>
        <v>#REF!</v>
      </c>
      <c r="P503" s="172" t="e">
        <f>+'Estimate Details'!#REF!</f>
        <v>#REF!</v>
      </c>
      <c r="Q503" s="173" t="e">
        <f>+'Estimate Details'!#REF!</f>
        <v>#REF!</v>
      </c>
      <c r="R503" s="174" t="e">
        <f>+'Estimate Details'!#REF!</f>
        <v>#REF!</v>
      </c>
      <c r="S503" s="507"/>
      <c r="T503" s="174" t="e">
        <f>+'Estimate Details'!#REF!</f>
        <v>#REF!</v>
      </c>
      <c r="U503" s="481" t="s">
        <v>1310</v>
      </c>
      <c r="V503" s="172" t="e">
        <f>+'Estimate Details'!#REF!</f>
        <v>#REF!</v>
      </c>
      <c r="W503" s="481" t="s">
        <v>1310</v>
      </c>
      <c r="X503" s="172" t="e">
        <f>+'Estimate Details'!#REF!</f>
        <v>#REF!</v>
      </c>
      <c r="Y503" s="172" t="e">
        <f>+'Estimate Details'!#REF!</f>
        <v>#REF!</v>
      </c>
      <c r="Z503" s="174" t="e">
        <f>+'Estimate Details'!#REF!</f>
        <v>#REF!</v>
      </c>
      <c r="AA503" s="481"/>
      <c r="AB503" s="175" t="e">
        <f>+'Estimate Details'!#REF!</f>
        <v>#REF!</v>
      </c>
      <c r="AC503" s="569"/>
      <c r="AD503" s="176" t="e">
        <f>+'Estimate Details'!#REF!</f>
        <v>#REF!</v>
      </c>
      <c r="AE503" s="156"/>
      <c r="AF503" s="156"/>
      <c r="AG503" s="156"/>
      <c r="AH503" s="156"/>
      <c r="AI503" s="29"/>
      <c r="AJ503" s="29"/>
      <c r="AK503" s="29"/>
      <c r="AL503" s="109"/>
    </row>
    <row r="504" spans="1:38" ht="14.1" customHeight="1">
      <c r="A504" s="116" t="e">
        <f>+'Estimate Details'!#REF!</f>
        <v>#REF!</v>
      </c>
      <c r="B504" s="116"/>
      <c r="C504" s="116"/>
      <c r="D504" s="166"/>
      <c r="E504" s="158" t="e">
        <f>+'Estimate Details'!#REF!</f>
        <v>#REF!</v>
      </c>
      <c r="F504" s="41"/>
      <c r="G504" s="117" t="e">
        <f>+'Estimate Details'!#REF!</f>
        <v>#REF!</v>
      </c>
      <c r="H504" s="118" t="e">
        <f>+'Estimate Details'!#REF!</f>
        <v>#REF!</v>
      </c>
      <c r="I504" s="108" t="e">
        <f>+'Estimate Details'!#REF!</f>
        <v>#REF!</v>
      </c>
      <c r="J504" s="179" t="e">
        <f>+'Estimate Details'!#REF!</f>
        <v>#REF!</v>
      </c>
      <c r="K504" s="116" t="e">
        <f>+'Estimate Details'!#REF!</f>
        <v>#REF!</v>
      </c>
      <c r="L504" s="116" t="e">
        <f>+'Estimate Details'!#REF!</f>
        <v>#REF!</v>
      </c>
      <c r="M504" s="204" t="e">
        <f>+'Estimate Details'!#REF!</f>
        <v>#REF!</v>
      </c>
      <c r="N504" s="194" t="e">
        <f>+'Estimate Details'!#REF!</f>
        <v>#REF!</v>
      </c>
      <c r="O504" s="171" t="e">
        <f>+'Estimate Details'!#REF!</f>
        <v>#REF!</v>
      </c>
      <c r="P504" s="172" t="e">
        <f>+'Estimate Details'!#REF!</f>
        <v>#REF!</v>
      </c>
      <c r="Q504" s="173" t="e">
        <f>+'Estimate Details'!#REF!</f>
        <v>#REF!</v>
      </c>
      <c r="R504" s="174" t="e">
        <f>+'Estimate Details'!#REF!</f>
        <v>#REF!</v>
      </c>
      <c r="S504" s="507"/>
      <c r="T504" s="174" t="e">
        <f>+'Estimate Details'!#REF!</f>
        <v>#REF!</v>
      </c>
      <c r="U504" s="481"/>
      <c r="V504" s="172" t="e">
        <f>+'Estimate Details'!#REF!</f>
        <v>#REF!</v>
      </c>
      <c r="W504" s="481" t="s">
        <v>1310</v>
      </c>
      <c r="X504" s="172" t="e">
        <f>+'Estimate Details'!#REF!</f>
        <v>#REF!</v>
      </c>
      <c r="Y504" s="172" t="e">
        <f>+'Estimate Details'!#REF!</f>
        <v>#REF!</v>
      </c>
      <c r="Z504" s="174" t="e">
        <f>+'Estimate Details'!#REF!</f>
        <v>#REF!</v>
      </c>
      <c r="AA504" s="481" t="s">
        <v>1302</v>
      </c>
      <c r="AB504" s="175" t="e">
        <f>+'Estimate Details'!#REF!</f>
        <v>#REF!</v>
      </c>
      <c r="AC504" s="569"/>
      <c r="AD504" s="176" t="e">
        <f>+'Estimate Details'!#REF!</f>
        <v>#REF!</v>
      </c>
      <c r="AE504" s="156"/>
      <c r="AF504" s="156"/>
      <c r="AG504" s="156"/>
      <c r="AH504" s="156"/>
      <c r="AI504" s="29"/>
      <c r="AJ504" s="29"/>
      <c r="AK504" s="29"/>
      <c r="AL504" s="109"/>
    </row>
    <row r="505" spans="1:38" ht="14.1" customHeight="1">
      <c r="A505" s="116" t="e">
        <f>+'Estimate Details'!#REF!</f>
        <v>#REF!</v>
      </c>
      <c r="B505" s="116"/>
      <c r="C505" s="116"/>
      <c r="D505" s="166"/>
      <c r="E505" s="158" t="e">
        <f>+'Estimate Details'!#REF!</f>
        <v>#REF!</v>
      </c>
      <c r="F505" s="41"/>
      <c r="G505" s="117" t="e">
        <f>+'Estimate Details'!#REF!</f>
        <v>#REF!</v>
      </c>
      <c r="H505" s="118" t="e">
        <f>+'Estimate Details'!#REF!</f>
        <v>#REF!</v>
      </c>
      <c r="I505" s="108" t="e">
        <f>+'Estimate Details'!#REF!</f>
        <v>#REF!</v>
      </c>
      <c r="J505" s="179" t="e">
        <f>+'Estimate Details'!#REF!</f>
        <v>#REF!</v>
      </c>
      <c r="K505" s="116" t="e">
        <f>+'Estimate Details'!#REF!</f>
        <v>#REF!</v>
      </c>
      <c r="L505" s="116" t="e">
        <f>+'Estimate Details'!#REF!</f>
        <v>#REF!</v>
      </c>
      <c r="M505" s="204" t="e">
        <f>+'Estimate Details'!#REF!</f>
        <v>#REF!</v>
      </c>
      <c r="N505" s="194" t="e">
        <f>+'Estimate Details'!#REF!</f>
        <v>#REF!</v>
      </c>
      <c r="O505" s="171" t="e">
        <f>+'Estimate Details'!#REF!</f>
        <v>#REF!</v>
      </c>
      <c r="P505" s="172" t="e">
        <f>+'Estimate Details'!#REF!</f>
        <v>#REF!</v>
      </c>
      <c r="Q505" s="173" t="e">
        <f>+'Estimate Details'!#REF!</f>
        <v>#REF!</v>
      </c>
      <c r="R505" s="174" t="e">
        <f>+'Estimate Details'!#REF!</f>
        <v>#REF!</v>
      </c>
      <c r="S505" s="507"/>
      <c r="T505" s="174" t="e">
        <f>+'Estimate Details'!#REF!</f>
        <v>#REF!</v>
      </c>
      <c r="U505" s="481" t="s">
        <v>1310</v>
      </c>
      <c r="V505" s="172" t="e">
        <f>+'Estimate Details'!#REF!</f>
        <v>#REF!</v>
      </c>
      <c r="W505" s="481" t="s">
        <v>1310</v>
      </c>
      <c r="X505" s="172" t="e">
        <f>+'Estimate Details'!#REF!</f>
        <v>#REF!</v>
      </c>
      <c r="Y505" s="172" t="e">
        <f>+'Estimate Details'!#REF!</f>
        <v>#REF!</v>
      </c>
      <c r="Z505" s="174" t="e">
        <f>+'Estimate Details'!#REF!</f>
        <v>#REF!</v>
      </c>
      <c r="AA505" s="481"/>
      <c r="AB505" s="175" t="e">
        <f>+'Estimate Details'!#REF!</f>
        <v>#REF!</v>
      </c>
      <c r="AC505" s="569"/>
      <c r="AD505" s="176" t="e">
        <f>+'Estimate Details'!#REF!</f>
        <v>#REF!</v>
      </c>
      <c r="AE505" s="156"/>
      <c r="AF505" s="156"/>
      <c r="AG505" s="156"/>
      <c r="AH505" s="156"/>
      <c r="AI505" s="29"/>
      <c r="AJ505" s="29"/>
      <c r="AK505" s="29"/>
      <c r="AL505" s="109"/>
    </row>
    <row r="506" spans="1:38" ht="14.1" customHeight="1">
      <c r="A506" s="116" t="e">
        <f>+'Estimate Details'!#REF!</f>
        <v>#REF!</v>
      </c>
      <c r="B506" s="116"/>
      <c r="C506" s="116"/>
      <c r="D506" s="166"/>
      <c r="E506" s="158" t="e">
        <f>+'Estimate Details'!#REF!</f>
        <v>#REF!</v>
      </c>
      <c r="F506" s="41"/>
      <c r="G506" s="117" t="e">
        <f>+'Estimate Details'!#REF!</f>
        <v>#REF!</v>
      </c>
      <c r="H506" s="118" t="e">
        <f>+'Estimate Details'!#REF!</f>
        <v>#REF!</v>
      </c>
      <c r="I506" s="108" t="e">
        <f>+'Estimate Details'!#REF!</f>
        <v>#REF!</v>
      </c>
      <c r="J506" s="179" t="e">
        <f>+'Estimate Details'!#REF!</f>
        <v>#REF!</v>
      </c>
      <c r="K506" s="116" t="e">
        <f>+'Estimate Details'!#REF!</f>
        <v>#REF!</v>
      </c>
      <c r="L506" s="116" t="e">
        <f>+'Estimate Details'!#REF!</f>
        <v>#REF!</v>
      </c>
      <c r="M506" s="204" t="e">
        <f>+'Estimate Details'!#REF!</f>
        <v>#REF!</v>
      </c>
      <c r="N506" s="194" t="e">
        <f>+'Estimate Details'!#REF!</f>
        <v>#REF!</v>
      </c>
      <c r="O506" s="171" t="e">
        <f>+'Estimate Details'!#REF!</f>
        <v>#REF!</v>
      </c>
      <c r="P506" s="172" t="e">
        <f>+'Estimate Details'!#REF!</f>
        <v>#REF!</v>
      </c>
      <c r="Q506" s="173" t="e">
        <f>+'Estimate Details'!#REF!</f>
        <v>#REF!</v>
      </c>
      <c r="R506" s="174" t="e">
        <f>+'Estimate Details'!#REF!</f>
        <v>#REF!</v>
      </c>
      <c r="S506" s="507"/>
      <c r="T506" s="174" t="e">
        <f>+'Estimate Details'!#REF!</f>
        <v>#REF!</v>
      </c>
      <c r="U506" s="481" t="s">
        <v>1310</v>
      </c>
      <c r="V506" s="172" t="e">
        <f>+'Estimate Details'!#REF!</f>
        <v>#REF!</v>
      </c>
      <c r="W506" s="481" t="s">
        <v>1310</v>
      </c>
      <c r="X506" s="172" t="e">
        <f>+'Estimate Details'!#REF!</f>
        <v>#REF!</v>
      </c>
      <c r="Y506" s="172" t="e">
        <f>+'Estimate Details'!#REF!</f>
        <v>#REF!</v>
      </c>
      <c r="Z506" s="174" t="e">
        <f>+'Estimate Details'!#REF!</f>
        <v>#REF!</v>
      </c>
      <c r="AA506" s="481"/>
      <c r="AB506" s="175" t="e">
        <f>+'Estimate Details'!#REF!</f>
        <v>#REF!</v>
      </c>
      <c r="AC506" s="569"/>
      <c r="AD506" s="176" t="e">
        <f>+'Estimate Details'!#REF!</f>
        <v>#REF!</v>
      </c>
      <c r="AE506" s="156"/>
      <c r="AF506" s="156"/>
      <c r="AG506" s="156"/>
      <c r="AH506" s="156"/>
      <c r="AI506" s="29"/>
      <c r="AJ506" s="29"/>
      <c r="AK506" s="29"/>
      <c r="AL506" s="109"/>
    </row>
    <row r="507" spans="1:38" ht="14.1" customHeight="1">
      <c r="A507" s="116" t="e">
        <f>+'Estimate Details'!#REF!</f>
        <v>#REF!</v>
      </c>
      <c r="B507" s="116"/>
      <c r="C507" s="116"/>
      <c r="D507" s="166"/>
      <c r="E507" s="158" t="e">
        <f>+'Estimate Details'!#REF!</f>
        <v>#REF!</v>
      </c>
      <c r="F507" s="41"/>
      <c r="G507" s="117" t="e">
        <f>+'Estimate Details'!#REF!</f>
        <v>#REF!</v>
      </c>
      <c r="H507" s="118" t="e">
        <f>+'Estimate Details'!#REF!</f>
        <v>#REF!</v>
      </c>
      <c r="I507" s="108" t="e">
        <f>+'Estimate Details'!#REF!</f>
        <v>#REF!</v>
      </c>
      <c r="J507" s="179" t="e">
        <f>+'Estimate Details'!#REF!</f>
        <v>#REF!</v>
      </c>
      <c r="K507" s="116" t="e">
        <f>+'Estimate Details'!#REF!</f>
        <v>#REF!</v>
      </c>
      <c r="L507" s="116" t="e">
        <f>+'Estimate Details'!#REF!</f>
        <v>#REF!</v>
      </c>
      <c r="M507" s="204" t="e">
        <f>+'Estimate Details'!#REF!</f>
        <v>#REF!</v>
      </c>
      <c r="N507" s="194" t="e">
        <f>+'Estimate Details'!#REF!</f>
        <v>#REF!</v>
      </c>
      <c r="O507" s="171" t="e">
        <f>+'Estimate Details'!#REF!</f>
        <v>#REF!</v>
      </c>
      <c r="P507" s="172" t="e">
        <f>+'Estimate Details'!#REF!</f>
        <v>#REF!</v>
      </c>
      <c r="Q507" s="173" t="e">
        <f>+'Estimate Details'!#REF!</f>
        <v>#REF!</v>
      </c>
      <c r="R507" s="174" t="e">
        <f>+'Estimate Details'!#REF!</f>
        <v>#REF!</v>
      </c>
      <c r="S507" s="507"/>
      <c r="T507" s="174" t="e">
        <f>+'Estimate Details'!#REF!</f>
        <v>#REF!</v>
      </c>
      <c r="U507" s="481" t="s">
        <v>1310</v>
      </c>
      <c r="V507" s="172" t="e">
        <f>+'Estimate Details'!#REF!</f>
        <v>#REF!</v>
      </c>
      <c r="W507" s="481" t="s">
        <v>1310</v>
      </c>
      <c r="X507" s="172" t="e">
        <f>+'Estimate Details'!#REF!</f>
        <v>#REF!</v>
      </c>
      <c r="Y507" s="172" t="e">
        <f>+'Estimate Details'!#REF!</f>
        <v>#REF!</v>
      </c>
      <c r="Z507" s="174" t="e">
        <f>+'Estimate Details'!#REF!</f>
        <v>#REF!</v>
      </c>
      <c r="AA507" s="481"/>
      <c r="AB507" s="175" t="e">
        <f>+'Estimate Details'!#REF!</f>
        <v>#REF!</v>
      </c>
      <c r="AC507" s="569"/>
      <c r="AD507" s="176" t="e">
        <f>+'Estimate Details'!#REF!</f>
        <v>#REF!</v>
      </c>
      <c r="AE507" s="156"/>
      <c r="AF507" s="156"/>
      <c r="AG507" s="156"/>
      <c r="AH507" s="156"/>
      <c r="AI507" s="29"/>
      <c r="AJ507" s="29"/>
      <c r="AK507" s="29"/>
      <c r="AL507" s="109"/>
    </row>
    <row r="508" spans="1:38" ht="14.1" customHeight="1">
      <c r="A508" s="116" t="e">
        <f>+'Estimate Details'!#REF!</f>
        <v>#REF!</v>
      </c>
      <c r="B508" s="116"/>
      <c r="C508" s="116"/>
      <c r="D508" s="166"/>
      <c r="E508" s="158" t="e">
        <f>+'Estimate Details'!#REF!</f>
        <v>#REF!</v>
      </c>
      <c r="F508" s="41"/>
      <c r="G508" s="117" t="e">
        <f>+'Estimate Details'!#REF!</f>
        <v>#REF!</v>
      </c>
      <c r="H508" s="118" t="e">
        <f>+'Estimate Details'!#REF!</f>
        <v>#REF!</v>
      </c>
      <c r="I508" s="108" t="e">
        <f>+'Estimate Details'!#REF!</f>
        <v>#REF!</v>
      </c>
      <c r="J508" s="179" t="e">
        <f>+'Estimate Details'!#REF!</f>
        <v>#REF!</v>
      </c>
      <c r="K508" s="116" t="e">
        <f>+'Estimate Details'!#REF!</f>
        <v>#REF!</v>
      </c>
      <c r="L508" s="116" t="e">
        <f>+'Estimate Details'!#REF!</f>
        <v>#REF!</v>
      </c>
      <c r="M508" s="204" t="e">
        <f>+'Estimate Details'!#REF!</f>
        <v>#REF!</v>
      </c>
      <c r="N508" s="194" t="e">
        <f>+'Estimate Details'!#REF!</f>
        <v>#REF!</v>
      </c>
      <c r="O508" s="171" t="e">
        <f>+'Estimate Details'!#REF!</f>
        <v>#REF!</v>
      </c>
      <c r="P508" s="172" t="e">
        <f>+'Estimate Details'!#REF!</f>
        <v>#REF!</v>
      </c>
      <c r="Q508" s="173" t="e">
        <f>+'Estimate Details'!#REF!</f>
        <v>#REF!</v>
      </c>
      <c r="R508" s="174" t="e">
        <f>+'Estimate Details'!#REF!</f>
        <v>#REF!</v>
      </c>
      <c r="S508" s="507"/>
      <c r="T508" s="174" t="e">
        <f>+'Estimate Details'!#REF!</f>
        <v>#REF!</v>
      </c>
      <c r="U508" s="481" t="s">
        <v>1310</v>
      </c>
      <c r="V508" s="172" t="e">
        <f>+'Estimate Details'!#REF!</f>
        <v>#REF!</v>
      </c>
      <c r="W508" s="481" t="s">
        <v>1310</v>
      </c>
      <c r="X508" s="172" t="e">
        <f>+'Estimate Details'!#REF!</f>
        <v>#REF!</v>
      </c>
      <c r="Y508" s="172" t="e">
        <f>+'Estimate Details'!#REF!</f>
        <v>#REF!</v>
      </c>
      <c r="Z508" s="174" t="e">
        <f>+'Estimate Details'!#REF!</f>
        <v>#REF!</v>
      </c>
      <c r="AA508" s="481"/>
      <c r="AB508" s="175" t="e">
        <f>+'Estimate Details'!#REF!</f>
        <v>#REF!</v>
      </c>
      <c r="AC508" s="569"/>
      <c r="AD508" s="176" t="e">
        <f>+'Estimate Details'!#REF!</f>
        <v>#REF!</v>
      </c>
      <c r="AE508" s="156"/>
      <c r="AF508" s="156"/>
      <c r="AG508" s="156"/>
      <c r="AH508" s="156"/>
      <c r="AI508" s="29"/>
      <c r="AJ508" s="29"/>
      <c r="AK508" s="29"/>
      <c r="AL508" s="109"/>
    </row>
    <row r="509" spans="1:38" ht="14.1" customHeight="1">
      <c r="A509" s="116" t="e">
        <f>+'Estimate Details'!#REF!</f>
        <v>#REF!</v>
      </c>
      <c r="B509" s="116"/>
      <c r="C509" s="116"/>
      <c r="D509" s="166"/>
      <c r="E509" s="158" t="e">
        <f>+'Estimate Details'!#REF!</f>
        <v>#REF!</v>
      </c>
      <c r="F509" s="41"/>
      <c r="G509" s="117" t="e">
        <f>+'Estimate Details'!#REF!</f>
        <v>#REF!</v>
      </c>
      <c r="H509" s="118" t="e">
        <f>+'Estimate Details'!#REF!</f>
        <v>#REF!</v>
      </c>
      <c r="I509" s="108" t="e">
        <f>+'Estimate Details'!#REF!</f>
        <v>#REF!</v>
      </c>
      <c r="J509" s="179" t="e">
        <f>+'Estimate Details'!#REF!</f>
        <v>#REF!</v>
      </c>
      <c r="K509" s="116" t="e">
        <f>+'Estimate Details'!#REF!</f>
        <v>#REF!</v>
      </c>
      <c r="L509" s="116" t="e">
        <f>+'Estimate Details'!#REF!</f>
        <v>#REF!</v>
      </c>
      <c r="M509" s="204" t="e">
        <f>+'Estimate Details'!#REF!</f>
        <v>#REF!</v>
      </c>
      <c r="N509" s="194" t="e">
        <f>+'Estimate Details'!#REF!</f>
        <v>#REF!</v>
      </c>
      <c r="O509" s="171" t="e">
        <f>+'Estimate Details'!#REF!</f>
        <v>#REF!</v>
      </c>
      <c r="P509" s="172" t="e">
        <f>+'Estimate Details'!#REF!</f>
        <v>#REF!</v>
      </c>
      <c r="Q509" s="173" t="e">
        <f>+'Estimate Details'!#REF!</f>
        <v>#REF!</v>
      </c>
      <c r="R509" s="174" t="e">
        <f>+'Estimate Details'!#REF!</f>
        <v>#REF!</v>
      </c>
      <c r="S509" s="507"/>
      <c r="T509" s="174" t="e">
        <f>+'Estimate Details'!#REF!</f>
        <v>#REF!</v>
      </c>
      <c r="U509" s="481" t="s">
        <v>1310</v>
      </c>
      <c r="V509" s="172" t="e">
        <f>+'Estimate Details'!#REF!</f>
        <v>#REF!</v>
      </c>
      <c r="W509" s="481" t="s">
        <v>1310</v>
      </c>
      <c r="X509" s="172" t="e">
        <f>+'Estimate Details'!#REF!</f>
        <v>#REF!</v>
      </c>
      <c r="Y509" s="172" t="e">
        <f>+'Estimate Details'!#REF!</f>
        <v>#REF!</v>
      </c>
      <c r="Z509" s="174" t="e">
        <f>+'Estimate Details'!#REF!</f>
        <v>#REF!</v>
      </c>
      <c r="AA509" s="481"/>
      <c r="AB509" s="175" t="e">
        <f>+'Estimate Details'!#REF!</f>
        <v>#REF!</v>
      </c>
      <c r="AC509" s="569"/>
      <c r="AD509" s="176" t="e">
        <f>+'Estimate Details'!#REF!</f>
        <v>#REF!</v>
      </c>
      <c r="AE509" s="156"/>
      <c r="AF509" s="156"/>
      <c r="AG509" s="156"/>
      <c r="AH509" s="156"/>
      <c r="AI509" s="29"/>
      <c r="AJ509" s="29"/>
      <c r="AK509" s="29"/>
      <c r="AL509" s="109"/>
    </row>
    <row r="510" spans="1:38" ht="14.1" customHeight="1">
      <c r="A510" s="116" t="e">
        <f>+'Estimate Details'!#REF!</f>
        <v>#REF!</v>
      </c>
      <c r="B510" s="116"/>
      <c r="C510" s="116"/>
      <c r="D510" s="166"/>
      <c r="E510" s="158" t="e">
        <f>+'Estimate Details'!#REF!</f>
        <v>#REF!</v>
      </c>
      <c r="F510" s="41"/>
      <c r="G510" s="117" t="e">
        <f>+'Estimate Details'!#REF!</f>
        <v>#REF!</v>
      </c>
      <c r="H510" s="118" t="e">
        <f>+'Estimate Details'!#REF!</f>
        <v>#REF!</v>
      </c>
      <c r="I510" s="108" t="e">
        <f>+'Estimate Details'!#REF!</f>
        <v>#REF!</v>
      </c>
      <c r="J510" s="179" t="e">
        <f>+'Estimate Details'!#REF!</f>
        <v>#REF!</v>
      </c>
      <c r="K510" s="116" t="e">
        <f>+'Estimate Details'!#REF!</f>
        <v>#REF!</v>
      </c>
      <c r="L510" s="116" t="e">
        <f>+'Estimate Details'!#REF!</f>
        <v>#REF!</v>
      </c>
      <c r="M510" s="204" t="e">
        <f>+'Estimate Details'!#REF!</f>
        <v>#REF!</v>
      </c>
      <c r="N510" s="194" t="e">
        <f>+'Estimate Details'!#REF!</f>
        <v>#REF!</v>
      </c>
      <c r="O510" s="171" t="e">
        <f>+'Estimate Details'!#REF!</f>
        <v>#REF!</v>
      </c>
      <c r="P510" s="172" t="e">
        <f>+'Estimate Details'!#REF!</f>
        <v>#REF!</v>
      </c>
      <c r="Q510" s="173" t="e">
        <f>+'Estimate Details'!#REF!</f>
        <v>#REF!</v>
      </c>
      <c r="R510" s="174" t="e">
        <f>+'Estimate Details'!#REF!</f>
        <v>#REF!</v>
      </c>
      <c r="S510" s="507"/>
      <c r="T510" s="174" t="e">
        <f>+'Estimate Details'!#REF!</f>
        <v>#REF!</v>
      </c>
      <c r="U510" s="481" t="s">
        <v>1310</v>
      </c>
      <c r="V510" s="172" t="e">
        <f>+'Estimate Details'!#REF!</f>
        <v>#REF!</v>
      </c>
      <c r="W510" s="481" t="s">
        <v>1310</v>
      </c>
      <c r="X510" s="172" t="e">
        <f>+'Estimate Details'!#REF!</f>
        <v>#REF!</v>
      </c>
      <c r="Y510" s="172" t="e">
        <f>+'Estimate Details'!#REF!</f>
        <v>#REF!</v>
      </c>
      <c r="Z510" s="174" t="e">
        <f>+'Estimate Details'!#REF!</f>
        <v>#REF!</v>
      </c>
      <c r="AA510" s="481"/>
      <c r="AB510" s="175" t="e">
        <f>+'Estimate Details'!#REF!</f>
        <v>#REF!</v>
      </c>
      <c r="AC510" s="569"/>
      <c r="AD510" s="176" t="e">
        <f>+'Estimate Details'!#REF!</f>
        <v>#REF!</v>
      </c>
      <c r="AE510" s="156"/>
      <c r="AF510" s="156"/>
      <c r="AG510" s="156"/>
      <c r="AH510" s="156"/>
      <c r="AI510" s="29"/>
      <c r="AJ510" s="29"/>
      <c r="AK510" s="29"/>
      <c r="AL510" s="109"/>
    </row>
    <row r="511" spans="1:38" ht="14.1" customHeight="1">
      <c r="A511" s="116" t="e">
        <f>+'Estimate Details'!#REF!</f>
        <v>#REF!</v>
      </c>
      <c r="B511" s="116"/>
      <c r="C511" s="116"/>
      <c r="D511" s="166"/>
      <c r="E511" s="158" t="e">
        <f>+'Estimate Details'!#REF!</f>
        <v>#REF!</v>
      </c>
      <c r="F511" s="41"/>
      <c r="G511" s="117" t="e">
        <f>+'Estimate Details'!#REF!</f>
        <v>#REF!</v>
      </c>
      <c r="H511" s="118" t="e">
        <f>+'Estimate Details'!#REF!</f>
        <v>#REF!</v>
      </c>
      <c r="I511" s="108" t="e">
        <f>+'Estimate Details'!#REF!</f>
        <v>#REF!</v>
      </c>
      <c r="J511" s="179" t="e">
        <f>+'Estimate Details'!#REF!</f>
        <v>#REF!</v>
      </c>
      <c r="K511" s="116" t="e">
        <f>+'Estimate Details'!#REF!</f>
        <v>#REF!</v>
      </c>
      <c r="L511" s="116" t="e">
        <f>+'Estimate Details'!#REF!</f>
        <v>#REF!</v>
      </c>
      <c r="M511" s="204" t="e">
        <f>+'Estimate Details'!#REF!</f>
        <v>#REF!</v>
      </c>
      <c r="N511" s="194" t="e">
        <f>+'Estimate Details'!#REF!</f>
        <v>#REF!</v>
      </c>
      <c r="O511" s="171" t="e">
        <f>+'Estimate Details'!#REF!</f>
        <v>#REF!</v>
      </c>
      <c r="P511" s="172" t="e">
        <f>+'Estimate Details'!#REF!</f>
        <v>#REF!</v>
      </c>
      <c r="Q511" s="173" t="e">
        <f>+'Estimate Details'!#REF!</f>
        <v>#REF!</v>
      </c>
      <c r="R511" s="174" t="e">
        <f>+'Estimate Details'!#REF!</f>
        <v>#REF!</v>
      </c>
      <c r="S511" s="507"/>
      <c r="T511" s="174" t="e">
        <f>+'Estimate Details'!#REF!</f>
        <v>#REF!</v>
      </c>
      <c r="U511" s="481" t="s">
        <v>1310</v>
      </c>
      <c r="V511" s="172" t="e">
        <f>+'Estimate Details'!#REF!</f>
        <v>#REF!</v>
      </c>
      <c r="W511" s="481" t="s">
        <v>1310</v>
      </c>
      <c r="X511" s="172" t="e">
        <f>+'Estimate Details'!#REF!</f>
        <v>#REF!</v>
      </c>
      <c r="Y511" s="172" t="e">
        <f>+'Estimate Details'!#REF!</f>
        <v>#REF!</v>
      </c>
      <c r="Z511" s="174" t="e">
        <f>+'Estimate Details'!#REF!</f>
        <v>#REF!</v>
      </c>
      <c r="AA511" s="481"/>
      <c r="AB511" s="175" t="e">
        <f>+'Estimate Details'!#REF!</f>
        <v>#REF!</v>
      </c>
      <c r="AC511" s="569"/>
      <c r="AD511" s="176" t="e">
        <f>+'Estimate Details'!#REF!</f>
        <v>#REF!</v>
      </c>
      <c r="AE511" s="156"/>
      <c r="AF511" s="156"/>
      <c r="AG511" s="156"/>
      <c r="AH511" s="156"/>
      <c r="AI511" s="29"/>
      <c r="AJ511" s="29"/>
      <c r="AK511" s="29"/>
      <c r="AL511" s="109"/>
    </row>
    <row r="512" spans="1:38" ht="14.1" customHeight="1">
      <c r="A512" s="116" t="e">
        <f>+'Estimate Details'!#REF!</f>
        <v>#REF!</v>
      </c>
      <c r="B512" s="116"/>
      <c r="C512" s="116"/>
      <c r="D512" s="166"/>
      <c r="E512" s="158" t="e">
        <f>+'Estimate Details'!#REF!</f>
        <v>#REF!</v>
      </c>
      <c r="F512" s="41"/>
      <c r="G512" s="117" t="e">
        <f>+'Estimate Details'!#REF!</f>
        <v>#REF!</v>
      </c>
      <c r="H512" s="118" t="e">
        <f>+'Estimate Details'!#REF!</f>
        <v>#REF!</v>
      </c>
      <c r="I512" s="108" t="e">
        <f>+'Estimate Details'!#REF!</f>
        <v>#REF!</v>
      </c>
      <c r="J512" s="179" t="e">
        <f>+'Estimate Details'!#REF!</f>
        <v>#REF!</v>
      </c>
      <c r="K512" s="116" t="e">
        <f>+'Estimate Details'!#REF!</f>
        <v>#REF!</v>
      </c>
      <c r="L512" s="116" t="e">
        <f>+'Estimate Details'!#REF!</f>
        <v>#REF!</v>
      </c>
      <c r="M512" s="204" t="e">
        <f>+'Estimate Details'!#REF!</f>
        <v>#REF!</v>
      </c>
      <c r="N512" s="194" t="e">
        <f>+'Estimate Details'!#REF!</f>
        <v>#REF!</v>
      </c>
      <c r="O512" s="171" t="e">
        <f>+'Estimate Details'!#REF!</f>
        <v>#REF!</v>
      </c>
      <c r="P512" s="172" t="e">
        <f>+'Estimate Details'!#REF!</f>
        <v>#REF!</v>
      </c>
      <c r="Q512" s="173" t="e">
        <f>+'Estimate Details'!#REF!</f>
        <v>#REF!</v>
      </c>
      <c r="R512" s="174" t="e">
        <f>+'Estimate Details'!#REF!</f>
        <v>#REF!</v>
      </c>
      <c r="S512" s="507"/>
      <c r="T512" s="174" t="e">
        <f>+'Estimate Details'!#REF!</f>
        <v>#REF!</v>
      </c>
      <c r="U512" s="481" t="s">
        <v>1310</v>
      </c>
      <c r="V512" s="172" t="e">
        <f>+'Estimate Details'!#REF!</f>
        <v>#REF!</v>
      </c>
      <c r="W512" s="481" t="s">
        <v>1310</v>
      </c>
      <c r="X512" s="172" t="e">
        <f>+'Estimate Details'!#REF!</f>
        <v>#REF!</v>
      </c>
      <c r="Y512" s="172" t="e">
        <f>+'Estimate Details'!#REF!</f>
        <v>#REF!</v>
      </c>
      <c r="Z512" s="174" t="e">
        <f>+'Estimate Details'!#REF!</f>
        <v>#REF!</v>
      </c>
      <c r="AA512" s="481"/>
      <c r="AB512" s="175" t="e">
        <f>+'Estimate Details'!#REF!</f>
        <v>#REF!</v>
      </c>
      <c r="AC512" s="569"/>
      <c r="AD512" s="176" t="e">
        <f>+'Estimate Details'!#REF!</f>
        <v>#REF!</v>
      </c>
      <c r="AE512" s="156"/>
      <c r="AF512" s="156"/>
      <c r="AG512" s="156"/>
      <c r="AH512" s="156"/>
      <c r="AI512" s="29"/>
      <c r="AJ512" s="29"/>
      <c r="AK512" s="29"/>
      <c r="AL512" s="109"/>
    </row>
    <row r="513" spans="1:38" ht="14.1" customHeight="1">
      <c r="A513" s="116" t="e">
        <f>+'Estimate Details'!#REF!</f>
        <v>#REF!</v>
      </c>
      <c r="B513" s="116"/>
      <c r="C513" s="116"/>
      <c r="D513" s="166"/>
      <c r="E513" s="158" t="e">
        <f>+'Estimate Details'!#REF!</f>
        <v>#REF!</v>
      </c>
      <c r="F513" s="41"/>
      <c r="G513" s="117" t="e">
        <f>+'Estimate Details'!#REF!</f>
        <v>#REF!</v>
      </c>
      <c r="H513" s="118" t="e">
        <f>+'Estimate Details'!#REF!</f>
        <v>#REF!</v>
      </c>
      <c r="I513" s="108" t="e">
        <f>+'Estimate Details'!#REF!</f>
        <v>#REF!</v>
      </c>
      <c r="J513" s="179" t="e">
        <f>+'Estimate Details'!#REF!</f>
        <v>#REF!</v>
      </c>
      <c r="K513" s="116" t="e">
        <f>+'Estimate Details'!#REF!</f>
        <v>#REF!</v>
      </c>
      <c r="L513" s="116" t="e">
        <f>+'Estimate Details'!#REF!</f>
        <v>#REF!</v>
      </c>
      <c r="M513" s="204" t="e">
        <f>+'Estimate Details'!#REF!</f>
        <v>#REF!</v>
      </c>
      <c r="N513" s="194" t="e">
        <f>+'Estimate Details'!#REF!</f>
        <v>#REF!</v>
      </c>
      <c r="O513" s="171" t="e">
        <f>+'Estimate Details'!#REF!</f>
        <v>#REF!</v>
      </c>
      <c r="P513" s="172" t="e">
        <f>+'Estimate Details'!#REF!</f>
        <v>#REF!</v>
      </c>
      <c r="Q513" s="173" t="e">
        <f>+'Estimate Details'!#REF!</f>
        <v>#REF!</v>
      </c>
      <c r="R513" s="174" t="e">
        <f>+'Estimate Details'!#REF!</f>
        <v>#REF!</v>
      </c>
      <c r="S513" s="507"/>
      <c r="T513" s="174" t="e">
        <f>+'Estimate Details'!#REF!</f>
        <v>#REF!</v>
      </c>
      <c r="U513" s="481" t="s">
        <v>1310</v>
      </c>
      <c r="V513" s="172" t="e">
        <f>+'Estimate Details'!#REF!</f>
        <v>#REF!</v>
      </c>
      <c r="W513" s="481" t="s">
        <v>1310</v>
      </c>
      <c r="X513" s="172" t="e">
        <f>+'Estimate Details'!#REF!</f>
        <v>#REF!</v>
      </c>
      <c r="Y513" s="172" t="e">
        <f>+'Estimate Details'!#REF!</f>
        <v>#REF!</v>
      </c>
      <c r="Z513" s="174" t="e">
        <f>+'Estimate Details'!#REF!</f>
        <v>#REF!</v>
      </c>
      <c r="AA513" s="481"/>
      <c r="AB513" s="175" t="e">
        <f>+'Estimate Details'!#REF!</f>
        <v>#REF!</v>
      </c>
      <c r="AC513" s="569"/>
      <c r="AD513" s="176" t="e">
        <f>+'Estimate Details'!#REF!</f>
        <v>#REF!</v>
      </c>
      <c r="AE513" s="156"/>
      <c r="AF513" s="156"/>
      <c r="AG513" s="156"/>
      <c r="AH513" s="156"/>
      <c r="AI513" s="29"/>
      <c r="AJ513" s="29"/>
      <c r="AK513" s="29"/>
      <c r="AL513" s="109"/>
    </row>
    <row r="514" spans="1:38" ht="14.1" customHeight="1">
      <c r="A514" s="116" t="e">
        <f>+'Estimate Details'!#REF!</f>
        <v>#REF!</v>
      </c>
      <c r="B514" s="116"/>
      <c r="C514" s="116"/>
      <c r="D514" s="166"/>
      <c r="E514" s="158" t="e">
        <f>+'Estimate Details'!#REF!</f>
        <v>#REF!</v>
      </c>
      <c r="F514" s="41"/>
      <c r="G514" s="117" t="e">
        <f>+'Estimate Details'!#REF!</f>
        <v>#REF!</v>
      </c>
      <c r="H514" s="118" t="e">
        <f>+'Estimate Details'!#REF!</f>
        <v>#REF!</v>
      </c>
      <c r="I514" s="108" t="e">
        <f>+'Estimate Details'!#REF!</f>
        <v>#REF!</v>
      </c>
      <c r="J514" s="179" t="e">
        <f>+'Estimate Details'!#REF!</f>
        <v>#REF!</v>
      </c>
      <c r="K514" s="116" t="e">
        <f>+'Estimate Details'!#REF!</f>
        <v>#REF!</v>
      </c>
      <c r="L514" s="116" t="e">
        <f>+'Estimate Details'!#REF!</f>
        <v>#REF!</v>
      </c>
      <c r="M514" s="204" t="e">
        <f>+'Estimate Details'!#REF!</f>
        <v>#REF!</v>
      </c>
      <c r="N514" s="194" t="e">
        <f>+'Estimate Details'!#REF!</f>
        <v>#REF!</v>
      </c>
      <c r="O514" s="171" t="e">
        <f>+'Estimate Details'!#REF!</f>
        <v>#REF!</v>
      </c>
      <c r="P514" s="172" t="e">
        <f>+'Estimate Details'!#REF!</f>
        <v>#REF!</v>
      </c>
      <c r="Q514" s="173" t="e">
        <f>+'Estimate Details'!#REF!</f>
        <v>#REF!</v>
      </c>
      <c r="R514" s="174" t="e">
        <f>+'Estimate Details'!#REF!</f>
        <v>#REF!</v>
      </c>
      <c r="S514" s="507"/>
      <c r="T514" s="174" t="e">
        <f>+'Estimate Details'!#REF!</f>
        <v>#REF!</v>
      </c>
      <c r="U514" s="481" t="s">
        <v>1310</v>
      </c>
      <c r="V514" s="172" t="e">
        <f>+'Estimate Details'!#REF!</f>
        <v>#REF!</v>
      </c>
      <c r="W514" s="481" t="s">
        <v>1310</v>
      </c>
      <c r="X514" s="172" t="e">
        <f>+'Estimate Details'!#REF!</f>
        <v>#REF!</v>
      </c>
      <c r="Y514" s="172" t="e">
        <f>+'Estimate Details'!#REF!</f>
        <v>#REF!</v>
      </c>
      <c r="Z514" s="174" t="e">
        <f>+'Estimate Details'!#REF!</f>
        <v>#REF!</v>
      </c>
      <c r="AA514" s="481"/>
      <c r="AB514" s="175" t="e">
        <f>+'Estimate Details'!#REF!</f>
        <v>#REF!</v>
      </c>
      <c r="AC514" s="569"/>
      <c r="AD514" s="176" t="e">
        <f>+'Estimate Details'!#REF!</f>
        <v>#REF!</v>
      </c>
      <c r="AE514" s="156"/>
      <c r="AF514" s="156"/>
      <c r="AG514" s="156"/>
      <c r="AH514" s="156"/>
      <c r="AI514" s="29"/>
      <c r="AJ514" s="29"/>
      <c r="AK514" s="29"/>
      <c r="AL514" s="109"/>
    </row>
    <row r="515" spans="1:38" ht="14.1" customHeight="1">
      <c r="A515" s="116" t="e">
        <f>+'Estimate Details'!#REF!</f>
        <v>#REF!</v>
      </c>
      <c r="B515" s="116"/>
      <c r="C515" s="116"/>
      <c r="D515" s="166"/>
      <c r="E515" s="158" t="e">
        <f>+'Estimate Details'!#REF!</f>
        <v>#REF!</v>
      </c>
      <c r="F515" s="41"/>
      <c r="G515" s="117" t="e">
        <f>+'Estimate Details'!#REF!</f>
        <v>#REF!</v>
      </c>
      <c r="H515" s="118" t="e">
        <f>+'Estimate Details'!#REF!</f>
        <v>#REF!</v>
      </c>
      <c r="I515" s="108" t="e">
        <f>+'Estimate Details'!#REF!</f>
        <v>#REF!</v>
      </c>
      <c r="J515" s="179" t="e">
        <f>+'Estimate Details'!#REF!</f>
        <v>#REF!</v>
      </c>
      <c r="K515" s="116" t="e">
        <f>+'Estimate Details'!#REF!</f>
        <v>#REF!</v>
      </c>
      <c r="L515" s="116" t="e">
        <f>+'Estimate Details'!#REF!</f>
        <v>#REF!</v>
      </c>
      <c r="M515" s="204" t="e">
        <f>+'Estimate Details'!#REF!</f>
        <v>#REF!</v>
      </c>
      <c r="N515" s="194" t="e">
        <f>+'Estimate Details'!#REF!</f>
        <v>#REF!</v>
      </c>
      <c r="O515" s="171" t="e">
        <f>+'Estimate Details'!#REF!</f>
        <v>#REF!</v>
      </c>
      <c r="P515" s="172" t="e">
        <f>+'Estimate Details'!#REF!</f>
        <v>#REF!</v>
      </c>
      <c r="Q515" s="173" t="e">
        <f>+'Estimate Details'!#REF!</f>
        <v>#REF!</v>
      </c>
      <c r="R515" s="174" t="e">
        <f>+'Estimate Details'!#REF!</f>
        <v>#REF!</v>
      </c>
      <c r="S515" s="507"/>
      <c r="T515" s="174" t="e">
        <f>+'Estimate Details'!#REF!</f>
        <v>#REF!</v>
      </c>
      <c r="U515" s="481" t="s">
        <v>1310</v>
      </c>
      <c r="V515" s="172" t="e">
        <f>+'Estimate Details'!#REF!</f>
        <v>#REF!</v>
      </c>
      <c r="W515" s="481" t="s">
        <v>1310</v>
      </c>
      <c r="X515" s="172" t="e">
        <f>+'Estimate Details'!#REF!</f>
        <v>#REF!</v>
      </c>
      <c r="Y515" s="172" t="e">
        <f>+'Estimate Details'!#REF!</f>
        <v>#REF!</v>
      </c>
      <c r="Z515" s="174" t="e">
        <f>+'Estimate Details'!#REF!</f>
        <v>#REF!</v>
      </c>
      <c r="AA515" s="481"/>
      <c r="AB515" s="175" t="e">
        <f>+'Estimate Details'!#REF!</f>
        <v>#REF!</v>
      </c>
      <c r="AC515" s="569"/>
      <c r="AD515" s="176" t="e">
        <f>+'Estimate Details'!#REF!</f>
        <v>#REF!</v>
      </c>
      <c r="AE515" s="156"/>
      <c r="AF515" s="156"/>
      <c r="AG515" s="156"/>
      <c r="AH515" s="156"/>
      <c r="AI515" s="29"/>
      <c r="AJ515" s="29"/>
      <c r="AK515" s="29"/>
      <c r="AL515" s="109"/>
    </row>
    <row r="516" spans="1:38" ht="14.1" customHeight="1">
      <c r="A516" s="116" t="e">
        <f>+'Estimate Details'!#REF!</f>
        <v>#REF!</v>
      </c>
      <c r="B516" s="116"/>
      <c r="C516" s="116"/>
      <c r="D516" s="166"/>
      <c r="E516" s="158" t="e">
        <f>+'Estimate Details'!#REF!</f>
        <v>#REF!</v>
      </c>
      <c r="F516" s="41"/>
      <c r="G516" s="117" t="e">
        <f>+'Estimate Details'!#REF!</f>
        <v>#REF!</v>
      </c>
      <c r="H516" s="118" t="e">
        <f>+'Estimate Details'!#REF!</f>
        <v>#REF!</v>
      </c>
      <c r="I516" s="108" t="e">
        <f>+'Estimate Details'!#REF!</f>
        <v>#REF!</v>
      </c>
      <c r="J516" s="179" t="e">
        <f>+'Estimate Details'!#REF!</f>
        <v>#REF!</v>
      </c>
      <c r="K516" s="116" t="e">
        <f>+'Estimate Details'!#REF!</f>
        <v>#REF!</v>
      </c>
      <c r="L516" s="116" t="e">
        <f>+'Estimate Details'!#REF!</f>
        <v>#REF!</v>
      </c>
      <c r="M516" s="204" t="e">
        <f>+'Estimate Details'!#REF!</f>
        <v>#REF!</v>
      </c>
      <c r="N516" s="194" t="e">
        <f>+'Estimate Details'!#REF!</f>
        <v>#REF!</v>
      </c>
      <c r="O516" s="171" t="e">
        <f>+'Estimate Details'!#REF!</f>
        <v>#REF!</v>
      </c>
      <c r="P516" s="172" t="e">
        <f>+'Estimate Details'!#REF!</f>
        <v>#REF!</v>
      </c>
      <c r="Q516" s="173" t="e">
        <f>+'Estimate Details'!#REF!</f>
        <v>#REF!</v>
      </c>
      <c r="R516" s="174" t="e">
        <f>+'Estimate Details'!#REF!</f>
        <v>#REF!</v>
      </c>
      <c r="S516" s="507"/>
      <c r="T516" s="174" t="e">
        <f>+'Estimate Details'!#REF!</f>
        <v>#REF!</v>
      </c>
      <c r="U516" s="481" t="s">
        <v>1310</v>
      </c>
      <c r="V516" s="172" t="e">
        <f>+'Estimate Details'!#REF!</f>
        <v>#REF!</v>
      </c>
      <c r="W516" s="481" t="s">
        <v>1310</v>
      </c>
      <c r="X516" s="172" t="e">
        <f>+'Estimate Details'!#REF!</f>
        <v>#REF!</v>
      </c>
      <c r="Y516" s="172" t="e">
        <f>+'Estimate Details'!#REF!</f>
        <v>#REF!</v>
      </c>
      <c r="Z516" s="174" t="e">
        <f>+'Estimate Details'!#REF!</f>
        <v>#REF!</v>
      </c>
      <c r="AA516" s="481"/>
      <c r="AB516" s="175" t="e">
        <f>+'Estimate Details'!#REF!</f>
        <v>#REF!</v>
      </c>
      <c r="AC516" s="569"/>
      <c r="AD516" s="176" t="e">
        <f>+'Estimate Details'!#REF!</f>
        <v>#REF!</v>
      </c>
      <c r="AE516" s="156"/>
      <c r="AF516" s="156"/>
      <c r="AG516" s="156"/>
      <c r="AH516" s="156"/>
      <c r="AI516" s="29"/>
      <c r="AJ516" s="29"/>
      <c r="AK516" s="29"/>
      <c r="AL516" s="109"/>
    </row>
    <row r="517" spans="1:38" ht="14.1" customHeight="1">
      <c r="A517" s="116" t="e">
        <f>+'Estimate Details'!#REF!</f>
        <v>#REF!</v>
      </c>
      <c r="B517" s="116"/>
      <c r="C517" s="116"/>
      <c r="D517" s="166"/>
      <c r="E517" s="158" t="e">
        <f>+'Estimate Details'!#REF!</f>
        <v>#REF!</v>
      </c>
      <c r="F517" s="41"/>
      <c r="G517" s="117" t="e">
        <f>+'Estimate Details'!#REF!</f>
        <v>#REF!</v>
      </c>
      <c r="H517" s="118" t="e">
        <f>+'Estimate Details'!#REF!</f>
        <v>#REF!</v>
      </c>
      <c r="I517" s="108" t="e">
        <f>+'Estimate Details'!#REF!</f>
        <v>#REF!</v>
      </c>
      <c r="J517" s="179" t="e">
        <f>+'Estimate Details'!#REF!</f>
        <v>#REF!</v>
      </c>
      <c r="K517" s="116" t="e">
        <f>+'Estimate Details'!#REF!</f>
        <v>#REF!</v>
      </c>
      <c r="L517" s="116" t="e">
        <f>+'Estimate Details'!#REF!</f>
        <v>#REF!</v>
      </c>
      <c r="M517" s="204" t="e">
        <f>+'Estimate Details'!#REF!</f>
        <v>#REF!</v>
      </c>
      <c r="N517" s="194" t="e">
        <f>+'Estimate Details'!#REF!</f>
        <v>#REF!</v>
      </c>
      <c r="O517" s="171" t="e">
        <f>+'Estimate Details'!#REF!</f>
        <v>#REF!</v>
      </c>
      <c r="P517" s="172" t="e">
        <f>+'Estimate Details'!#REF!</f>
        <v>#REF!</v>
      </c>
      <c r="Q517" s="173" t="e">
        <f>+'Estimate Details'!#REF!</f>
        <v>#REF!</v>
      </c>
      <c r="R517" s="174" t="e">
        <f>+'Estimate Details'!#REF!</f>
        <v>#REF!</v>
      </c>
      <c r="S517" s="507"/>
      <c r="T517" s="174" t="e">
        <f>+'Estimate Details'!#REF!</f>
        <v>#REF!</v>
      </c>
      <c r="U517" s="481" t="s">
        <v>1311</v>
      </c>
      <c r="V517" s="172" t="e">
        <f>+'Estimate Details'!#REF!</f>
        <v>#REF!</v>
      </c>
      <c r="W517" s="481" t="s">
        <v>1310</v>
      </c>
      <c r="X517" s="172" t="e">
        <f>+'Estimate Details'!#REF!</f>
        <v>#REF!</v>
      </c>
      <c r="Y517" s="172" t="e">
        <f>+'Estimate Details'!#REF!</f>
        <v>#REF!</v>
      </c>
      <c r="Z517" s="174" t="e">
        <f>+'Estimate Details'!#REF!</f>
        <v>#REF!</v>
      </c>
      <c r="AA517" s="481"/>
      <c r="AB517" s="175" t="e">
        <f>+'Estimate Details'!#REF!</f>
        <v>#REF!</v>
      </c>
      <c r="AC517" s="569"/>
      <c r="AD517" s="176" t="e">
        <f>+'Estimate Details'!#REF!</f>
        <v>#REF!</v>
      </c>
      <c r="AE517" s="156"/>
      <c r="AF517" s="156"/>
      <c r="AG517" s="156"/>
      <c r="AH517" s="156"/>
      <c r="AI517" s="29"/>
      <c r="AJ517" s="29"/>
      <c r="AK517" s="29"/>
      <c r="AL517" s="109"/>
    </row>
    <row r="518" spans="1:38" ht="14.1" customHeight="1">
      <c r="A518" s="116" t="e">
        <f>+'Estimate Details'!#REF!</f>
        <v>#REF!</v>
      </c>
      <c r="B518" s="116"/>
      <c r="C518" s="116"/>
      <c r="D518" s="166"/>
      <c r="E518" s="158" t="e">
        <f>+'Estimate Details'!#REF!</f>
        <v>#REF!</v>
      </c>
      <c r="F518" s="41"/>
      <c r="G518" s="117" t="e">
        <f>+'Estimate Details'!#REF!</f>
        <v>#REF!</v>
      </c>
      <c r="H518" s="118" t="e">
        <f>+'Estimate Details'!#REF!</f>
        <v>#REF!</v>
      </c>
      <c r="I518" s="108" t="e">
        <f>+'Estimate Details'!#REF!</f>
        <v>#REF!</v>
      </c>
      <c r="J518" s="179" t="e">
        <f>+'Estimate Details'!#REF!</f>
        <v>#REF!</v>
      </c>
      <c r="K518" s="116" t="e">
        <f>+'Estimate Details'!#REF!</f>
        <v>#REF!</v>
      </c>
      <c r="L518" s="116" t="e">
        <f>+'Estimate Details'!#REF!</f>
        <v>#REF!</v>
      </c>
      <c r="M518" s="204" t="e">
        <f>+'Estimate Details'!#REF!</f>
        <v>#REF!</v>
      </c>
      <c r="N518" s="194" t="e">
        <f>+'Estimate Details'!#REF!</f>
        <v>#REF!</v>
      </c>
      <c r="O518" s="171" t="e">
        <f>+'Estimate Details'!#REF!</f>
        <v>#REF!</v>
      </c>
      <c r="P518" s="172" t="e">
        <f>+'Estimate Details'!#REF!</f>
        <v>#REF!</v>
      </c>
      <c r="Q518" s="173" t="e">
        <f>+'Estimate Details'!#REF!</f>
        <v>#REF!</v>
      </c>
      <c r="R518" s="174" t="e">
        <f>+'Estimate Details'!#REF!</f>
        <v>#REF!</v>
      </c>
      <c r="S518" s="507"/>
      <c r="T518" s="174" t="e">
        <f>+'Estimate Details'!#REF!</f>
        <v>#REF!</v>
      </c>
      <c r="U518" s="481" t="s">
        <v>1297</v>
      </c>
      <c r="V518" s="172" t="e">
        <f>+'Estimate Details'!#REF!</f>
        <v>#REF!</v>
      </c>
      <c r="W518" s="481" t="s">
        <v>1310</v>
      </c>
      <c r="X518" s="172" t="e">
        <f>+'Estimate Details'!#REF!</f>
        <v>#REF!</v>
      </c>
      <c r="Y518" s="172" t="e">
        <f>+'Estimate Details'!#REF!</f>
        <v>#REF!</v>
      </c>
      <c r="Z518" s="174" t="e">
        <f>+'Estimate Details'!#REF!</f>
        <v>#REF!</v>
      </c>
      <c r="AA518" s="481"/>
      <c r="AB518" s="175" t="e">
        <f>+'Estimate Details'!#REF!</f>
        <v>#REF!</v>
      </c>
      <c r="AC518" s="569"/>
      <c r="AD518" s="176" t="e">
        <f>+'Estimate Details'!#REF!</f>
        <v>#REF!</v>
      </c>
      <c r="AE518" s="156"/>
      <c r="AF518" s="156"/>
      <c r="AG518" s="156"/>
      <c r="AH518" s="156"/>
      <c r="AI518" s="29"/>
      <c r="AJ518" s="29"/>
      <c r="AK518" s="29"/>
      <c r="AL518" s="109"/>
    </row>
    <row r="519" spans="1:38" ht="14.1" customHeight="1">
      <c r="A519" s="116" t="e">
        <f>+'Estimate Details'!#REF!</f>
        <v>#REF!</v>
      </c>
      <c r="B519" s="116"/>
      <c r="C519" s="116"/>
      <c r="D519" s="166"/>
      <c r="E519" s="158" t="e">
        <f>+'Estimate Details'!#REF!</f>
        <v>#REF!</v>
      </c>
      <c r="F519" s="41"/>
      <c r="G519" s="117" t="e">
        <f>+'Estimate Details'!#REF!</f>
        <v>#REF!</v>
      </c>
      <c r="H519" s="118" t="e">
        <f>+'Estimate Details'!#REF!</f>
        <v>#REF!</v>
      </c>
      <c r="I519" s="108" t="e">
        <f>+'Estimate Details'!#REF!</f>
        <v>#REF!</v>
      </c>
      <c r="J519" s="179" t="e">
        <f>+'Estimate Details'!#REF!</f>
        <v>#REF!</v>
      </c>
      <c r="K519" s="116" t="e">
        <f>+'Estimate Details'!#REF!</f>
        <v>#REF!</v>
      </c>
      <c r="L519" s="116" t="e">
        <f>+'Estimate Details'!#REF!</f>
        <v>#REF!</v>
      </c>
      <c r="M519" s="204" t="e">
        <f>+'Estimate Details'!#REF!</f>
        <v>#REF!</v>
      </c>
      <c r="N519" s="194" t="e">
        <f>+'Estimate Details'!#REF!</f>
        <v>#REF!</v>
      </c>
      <c r="O519" s="171" t="e">
        <f>+'Estimate Details'!#REF!</f>
        <v>#REF!</v>
      </c>
      <c r="P519" s="172" t="e">
        <f>+'Estimate Details'!#REF!</f>
        <v>#REF!</v>
      </c>
      <c r="Q519" s="173" t="e">
        <f>+'Estimate Details'!#REF!</f>
        <v>#REF!</v>
      </c>
      <c r="R519" s="174" t="e">
        <f>+'Estimate Details'!#REF!</f>
        <v>#REF!</v>
      </c>
      <c r="S519" s="507"/>
      <c r="T519" s="174" t="e">
        <f>+'Estimate Details'!#REF!</f>
        <v>#REF!</v>
      </c>
      <c r="U519" s="481" t="s">
        <v>1297</v>
      </c>
      <c r="V519" s="172" t="e">
        <f>+'Estimate Details'!#REF!</f>
        <v>#REF!</v>
      </c>
      <c r="W519" s="481" t="s">
        <v>1310</v>
      </c>
      <c r="X519" s="172" t="e">
        <f>+'Estimate Details'!#REF!</f>
        <v>#REF!</v>
      </c>
      <c r="Y519" s="172" t="e">
        <f>+'Estimate Details'!#REF!</f>
        <v>#REF!</v>
      </c>
      <c r="Z519" s="174" t="e">
        <f>+'Estimate Details'!#REF!</f>
        <v>#REF!</v>
      </c>
      <c r="AA519" s="481"/>
      <c r="AB519" s="175" t="e">
        <f>+'Estimate Details'!#REF!</f>
        <v>#REF!</v>
      </c>
      <c r="AC519" s="569"/>
      <c r="AD519" s="176" t="e">
        <f>+'Estimate Details'!#REF!</f>
        <v>#REF!</v>
      </c>
      <c r="AE519" s="156"/>
      <c r="AF519" s="156"/>
      <c r="AG519" s="156"/>
      <c r="AH519" s="156"/>
      <c r="AI519" s="29"/>
      <c r="AJ519" s="29"/>
      <c r="AK519" s="29"/>
      <c r="AL519" s="109"/>
    </row>
    <row r="520" spans="1:38" ht="14.1" customHeight="1">
      <c r="A520" s="116" t="e">
        <f>+'Estimate Details'!#REF!</f>
        <v>#REF!</v>
      </c>
      <c r="B520" s="116"/>
      <c r="C520" s="116"/>
      <c r="D520" s="166"/>
      <c r="E520" s="158" t="e">
        <f>+'Estimate Details'!#REF!</f>
        <v>#REF!</v>
      </c>
      <c r="F520" s="41"/>
      <c r="G520" s="117" t="e">
        <f>+'Estimate Details'!#REF!</f>
        <v>#REF!</v>
      </c>
      <c r="H520" s="118" t="e">
        <f>+'Estimate Details'!#REF!</f>
        <v>#REF!</v>
      </c>
      <c r="I520" s="108" t="e">
        <f>+'Estimate Details'!#REF!</f>
        <v>#REF!</v>
      </c>
      <c r="J520" s="179" t="e">
        <f>+'Estimate Details'!#REF!</f>
        <v>#REF!</v>
      </c>
      <c r="K520" s="116" t="e">
        <f>+'Estimate Details'!#REF!</f>
        <v>#REF!</v>
      </c>
      <c r="L520" s="116" t="e">
        <f>+'Estimate Details'!#REF!</f>
        <v>#REF!</v>
      </c>
      <c r="M520" s="204" t="e">
        <f>+'Estimate Details'!#REF!</f>
        <v>#REF!</v>
      </c>
      <c r="N520" s="194" t="e">
        <f>+'Estimate Details'!#REF!</f>
        <v>#REF!</v>
      </c>
      <c r="O520" s="171" t="e">
        <f>+'Estimate Details'!#REF!</f>
        <v>#REF!</v>
      </c>
      <c r="P520" s="172" t="e">
        <f>+'Estimate Details'!#REF!</f>
        <v>#REF!</v>
      </c>
      <c r="Q520" s="173" t="e">
        <f>+'Estimate Details'!#REF!</f>
        <v>#REF!</v>
      </c>
      <c r="R520" s="174" t="e">
        <f>+'Estimate Details'!#REF!</f>
        <v>#REF!</v>
      </c>
      <c r="S520" s="507"/>
      <c r="T520" s="174" t="e">
        <f>+'Estimate Details'!#REF!</f>
        <v>#REF!</v>
      </c>
      <c r="U520" s="481" t="s">
        <v>1297</v>
      </c>
      <c r="V520" s="172" t="e">
        <f>+'Estimate Details'!#REF!</f>
        <v>#REF!</v>
      </c>
      <c r="W520" s="481" t="s">
        <v>1310</v>
      </c>
      <c r="X520" s="172" t="e">
        <f>+'Estimate Details'!#REF!</f>
        <v>#REF!</v>
      </c>
      <c r="Y520" s="172" t="e">
        <f>+'Estimate Details'!#REF!</f>
        <v>#REF!</v>
      </c>
      <c r="Z520" s="174" t="e">
        <f>+'Estimate Details'!#REF!</f>
        <v>#REF!</v>
      </c>
      <c r="AA520" s="481"/>
      <c r="AB520" s="175" t="e">
        <f>+'Estimate Details'!#REF!</f>
        <v>#REF!</v>
      </c>
      <c r="AC520" s="569"/>
      <c r="AD520" s="176" t="e">
        <f>+'Estimate Details'!#REF!</f>
        <v>#REF!</v>
      </c>
      <c r="AE520" s="156"/>
      <c r="AF520" s="156"/>
      <c r="AG520" s="156"/>
      <c r="AH520" s="156"/>
      <c r="AI520" s="29"/>
      <c r="AJ520" s="29"/>
      <c r="AK520" s="29"/>
      <c r="AL520" s="109"/>
    </row>
    <row r="521" spans="1:38" ht="14.1" customHeight="1">
      <c r="A521" s="116" t="e">
        <f>+'Estimate Details'!#REF!</f>
        <v>#REF!</v>
      </c>
      <c r="B521" s="116"/>
      <c r="C521" s="116"/>
      <c r="D521" s="166"/>
      <c r="E521" s="158" t="e">
        <f>+'Estimate Details'!#REF!</f>
        <v>#REF!</v>
      </c>
      <c r="F521" s="41"/>
      <c r="G521" s="117" t="e">
        <f>+'Estimate Details'!#REF!</f>
        <v>#REF!</v>
      </c>
      <c r="H521" s="118" t="e">
        <f>+'Estimate Details'!#REF!</f>
        <v>#REF!</v>
      </c>
      <c r="I521" s="108" t="e">
        <f>+'Estimate Details'!#REF!</f>
        <v>#REF!</v>
      </c>
      <c r="J521" s="179" t="e">
        <f>+'Estimate Details'!#REF!</f>
        <v>#REF!</v>
      </c>
      <c r="K521" s="116" t="e">
        <f>+'Estimate Details'!#REF!</f>
        <v>#REF!</v>
      </c>
      <c r="L521" s="116" t="e">
        <f>+'Estimate Details'!#REF!</f>
        <v>#REF!</v>
      </c>
      <c r="M521" s="204" t="e">
        <f>+'Estimate Details'!#REF!</f>
        <v>#REF!</v>
      </c>
      <c r="N521" s="194" t="e">
        <f>+'Estimate Details'!#REF!</f>
        <v>#REF!</v>
      </c>
      <c r="O521" s="171" t="e">
        <f>+'Estimate Details'!#REF!</f>
        <v>#REF!</v>
      </c>
      <c r="P521" s="172" t="e">
        <f>+'Estimate Details'!#REF!</f>
        <v>#REF!</v>
      </c>
      <c r="Q521" s="173" t="e">
        <f>+'Estimate Details'!#REF!</f>
        <v>#REF!</v>
      </c>
      <c r="R521" s="174" t="e">
        <f>+'Estimate Details'!#REF!</f>
        <v>#REF!</v>
      </c>
      <c r="S521" s="507"/>
      <c r="T521" s="174" t="e">
        <f>+'Estimate Details'!#REF!</f>
        <v>#REF!</v>
      </c>
      <c r="U521" s="481" t="s">
        <v>1310</v>
      </c>
      <c r="V521" s="172" t="e">
        <f>+'Estimate Details'!#REF!</f>
        <v>#REF!</v>
      </c>
      <c r="W521" s="481" t="s">
        <v>1310</v>
      </c>
      <c r="X521" s="172" t="e">
        <f>+'Estimate Details'!#REF!</f>
        <v>#REF!</v>
      </c>
      <c r="Y521" s="172" t="e">
        <f>+'Estimate Details'!#REF!</f>
        <v>#REF!</v>
      </c>
      <c r="Z521" s="174" t="e">
        <f>+'Estimate Details'!#REF!</f>
        <v>#REF!</v>
      </c>
      <c r="AA521" s="481"/>
      <c r="AB521" s="175" t="e">
        <f>+'Estimate Details'!#REF!</f>
        <v>#REF!</v>
      </c>
      <c r="AC521" s="569"/>
      <c r="AD521" s="176" t="e">
        <f>+'Estimate Details'!#REF!</f>
        <v>#REF!</v>
      </c>
      <c r="AE521" s="156"/>
      <c r="AF521" s="156"/>
      <c r="AG521" s="156"/>
      <c r="AH521" s="156"/>
      <c r="AI521" s="29"/>
      <c r="AJ521" s="29"/>
      <c r="AK521" s="29"/>
      <c r="AL521" s="109"/>
    </row>
    <row r="522" spans="1:38" ht="14.1" customHeight="1">
      <c r="A522" s="116" t="e">
        <f>+'Estimate Details'!#REF!</f>
        <v>#REF!</v>
      </c>
      <c r="B522" s="116"/>
      <c r="C522" s="116"/>
      <c r="D522" s="166"/>
      <c r="E522" s="158" t="e">
        <f>+'Estimate Details'!#REF!</f>
        <v>#REF!</v>
      </c>
      <c r="F522" s="41"/>
      <c r="G522" s="117" t="e">
        <f>+'Estimate Details'!#REF!</f>
        <v>#REF!</v>
      </c>
      <c r="H522" s="118" t="e">
        <f>+'Estimate Details'!#REF!</f>
        <v>#REF!</v>
      </c>
      <c r="I522" s="108" t="e">
        <f>+'Estimate Details'!#REF!</f>
        <v>#REF!</v>
      </c>
      <c r="J522" s="179" t="e">
        <f>+'Estimate Details'!#REF!</f>
        <v>#REF!</v>
      </c>
      <c r="K522" s="116" t="e">
        <f>+'Estimate Details'!#REF!</f>
        <v>#REF!</v>
      </c>
      <c r="L522" s="116" t="e">
        <f>+'Estimate Details'!#REF!</f>
        <v>#REF!</v>
      </c>
      <c r="M522" s="204" t="e">
        <f>+'Estimate Details'!#REF!</f>
        <v>#REF!</v>
      </c>
      <c r="N522" s="194" t="e">
        <f>+'Estimate Details'!#REF!</f>
        <v>#REF!</v>
      </c>
      <c r="O522" s="171" t="e">
        <f>+'Estimate Details'!#REF!</f>
        <v>#REF!</v>
      </c>
      <c r="P522" s="172" t="e">
        <f>+'Estimate Details'!#REF!</f>
        <v>#REF!</v>
      </c>
      <c r="Q522" s="173" t="e">
        <f>+'Estimate Details'!#REF!</f>
        <v>#REF!</v>
      </c>
      <c r="R522" s="174" t="e">
        <f>+'Estimate Details'!#REF!</f>
        <v>#REF!</v>
      </c>
      <c r="S522" s="507"/>
      <c r="T522" s="174" t="e">
        <f>+'Estimate Details'!#REF!</f>
        <v>#REF!</v>
      </c>
      <c r="U522" s="481" t="s">
        <v>1310</v>
      </c>
      <c r="V522" s="172" t="e">
        <f>+'Estimate Details'!#REF!</f>
        <v>#REF!</v>
      </c>
      <c r="W522" s="481" t="s">
        <v>1310</v>
      </c>
      <c r="X522" s="172" t="e">
        <f>+'Estimate Details'!#REF!</f>
        <v>#REF!</v>
      </c>
      <c r="Y522" s="172" t="e">
        <f>+'Estimate Details'!#REF!</f>
        <v>#REF!</v>
      </c>
      <c r="Z522" s="174" t="e">
        <f>+'Estimate Details'!#REF!</f>
        <v>#REF!</v>
      </c>
      <c r="AA522" s="481"/>
      <c r="AB522" s="175" t="e">
        <f>+'Estimate Details'!#REF!</f>
        <v>#REF!</v>
      </c>
      <c r="AC522" s="569"/>
      <c r="AD522" s="176" t="e">
        <f>+'Estimate Details'!#REF!</f>
        <v>#REF!</v>
      </c>
      <c r="AE522" s="156"/>
      <c r="AF522" s="156"/>
      <c r="AG522" s="156"/>
      <c r="AH522" s="156"/>
      <c r="AI522" s="29"/>
      <c r="AJ522" s="29"/>
      <c r="AK522" s="29"/>
      <c r="AL522" s="109"/>
    </row>
    <row r="523" spans="1:38" ht="14.1" customHeight="1">
      <c r="A523" s="116" t="e">
        <f>+'Estimate Details'!#REF!</f>
        <v>#REF!</v>
      </c>
      <c r="B523" s="116"/>
      <c r="C523" s="116"/>
      <c r="D523" s="166"/>
      <c r="E523" s="158" t="e">
        <f>+'Estimate Details'!#REF!</f>
        <v>#REF!</v>
      </c>
      <c r="F523" s="41"/>
      <c r="G523" s="117" t="e">
        <f>+'Estimate Details'!#REF!</f>
        <v>#REF!</v>
      </c>
      <c r="H523" s="118" t="e">
        <f>+'Estimate Details'!#REF!</f>
        <v>#REF!</v>
      </c>
      <c r="I523" s="108" t="e">
        <f>+'Estimate Details'!#REF!</f>
        <v>#REF!</v>
      </c>
      <c r="J523" s="179" t="e">
        <f>+'Estimate Details'!#REF!</f>
        <v>#REF!</v>
      </c>
      <c r="K523" s="116" t="e">
        <f>+'Estimate Details'!#REF!</f>
        <v>#REF!</v>
      </c>
      <c r="L523" s="116" t="e">
        <f>+'Estimate Details'!#REF!</f>
        <v>#REF!</v>
      </c>
      <c r="M523" s="204" t="e">
        <f>+'Estimate Details'!#REF!</f>
        <v>#REF!</v>
      </c>
      <c r="N523" s="194" t="e">
        <f>+'Estimate Details'!#REF!</f>
        <v>#REF!</v>
      </c>
      <c r="O523" s="171" t="e">
        <f>+'Estimate Details'!#REF!</f>
        <v>#REF!</v>
      </c>
      <c r="P523" s="172" t="e">
        <f>+'Estimate Details'!#REF!</f>
        <v>#REF!</v>
      </c>
      <c r="Q523" s="173" t="e">
        <f>+'Estimate Details'!#REF!</f>
        <v>#REF!</v>
      </c>
      <c r="R523" s="174" t="e">
        <f>+'Estimate Details'!#REF!</f>
        <v>#REF!</v>
      </c>
      <c r="S523" s="507"/>
      <c r="T523" s="174" t="e">
        <f>+'Estimate Details'!#REF!</f>
        <v>#REF!</v>
      </c>
      <c r="U523" s="481" t="s">
        <v>1310</v>
      </c>
      <c r="V523" s="172" t="e">
        <f>+'Estimate Details'!#REF!</f>
        <v>#REF!</v>
      </c>
      <c r="W523" s="481" t="s">
        <v>1310</v>
      </c>
      <c r="X523" s="172" t="e">
        <f>+'Estimate Details'!#REF!</f>
        <v>#REF!</v>
      </c>
      <c r="Y523" s="172" t="e">
        <f>+'Estimate Details'!#REF!</f>
        <v>#REF!</v>
      </c>
      <c r="Z523" s="174" t="e">
        <f>+'Estimate Details'!#REF!</f>
        <v>#REF!</v>
      </c>
      <c r="AA523" s="481"/>
      <c r="AB523" s="175" t="e">
        <f>+'Estimate Details'!#REF!</f>
        <v>#REF!</v>
      </c>
      <c r="AC523" s="569"/>
      <c r="AD523" s="176" t="e">
        <f>+'Estimate Details'!#REF!</f>
        <v>#REF!</v>
      </c>
      <c r="AE523" s="156"/>
      <c r="AF523" s="156"/>
      <c r="AG523" s="156"/>
      <c r="AH523" s="156"/>
      <c r="AI523" s="29"/>
      <c r="AJ523" s="29"/>
      <c r="AK523" s="29"/>
      <c r="AL523" s="109"/>
    </row>
    <row r="524" spans="1:38" ht="14.1" customHeight="1">
      <c r="A524" s="116" t="e">
        <f>+'Estimate Details'!#REF!</f>
        <v>#REF!</v>
      </c>
      <c r="B524" s="116"/>
      <c r="C524" s="116"/>
      <c r="D524" s="166"/>
      <c r="E524" s="158" t="e">
        <f>+'Estimate Details'!#REF!</f>
        <v>#REF!</v>
      </c>
      <c r="F524" s="41"/>
      <c r="G524" s="117" t="e">
        <f>+'Estimate Details'!#REF!</f>
        <v>#REF!</v>
      </c>
      <c r="H524" s="118" t="e">
        <f>+'Estimate Details'!#REF!</f>
        <v>#REF!</v>
      </c>
      <c r="I524" s="108" t="e">
        <f>+'Estimate Details'!#REF!</f>
        <v>#REF!</v>
      </c>
      <c r="J524" s="179" t="e">
        <f>+'Estimate Details'!#REF!</f>
        <v>#REF!</v>
      </c>
      <c r="K524" s="116" t="e">
        <f>+'Estimate Details'!#REF!</f>
        <v>#REF!</v>
      </c>
      <c r="L524" s="116" t="e">
        <f>+'Estimate Details'!#REF!</f>
        <v>#REF!</v>
      </c>
      <c r="M524" s="204" t="e">
        <f>+'Estimate Details'!#REF!</f>
        <v>#REF!</v>
      </c>
      <c r="N524" s="194" t="e">
        <f>+'Estimate Details'!#REF!</f>
        <v>#REF!</v>
      </c>
      <c r="O524" s="171" t="e">
        <f>+'Estimate Details'!#REF!</f>
        <v>#REF!</v>
      </c>
      <c r="P524" s="172" t="e">
        <f>+'Estimate Details'!#REF!</f>
        <v>#REF!</v>
      </c>
      <c r="Q524" s="173" t="e">
        <f>+'Estimate Details'!#REF!</f>
        <v>#REF!</v>
      </c>
      <c r="R524" s="174" t="e">
        <f>+'Estimate Details'!#REF!</f>
        <v>#REF!</v>
      </c>
      <c r="S524" s="507"/>
      <c r="T524" s="174" t="e">
        <f>+'Estimate Details'!#REF!</f>
        <v>#REF!</v>
      </c>
      <c r="U524" s="481" t="s">
        <v>1310</v>
      </c>
      <c r="V524" s="172" t="e">
        <f>+'Estimate Details'!#REF!</f>
        <v>#REF!</v>
      </c>
      <c r="W524" s="481" t="s">
        <v>1310</v>
      </c>
      <c r="X524" s="172" t="e">
        <f>+'Estimate Details'!#REF!</f>
        <v>#REF!</v>
      </c>
      <c r="Y524" s="172" t="e">
        <f>+'Estimate Details'!#REF!</f>
        <v>#REF!</v>
      </c>
      <c r="Z524" s="174" t="e">
        <f>+'Estimate Details'!#REF!</f>
        <v>#REF!</v>
      </c>
      <c r="AA524" s="481"/>
      <c r="AB524" s="175" t="e">
        <f>+'Estimate Details'!#REF!</f>
        <v>#REF!</v>
      </c>
      <c r="AC524" s="569"/>
      <c r="AD524" s="176" t="e">
        <f>+'Estimate Details'!#REF!</f>
        <v>#REF!</v>
      </c>
      <c r="AE524" s="156"/>
      <c r="AF524" s="156"/>
      <c r="AG524" s="156"/>
      <c r="AH524" s="156"/>
      <c r="AI524" s="29"/>
      <c r="AJ524" s="29"/>
      <c r="AK524" s="29"/>
      <c r="AL524" s="109"/>
    </row>
    <row r="525" spans="1:38" ht="14.1" customHeight="1">
      <c r="A525" s="116" t="e">
        <f>+'Estimate Details'!#REF!</f>
        <v>#REF!</v>
      </c>
      <c r="B525" s="116"/>
      <c r="C525" s="116"/>
      <c r="D525" s="166"/>
      <c r="E525" s="158" t="e">
        <f>+'Estimate Details'!#REF!</f>
        <v>#REF!</v>
      </c>
      <c r="F525" s="41"/>
      <c r="G525" s="117" t="e">
        <f>+'Estimate Details'!#REF!</f>
        <v>#REF!</v>
      </c>
      <c r="H525" s="118" t="e">
        <f>+'Estimate Details'!#REF!</f>
        <v>#REF!</v>
      </c>
      <c r="I525" s="108" t="e">
        <f>+'Estimate Details'!#REF!</f>
        <v>#REF!</v>
      </c>
      <c r="J525" s="179" t="e">
        <f>+'Estimate Details'!#REF!</f>
        <v>#REF!</v>
      </c>
      <c r="K525" s="116" t="e">
        <f>+'Estimate Details'!#REF!</f>
        <v>#REF!</v>
      </c>
      <c r="L525" s="116" t="e">
        <f>+'Estimate Details'!#REF!</f>
        <v>#REF!</v>
      </c>
      <c r="M525" s="204" t="e">
        <f>+'Estimate Details'!#REF!</f>
        <v>#REF!</v>
      </c>
      <c r="N525" s="194" t="e">
        <f>+'Estimate Details'!#REF!</f>
        <v>#REF!</v>
      </c>
      <c r="O525" s="171" t="e">
        <f>+'Estimate Details'!#REF!</f>
        <v>#REF!</v>
      </c>
      <c r="P525" s="172" t="e">
        <f>+'Estimate Details'!#REF!</f>
        <v>#REF!</v>
      </c>
      <c r="Q525" s="173" t="e">
        <f>+'Estimate Details'!#REF!</f>
        <v>#REF!</v>
      </c>
      <c r="R525" s="174" t="e">
        <f>+'Estimate Details'!#REF!</f>
        <v>#REF!</v>
      </c>
      <c r="S525" s="507"/>
      <c r="T525" s="174" t="e">
        <f>+'Estimate Details'!#REF!</f>
        <v>#REF!</v>
      </c>
      <c r="U525" s="481" t="s">
        <v>1310</v>
      </c>
      <c r="V525" s="172" t="e">
        <f>+'Estimate Details'!#REF!</f>
        <v>#REF!</v>
      </c>
      <c r="W525" s="481" t="s">
        <v>1310</v>
      </c>
      <c r="X525" s="172" t="e">
        <f>+'Estimate Details'!#REF!</f>
        <v>#REF!</v>
      </c>
      <c r="Y525" s="172" t="e">
        <f>+'Estimate Details'!#REF!</f>
        <v>#REF!</v>
      </c>
      <c r="Z525" s="174" t="e">
        <f>+'Estimate Details'!#REF!</f>
        <v>#REF!</v>
      </c>
      <c r="AA525" s="481"/>
      <c r="AB525" s="175" t="e">
        <f>+'Estimate Details'!#REF!</f>
        <v>#REF!</v>
      </c>
      <c r="AC525" s="569"/>
      <c r="AD525" s="176" t="e">
        <f>+'Estimate Details'!#REF!</f>
        <v>#REF!</v>
      </c>
      <c r="AE525" s="156"/>
      <c r="AF525" s="156"/>
      <c r="AG525" s="156"/>
      <c r="AH525" s="156"/>
      <c r="AI525" s="29"/>
      <c r="AJ525" s="29"/>
      <c r="AK525" s="29"/>
      <c r="AL525" s="109"/>
    </row>
    <row r="526" spans="1:38" ht="14.1" customHeight="1">
      <c r="A526" s="116" t="e">
        <f>+'Estimate Details'!#REF!</f>
        <v>#REF!</v>
      </c>
      <c r="B526" s="116"/>
      <c r="C526" s="116"/>
      <c r="D526" s="166"/>
      <c r="E526" s="158" t="e">
        <f>+'Estimate Details'!#REF!</f>
        <v>#REF!</v>
      </c>
      <c r="F526" s="41"/>
      <c r="G526" s="117" t="e">
        <f>+'Estimate Details'!#REF!</f>
        <v>#REF!</v>
      </c>
      <c r="H526" s="118" t="e">
        <f>+'Estimate Details'!#REF!</f>
        <v>#REF!</v>
      </c>
      <c r="I526" s="108" t="e">
        <f>+'Estimate Details'!#REF!</f>
        <v>#REF!</v>
      </c>
      <c r="J526" s="179" t="e">
        <f>+'Estimate Details'!#REF!</f>
        <v>#REF!</v>
      </c>
      <c r="K526" s="116" t="e">
        <f>+'Estimate Details'!#REF!</f>
        <v>#REF!</v>
      </c>
      <c r="L526" s="116" t="e">
        <f>+'Estimate Details'!#REF!</f>
        <v>#REF!</v>
      </c>
      <c r="M526" s="204" t="e">
        <f>+'Estimate Details'!#REF!</f>
        <v>#REF!</v>
      </c>
      <c r="N526" s="194" t="e">
        <f>+'Estimate Details'!#REF!</f>
        <v>#REF!</v>
      </c>
      <c r="O526" s="171" t="e">
        <f>+'Estimate Details'!#REF!</f>
        <v>#REF!</v>
      </c>
      <c r="P526" s="172" t="e">
        <f>+'Estimate Details'!#REF!</f>
        <v>#REF!</v>
      </c>
      <c r="Q526" s="173" t="e">
        <f>+'Estimate Details'!#REF!</f>
        <v>#REF!</v>
      </c>
      <c r="R526" s="174" t="e">
        <f>+'Estimate Details'!#REF!</f>
        <v>#REF!</v>
      </c>
      <c r="S526" s="507"/>
      <c r="T526" s="174" t="e">
        <f>+'Estimate Details'!#REF!</f>
        <v>#REF!</v>
      </c>
      <c r="U526" s="481" t="s">
        <v>1310</v>
      </c>
      <c r="V526" s="172" t="e">
        <f>+'Estimate Details'!#REF!</f>
        <v>#REF!</v>
      </c>
      <c r="W526" s="481" t="s">
        <v>1310</v>
      </c>
      <c r="X526" s="172" t="e">
        <f>+'Estimate Details'!#REF!</f>
        <v>#REF!</v>
      </c>
      <c r="Y526" s="172" t="e">
        <f>+'Estimate Details'!#REF!</f>
        <v>#REF!</v>
      </c>
      <c r="Z526" s="174" t="e">
        <f>+'Estimate Details'!#REF!</f>
        <v>#REF!</v>
      </c>
      <c r="AA526" s="481"/>
      <c r="AB526" s="175" t="e">
        <f>+'Estimate Details'!#REF!</f>
        <v>#REF!</v>
      </c>
      <c r="AC526" s="569"/>
      <c r="AD526" s="176" t="e">
        <f>+'Estimate Details'!#REF!</f>
        <v>#REF!</v>
      </c>
      <c r="AE526" s="156"/>
      <c r="AF526" s="156"/>
      <c r="AG526" s="156"/>
      <c r="AH526" s="156"/>
      <c r="AI526" s="29"/>
      <c r="AJ526" s="29"/>
      <c r="AK526" s="29"/>
      <c r="AL526" s="109"/>
    </row>
    <row r="527" spans="1:38" ht="14.1" customHeight="1">
      <c r="A527" s="116" t="e">
        <f>+'Estimate Details'!#REF!</f>
        <v>#REF!</v>
      </c>
      <c r="B527" s="116"/>
      <c r="C527" s="116"/>
      <c r="D527" s="166"/>
      <c r="E527" s="158" t="e">
        <f>+'Estimate Details'!#REF!</f>
        <v>#REF!</v>
      </c>
      <c r="F527" s="41"/>
      <c r="G527" s="117" t="e">
        <f>+'Estimate Details'!#REF!</f>
        <v>#REF!</v>
      </c>
      <c r="H527" s="118" t="e">
        <f>+'Estimate Details'!#REF!</f>
        <v>#REF!</v>
      </c>
      <c r="I527" s="108" t="e">
        <f>+'Estimate Details'!#REF!</f>
        <v>#REF!</v>
      </c>
      <c r="J527" s="179" t="e">
        <f>+'Estimate Details'!#REF!</f>
        <v>#REF!</v>
      </c>
      <c r="K527" s="116" t="e">
        <f>+'Estimate Details'!#REF!</f>
        <v>#REF!</v>
      </c>
      <c r="L527" s="116" t="e">
        <f>+'Estimate Details'!#REF!</f>
        <v>#REF!</v>
      </c>
      <c r="M527" s="204" t="e">
        <f>+'Estimate Details'!#REF!</f>
        <v>#REF!</v>
      </c>
      <c r="N527" s="194" t="e">
        <f>+'Estimate Details'!#REF!</f>
        <v>#REF!</v>
      </c>
      <c r="O527" s="171" t="e">
        <f>+'Estimate Details'!#REF!</f>
        <v>#REF!</v>
      </c>
      <c r="P527" s="172" t="e">
        <f>+'Estimate Details'!#REF!</f>
        <v>#REF!</v>
      </c>
      <c r="Q527" s="173" t="e">
        <f>+'Estimate Details'!#REF!</f>
        <v>#REF!</v>
      </c>
      <c r="R527" s="174" t="e">
        <f>+'Estimate Details'!#REF!</f>
        <v>#REF!</v>
      </c>
      <c r="S527" s="507"/>
      <c r="T527" s="174" t="e">
        <f>+'Estimate Details'!#REF!</f>
        <v>#REF!</v>
      </c>
      <c r="U527" s="481" t="s">
        <v>1310</v>
      </c>
      <c r="V527" s="172" t="e">
        <f>+'Estimate Details'!#REF!</f>
        <v>#REF!</v>
      </c>
      <c r="W527" s="481" t="s">
        <v>1310</v>
      </c>
      <c r="X527" s="172" t="e">
        <f>+'Estimate Details'!#REF!</f>
        <v>#REF!</v>
      </c>
      <c r="Y527" s="172" t="e">
        <f>+'Estimate Details'!#REF!</f>
        <v>#REF!</v>
      </c>
      <c r="Z527" s="174" t="e">
        <f>+'Estimate Details'!#REF!</f>
        <v>#REF!</v>
      </c>
      <c r="AA527" s="481"/>
      <c r="AB527" s="175" t="e">
        <f>+'Estimate Details'!#REF!</f>
        <v>#REF!</v>
      </c>
      <c r="AC527" s="569"/>
      <c r="AD527" s="176" t="e">
        <f>+'Estimate Details'!#REF!</f>
        <v>#REF!</v>
      </c>
      <c r="AE527" s="156"/>
      <c r="AF527" s="156"/>
      <c r="AG527" s="156"/>
      <c r="AH527" s="156"/>
      <c r="AI527" s="29"/>
      <c r="AJ527" s="29"/>
      <c r="AK527" s="29"/>
      <c r="AL527" s="109"/>
    </row>
    <row r="528" spans="1:38" ht="14.1" customHeight="1">
      <c r="A528" s="116" t="e">
        <f>+'Estimate Details'!#REF!</f>
        <v>#REF!</v>
      </c>
      <c r="B528" s="116"/>
      <c r="C528" s="116"/>
      <c r="D528" s="166"/>
      <c r="E528" s="158" t="e">
        <f>+'Estimate Details'!#REF!</f>
        <v>#REF!</v>
      </c>
      <c r="F528" s="41"/>
      <c r="G528" s="117" t="e">
        <f>+'Estimate Details'!#REF!</f>
        <v>#REF!</v>
      </c>
      <c r="H528" s="118" t="e">
        <f>+'Estimate Details'!#REF!</f>
        <v>#REF!</v>
      </c>
      <c r="I528" s="108" t="e">
        <f>+'Estimate Details'!#REF!</f>
        <v>#REF!</v>
      </c>
      <c r="J528" s="179" t="e">
        <f>+'Estimate Details'!#REF!</f>
        <v>#REF!</v>
      </c>
      <c r="K528" s="116" t="e">
        <f>+'Estimate Details'!#REF!</f>
        <v>#REF!</v>
      </c>
      <c r="L528" s="116" t="e">
        <f>+'Estimate Details'!#REF!</f>
        <v>#REF!</v>
      </c>
      <c r="M528" s="204" t="e">
        <f>+'Estimate Details'!#REF!</f>
        <v>#REF!</v>
      </c>
      <c r="N528" s="194" t="e">
        <f>+'Estimate Details'!#REF!</f>
        <v>#REF!</v>
      </c>
      <c r="O528" s="171" t="e">
        <f>+'Estimate Details'!#REF!</f>
        <v>#REF!</v>
      </c>
      <c r="P528" s="172" t="e">
        <f>+'Estimate Details'!#REF!</f>
        <v>#REF!</v>
      </c>
      <c r="Q528" s="173" t="e">
        <f>+'Estimate Details'!#REF!</f>
        <v>#REF!</v>
      </c>
      <c r="R528" s="174" t="e">
        <f>+'Estimate Details'!#REF!</f>
        <v>#REF!</v>
      </c>
      <c r="S528" s="507"/>
      <c r="T528" s="174" t="e">
        <f>+'Estimate Details'!#REF!</f>
        <v>#REF!</v>
      </c>
      <c r="U528" s="481" t="s">
        <v>1310</v>
      </c>
      <c r="V528" s="172" t="e">
        <f>+'Estimate Details'!#REF!</f>
        <v>#REF!</v>
      </c>
      <c r="W528" s="481" t="s">
        <v>1310</v>
      </c>
      <c r="X528" s="172" t="e">
        <f>+'Estimate Details'!#REF!</f>
        <v>#REF!</v>
      </c>
      <c r="Y528" s="172" t="e">
        <f>+'Estimate Details'!#REF!</f>
        <v>#REF!</v>
      </c>
      <c r="Z528" s="174" t="e">
        <f>+'Estimate Details'!#REF!</f>
        <v>#REF!</v>
      </c>
      <c r="AA528" s="481"/>
      <c r="AB528" s="175" t="e">
        <f>+'Estimate Details'!#REF!</f>
        <v>#REF!</v>
      </c>
      <c r="AC528" s="569"/>
      <c r="AD528" s="176" t="e">
        <f>+'Estimate Details'!#REF!</f>
        <v>#REF!</v>
      </c>
      <c r="AE528" s="156"/>
      <c r="AF528" s="156"/>
      <c r="AG528" s="156"/>
      <c r="AH528" s="156"/>
      <c r="AI528" s="29"/>
      <c r="AJ528" s="29"/>
      <c r="AK528" s="29"/>
      <c r="AL528" s="109"/>
    </row>
    <row r="529" spans="1:44" ht="14.1" customHeight="1">
      <c r="A529" s="116" t="e">
        <f>+'Estimate Details'!#REF!</f>
        <v>#REF!</v>
      </c>
      <c r="B529" s="116"/>
      <c r="C529" s="116"/>
      <c r="D529" s="166"/>
      <c r="E529" s="158" t="e">
        <f>+'Estimate Details'!#REF!</f>
        <v>#REF!</v>
      </c>
      <c r="F529" s="41"/>
      <c r="G529" s="117" t="e">
        <f>+'Estimate Details'!#REF!</f>
        <v>#REF!</v>
      </c>
      <c r="H529" s="118" t="e">
        <f>+'Estimate Details'!#REF!</f>
        <v>#REF!</v>
      </c>
      <c r="I529" s="108" t="e">
        <f>+'Estimate Details'!#REF!</f>
        <v>#REF!</v>
      </c>
      <c r="J529" s="179" t="e">
        <f>+'Estimate Details'!#REF!</f>
        <v>#REF!</v>
      </c>
      <c r="K529" s="116" t="e">
        <f>+'Estimate Details'!#REF!</f>
        <v>#REF!</v>
      </c>
      <c r="L529" s="116" t="e">
        <f>+'Estimate Details'!#REF!</f>
        <v>#REF!</v>
      </c>
      <c r="M529" s="204" t="e">
        <f>+'Estimate Details'!#REF!</f>
        <v>#REF!</v>
      </c>
      <c r="N529" s="194" t="e">
        <f>+'Estimate Details'!#REF!</f>
        <v>#REF!</v>
      </c>
      <c r="O529" s="171" t="e">
        <f>+'Estimate Details'!#REF!</f>
        <v>#REF!</v>
      </c>
      <c r="P529" s="172" t="e">
        <f>+'Estimate Details'!#REF!</f>
        <v>#REF!</v>
      </c>
      <c r="Q529" s="173" t="e">
        <f>+'Estimate Details'!#REF!</f>
        <v>#REF!</v>
      </c>
      <c r="R529" s="174" t="e">
        <f>+'Estimate Details'!#REF!</f>
        <v>#REF!</v>
      </c>
      <c r="S529" s="507"/>
      <c r="T529" s="174" t="e">
        <f>+'Estimate Details'!#REF!</f>
        <v>#REF!</v>
      </c>
      <c r="U529" s="481" t="s">
        <v>1310</v>
      </c>
      <c r="V529" s="172" t="e">
        <f>+'Estimate Details'!#REF!</f>
        <v>#REF!</v>
      </c>
      <c r="W529" s="481" t="s">
        <v>1310</v>
      </c>
      <c r="X529" s="172" t="e">
        <f>+'Estimate Details'!#REF!</f>
        <v>#REF!</v>
      </c>
      <c r="Y529" s="172" t="e">
        <f>+'Estimate Details'!#REF!</f>
        <v>#REF!</v>
      </c>
      <c r="Z529" s="174" t="e">
        <f>+'Estimate Details'!#REF!</f>
        <v>#REF!</v>
      </c>
      <c r="AA529" s="481"/>
      <c r="AB529" s="175" t="e">
        <f>+'Estimate Details'!#REF!</f>
        <v>#REF!</v>
      </c>
      <c r="AC529" s="569"/>
      <c r="AD529" s="176" t="e">
        <f>+'Estimate Details'!#REF!</f>
        <v>#REF!</v>
      </c>
      <c r="AE529" s="156"/>
      <c r="AF529" s="156"/>
      <c r="AG529" s="156"/>
      <c r="AH529" s="156"/>
      <c r="AI529" s="29"/>
      <c r="AJ529" s="29"/>
      <c r="AK529" s="29"/>
      <c r="AL529" s="109"/>
    </row>
    <row r="530" spans="1:44" ht="14.1" customHeight="1">
      <c r="A530" s="116" t="e">
        <f>+'Estimate Details'!#REF!</f>
        <v>#REF!</v>
      </c>
      <c r="B530" s="116"/>
      <c r="C530" s="116"/>
      <c r="D530" s="166"/>
      <c r="E530" s="158" t="e">
        <f>+'Estimate Details'!#REF!</f>
        <v>#REF!</v>
      </c>
      <c r="F530" s="41"/>
      <c r="G530" s="117" t="e">
        <f>+'Estimate Details'!#REF!</f>
        <v>#REF!</v>
      </c>
      <c r="H530" s="118" t="e">
        <f>+'Estimate Details'!#REF!</f>
        <v>#REF!</v>
      </c>
      <c r="I530" s="108" t="e">
        <f>+'Estimate Details'!#REF!</f>
        <v>#REF!</v>
      </c>
      <c r="J530" s="179" t="e">
        <f>+'Estimate Details'!#REF!</f>
        <v>#REF!</v>
      </c>
      <c r="K530" s="116" t="e">
        <f>+'Estimate Details'!#REF!</f>
        <v>#REF!</v>
      </c>
      <c r="L530" s="116" t="e">
        <f>+'Estimate Details'!#REF!</f>
        <v>#REF!</v>
      </c>
      <c r="M530" s="204" t="e">
        <f>+'Estimate Details'!#REF!</f>
        <v>#REF!</v>
      </c>
      <c r="N530" s="194" t="e">
        <f>+'Estimate Details'!#REF!</f>
        <v>#REF!</v>
      </c>
      <c r="O530" s="171" t="e">
        <f>+'Estimate Details'!#REF!</f>
        <v>#REF!</v>
      </c>
      <c r="P530" s="172" t="e">
        <f>+'Estimate Details'!#REF!</f>
        <v>#REF!</v>
      </c>
      <c r="Q530" s="173" t="e">
        <f>+'Estimate Details'!#REF!</f>
        <v>#REF!</v>
      </c>
      <c r="R530" s="174" t="e">
        <f>+'Estimate Details'!#REF!</f>
        <v>#REF!</v>
      </c>
      <c r="S530" s="507"/>
      <c r="T530" s="174" t="e">
        <f>+'Estimate Details'!#REF!</f>
        <v>#REF!</v>
      </c>
      <c r="U530" s="481" t="s">
        <v>1310</v>
      </c>
      <c r="V530" s="172" t="e">
        <f>+'Estimate Details'!#REF!</f>
        <v>#REF!</v>
      </c>
      <c r="W530" s="481" t="s">
        <v>1310</v>
      </c>
      <c r="X530" s="172" t="e">
        <f>+'Estimate Details'!#REF!</f>
        <v>#REF!</v>
      </c>
      <c r="Y530" s="172" t="e">
        <f>+'Estimate Details'!#REF!</f>
        <v>#REF!</v>
      </c>
      <c r="Z530" s="174" t="e">
        <f>+'Estimate Details'!#REF!</f>
        <v>#REF!</v>
      </c>
      <c r="AA530" s="481"/>
      <c r="AB530" s="175" t="e">
        <f>+'Estimate Details'!#REF!</f>
        <v>#REF!</v>
      </c>
      <c r="AC530" s="569"/>
      <c r="AD530" s="176" t="e">
        <f>+'Estimate Details'!#REF!</f>
        <v>#REF!</v>
      </c>
      <c r="AE530" s="156"/>
      <c r="AF530" s="156"/>
      <c r="AG530" s="156"/>
      <c r="AH530" s="156"/>
      <c r="AI530" s="29"/>
      <c r="AJ530" s="29"/>
      <c r="AK530" s="29"/>
      <c r="AL530" s="109"/>
    </row>
    <row r="531" spans="1:44" ht="14.1" customHeight="1">
      <c r="A531" s="116" t="e">
        <f>+'Estimate Details'!#REF!</f>
        <v>#REF!</v>
      </c>
      <c r="B531" s="116"/>
      <c r="C531" s="116"/>
      <c r="D531" s="166"/>
      <c r="E531" s="158" t="e">
        <f>+'Estimate Details'!#REF!</f>
        <v>#REF!</v>
      </c>
      <c r="F531" s="41"/>
      <c r="G531" s="117" t="e">
        <f>+'Estimate Details'!#REF!</f>
        <v>#REF!</v>
      </c>
      <c r="H531" s="118" t="e">
        <f>+'Estimate Details'!#REF!</f>
        <v>#REF!</v>
      </c>
      <c r="I531" s="108" t="e">
        <f>+'Estimate Details'!#REF!</f>
        <v>#REF!</v>
      </c>
      <c r="J531" s="179" t="e">
        <f>+'Estimate Details'!#REF!</f>
        <v>#REF!</v>
      </c>
      <c r="K531" s="116" t="e">
        <f>+'Estimate Details'!#REF!</f>
        <v>#REF!</v>
      </c>
      <c r="L531" s="116" t="e">
        <f>+'Estimate Details'!#REF!</f>
        <v>#REF!</v>
      </c>
      <c r="M531" s="204" t="e">
        <f>+'Estimate Details'!#REF!</f>
        <v>#REF!</v>
      </c>
      <c r="N531" s="194" t="e">
        <f>+'Estimate Details'!#REF!</f>
        <v>#REF!</v>
      </c>
      <c r="O531" s="171" t="e">
        <f>+'Estimate Details'!#REF!</f>
        <v>#REF!</v>
      </c>
      <c r="P531" s="172" t="e">
        <f>+'Estimate Details'!#REF!</f>
        <v>#REF!</v>
      </c>
      <c r="Q531" s="173" t="e">
        <f>+'Estimate Details'!#REF!</f>
        <v>#REF!</v>
      </c>
      <c r="R531" s="174" t="e">
        <f>+'Estimate Details'!#REF!</f>
        <v>#REF!</v>
      </c>
      <c r="S531" s="507"/>
      <c r="T531" s="174" t="e">
        <f>+'Estimate Details'!#REF!</f>
        <v>#REF!</v>
      </c>
      <c r="U531" s="481"/>
      <c r="V531" s="172" t="e">
        <f>+'Estimate Details'!#REF!</f>
        <v>#REF!</v>
      </c>
      <c r="W531" s="481" t="s">
        <v>1310</v>
      </c>
      <c r="X531" s="172" t="e">
        <f>+'Estimate Details'!#REF!</f>
        <v>#REF!</v>
      </c>
      <c r="Y531" s="172" t="e">
        <f>+'Estimate Details'!#REF!</f>
        <v>#REF!</v>
      </c>
      <c r="Z531" s="174" t="e">
        <f>+'Estimate Details'!#REF!</f>
        <v>#REF!</v>
      </c>
      <c r="AA531" s="481" t="s">
        <v>1310</v>
      </c>
      <c r="AB531" s="175" t="e">
        <f>+'Estimate Details'!#REF!</f>
        <v>#REF!</v>
      </c>
      <c r="AC531" s="569"/>
      <c r="AD531" s="176" t="e">
        <f>+'Estimate Details'!#REF!</f>
        <v>#REF!</v>
      </c>
      <c r="AE531" s="156"/>
      <c r="AF531" s="156"/>
      <c r="AG531" s="156"/>
      <c r="AH531" s="156"/>
      <c r="AI531" s="29"/>
      <c r="AJ531" s="29"/>
      <c r="AK531" s="29"/>
      <c r="AL531" s="109"/>
    </row>
    <row r="532" spans="1:44" ht="14.1" customHeight="1">
      <c r="A532" s="116" t="e">
        <f>+'Estimate Details'!#REF!</f>
        <v>#REF!</v>
      </c>
      <c r="B532" s="116"/>
      <c r="C532" s="116"/>
      <c r="D532" s="166"/>
      <c r="E532" s="158" t="e">
        <f>+'Estimate Details'!#REF!</f>
        <v>#REF!</v>
      </c>
      <c r="F532" s="41"/>
      <c r="G532" s="117" t="e">
        <f>+'Estimate Details'!#REF!</f>
        <v>#REF!</v>
      </c>
      <c r="H532" s="118" t="e">
        <f>+'Estimate Details'!#REF!</f>
        <v>#REF!</v>
      </c>
      <c r="I532" s="108" t="e">
        <f>+'Estimate Details'!#REF!</f>
        <v>#REF!</v>
      </c>
      <c r="J532" s="179" t="e">
        <f>+'Estimate Details'!#REF!</f>
        <v>#REF!</v>
      </c>
      <c r="K532" s="116" t="e">
        <f>+'Estimate Details'!#REF!</f>
        <v>#REF!</v>
      </c>
      <c r="L532" s="116" t="e">
        <f>+'Estimate Details'!#REF!</f>
        <v>#REF!</v>
      </c>
      <c r="M532" s="204" t="e">
        <f>+'Estimate Details'!#REF!</f>
        <v>#REF!</v>
      </c>
      <c r="N532" s="194" t="e">
        <f>+'Estimate Details'!#REF!</f>
        <v>#REF!</v>
      </c>
      <c r="O532" s="171" t="e">
        <f>+'Estimate Details'!#REF!</f>
        <v>#REF!</v>
      </c>
      <c r="P532" s="172" t="e">
        <f>+'Estimate Details'!#REF!</f>
        <v>#REF!</v>
      </c>
      <c r="Q532" s="173" t="e">
        <f>+'Estimate Details'!#REF!</f>
        <v>#REF!</v>
      </c>
      <c r="R532" s="174" t="e">
        <f>+'Estimate Details'!#REF!</f>
        <v>#REF!</v>
      </c>
      <c r="S532" s="507"/>
      <c r="T532" s="174" t="e">
        <f>+'Estimate Details'!#REF!</f>
        <v>#REF!</v>
      </c>
      <c r="U532" s="481"/>
      <c r="V532" s="172" t="e">
        <f>+'Estimate Details'!#REF!</f>
        <v>#REF!</v>
      </c>
      <c r="W532" s="481" t="s">
        <v>1310</v>
      </c>
      <c r="X532" s="172" t="e">
        <f>+'Estimate Details'!#REF!</f>
        <v>#REF!</v>
      </c>
      <c r="Y532" s="172" t="e">
        <f>+'Estimate Details'!#REF!</f>
        <v>#REF!</v>
      </c>
      <c r="Z532" s="174" t="e">
        <f>+'Estimate Details'!#REF!</f>
        <v>#REF!</v>
      </c>
      <c r="AA532" s="481" t="s">
        <v>1310</v>
      </c>
      <c r="AB532" s="175" t="e">
        <f>+'Estimate Details'!#REF!</f>
        <v>#REF!</v>
      </c>
      <c r="AC532" s="569"/>
      <c r="AD532" s="176" t="e">
        <f>+'Estimate Details'!#REF!</f>
        <v>#REF!</v>
      </c>
      <c r="AE532" s="156"/>
      <c r="AF532" s="156"/>
      <c r="AG532" s="156"/>
      <c r="AH532" s="156"/>
      <c r="AI532" s="29"/>
      <c r="AJ532" s="29"/>
      <c r="AK532" s="29"/>
      <c r="AL532" s="109"/>
    </row>
    <row r="533" spans="1:44" s="692" customFormat="1" ht="14.1" customHeight="1">
      <c r="A533" s="673" t="e">
        <f>+'Estimate Details'!#REF!</f>
        <v>#REF!</v>
      </c>
      <c r="B533" s="673"/>
      <c r="C533" s="673"/>
      <c r="D533" s="674"/>
      <c r="E533" s="675" t="e">
        <f>+'Estimate Details'!#REF!</f>
        <v>#REF!</v>
      </c>
      <c r="F533" s="676"/>
      <c r="G533" s="677" t="e">
        <f>+'Estimate Details'!#REF!</f>
        <v>#REF!</v>
      </c>
      <c r="H533" s="678" t="e">
        <f>+'Estimate Details'!#REF!</f>
        <v>#REF!</v>
      </c>
      <c r="I533" s="678" t="e">
        <f>+'Estimate Details'!#REF!</f>
        <v>#REF!</v>
      </c>
      <c r="J533" s="677" t="e">
        <f>+'Estimate Details'!#REF!</f>
        <v>#REF!</v>
      </c>
      <c r="K533" s="677" t="e">
        <f>+'Estimate Details'!#REF!</f>
        <v>#REF!</v>
      </c>
      <c r="L533" s="677" t="e">
        <f>+'Estimate Details'!#REF!</f>
        <v>#REF!</v>
      </c>
      <c r="M533" s="236" t="e">
        <f>+'Estimate Details'!#REF!</f>
        <v>#REF!</v>
      </c>
      <c r="N533" s="699" t="e">
        <f>+'Estimate Details'!#REF!</f>
        <v>#REF!</v>
      </c>
      <c r="O533" s="681" t="e">
        <f>+'Estimate Details'!#REF!</f>
        <v>#REF!</v>
      </c>
      <c r="P533" s="682" t="e">
        <f>+'Estimate Details'!#REF!</f>
        <v>#REF!</v>
      </c>
      <c r="Q533" s="683" t="e">
        <f>+'Estimate Details'!#REF!</f>
        <v>#REF!</v>
      </c>
      <c r="R533" s="684" t="e">
        <f>+'Estimate Details'!#REF!</f>
        <v>#REF!</v>
      </c>
      <c r="S533" s="685"/>
      <c r="T533" s="684" t="e">
        <f>+'Estimate Details'!#REF!</f>
        <v>#REF!</v>
      </c>
      <c r="U533" s="686" t="s">
        <v>1299</v>
      </c>
      <c r="V533" s="682" t="e">
        <f>+'Estimate Details'!#REF!</f>
        <v>#REF!</v>
      </c>
      <c r="W533" s="686" t="s">
        <v>1311</v>
      </c>
      <c r="X533" s="682" t="e">
        <f>+'Estimate Details'!#REF!</f>
        <v>#REF!</v>
      </c>
      <c r="Y533" s="682" t="e">
        <f>+'Estimate Details'!#REF!</f>
        <v>#REF!</v>
      </c>
      <c r="Z533" s="684" t="e">
        <f>+'Estimate Details'!#REF!</f>
        <v>#REF!</v>
      </c>
      <c r="AA533" s="686"/>
      <c r="AB533" s="687" t="e">
        <f>+'Estimate Details'!#REF!</f>
        <v>#REF!</v>
      </c>
      <c r="AC533" s="688"/>
      <c r="AD533" s="696" t="e">
        <f>+'Estimate Details'!#REF!</f>
        <v>#REF!</v>
      </c>
      <c r="AE533" s="689"/>
      <c r="AF533" s="689"/>
      <c r="AG533" s="689"/>
      <c r="AH533" s="689"/>
      <c r="AI533" s="690"/>
      <c r="AJ533" s="690"/>
      <c r="AK533" s="690"/>
      <c r="AL533" s="700"/>
      <c r="AM533" s="691"/>
      <c r="AN533" s="691"/>
      <c r="AO533" s="691"/>
      <c r="AP533" s="691"/>
      <c r="AQ533" s="691"/>
      <c r="AR533" s="691"/>
    </row>
    <row r="534" spans="1:44" ht="14.1" customHeight="1">
      <c r="A534" s="673" t="e">
        <f>+'Estimate Details'!#REF!</f>
        <v>#REF!</v>
      </c>
      <c r="B534" s="673"/>
      <c r="C534" s="673"/>
      <c r="D534" s="674"/>
      <c r="E534" s="675" t="e">
        <f>+'Estimate Details'!#REF!</f>
        <v>#REF!</v>
      </c>
      <c r="F534" s="676"/>
      <c r="G534" s="677" t="e">
        <f>+'Estimate Details'!#REF!</f>
        <v>#REF!</v>
      </c>
      <c r="H534" s="678" t="e">
        <f>+'Estimate Details'!#REF!</f>
        <v>#REF!</v>
      </c>
      <c r="I534" s="678" t="e">
        <f>+'Estimate Details'!#REF!</f>
        <v>#REF!</v>
      </c>
      <c r="J534" s="677" t="e">
        <f>+'Estimate Details'!#REF!</f>
        <v>#REF!</v>
      </c>
      <c r="K534" s="677" t="e">
        <f>+'Estimate Details'!#REF!</f>
        <v>#REF!</v>
      </c>
      <c r="L534" s="677" t="e">
        <f>+'Estimate Details'!#REF!</f>
        <v>#REF!</v>
      </c>
      <c r="M534" s="236" t="e">
        <f>+'Estimate Details'!#REF!</f>
        <v>#REF!</v>
      </c>
      <c r="N534" s="699" t="e">
        <f>+'Estimate Details'!#REF!</f>
        <v>#REF!</v>
      </c>
      <c r="O534" s="681" t="e">
        <f>+'Estimate Details'!#REF!</f>
        <v>#REF!</v>
      </c>
      <c r="P534" s="682" t="e">
        <f>+'Estimate Details'!#REF!</f>
        <v>#REF!</v>
      </c>
      <c r="Q534" s="683" t="e">
        <f>+'Estimate Details'!#REF!</f>
        <v>#REF!</v>
      </c>
      <c r="R534" s="684" t="e">
        <f>+'Estimate Details'!#REF!</f>
        <v>#REF!</v>
      </c>
      <c r="S534" s="685"/>
      <c r="T534" s="684" t="e">
        <f>+'Estimate Details'!#REF!</f>
        <v>#REF!</v>
      </c>
      <c r="U534" s="686" t="s">
        <v>1299</v>
      </c>
      <c r="V534" s="682" t="e">
        <f>+'Estimate Details'!#REF!</f>
        <v>#REF!</v>
      </c>
      <c r="W534" s="686" t="s">
        <v>1311</v>
      </c>
      <c r="X534" s="682" t="e">
        <f>+'Estimate Details'!#REF!</f>
        <v>#REF!</v>
      </c>
      <c r="Y534" s="682" t="e">
        <f>+'Estimate Details'!#REF!</f>
        <v>#REF!</v>
      </c>
      <c r="Z534" s="684" t="e">
        <f>+'Estimate Details'!#REF!</f>
        <v>#REF!</v>
      </c>
      <c r="AA534" s="686"/>
      <c r="AB534" s="687" t="e">
        <f>+'Estimate Details'!#REF!</f>
        <v>#REF!</v>
      </c>
      <c r="AC534" s="688"/>
      <c r="AD534" s="696" t="e">
        <f>+'Estimate Details'!#REF!</f>
        <v>#REF!</v>
      </c>
      <c r="AE534" s="156"/>
      <c r="AF534" s="156"/>
      <c r="AG534" s="156"/>
      <c r="AH534" s="156"/>
      <c r="AI534" s="29"/>
      <c r="AJ534" s="29"/>
      <c r="AK534" s="29"/>
      <c r="AL534" s="109"/>
    </row>
    <row r="535" spans="1:44" ht="14.1" customHeight="1">
      <c r="A535" s="673" t="e">
        <f>+'Estimate Details'!#REF!</f>
        <v>#REF!</v>
      </c>
      <c r="B535" s="673"/>
      <c r="C535" s="673"/>
      <c r="D535" s="674"/>
      <c r="E535" s="675" t="e">
        <f>+'Estimate Details'!#REF!</f>
        <v>#REF!</v>
      </c>
      <c r="F535" s="676"/>
      <c r="G535" s="677" t="e">
        <f>+'Estimate Details'!#REF!</f>
        <v>#REF!</v>
      </c>
      <c r="H535" s="678" t="e">
        <f>+'Estimate Details'!#REF!</f>
        <v>#REF!</v>
      </c>
      <c r="I535" s="678" t="e">
        <f>+'Estimate Details'!#REF!</f>
        <v>#REF!</v>
      </c>
      <c r="J535" s="677" t="e">
        <f>+'Estimate Details'!#REF!</f>
        <v>#REF!</v>
      </c>
      <c r="K535" s="677" t="e">
        <f>+'Estimate Details'!#REF!</f>
        <v>#REF!</v>
      </c>
      <c r="L535" s="677" t="e">
        <f>+'Estimate Details'!#REF!</f>
        <v>#REF!</v>
      </c>
      <c r="M535" s="236" t="e">
        <f>+'Estimate Details'!#REF!</f>
        <v>#REF!</v>
      </c>
      <c r="N535" s="699" t="e">
        <f>+'Estimate Details'!#REF!</f>
        <v>#REF!</v>
      </c>
      <c r="O535" s="681" t="e">
        <f>+'Estimate Details'!#REF!</f>
        <v>#REF!</v>
      </c>
      <c r="P535" s="682" t="e">
        <f>+'Estimate Details'!#REF!</f>
        <v>#REF!</v>
      </c>
      <c r="Q535" s="683" t="e">
        <f>+'Estimate Details'!#REF!</f>
        <v>#REF!</v>
      </c>
      <c r="R535" s="684" t="e">
        <f>+'Estimate Details'!#REF!</f>
        <v>#REF!</v>
      </c>
      <c r="S535" s="685"/>
      <c r="T535" s="684" t="e">
        <f>+'Estimate Details'!#REF!</f>
        <v>#REF!</v>
      </c>
      <c r="U535" s="686" t="s">
        <v>1299</v>
      </c>
      <c r="V535" s="682" t="e">
        <f>+'Estimate Details'!#REF!</f>
        <v>#REF!</v>
      </c>
      <c r="W535" s="686" t="s">
        <v>1311</v>
      </c>
      <c r="X535" s="682" t="e">
        <f>+'Estimate Details'!#REF!</f>
        <v>#REF!</v>
      </c>
      <c r="Y535" s="682" t="e">
        <f>+'Estimate Details'!#REF!</f>
        <v>#REF!</v>
      </c>
      <c r="Z535" s="684" t="e">
        <f>+'Estimate Details'!#REF!</f>
        <v>#REF!</v>
      </c>
      <c r="AA535" s="686"/>
      <c r="AB535" s="687" t="e">
        <f>+'Estimate Details'!#REF!</f>
        <v>#REF!</v>
      </c>
      <c r="AC535" s="688"/>
      <c r="AD535" s="696" t="e">
        <f>+'Estimate Details'!#REF!</f>
        <v>#REF!</v>
      </c>
      <c r="AE535" s="156"/>
      <c r="AF535" s="156"/>
      <c r="AG535" s="156"/>
      <c r="AH535" s="156"/>
      <c r="AI535" s="29"/>
      <c r="AJ535" s="29"/>
      <c r="AK535" s="29"/>
      <c r="AL535" s="109"/>
    </row>
    <row r="536" spans="1:44" ht="14.1" customHeight="1">
      <c r="A536" s="673" t="e">
        <f>+'Estimate Details'!#REF!</f>
        <v>#REF!</v>
      </c>
      <c r="B536" s="673"/>
      <c r="C536" s="673"/>
      <c r="D536" s="674"/>
      <c r="E536" s="675" t="e">
        <f>+'Estimate Details'!#REF!</f>
        <v>#REF!</v>
      </c>
      <c r="F536" s="676"/>
      <c r="G536" s="677" t="e">
        <f>+'Estimate Details'!#REF!</f>
        <v>#REF!</v>
      </c>
      <c r="H536" s="678" t="e">
        <f>+'Estimate Details'!#REF!</f>
        <v>#REF!</v>
      </c>
      <c r="I536" s="678" t="e">
        <f>+'Estimate Details'!#REF!</f>
        <v>#REF!</v>
      </c>
      <c r="J536" s="677" t="e">
        <f>+'Estimate Details'!#REF!</f>
        <v>#REF!</v>
      </c>
      <c r="K536" s="677" t="e">
        <f>+'Estimate Details'!#REF!</f>
        <v>#REF!</v>
      </c>
      <c r="L536" s="677" t="e">
        <f>+'Estimate Details'!#REF!</f>
        <v>#REF!</v>
      </c>
      <c r="M536" s="236" t="e">
        <f>+'Estimate Details'!#REF!</f>
        <v>#REF!</v>
      </c>
      <c r="N536" s="699" t="e">
        <f>+'Estimate Details'!#REF!</f>
        <v>#REF!</v>
      </c>
      <c r="O536" s="681" t="e">
        <f>+'Estimate Details'!#REF!</f>
        <v>#REF!</v>
      </c>
      <c r="P536" s="682" t="e">
        <f>+'Estimate Details'!#REF!</f>
        <v>#REF!</v>
      </c>
      <c r="Q536" s="683" t="e">
        <f>+'Estimate Details'!#REF!</f>
        <v>#REF!</v>
      </c>
      <c r="R536" s="684" t="e">
        <f>+'Estimate Details'!#REF!</f>
        <v>#REF!</v>
      </c>
      <c r="S536" s="685"/>
      <c r="T536" s="684" t="e">
        <f>+'Estimate Details'!#REF!</f>
        <v>#REF!</v>
      </c>
      <c r="U536" s="686" t="s">
        <v>1299</v>
      </c>
      <c r="V536" s="682" t="e">
        <f>+'Estimate Details'!#REF!</f>
        <v>#REF!</v>
      </c>
      <c r="W536" s="686" t="s">
        <v>1311</v>
      </c>
      <c r="X536" s="682" t="e">
        <f>+'Estimate Details'!#REF!</f>
        <v>#REF!</v>
      </c>
      <c r="Y536" s="682" t="e">
        <f>+'Estimate Details'!#REF!</f>
        <v>#REF!</v>
      </c>
      <c r="Z536" s="684" t="e">
        <f>+'Estimate Details'!#REF!</f>
        <v>#REF!</v>
      </c>
      <c r="AA536" s="686"/>
      <c r="AB536" s="687" t="e">
        <f>+'Estimate Details'!#REF!</f>
        <v>#REF!</v>
      </c>
      <c r="AC536" s="688"/>
      <c r="AD536" s="696" t="e">
        <f>+'Estimate Details'!#REF!</f>
        <v>#REF!</v>
      </c>
      <c r="AE536" s="156"/>
      <c r="AF536" s="156"/>
      <c r="AG536" s="156"/>
      <c r="AH536" s="156"/>
      <c r="AI536" s="29"/>
      <c r="AJ536" s="29"/>
      <c r="AK536" s="29"/>
      <c r="AL536" s="109"/>
    </row>
    <row r="537" spans="1:44" ht="14.1" customHeight="1">
      <c r="A537" s="673" t="e">
        <f>+'Estimate Details'!#REF!</f>
        <v>#REF!</v>
      </c>
      <c r="B537" s="673"/>
      <c r="C537" s="673"/>
      <c r="D537" s="674"/>
      <c r="E537" s="675" t="e">
        <f>+'Estimate Details'!#REF!</f>
        <v>#REF!</v>
      </c>
      <c r="F537" s="676"/>
      <c r="G537" s="677" t="e">
        <f>+'Estimate Details'!#REF!</f>
        <v>#REF!</v>
      </c>
      <c r="H537" s="678" t="e">
        <f>+'Estimate Details'!#REF!</f>
        <v>#REF!</v>
      </c>
      <c r="I537" s="678" t="e">
        <f>+'Estimate Details'!#REF!</f>
        <v>#REF!</v>
      </c>
      <c r="J537" s="677" t="e">
        <f>+'Estimate Details'!#REF!</f>
        <v>#REF!</v>
      </c>
      <c r="K537" s="677" t="e">
        <f>+'Estimate Details'!#REF!</f>
        <v>#REF!</v>
      </c>
      <c r="L537" s="677" t="e">
        <f>+'Estimate Details'!#REF!</f>
        <v>#REF!</v>
      </c>
      <c r="M537" s="236" t="e">
        <f>+'Estimate Details'!#REF!</f>
        <v>#REF!</v>
      </c>
      <c r="N537" s="699" t="e">
        <f>+'Estimate Details'!#REF!</f>
        <v>#REF!</v>
      </c>
      <c r="O537" s="681" t="e">
        <f>+'Estimate Details'!#REF!</f>
        <v>#REF!</v>
      </c>
      <c r="P537" s="682" t="e">
        <f>+'Estimate Details'!#REF!</f>
        <v>#REF!</v>
      </c>
      <c r="Q537" s="683" t="e">
        <f>+'Estimate Details'!#REF!</f>
        <v>#REF!</v>
      </c>
      <c r="R537" s="684" t="e">
        <f>+'Estimate Details'!#REF!</f>
        <v>#REF!</v>
      </c>
      <c r="S537" s="685"/>
      <c r="T537" s="684" t="e">
        <f>+'Estimate Details'!#REF!</f>
        <v>#REF!</v>
      </c>
      <c r="U537" s="686" t="s">
        <v>1299</v>
      </c>
      <c r="V537" s="682" t="e">
        <f>+'Estimate Details'!#REF!</f>
        <v>#REF!</v>
      </c>
      <c r="W537" s="686" t="s">
        <v>1311</v>
      </c>
      <c r="X537" s="682" t="e">
        <f>+'Estimate Details'!#REF!</f>
        <v>#REF!</v>
      </c>
      <c r="Y537" s="682" t="e">
        <f>+'Estimate Details'!#REF!</f>
        <v>#REF!</v>
      </c>
      <c r="Z537" s="684" t="e">
        <f>+'Estimate Details'!#REF!</f>
        <v>#REF!</v>
      </c>
      <c r="AA537" s="686"/>
      <c r="AB537" s="687" t="e">
        <f>+'Estimate Details'!#REF!</f>
        <v>#REF!</v>
      </c>
      <c r="AC537" s="688"/>
      <c r="AD537" s="696" t="e">
        <f>+'Estimate Details'!#REF!</f>
        <v>#REF!</v>
      </c>
      <c r="AE537" s="156"/>
      <c r="AF537" s="156"/>
      <c r="AG537" s="156"/>
      <c r="AH537" s="156"/>
      <c r="AI537" s="29"/>
      <c r="AJ537" s="29"/>
      <c r="AK537" s="29"/>
      <c r="AL537" s="109"/>
    </row>
    <row r="538" spans="1:44" ht="14.1" customHeight="1">
      <c r="A538" s="673" t="e">
        <f>+'Estimate Details'!#REF!</f>
        <v>#REF!</v>
      </c>
      <c r="B538" s="673"/>
      <c r="C538" s="673"/>
      <c r="D538" s="674"/>
      <c r="E538" s="675" t="e">
        <f>+'Estimate Details'!#REF!</f>
        <v>#REF!</v>
      </c>
      <c r="F538" s="676"/>
      <c r="G538" s="677" t="e">
        <f>+'Estimate Details'!#REF!</f>
        <v>#REF!</v>
      </c>
      <c r="H538" s="678" t="e">
        <f>+'Estimate Details'!#REF!</f>
        <v>#REF!</v>
      </c>
      <c r="I538" s="678" t="e">
        <f>+'Estimate Details'!#REF!</f>
        <v>#REF!</v>
      </c>
      <c r="J538" s="677" t="e">
        <f>+'Estimate Details'!#REF!</f>
        <v>#REF!</v>
      </c>
      <c r="K538" s="677" t="e">
        <f>+'Estimate Details'!#REF!</f>
        <v>#REF!</v>
      </c>
      <c r="L538" s="677" t="e">
        <f>+'Estimate Details'!#REF!</f>
        <v>#REF!</v>
      </c>
      <c r="M538" s="236" t="e">
        <f>+'Estimate Details'!#REF!</f>
        <v>#REF!</v>
      </c>
      <c r="N538" s="699" t="e">
        <f>+'Estimate Details'!#REF!</f>
        <v>#REF!</v>
      </c>
      <c r="O538" s="681" t="e">
        <f>+'Estimate Details'!#REF!</f>
        <v>#REF!</v>
      </c>
      <c r="P538" s="682" t="e">
        <f>+'Estimate Details'!#REF!</f>
        <v>#REF!</v>
      </c>
      <c r="Q538" s="683" t="e">
        <f>+'Estimate Details'!#REF!</f>
        <v>#REF!</v>
      </c>
      <c r="R538" s="684" t="e">
        <f>+'Estimate Details'!#REF!</f>
        <v>#REF!</v>
      </c>
      <c r="S538" s="685"/>
      <c r="T538" s="684" t="e">
        <f>+'Estimate Details'!#REF!</f>
        <v>#REF!</v>
      </c>
      <c r="U538" s="686" t="s">
        <v>1299</v>
      </c>
      <c r="V538" s="682" t="e">
        <f>+'Estimate Details'!#REF!</f>
        <v>#REF!</v>
      </c>
      <c r="W538" s="686" t="s">
        <v>1311</v>
      </c>
      <c r="X538" s="682" t="e">
        <f>+'Estimate Details'!#REF!</f>
        <v>#REF!</v>
      </c>
      <c r="Y538" s="682" t="e">
        <f>+'Estimate Details'!#REF!</f>
        <v>#REF!</v>
      </c>
      <c r="Z538" s="684" t="e">
        <f>+'Estimate Details'!#REF!</f>
        <v>#REF!</v>
      </c>
      <c r="AA538" s="686"/>
      <c r="AB538" s="687" t="e">
        <f>+'Estimate Details'!#REF!</f>
        <v>#REF!</v>
      </c>
      <c r="AC538" s="688"/>
      <c r="AD538" s="696" t="e">
        <f>+'Estimate Details'!#REF!</f>
        <v>#REF!</v>
      </c>
      <c r="AE538" s="156"/>
      <c r="AF538" s="156"/>
      <c r="AG538" s="156"/>
      <c r="AH538" s="156"/>
      <c r="AI538" s="29"/>
      <c r="AJ538" s="29"/>
      <c r="AK538" s="29"/>
      <c r="AL538" s="29"/>
    </row>
    <row r="539" spans="1:44" ht="14.1" customHeight="1">
      <c r="A539" s="673" t="e">
        <f>+'Estimate Details'!#REF!</f>
        <v>#REF!</v>
      </c>
      <c r="B539" s="673"/>
      <c r="C539" s="673"/>
      <c r="D539" s="674"/>
      <c r="E539" s="675" t="e">
        <f>+'Estimate Details'!#REF!</f>
        <v>#REF!</v>
      </c>
      <c r="F539" s="676"/>
      <c r="G539" s="677" t="e">
        <f>+'Estimate Details'!#REF!</f>
        <v>#REF!</v>
      </c>
      <c r="H539" s="678" t="e">
        <f>+'Estimate Details'!#REF!</f>
        <v>#REF!</v>
      </c>
      <c r="I539" s="678" t="e">
        <f>+'Estimate Details'!#REF!</f>
        <v>#REF!</v>
      </c>
      <c r="J539" s="677" t="e">
        <f>+'Estimate Details'!#REF!</f>
        <v>#REF!</v>
      </c>
      <c r="K539" s="677" t="e">
        <f>+'Estimate Details'!#REF!</f>
        <v>#REF!</v>
      </c>
      <c r="L539" s="677" t="e">
        <f>+'Estimate Details'!#REF!</f>
        <v>#REF!</v>
      </c>
      <c r="M539" s="236" t="e">
        <f>+'Estimate Details'!#REF!</f>
        <v>#REF!</v>
      </c>
      <c r="N539" s="699" t="e">
        <f>+'Estimate Details'!#REF!</f>
        <v>#REF!</v>
      </c>
      <c r="O539" s="681" t="e">
        <f>+'Estimate Details'!#REF!</f>
        <v>#REF!</v>
      </c>
      <c r="P539" s="682" t="e">
        <f>+'Estimate Details'!#REF!</f>
        <v>#REF!</v>
      </c>
      <c r="Q539" s="683" t="e">
        <f>+'Estimate Details'!#REF!</f>
        <v>#REF!</v>
      </c>
      <c r="R539" s="684" t="e">
        <f>+'Estimate Details'!#REF!</f>
        <v>#REF!</v>
      </c>
      <c r="S539" s="685"/>
      <c r="T539" s="684" t="e">
        <f>+'Estimate Details'!#REF!</f>
        <v>#REF!</v>
      </c>
      <c r="U539" s="686" t="s">
        <v>1299</v>
      </c>
      <c r="V539" s="682" t="e">
        <f>+'Estimate Details'!#REF!</f>
        <v>#REF!</v>
      </c>
      <c r="W539" s="686" t="s">
        <v>1311</v>
      </c>
      <c r="X539" s="682" t="e">
        <f>+'Estimate Details'!#REF!</f>
        <v>#REF!</v>
      </c>
      <c r="Y539" s="682" t="e">
        <f>+'Estimate Details'!#REF!</f>
        <v>#REF!</v>
      </c>
      <c r="Z539" s="684" t="e">
        <f>+'Estimate Details'!#REF!</f>
        <v>#REF!</v>
      </c>
      <c r="AA539" s="686"/>
      <c r="AB539" s="687" t="e">
        <f>+'Estimate Details'!#REF!</f>
        <v>#REF!</v>
      </c>
      <c r="AC539" s="688"/>
      <c r="AD539" s="696" t="e">
        <f>+'Estimate Details'!#REF!</f>
        <v>#REF!</v>
      </c>
      <c r="AE539" s="156"/>
      <c r="AF539" s="156"/>
      <c r="AG539" s="156"/>
      <c r="AH539" s="156"/>
      <c r="AI539" s="29"/>
      <c r="AJ539" s="29"/>
      <c r="AK539" s="29"/>
      <c r="AL539" s="29"/>
    </row>
    <row r="540" spans="1:44" ht="14.1" customHeight="1">
      <c r="A540" s="673" t="e">
        <f>+'Estimate Details'!#REF!</f>
        <v>#REF!</v>
      </c>
      <c r="B540" s="673"/>
      <c r="C540" s="673"/>
      <c r="D540" s="674"/>
      <c r="E540" s="675" t="e">
        <f>+'Estimate Details'!#REF!</f>
        <v>#REF!</v>
      </c>
      <c r="F540" s="676"/>
      <c r="G540" s="677" t="e">
        <f>+'Estimate Details'!#REF!</f>
        <v>#REF!</v>
      </c>
      <c r="H540" s="678" t="e">
        <f>+'Estimate Details'!#REF!</f>
        <v>#REF!</v>
      </c>
      <c r="I540" s="678" t="e">
        <f>+'Estimate Details'!#REF!</f>
        <v>#REF!</v>
      </c>
      <c r="J540" s="677" t="e">
        <f>+'Estimate Details'!#REF!</f>
        <v>#REF!</v>
      </c>
      <c r="K540" s="677" t="e">
        <f>+'Estimate Details'!#REF!</f>
        <v>#REF!</v>
      </c>
      <c r="L540" s="677" t="e">
        <f>+'Estimate Details'!#REF!</f>
        <v>#REF!</v>
      </c>
      <c r="M540" s="236" t="e">
        <f>+'Estimate Details'!#REF!</f>
        <v>#REF!</v>
      </c>
      <c r="N540" s="699" t="e">
        <f>+'Estimate Details'!#REF!</f>
        <v>#REF!</v>
      </c>
      <c r="O540" s="681" t="e">
        <f>+'Estimate Details'!#REF!</f>
        <v>#REF!</v>
      </c>
      <c r="P540" s="682" t="e">
        <f>+'Estimate Details'!#REF!</f>
        <v>#REF!</v>
      </c>
      <c r="Q540" s="683" t="e">
        <f>+'Estimate Details'!#REF!</f>
        <v>#REF!</v>
      </c>
      <c r="R540" s="684" t="e">
        <f>+'Estimate Details'!#REF!</f>
        <v>#REF!</v>
      </c>
      <c r="S540" s="685"/>
      <c r="T540" s="684" t="e">
        <f>+'Estimate Details'!#REF!</f>
        <v>#REF!</v>
      </c>
      <c r="U540" s="686" t="s">
        <v>1299</v>
      </c>
      <c r="V540" s="682" t="e">
        <f>+'Estimate Details'!#REF!</f>
        <v>#REF!</v>
      </c>
      <c r="W540" s="686" t="s">
        <v>1311</v>
      </c>
      <c r="X540" s="682" t="e">
        <f>+'Estimate Details'!#REF!</f>
        <v>#REF!</v>
      </c>
      <c r="Y540" s="682" t="e">
        <f>+'Estimate Details'!#REF!</f>
        <v>#REF!</v>
      </c>
      <c r="Z540" s="684" t="e">
        <f>+'Estimate Details'!#REF!</f>
        <v>#REF!</v>
      </c>
      <c r="AA540" s="686"/>
      <c r="AB540" s="687" t="e">
        <f>+'Estimate Details'!#REF!</f>
        <v>#REF!</v>
      </c>
      <c r="AC540" s="688"/>
      <c r="AD540" s="696" t="e">
        <f>+'Estimate Details'!#REF!</f>
        <v>#REF!</v>
      </c>
      <c r="AE540" s="156"/>
      <c r="AF540" s="156"/>
      <c r="AG540" s="156"/>
      <c r="AH540" s="156"/>
      <c r="AI540" s="29"/>
      <c r="AJ540" s="29"/>
      <c r="AK540" s="29"/>
      <c r="AL540" s="29"/>
    </row>
    <row r="541" spans="1:44" ht="14.1" customHeight="1">
      <c r="A541" s="673" t="e">
        <f>+'Estimate Details'!#REF!</f>
        <v>#REF!</v>
      </c>
      <c r="B541" s="673"/>
      <c r="C541" s="673"/>
      <c r="D541" s="674"/>
      <c r="E541" s="675" t="e">
        <f>+'Estimate Details'!#REF!</f>
        <v>#REF!</v>
      </c>
      <c r="F541" s="676"/>
      <c r="G541" s="677" t="e">
        <f>+'Estimate Details'!#REF!</f>
        <v>#REF!</v>
      </c>
      <c r="H541" s="678" t="e">
        <f>+'Estimate Details'!#REF!</f>
        <v>#REF!</v>
      </c>
      <c r="I541" s="678" t="e">
        <f>+'Estimate Details'!#REF!</f>
        <v>#REF!</v>
      </c>
      <c r="J541" s="677" t="e">
        <f>+'Estimate Details'!#REF!</f>
        <v>#REF!</v>
      </c>
      <c r="K541" s="677" t="e">
        <f>+'Estimate Details'!#REF!</f>
        <v>#REF!</v>
      </c>
      <c r="L541" s="677" t="e">
        <f>+'Estimate Details'!#REF!</f>
        <v>#REF!</v>
      </c>
      <c r="M541" s="236" t="e">
        <f>+'Estimate Details'!#REF!</f>
        <v>#REF!</v>
      </c>
      <c r="N541" s="699" t="e">
        <f>+'Estimate Details'!#REF!</f>
        <v>#REF!</v>
      </c>
      <c r="O541" s="681" t="e">
        <f>+'Estimate Details'!#REF!</f>
        <v>#REF!</v>
      </c>
      <c r="P541" s="682" t="e">
        <f>+'Estimate Details'!#REF!</f>
        <v>#REF!</v>
      </c>
      <c r="Q541" s="683" t="e">
        <f>+'Estimate Details'!#REF!</f>
        <v>#REF!</v>
      </c>
      <c r="R541" s="684" t="e">
        <f>+'Estimate Details'!#REF!</f>
        <v>#REF!</v>
      </c>
      <c r="S541" s="685"/>
      <c r="T541" s="684" t="e">
        <f>+'Estimate Details'!#REF!</f>
        <v>#REF!</v>
      </c>
      <c r="U541" s="686" t="s">
        <v>1299</v>
      </c>
      <c r="V541" s="682" t="e">
        <f>+'Estimate Details'!#REF!</f>
        <v>#REF!</v>
      </c>
      <c r="W541" s="686" t="s">
        <v>1311</v>
      </c>
      <c r="X541" s="682" t="e">
        <f>+'Estimate Details'!#REF!</f>
        <v>#REF!</v>
      </c>
      <c r="Y541" s="682" t="e">
        <f>+'Estimate Details'!#REF!</f>
        <v>#REF!</v>
      </c>
      <c r="Z541" s="684" t="e">
        <f>+'Estimate Details'!#REF!</f>
        <v>#REF!</v>
      </c>
      <c r="AA541" s="686"/>
      <c r="AB541" s="687" t="e">
        <f>+'Estimate Details'!#REF!</f>
        <v>#REF!</v>
      </c>
      <c r="AC541" s="688"/>
      <c r="AD541" s="696" t="e">
        <f>+'Estimate Details'!#REF!</f>
        <v>#REF!</v>
      </c>
      <c r="AE541" s="178"/>
      <c r="AF541" s="156"/>
      <c r="AG541" s="156"/>
      <c r="AH541" s="156"/>
      <c r="AI541" s="29"/>
      <c r="AJ541" s="29"/>
      <c r="AK541" s="29"/>
      <c r="AL541" s="109"/>
    </row>
    <row r="542" spans="1:44" ht="14.1" customHeight="1">
      <c r="A542" s="673" t="e">
        <f>+'Estimate Details'!#REF!</f>
        <v>#REF!</v>
      </c>
      <c r="B542" s="673"/>
      <c r="C542" s="673"/>
      <c r="D542" s="674"/>
      <c r="E542" s="675" t="e">
        <f>+'Estimate Details'!#REF!</f>
        <v>#REF!</v>
      </c>
      <c r="F542" s="676"/>
      <c r="G542" s="677" t="e">
        <f>+'Estimate Details'!#REF!</f>
        <v>#REF!</v>
      </c>
      <c r="H542" s="678" t="e">
        <f>+'Estimate Details'!#REF!</f>
        <v>#REF!</v>
      </c>
      <c r="I542" s="678" t="e">
        <f>+'Estimate Details'!#REF!</f>
        <v>#REF!</v>
      </c>
      <c r="J542" s="677" t="e">
        <f>+'Estimate Details'!#REF!</f>
        <v>#REF!</v>
      </c>
      <c r="K542" s="677" t="e">
        <f>+'Estimate Details'!#REF!</f>
        <v>#REF!</v>
      </c>
      <c r="L542" s="677" t="e">
        <f>+'Estimate Details'!#REF!</f>
        <v>#REF!</v>
      </c>
      <c r="M542" s="236" t="e">
        <f>+'Estimate Details'!#REF!</f>
        <v>#REF!</v>
      </c>
      <c r="N542" s="699" t="e">
        <f>+'Estimate Details'!#REF!</f>
        <v>#REF!</v>
      </c>
      <c r="O542" s="681" t="e">
        <f>+'Estimate Details'!#REF!</f>
        <v>#REF!</v>
      </c>
      <c r="P542" s="682" t="e">
        <f>+'Estimate Details'!#REF!</f>
        <v>#REF!</v>
      </c>
      <c r="Q542" s="683" t="e">
        <f>+'Estimate Details'!#REF!</f>
        <v>#REF!</v>
      </c>
      <c r="R542" s="684" t="e">
        <f>+'Estimate Details'!#REF!</f>
        <v>#REF!</v>
      </c>
      <c r="S542" s="685"/>
      <c r="T542" s="684" t="e">
        <f>+'Estimate Details'!#REF!</f>
        <v>#REF!</v>
      </c>
      <c r="U542" s="686" t="s">
        <v>1299</v>
      </c>
      <c r="V542" s="682" t="e">
        <f>+'Estimate Details'!#REF!</f>
        <v>#REF!</v>
      </c>
      <c r="W542" s="686" t="s">
        <v>1311</v>
      </c>
      <c r="X542" s="682" t="e">
        <f>+'Estimate Details'!#REF!</f>
        <v>#REF!</v>
      </c>
      <c r="Y542" s="682" t="e">
        <f>+'Estimate Details'!#REF!</f>
        <v>#REF!</v>
      </c>
      <c r="Z542" s="684" t="e">
        <f>+'Estimate Details'!#REF!</f>
        <v>#REF!</v>
      </c>
      <c r="AA542" s="686"/>
      <c r="AB542" s="687" t="e">
        <f>+'Estimate Details'!#REF!</f>
        <v>#REF!</v>
      </c>
      <c r="AC542" s="688"/>
      <c r="AD542" s="696" t="e">
        <f>+'Estimate Details'!#REF!</f>
        <v>#REF!</v>
      </c>
      <c r="AE542" s="178"/>
      <c r="AF542" s="156"/>
      <c r="AG542" s="156"/>
      <c r="AH542" s="156"/>
      <c r="AI542" s="29"/>
      <c r="AJ542" s="29"/>
      <c r="AK542" s="29"/>
      <c r="AL542" s="109"/>
    </row>
    <row r="543" spans="1:44" ht="14.1" customHeight="1">
      <c r="A543" s="673" t="e">
        <f>+'Estimate Details'!#REF!</f>
        <v>#REF!</v>
      </c>
      <c r="B543" s="673"/>
      <c r="C543" s="673"/>
      <c r="D543" s="674"/>
      <c r="E543" s="675" t="e">
        <f>+'Estimate Details'!#REF!</f>
        <v>#REF!</v>
      </c>
      <c r="F543" s="676"/>
      <c r="G543" s="677" t="e">
        <f>+'Estimate Details'!#REF!</f>
        <v>#REF!</v>
      </c>
      <c r="H543" s="678" t="e">
        <f>+'Estimate Details'!#REF!</f>
        <v>#REF!</v>
      </c>
      <c r="I543" s="678" t="e">
        <f>+'Estimate Details'!#REF!</f>
        <v>#REF!</v>
      </c>
      <c r="J543" s="677" t="e">
        <f>+'Estimate Details'!#REF!</f>
        <v>#REF!</v>
      </c>
      <c r="K543" s="677" t="e">
        <f>+'Estimate Details'!#REF!</f>
        <v>#REF!</v>
      </c>
      <c r="L543" s="677" t="e">
        <f>+'Estimate Details'!#REF!</f>
        <v>#REF!</v>
      </c>
      <c r="M543" s="236" t="e">
        <f>+'Estimate Details'!#REF!</f>
        <v>#REF!</v>
      </c>
      <c r="N543" s="699" t="e">
        <f>+'Estimate Details'!#REF!</f>
        <v>#REF!</v>
      </c>
      <c r="O543" s="681" t="e">
        <f>+'Estimate Details'!#REF!</f>
        <v>#REF!</v>
      </c>
      <c r="P543" s="682" t="e">
        <f>+'Estimate Details'!#REF!</f>
        <v>#REF!</v>
      </c>
      <c r="Q543" s="683" t="e">
        <f>+'Estimate Details'!#REF!</f>
        <v>#REF!</v>
      </c>
      <c r="R543" s="684" t="e">
        <f>+'Estimate Details'!#REF!</f>
        <v>#REF!</v>
      </c>
      <c r="S543" s="685"/>
      <c r="T543" s="684" t="e">
        <f>+'Estimate Details'!#REF!</f>
        <v>#REF!</v>
      </c>
      <c r="U543" s="686" t="s">
        <v>1299</v>
      </c>
      <c r="V543" s="682" t="e">
        <f>+'Estimate Details'!#REF!</f>
        <v>#REF!</v>
      </c>
      <c r="W543" s="686" t="s">
        <v>1311</v>
      </c>
      <c r="X543" s="682" t="e">
        <f>+'Estimate Details'!#REF!</f>
        <v>#REF!</v>
      </c>
      <c r="Y543" s="682" t="e">
        <f>+'Estimate Details'!#REF!</f>
        <v>#REF!</v>
      </c>
      <c r="Z543" s="684" t="e">
        <f>+'Estimate Details'!#REF!</f>
        <v>#REF!</v>
      </c>
      <c r="AA543" s="686"/>
      <c r="AB543" s="687" t="e">
        <f>+'Estimate Details'!#REF!</f>
        <v>#REF!</v>
      </c>
      <c r="AC543" s="688"/>
      <c r="AD543" s="696" t="e">
        <f>+'Estimate Details'!#REF!</f>
        <v>#REF!</v>
      </c>
      <c r="AE543" s="156"/>
      <c r="AF543" s="156"/>
      <c r="AG543" s="156"/>
      <c r="AH543" s="156"/>
      <c r="AI543" s="29"/>
      <c r="AJ543" s="29"/>
      <c r="AK543" s="29"/>
      <c r="AL543" s="109"/>
    </row>
    <row r="544" spans="1:44" ht="14.1" customHeight="1">
      <c r="A544" s="673" t="e">
        <f>+'Estimate Details'!#REF!</f>
        <v>#REF!</v>
      </c>
      <c r="B544" s="673"/>
      <c r="C544" s="673"/>
      <c r="D544" s="674"/>
      <c r="E544" s="675" t="e">
        <f>+'Estimate Details'!#REF!</f>
        <v>#REF!</v>
      </c>
      <c r="F544" s="676"/>
      <c r="G544" s="677" t="e">
        <f>+'Estimate Details'!#REF!</f>
        <v>#REF!</v>
      </c>
      <c r="H544" s="678" t="e">
        <f>+'Estimate Details'!#REF!</f>
        <v>#REF!</v>
      </c>
      <c r="I544" s="678" t="e">
        <f>+'Estimate Details'!#REF!</f>
        <v>#REF!</v>
      </c>
      <c r="J544" s="677" t="e">
        <f>+'Estimate Details'!#REF!</f>
        <v>#REF!</v>
      </c>
      <c r="K544" s="677" t="e">
        <f>+'Estimate Details'!#REF!</f>
        <v>#REF!</v>
      </c>
      <c r="L544" s="677" t="e">
        <f>+'Estimate Details'!#REF!</f>
        <v>#REF!</v>
      </c>
      <c r="M544" s="236" t="e">
        <f>+'Estimate Details'!#REF!</f>
        <v>#REF!</v>
      </c>
      <c r="N544" s="699" t="e">
        <f>+'Estimate Details'!#REF!</f>
        <v>#REF!</v>
      </c>
      <c r="O544" s="681" t="e">
        <f>+'Estimate Details'!#REF!</f>
        <v>#REF!</v>
      </c>
      <c r="P544" s="682" t="e">
        <f>+'Estimate Details'!#REF!</f>
        <v>#REF!</v>
      </c>
      <c r="Q544" s="683" t="e">
        <f>+'Estimate Details'!#REF!</f>
        <v>#REF!</v>
      </c>
      <c r="R544" s="684" t="e">
        <f>+'Estimate Details'!#REF!</f>
        <v>#REF!</v>
      </c>
      <c r="S544" s="685"/>
      <c r="T544" s="684" t="e">
        <f>+'Estimate Details'!#REF!</f>
        <v>#REF!</v>
      </c>
      <c r="U544" s="686" t="s">
        <v>1299</v>
      </c>
      <c r="V544" s="682" t="e">
        <f>+'Estimate Details'!#REF!</f>
        <v>#REF!</v>
      </c>
      <c r="W544" s="686" t="s">
        <v>1311</v>
      </c>
      <c r="X544" s="682" t="e">
        <f>+'Estimate Details'!#REF!</f>
        <v>#REF!</v>
      </c>
      <c r="Y544" s="682" t="e">
        <f>+'Estimate Details'!#REF!</f>
        <v>#REF!</v>
      </c>
      <c r="Z544" s="684" t="e">
        <f>+'Estimate Details'!#REF!</f>
        <v>#REF!</v>
      </c>
      <c r="AA544" s="686"/>
      <c r="AB544" s="687" t="e">
        <f>+'Estimate Details'!#REF!</f>
        <v>#REF!</v>
      </c>
      <c r="AC544" s="688"/>
      <c r="AD544" s="696" t="e">
        <f>+'Estimate Details'!#REF!</f>
        <v>#REF!</v>
      </c>
      <c r="AE544" s="156"/>
      <c r="AF544" s="156"/>
      <c r="AG544" s="156"/>
      <c r="AH544" s="156"/>
      <c r="AI544" s="29"/>
      <c r="AJ544" s="29"/>
      <c r="AK544" s="29"/>
      <c r="AL544" s="109"/>
    </row>
    <row r="545" spans="1:44" ht="13.5" customHeight="1">
      <c r="A545" s="673" t="e">
        <f>+'Estimate Details'!#REF!</f>
        <v>#REF!</v>
      </c>
      <c r="B545" s="673"/>
      <c r="C545" s="673"/>
      <c r="D545" s="674"/>
      <c r="E545" s="675" t="e">
        <f>+'Estimate Details'!#REF!</f>
        <v>#REF!</v>
      </c>
      <c r="F545" s="676"/>
      <c r="G545" s="677" t="e">
        <f>+'Estimate Details'!#REF!</f>
        <v>#REF!</v>
      </c>
      <c r="H545" s="678" t="e">
        <f>+'Estimate Details'!#REF!</f>
        <v>#REF!</v>
      </c>
      <c r="I545" s="678" t="e">
        <f>+'Estimate Details'!#REF!</f>
        <v>#REF!</v>
      </c>
      <c r="J545" s="677" t="e">
        <f>+'Estimate Details'!#REF!</f>
        <v>#REF!</v>
      </c>
      <c r="K545" s="677" t="e">
        <f>+'Estimate Details'!#REF!</f>
        <v>#REF!</v>
      </c>
      <c r="L545" s="677" t="e">
        <f>+'Estimate Details'!#REF!</f>
        <v>#REF!</v>
      </c>
      <c r="M545" s="236" t="e">
        <f>+'Estimate Details'!#REF!</f>
        <v>#REF!</v>
      </c>
      <c r="N545" s="699" t="e">
        <f>+'Estimate Details'!#REF!</f>
        <v>#REF!</v>
      </c>
      <c r="O545" s="681" t="e">
        <f>+'Estimate Details'!#REF!</f>
        <v>#REF!</v>
      </c>
      <c r="P545" s="682" t="e">
        <f>+'Estimate Details'!#REF!</f>
        <v>#REF!</v>
      </c>
      <c r="Q545" s="683" t="e">
        <f>+'Estimate Details'!#REF!</f>
        <v>#REF!</v>
      </c>
      <c r="R545" s="684" t="e">
        <f>+'Estimate Details'!#REF!</f>
        <v>#REF!</v>
      </c>
      <c r="S545" s="685"/>
      <c r="T545" s="684" t="e">
        <f>+'Estimate Details'!#REF!</f>
        <v>#REF!</v>
      </c>
      <c r="U545" s="686" t="s">
        <v>1299</v>
      </c>
      <c r="V545" s="682" t="e">
        <f>+'Estimate Details'!#REF!</f>
        <v>#REF!</v>
      </c>
      <c r="W545" s="686" t="s">
        <v>1311</v>
      </c>
      <c r="X545" s="682" t="e">
        <f>+'Estimate Details'!#REF!</f>
        <v>#REF!</v>
      </c>
      <c r="Y545" s="682" t="e">
        <f>+'Estimate Details'!#REF!</f>
        <v>#REF!</v>
      </c>
      <c r="Z545" s="684" t="e">
        <f>+'Estimate Details'!#REF!</f>
        <v>#REF!</v>
      </c>
      <c r="AA545" s="686"/>
      <c r="AB545" s="687" t="e">
        <f>+'Estimate Details'!#REF!</f>
        <v>#REF!</v>
      </c>
      <c r="AC545" s="688"/>
      <c r="AD545" s="696" t="e">
        <f>+'Estimate Details'!#REF!</f>
        <v>#REF!</v>
      </c>
      <c r="AE545" s="156"/>
      <c r="AF545" s="156"/>
      <c r="AG545" s="156"/>
      <c r="AH545" s="156"/>
      <c r="AI545" s="29"/>
      <c r="AJ545" s="29"/>
      <c r="AK545" s="29"/>
      <c r="AL545" s="109"/>
    </row>
    <row r="546" spans="1:44" ht="13.5" customHeight="1">
      <c r="A546" s="673" t="e">
        <f>+'Estimate Details'!#REF!</f>
        <v>#REF!</v>
      </c>
      <c r="B546" s="673"/>
      <c r="C546" s="673"/>
      <c r="D546" s="674"/>
      <c r="E546" s="675" t="e">
        <f>+'Estimate Details'!#REF!</f>
        <v>#REF!</v>
      </c>
      <c r="F546" s="676"/>
      <c r="G546" s="677" t="e">
        <f>+'Estimate Details'!#REF!</f>
        <v>#REF!</v>
      </c>
      <c r="H546" s="678" t="e">
        <f>+'Estimate Details'!#REF!</f>
        <v>#REF!</v>
      </c>
      <c r="I546" s="678" t="e">
        <f>+'Estimate Details'!#REF!</f>
        <v>#REF!</v>
      </c>
      <c r="J546" s="677" t="e">
        <f>+'Estimate Details'!#REF!</f>
        <v>#REF!</v>
      </c>
      <c r="K546" s="677" t="e">
        <f>+'Estimate Details'!#REF!</f>
        <v>#REF!</v>
      </c>
      <c r="L546" s="677" t="e">
        <f>+'Estimate Details'!#REF!</f>
        <v>#REF!</v>
      </c>
      <c r="M546" s="236" t="e">
        <f>+'Estimate Details'!#REF!</f>
        <v>#REF!</v>
      </c>
      <c r="N546" s="699" t="e">
        <f>+'Estimate Details'!#REF!</f>
        <v>#REF!</v>
      </c>
      <c r="O546" s="681" t="e">
        <f>+'Estimate Details'!#REF!</f>
        <v>#REF!</v>
      </c>
      <c r="P546" s="682" t="e">
        <f>+'Estimate Details'!#REF!</f>
        <v>#REF!</v>
      </c>
      <c r="Q546" s="683" t="e">
        <f>+'Estimate Details'!#REF!</f>
        <v>#REF!</v>
      </c>
      <c r="R546" s="684" t="e">
        <f>+'Estimate Details'!#REF!</f>
        <v>#REF!</v>
      </c>
      <c r="S546" s="685"/>
      <c r="T546" s="684" t="e">
        <f>+'Estimate Details'!#REF!</f>
        <v>#REF!</v>
      </c>
      <c r="U546" s="686" t="s">
        <v>1299</v>
      </c>
      <c r="V546" s="682" t="e">
        <f>+'Estimate Details'!#REF!</f>
        <v>#REF!</v>
      </c>
      <c r="W546" s="686" t="s">
        <v>1311</v>
      </c>
      <c r="X546" s="682" t="e">
        <f>+'Estimate Details'!#REF!</f>
        <v>#REF!</v>
      </c>
      <c r="Y546" s="682" t="e">
        <f>+'Estimate Details'!#REF!</f>
        <v>#REF!</v>
      </c>
      <c r="Z546" s="684" t="e">
        <f>+'Estimate Details'!#REF!</f>
        <v>#REF!</v>
      </c>
      <c r="AA546" s="686"/>
      <c r="AB546" s="687" t="e">
        <f>+'Estimate Details'!#REF!</f>
        <v>#REF!</v>
      </c>
      <c r="AC546" s="688"/>
      <c r="AD546" s="696" t="e">
        <f>+'Estimate Details'!#REF!</f>
        <v>#REF!</v>
      </c>
      <c r="AE546" s="156"/>
      <c r="AF546" s="156"/>
      <c r="AG546" s="156"/>
      <c r="AH546" s="156"/>
      <c r="AI546" s="29"/>
      <c r="AJ546" s="29"/>
      <c r="AK546" s="29"/>
      <c r="AL546" s="109"/>
    </row>
    <row r="547" spans="1:44" ht="14.1" customHeight="1">
      <c r="A547" s="673" t="e">
        <f>+'Estimate Details'!#REF!</f>
        <v>#REF!</v>
      </c>
      <c r="B547" s="673"/>
      <c r="C547" s="673"/>
      <c r="D547" s="674"/>
      <c r="E547" s="675" t="e">
        <f>+'Estimate Details'!#REF!</f>
        <v>#REF!</v>
      </c>
      <c r="F547" s="676"/>
      <c r="G547" s="677" t="e">
        <f>+'Estimate Details'!#REF!</f>
        <v>#REF!</v>
      </c>
      <c r="H547" s="678" t="e">
        <f>+'Estimate Details'!#REF!</f>
        <v>#REF!</v>
      </c>
      <c r="I547" s="678" t="e">
        <f>+'Estimate Details'!#REF!</f>
        <v>#REF!</v>
      </c>
      <c r="J547" s="677" t="e">
        <f>+'Estimate Details'!#REF!</f>
        <v>#REF!</v>
      </c>
      <c r="K547" s="677" t="e">
        <f>+'Estimate Details'!#REF!</f>
        <v>#REF!</v>
      </c>
      <c r="L547" s="677" t="e">
        <f>+'Estimate Details'!#REF!</f>
        <v>#REF!</v>
      </c>
      <c r="M547" s="236" t="e">
        <f>+'Estimate Details'!#REF!</f>
        <v>#REF!</v>
      </c>
      <c r="N547" s="699" t="e">
        <f>+'Estimate Details'!#REF!</f>
        <v>#REF!</v>
      </c>
      <c r="O547" s="681" t="e">
        <f>+'Estimate Details'!#REF!</f>
        <v>#REF!</v>
      </c>
      <c r="P547" s="682" t="e">
        <f>+'Estimate Details'!#REF!</f>
        <v>#REF!</v>
      </c>
      <c r="Q547" s="683" t="e">
        <f>+'Estimate Details'!#REF!</f>
        <v>#REF!</v>
      </c>
      <c r="R547" s="684" t="e">
        <f>+'Estimate Details'!#REF!</f>
        <v>#REF!</v>
      </c>
      <c r="S547" s="685"/>
      <c r="T547" s="684" t="e">
        <f>+'Estimate Details'!#REF!</f>
        <v>#REF!</v>
      </c>
      <c r="U547" s="686" t="s">
        <v>1299</v>
      </c>
      <c r="V547" s="682" t="e">
        <f>+'Estimate Details'!#REF!</f>
        <v>#REF!</v>
      </c>
      <c r="W547" s="686" t="s">
        <v>1311</v>
      </c>
      <c r="X547" s="682" t="e">
        <f>+'Estimate Details'!#REF!</f>
        <v>#REF!</v>
      </c>
      <c r="Y547" s="682" t="e">
        <f>+'Estimate Details'!#REF!</f>
        <v>#REF!</v>
      </c>
      <c r="Z547" s="684" t="e">
        <f>+'Estimate Details'!#REF!</f>
        <v>#REF!</v>
      </c>
      <c r="AA547" s="686"/>
      <c r="AB547" s="687" t="e">
        <f>+'Estimate Details'!#REF!</f>
        <v>#REF!</v>
      </c>
      <c r="AC547" s="688"/>
      <c r="AD547" s="696" t="e">
        <f>+'Estimate Details'!#REF!</f>
        <v>#REF!</v>
      </c>
      <c r="AE547" s="156"/>
      <c r="AF547" s="156"/>
      <c r="AG547" s="156"/>
      <c r="AH547" s="156"/>
      <c r="AI547" s="29"/>
      <c r="AJ547" s="29"/>
      <c r="AK547" s="29"/>
      <c r="AL547" s="109"/>
    </row>
    <row r="548" spans="1:44" ht="13.5" customHeight="1">
      <c r="A548" s="673" t="e">
        <f>+'Estimate Details'!#REF!</f>
        <v>#REF!</v>
      </c>
      <c r="B548" s="673"/>
      <c r="C548" s="673"/>
      <c r="D548" s="674"/>
      <c r="E548" s="675" t="e">
        <f>+'Estimate Details'!#REF!</f>
        <v>#REF!</v>
      </c>
      <c r="F548" s="676"/>
      <c r="G548" s="677" t="e">
        <f>+'Estimate Details'!#REF!</f>
        <v>#REF!</v>
      </c>
      <c r="H548" s="678" t="e">
        <f>+'Estimate Details'!#REF!</f>
        <v>#REF!</v>
      </c>
      <c r="I548" s="678" t="e">
        <f>+'Estimate Details'!#REF!</f>
        <v>#REF!</v>
      </c>
      <c r="J548" s="677" t="e">
        <f>+'Estimate Details'!#REF!</f>
        <v>#REF!</v>
      </c>
      <c r="K548" s="677" t="e">
        <f>+'Estimate Details'!#REF!</f>
        <v>#REF!</v>
      </c>
      <c r="L548" s="677" t="e">
        <f>+'Estimate Details'!#REF!</f>
        <v>#REF!</v>
      </c>
      <c r="M548" s="236" t="e">
        <f>+'Estimate Details'!#REF!</f>
        <v>#REF!</v>
      </c>
      <c r="N548" s="699" t="e">
        <f>+'Estimate Details'!#REF!</f>
        <v>#REF!</v>
      </c>
      <c r="O548" s="681" t="e">
        <f>+'Estimate Details'!#REF!</f>
        <v>#REF!</v>
      </c>
      <c r="P548" s="682" t="e">
        <f>+'Estimate Details'!#REF!</f>
        <v>#REF!</v>
      </c>
      <c r="Q548" s="683" t="e">
        <f>+'Estimate Details'!#REF!</f>
        <v>#REF!</v>
      </c>
      <c r="R548" s="684" t="e">
        <f>+'Estimate Details'!#REF!</f>
        <v>#REF!</v>
      </c>
      <c r="S548" s="685"/>
      <c r="T548" s="684" t="e">
        <f>+'Estimate Details'!#REF!</f>
        <v>#REF!</v>
      </c>
      <c r="U548" s="686" t="s">
        <v>1299</v>
      </c>
      <c r="V548" s="682" t="e">
        <f>+'Estimate Details'!#REF!</f>
        <v>#REF!</v>
      </c>
      <c r="W548" s="686" t="s">
        <v>1311</v>
      </c>
      <c r="X548" s="682" t="e">
        <f>+'Estimate Details'!#REF!</f>
        <v>#REF!</v>
      </c>
      <c r="Y548" s="682" t="e">
        <f>+'Estimate Details'!#REF!</f>
        <v>#REF!</v>
      </c>
      <c r="Z548" s="684" t="e">
        <f>+'Estimate Details'!#REF!</f>
        <v>#REF!</v>
      </c>
      <c r="AA548" s="686"/>
      <c r="AB548" s="687" t="e">
        <f>+'Estimate Details'!#REF!</f>
        <v>#REF!</v>
      </c>
      <c r="AC548" s="688"/>
      <c r="AD548" s="696" t="e">
        <f>+'Estimate Details'!#REF!</f>
        <v>#REF!</v>
      </c>
      <c r="AE548" s="156"/>
      <c r="AF548" s="156"/>
      <c r="AG548" s="156"/>
      <c r="AH548" s="156"/>
      <c r="AI548" s="29"/>
      <c r="AJ548" s="29"/>
      <c r="AK548" s="29"/>
      <c r="AL548" s="109"/>
    </row>
    <row r="549" spans="1:44" ht="13.5" customHeight="1">
      <c r="A549" s="673" t="e">
        <f>+'Estimate Details'!#REF!</f>
        <v>#REF!</v>
      </c>
      <c r="B549" s="673"/>
      <c r="C549" s="673"/>
      <c r="D549" s="674"/>
      <c r="E549" s="675" t="e">
        <f>+'Estimate Details'!#REF!</f>
        <v>#REF!</v>
      </c>
      <c r="F549" s="676"/>
      <c r="G549" s="677" t="e">
        <f>+'Estimate Details'!#REF!</f>
        <v>#REF!</v>
      </c>
      <c r="H549" s="678" t="e">
        <f>+'Estimate Details'!#REF!</f>
        <v>#REF!</v>
      </c>
      <c r="I549" s="678" t="e">
        <f>+'Estimate Details'!#REF!</f>
        <v>#REF!</v>
      </c>
      <c r="J549" s="677" t="e">
        <f>+'Estimate Details'!#REF!</f>
        <v>#REF!</v>
      </c>
      <c r="K549" s="677" t="e">
        <f>+'Estimate Details'!#REF!</f>
        <v>#REF!</v>
      </c>
      <c r="L549" s="677" t="e">
        <f>+'Estimate Details'!#REF!</f>
        <v>#REF!</v>
      </c>
      <c r="M549" s="236" t="e">
        <f>+'Estimate Details'!#REF!</f>
        <v>#REF!</v>
      </c>
      <c r="N549" s="699" t="e">
        <f>+'Estimate Details'!#REF!</f>
        <v>#REF!</v>
      </c>
      <c r="O549" s="681" t="e">
        <f>+'Estimate Details'!#REF!</f>
        <v>#REF!</v>
      </c>
      <c r="P549" s="682" t="e">
        <f>+'Estimate Details'!#REF!</f>
        <v>#REF!</v>
      </c>
      <c r="Q549" s="683" t="e">
        <f>+'Estimate Details'!#REF!</f>
        <v>#REF!</v>
      </c>
      <c r="R549" s="684" t="e">
        <f>+'Estimate Details'!#REF!</f>
        <v>#REF!</v>
      </c>
      <c r="S549" s="685"/>
      <c r="T549" s="684" t="e">
        <f>+'Estimate Details'!#REF!</f>
        <v>#REF!</v>
      </c>
      <c r="U549" s="686" t="s">
        <v>1299</v>
      </c>
      <c r="V549" s="682" t="e">
        <f>+'Estimate Details'!#REF!</f>
        <v>#REF!</v>
      </c>
      <c r="W549" s="686" t="s">
        <v>1311</v>
      </c>
      <c r="X549" s="682" t="e">
        <f>+'Estimate Details'!#REF!</f>
        <v>#REF!</v>
      </c>
      <c r="Y549" s="682" t="e">
        <f>+'Estimate Details'!#REF!</f>
        <v>#REF!</v>
      </c>
      <c r="Z549" s="684" t="e">
        <f>+'Estimate Details'!#REF!</f>
        <v>#REF!</v>
      </c>
      <c r="AA549" s="686"/>
      <c r="AB549" s="687" t="e">
        <f>+'Estimate Details'!#REF!</f>
        <v>#REF!</v>
      </c>
      <c r="AC549" s="688"/>
      <c r="AD549" s="696" t="e">
        <f>+'Estimate Details'!#REF!</f>
        <v>#REF!</v>
      </c>
      <c r="AE549" s="156"/>
      <c r="AF549" s="156"/>
      <c r="AG549" s="156"/>
      <c r="AH549" s="156"/>
      <c r="AI549" s="29"/>
      <c r="AJ549" s="29"/>
      <c r="AK549" s="29"/>
      <c r="AL549" s="109"/>
    </row>
    <row r="550" spans="1:44" ht="13.5" customHeight="1">
      <c r="A550" s="673" t="e">
        <f>+'Estimate Details'!#REF!</f>
        <v>#REF!</v>
      </c>
      <c r="B550" s="673"/>
      <c r="C550" s="673"/>
      <c r="D550" s="674"/>
      <c r="E550" s="675" t="e">
        <f>+'Estimate Details'!#REF!</f>
        <v>#REF!</v>
      </c>
      <c r="F550" s="676"/>
      <c r="G550" s="677" t="e">
        <f>+'Estimate Details'!#REF!</f>
        <v>#REF!</v>
      </c>
      <c r="H550" s="678" t="e">
        <f>+'Estimate Details'!#REF!</f>
        <v>#REF!</v>
      </c>
      <c r="I550" s="678" t="e">
        <f>+'Estimate Details'!#REF!</f>
        <v>#REF!</v>
      </c>
      <c r="J550" s="677" t="e">
        <f>+'Estimate Details'!#REF!</f>
        <v>#REF!</v>
      </c>
      <c r="K550" s="677" t="e">
        <f>+'Estimate Details'!#REF!</f>
        <v>#REF!</v>
      </c>
      <c r="L550" s="677" t="e">
        <f>+'Estimate Details'!#REF!</f>
        <v>#REF!</v>
      </c>
      <c r="M550" s="236" t="e">
        <f>+'Estimate Details'!#REF!</f>
        <v>#REF!</v>
      </c>
      <c r="N550" s="699" t="e">
        <f>+'Estimate Details'!#REF!</f>
        <v>#REF!</v>
      </c>
      <c r="O550" s="681" t="e">
        <f>+'Estimate Details'!#REF!</f>
        <v>#REF!</v>
      </c>
      <c r="P550" s="682" t="e">
        <f>+'Estimate Details'!#REF!</f>
        <v>#REF!</v>
      </c>
      <c r="Q550" s="683" t="e">
        <f>+'Estimate Details'!#REF!</f>
        <v>#REF!</v>
      </c>
      <c r="R550" s="684" t="e">
        <f>+'Estimate Details'!#REF!</f>
        <v>#REF!</v>
      </c>
      <c r="S550" s="685"/>
      <c r="T550" s="684" t="e">
        <f>+'Estimate Details'!#REF!</f>
        <v>#REF!</v>
      </c>
      <c r="U550" s="686" t="s">
        <v>1299</v>
      </c>
      <c r="V550" s="682" t="e">
        <f>+'Estimate Details'!#REF!</f>
        <v>#REF!</v>
      </c>
      <c r="W550" s="686" t="s">
        <v>1311</v>
      </c>
      <c r="X550" s="682" t="e">
        <f>+'Estimate Details'!#REF!</f>
        <v>#REF!</v>
      </c>
      <c r="Y550" s="682" t="e">
        <f>+'Estimate Details'!#REF!</f>
        <v>#REF!</v>
      </c>
      <c r="Z550" s="684" t="e">
        <f>+'Estimate Details'!#REF!</f>
        <v>#REF!</v>
      </c>
      <c r="AA550" s="686"/>
      <c r="AB550" s="687" t="e">
        <f>+'Estimate Details'!#REF!</f>
        <v>#REF!</v>
      </c>
      <c r="AC550" s="688"/>
      <c r="AD550" s="696" t="e">
        <f>+'Estimate Details'!#REF!</f>
        <v>#REF!</v>
      </c>
      <c r="AE550" s="156"/>
      <c r="AF550" s="156"/>
      <c r="AG550" s="156"/>
      <c r="AH550" s="156"/>
      <c r="AI550" s="29"/>
      <c r="AJ550" s="29"/>
      <c r="AK550" s="29"/>
      <c r="AL550" s="109"/>
    </row>
    <row r="551" spans="1:44" ht="13.5" customHeight="1">
      <c r="A551" s="673" t="e">
        <f>+'Estimate Details'!#REF!</f>
        <v>#REF!</v>
      </c>
      <c r="B551" s="673"/>
      <c r="C551" s="673"/>
      <c r="D551" s="674"/>
      <c r="E551" s="675" t="e">
        <f>+'Estimate Details'!#REF!</f>
        <v>#REF!</v>
      </c>
      <c r="F551" s="676"/>
      <c r="G551" s="677" t="e">
        <f>+'Estimate Details'!#REF!</f>
        <v>#REF!</v>
      </c>
      <c r="H551" s="678" t="e">
        <f>+'Estimate Details'!#REF!</f>
        <v>#REF!</v>
      </c>
      <c r="I551" s="678" t="e">
        <f>+'Estimate Details'!#REF!</f>
        <v>#REF!</v>
      </c>
      <c r="J551" s="677" t="e">
        <f>+'Estimate Details'!#REF!</f>
        <v>#REF!</v>
      </c>
      <c r="K551" s="677" t="e">
        <f>+'Estimate Details'!#REF!</f>
        <v>#REF!</v>
      </c>
      <c r="L551" s="677" t="e">
        <f>+'Estimate Details'!#REF!</f>
        <v>#REF!</v>
      </c>
      <c r="M551" s="236" t="e">
        <f>+'Estimate Details'!#REF!</f>
        <v>#REF!</v>
      </c>
      <c r="N551" s="699" t="e">
        <f>+'Estimate Details'!#REF!</f>
        <v>#REF!</v>
      </c>
      <c r="O551" s="681" t="e">
        <f>+'Estimate Details'!#REF!</f>
        <v>#REF!</v>
      </c>
      <c r="P551" s="682" t="e">
        <f>+'Estimate Details'!#REF!</f>
        <v>#REF!</v>
      </c>
      <c r="Q551" s="683" t="e">
        <f>+'Estimate Details'!#REF!</f>
        <v>#REF!</v>
      </c>
      <c r="R551" s="684" t="e">
        <f>+'Estimate Details'!#REF!</f>
        <v>#REF!</v>
      </c>
      <c r="S551" s="685"/>
      <c r="T551" s="684" t="e">
        <f>+'Estimate Details'!#REF!</f>
        <v>#REF!</v>
      </c>
      <c r="U551" s="686" t="s">
        <v>1299</v>
      </c>
      <c r="V551" s="682" t="e">
        <f>+'Estimate Details'!#REF!</f>
        <v>#REF!</v>
      </c>
      <c r="W551" s="686" t="s">
        <v>1311</v>
      </c>
      <c r="X551" s="682" t="e">
        <f>+'Estimate Details'!#REF!</f>
        <v>#REF!</v>
      </c>
      <c r="Y551" s="682" t="e">
        <f>+'Estimate Details'!#REF!</f>
        <v>#REF!</v>
      </c>
      <c r="Z551" s="684" t="e">
        <f>+'Estimate Details'!#REF!</f>
        <v>#REF!</v>
      </c>
      <c r="AA551" s="686"/>
      <c r="AB551" s="687" t="e">
        <f>+'Estimate Details'!#REF!</f>
        <v>#REF!</v>
      </c>
      <c r="AC551" s="688"/>
      <c r="AD551" s="696" t="e">
        <f>+'Estimate Details'!#REF!</f>
        <v>#REF!</v>
      </c>
      <c r="AE551" s="156"/>
      <c r="AF551" s="156"/>
      <c r="AG551" s="156"/>
      <c r="AH551" s="156"/>
      <c r="AI551" s="29"/>
      <c r="AJ551" s="29"/>
      <c r="AK551" s="29"/>
      <c r="AL551" s="109"/>
    </row>
    <row r="552" spans="1:44" ht="13.5" customHeight="1">
      <c r="A552" s="673" t="e">
        <f>+'Estimate Details'!#REF!</f>
        <v>#REF!</v>
      </c>
      <c r="B552" s="673"/>
      <c r="C552" s="673"/>
      <c r="D552" s="674"/>
      <c r="E552" s="675" t="e">
        <f>+'Estimate Details'!#REF!</f>
        <v>#REF!</v>
      </c>
      <c r="F552" s="676"/>
      <c r="G552" s="677" t="e">
        <f>+'Estimate Details'!#REF!</f>
        <v>#REF!</v>
      </c>
      <c r="H552" s="678" t="e">
        <f>+'Estimate Details'!#REF!</f>
        <v>#REF!</v>
      </c>
      <c r="I552" s="678" t="e">
        <f>+'Estimate Details'!#REF!</f>
        <v>#REF!</v>
      </c>
      <c r="J552" s="677" t="e">
        <f>+'Estimate Details'!#REF!</f>
        <v>#REF!</v>
      </c>
      <c r="K552" s="677" t="e">
        <f>+'Estimate Details'!#REF!</f>
        <v>#REF!</v>
      </c>
      <c r="L552" s="677" t="e">
        <f>+'Estimate Details'!#REF!</f>
        <v>#REF!</v>
      </c>
      <c r="M552" s="236" t="e">
        <f>+'Estimate Details'!#REF!</f>
        <v>#REF!</v>
      </c>
      <c r="N552" s="699" t="e">
        <f>+'Estimate Details'!#REF!</f>
        <v>#REF!</v>
      </c>
      <c r="O552" s="681" t="e">
        <f>+'Estimate Details'!#REF!</f>
        <v>#REF!</v>
      </c>
      <c r="P552" s="682" t="e">
        <f>+'Estimate Details'!#REF!</f>
        <v>#REF!</v>
      </c>
      <c r="Q552" s="683" t="e">
        <f>+'Estimate Details'!#REF!</f>
        <v>#REF!</v>
      </c>
      <c r="R552" s="684" t="e">
        <f>+'Estimate Details'!#REF!</f>
        <v>#REF!</v>
      </c>
      <c r="S552" s="685"/>
      <c r="T552" s="684" t="e">
        <f>+'Estimate Details'!#REF!</f>
        <v>#REF!</v>
      </c>
      <c r="U552" s="686" t="s">
        <v>1299</v>
      </c>
      <c r="V552" s="682" t="e">
        <f>+'Estimate Details'!#REF!</f>
        <v>#REF!</v>
      </c>
      <c r="W552" s="686" t="s">
        <v>1311</v>
      </c>
      <c r="X552" s="682" t="e">
        <f>+'Estimate Details'!#REF!</f>
        <v>#REF!</v>
      </c>
      <c r="Y552" s="682" t="e">
        <f>+'Estimate Details'!#REF!</f>
        <v>#REF!</v>
      </c>
      <c r="Z552" s="684" t="e">
        <f>+'Estimate Details'!#REF!</f>
        <v>#REF!</v>
      </c>
      <c r="AA552" s="686"/>
      <c r="AB552" s="687" t="e">
        <f>+'Estimate Details'!#REF!</f>
        <v>#REF!</v>
      </c>
      <c r="AC552" s="688"/>
      <c r="AD552" s="696" t="e">
        <f>+'Estimate Details'!#REF!</f>
        <v>#REF!</v>
      </c>
      <c r="AE552" s="156"/>
      <c r="AF552" s="156"/>
      <c r="AG552" s="156"/>
      <c r="AH552" s="156"/>
      <c r="AI552" s="29"/>
      <c r="AJ552" s="29"/>
      <c r="AK552" s="29"/>
      <c r="AL552" s="109"/>
    </row>
    <row r="553" spans="1:44" ht="13.5" customHeight="1">
      <c r="A553" s="673" t="e">
        <f>+'Estimate Details'!#REF!</f>
        <v>#REF!</v>
      </c>
      <c r="B553" s="673"/>
      <c r="C553" s="673"/>
      <c r="D553" s="674"/>
      <c r="E553" s="675" t="e">
        <f>+'Estimate Details'!#REF!</f>
        <v>#REF!</v>
      </c>
      <c r="F553" s="676"/>
      <c r="G553" s="677" t="e">
        <f>+'Estimate Details'!#REF!</f>
        <v>#REF!</v>
      </c>
      <c r="H553" s="678" t="e">
        <f>+'Estimate Details'!#REF!</f>
        <v>#REF!</v>
      </c>
      <c r="I553" s="678" t="e">
        <f>+'Estimate Details'!#REF!</f>
        <v>#REF!</v>
      </c>
      <c r="J553" s="677" t="e">
        <f>+'Estimate Details'!#REF!</f>
        <v>#REF!</v>
      </c>
      <c r="K553" s="677" t="e">
        <f>+'Estimate Details'!#REF!</f>
        <v>#REF!</v>
      </c>
      <c r="L553" s="677" t="e">
        <f>+'Estimate Details'!#REF!</f>
        <v>#REF!</v>
      </c>
      <c r="M553" s="236" t="e">
        <f>+'Estimate Details'!#REF!</f>
        <v>#REF!</v>
      </c>
      <c r="N553" s="699" t="e">
        <f>+'Estimate Details'!#REF!</f>
        <v>#REF!</v>
      </c>
      <c r="O553" s="681" t="e">
        <f>+'Estimate Details'!#REF!</f>
        <v>#REF!</v>
      </c>
      <c r="P553" s="682" t="e">
        <f>+'Estimate Details'!#REF!</f>
        <v>#REF!</v>
      </c>
      <c r="Q553" s="683" t="e">
        <f>+'Estimate Details'!#REF!</f>
        <v>#REF!</v>
      </c>
      <c r="R553" s="684" t="e">
        <f>+'Estimate Details'!#REF!</f>
        <v>#REF!</v>
      </c>
      <c r="S553" s="685"/>
      <c r="T553" s="684" t="e">
        <f>+'Estimate Details'!#REF!</f>
        <v>#REF!</v>
      </c>
      <c r="U553" s="686" t="s">
        <v>1299</v>
      </c>
      <c r="V553" s="682" t="e">
        <f>+'Estimate Details'!#REF!</f>
        <v>#REF!</v>
      </c>
      <c r="W553" s="686" t="s">
        <v>1311</v>
      </c>
      <c r="X553" s="682" t="e">
        <f>+'Estimate Details'!#REF!</f>
        <v>#REF!</v>
      </c>
      <c r="Y553" s="682" t="e">
        <f>+'Estimate Details'!#REF!</f>
        <v>#REF!</v>
      </c>
      <c r="Z553" s="684" t="e">
        <f>+'Estimate Details'!#REF!</f>
        <v>#REF!</v>
      </c>
      <c r="AA553" s="686"/>
      <c r="AB553" s="687" t="e">
        <f>+'Estimate Details'!#REF!</f>
        <v>#REF!</v>
      </c>
      <c r="AC553" s="688"/>
      <c r="AD553" s="696" t="e">
        <f>+'Estimate Details'!#REF!</f>
        <v>#REF!</v>
      </c>
      <c r="AE553" s="156"/>
      <c r="AF553" s="156"/>
      <c r="AG553" s="156"/>
      <c r="AH553" s="156"/>
      <c r="AI553" s="29"/>
      <c r="AJ553" s="29"/>
      <c r="AK553" s="29"/>
      <c r="AL553" s="109"/>
    </row>
    <row r="554" spans="1:44" ht="13.5" customHeight="1">
      <c r="A554" s="673" t="e">
        <f>+'Estimate Details'!#REF!</f>
        <v>#REF!</v>
      </c>
      <c r="B554" s="673"/>
      <c r="C554" s="673"/>
      <c r="D554" s="674"/>
      <c r="E554" s="675" t="e">
        <f>+'Estimate Details'!#REF!</f>
        <v>#REF!</v>
      </c>
      <c r="F554" s="676"/>
      <c r="G554" s="677" t="e">
        <f>+'Estimate Details'!#REF!</f>
        <v>#REF!</v>
      </c>
      <c r="H554" s="678" t="e">
        <f>+'Estimate Details'!#REF!</f>
        <v>#REF!</v>
      </c>
      <c r="I554" s="678" t="e">
        <f>+'Estimate Details'!#REF!</f>
        <v>#REF!</v>
      </c>
      <c r="J554" s="677" t="e">
        <f>+'Estimate Details'!#REF!</f>
        <v>#REF!</v>
      </c>
      <c r="K554" s="677" t="e">
        <f>+'Estimate Details'!#REF!</f>
        <v>#REF!</v>
      </c>
      <c r="L554" s="677" t="e">
        <f>+'Estimate Details'!#REF!</f>
        <v>#REF!</v>
      </c>
      <c r="M554" s="236" t="e">
        <f>+'Estimate Details'!#REF!</f>
        <v>#REF!</v>
      </c>
      <c r="N554" s="699" t="e">
        <f>+'Estimate Details'!#REF!</f>
        <v>#REF!</v>
      </c>
      <c r="O554" s="681" t="e">
        <f>+'Estimate Details'!#REF!</f>
        <v>#REF!</v>
      </c>
      <c r="P554" s="682" t="e">
        <f>+'Estimate Details'!#REF!</f>
        <v>#REF!</v>
      </c>
      <c r="Q554" s="683" t="e">
        <f>+'Estimate Details'!#REF!</f>
        <v>#REF!</v>
      </c>
      <c r="R554" s="684" t="e">
        <f>+'Estimate Details'!#REF!</f>
        <v>#REF!</v>
      </c>
      <c r="S554" s="685"/>
      <c r="T554" s="684" t="e">
        <f>+'Estimate Details'!#REF!</f>
        <v>#REF!</v>
      </c>
      <c r="U554" s="686" t="s">
        <v>1299</v>
      </c>
      <c r="V554" s="682" t="e">
        <f>+'Estimate Details'!#REF!</f>
        <v>#REF!</v>
      </c>
      <c r="W554" s="686" t="s">
        <v>1311</v>
      </c>
      <c r="X554" s="682" t="e">
        <f>+'Estimate Details'!#REF!</f>
        <v>#REF!</v>
      </c>
      <c r="Y554" s="682" t="e">
        <f>+'Estimate Details'!#REF!</f>
        <v>#REF!</v>
      </c>
      <c r="Z554" s="684" t="e">
        <f>+'Estimate Details'!#REF!</f>
        <v>#REF!</v>
      </c>
      <c r="AA554" s="686"/>
      <c r="AB554" s="687" t="e">
        <f>+'Estimate Details'!#REF!</f>
        <v>#REF!</v>
      </c>
      <c r="AC554" s="688"/>
      <c r="AD554" s="696" t="e">
        <f>+'Estimate Details'!#REF!</f>
        <v>#REF!</v>
      </c>
      <c r="AE554" s="156"/>
      <c r="AF554" s="156"/>
      <c r="AG554" s="156"/>
      <c r="AH554" s="156"/>
      <c r="AI554" s="29"/>
      <c r="AJ554" s="29"/>
      <c r="AK554" s="29"/>
      <c r="AL554" s="109"/>
    </row>
    <row r="555" spans="1:44" ht="13.5" customHeight="1">
      <c r="A555" s="673" t="e">
        <f>+'Estimate Details'!#REF!</f>
        <v>#REF!</v>
      </c>
      <c r="B555" s="673"/>
      <c r="C555" s="673"/>
      <c r="D555" s="674"/>
      <c r="E555" s="675" t="e">
        <f>+'Estimate Details'!#REF!</f>
        <v>#REF!</v>
      </c>
      <c r="F555" s="676"/>
      <c r="G555" s="677" t="e">
        <f>+'Estimate Details'!#REF!</f>
        <v>#REF!</v>
      </c>
      <c r="H555" s="678" t="e">
        <f>+'Estimate Details'!#REF!</f>
        <v>#REF!</v>
      </c>
      <c r="I555" s="678" t="e">
        <f>+'Estimate Details'!#REF!</f>
        <v>#REF!</v>
      </c>
      <c r="J555" s="677" t="e">
        <f>+'Estimate Details'!#REF!</f>
        <v>#REF!</v>
      </c>
      <c r="K555" s="677" t="e">
        <f>+'Estimate Details'!#REF!</f>
        <v>#REF!</v>
      </c>
      <c r="L555" s="677" t="e">
        <f>+'Estimate Details'!#REF!</f>
        <v>#REF!</v>
      </c>
      <c r="M555" s="236" t="e">
        <f>+'Estimate Details'!#REF!</f>
        <v>#REF!</v>
      </c>
      <c r="N555" s="699" t="e">
        <f>+'Estimate Details'!#REF!</f>
        <v>#REF!</v>
      </c>
      <c r="O555" s="681" t="e">
        <f>+'Estimate Details'!#REF!</f>
        <v>#REF!</v>
      </c>
      <c r="P555" s="682" t="e">
        <f>+'Estimate Details'!#REF!</f>
        <v>#REF!</v>
      </c>
      <c r="Q555" s="683" t="e">
        <f>+'Estimate Details'!#REF!</f>
        <v>#REF!</v>
      </c>
      <c r="R555" s="684" t="e">
        <f>+'Estimate Details'!#REF!</f>
        <v>#REF!</v>
      </c>
      <c r="S555" s="685"/>
      <c r="T555" s="684" t="e">
        <f>+'Estimate Details'!#REF!</f>
        <v>#REF!</v>
      </c>
      <c r="U555" s="686" t="s">
        <v>1299</v>
      </c>
      <c r="V555" s="682" t="e">
        <f>+'Estimate Details'!#REF!</f>
        <v>#REF!</v>
      </c>
      <c r="W555" s="686" t="s">
        <v>1311</v>
      </c>
      <c r="X555" s="682" t="e">
        <f>+'Estimate Details'!#REF!</f>
        <v>#REF!</v>
      </c>
      <c r="Y555" s="682" t="e">
        <f>+'Estimate Details'!#REF!</f>
        <v>#REF!</v>
      </c>
      <c r="Z555" s="684" t="e">
        <f>+'Estimate Details'!#REF!</f>
        <v>#REF!</v>
      </c>
      <c r="AA555" s="686"/>
      <c r="AB555" s="687" t="e">
        <f>+'Estimate Details'!#REF!</f>
        <v>#REF!</v>
      </c>
      <c r="AC555" s="688"/>
      <c r="AD555" s="696" t="e">
        <f>+'Estimate Details'!#REF!</f>
        <v>#REF!</v>
      </c>
      <c r="AE555" s="156"/>
      <c r="AF555" s="156"/>
      <c r="AG555" s="156"/>
      <c r="AH555" s="156"/>
      <c r="AI555" s="29"/>
      <c r="AJ555" s="29"/>
      <c r="AK555" s="29"/>
      <c r="AL555" s="109"/>
    </row>
    <row r="556" spans="1:44" s="692" customFormat="1">
      <c r="A556" s="673" t="e">
        <f>+'Estimate Details'!#REF!</f>
        <v>#REF!</v>
      </c>
      <c r="B556" s="673"/>
      <c r="C556" s="673"/>
      <c r="D556" s="674"/>
      <c r="E556" s="675" t="e">
        <f>+'Estimate Details'!#REF!</f>
        <v>#REF!</v>
      </c>
      <c r="F556" s="676"/>
      <c r="G556" s="677" t="e">
        <f>+'Estimate Details'!#REF!</f>
        <v>#REF!</v>
      </c>
      <c r="H556" s="678" t="e">
        <f>+'Estimate Details'!#REF!</f>
        <v>#REF!</v>
      </c>
      <c r="I556" s="678" t="e">
        <f>+'Estimate Details'!#REF!</f>
        <v>#REF!</v>
      </c>
      <c r="J556" s="677" t="e">
        <f>+'Estimate Details'!#REF!</f>
        <v>#REF!</v>
      </c>
      <c r="K556" s="677" t="e">
        <f>+'Estimate Details'!#REF!</f>
        <v>#REF!</v>
      </c>
      <c r="L556" s="677" t="e">
        <f>+'Estimate Details'!#REF!</f>
        <v>#REF!</v>
      </c>
      <c r="M556" s="236" t="e">
        <f>+'Estimate Details'!#REF!</f>
        <v>#REF!</v>
      </c>
      <c r="N556" s="699" t="e">
        <f>+'Estimate Details'!#REF!</f>
        <v>#REF!</v>
      </c>
      <c r="O556" s="681" t="e">
        <f>+'Estimate Details'!#REF!</f>
        <v>#REF!</v>
      </c>
      <c r="P556" s="682" t="e">
        <f>+'Estimate Details'!#REF!</f>
        <v>#REF!</v>
      </c>
      <c r="Q556" s="683" t="e">
        <f>+'Estimate Details'!#REF!</f>
        <v>#REF!</v>
      </c>
      <c r="R556" s="684" t="e">
        <f>+'Estimate Details'!#REF!</f>
        <v>#REF!</v>
      </c>
      <c r="S556" s="685"/>
      <c r="T556" s="684" t="e">
        <f>+'Estimate Details'!#REF!</f>
        <v>#REF!</v>
      </c>
      <c r="U556" s="686" t="s">
        <v>1311</v>
      </c>
      <c r="V556" s="682" t="e">
        <f>+'Estimate Details'!#REF!</f>
        <v>#REF!</v>
      </c>
      <c r="W556" s="686" t="s">
        <v>1311</v>
      </c>
      <c r="X556" s="682" t="e">
        <f>+'Estimate Details'!#REF!</f>
        <v>#REF!</v>
      </c>
      <c r="Y556" s="682" t="e">
        <f>+'Estimate Details'!#REF!</f>
        <v>#REF!</v>
      </c>
      <c r="Z556" s="684" t="e">
        <f>+'Estimate Details'!#REF!</f>
        <v>#REF!</v>
      </c>
      <c r="AA556" s="686"/>
      <c r="AB556" s="687" t="e">
        <f>+'Estimate Details'!#REF!</f>
        <v>#REF!</v>
      </c>
      <c r="AC556" s="688"/>
      <c r="AD556" s="696" t="e">
        <f>+'Estimate Details'!#REF!</f>
        <v>#REF!</v>
      </c>
      <c r="AE556" s="689"/>
      <c r="AF556" s="689"/>
      <c r="AG556" s="689"/>
      <c r="AH556" s="689"/>
      <c r="AI556" s="690"/>
      <c r="AJ556" s="690"/>
      <c r="AK556" s="690"/>
      <c r="AL556" s="690"/>
      <c r="AM556" s="691"/>
      <c r="AN556" s="691"/>
      <c r="AO556" s="691"/>
      <c r="AP556" s="691"/>
      <c r="AQ556" s="691"/>
      <c r="AR556" s="691"/>
    </row>
    <row r="557" spans="1:44" ht="14.1" customHeight="1">
      <c r="A557" s="673" t="e">
        <f>+'Estimate Details'!#REF!</f>
        <v>#REF!</v>
      </c>
      <c r="B557" s="673"/>
      <c r="C557" s="673"/>
      <c r="D557" s="674"/>
      <c r="E557" s="675" t="e">
        <f>+'Estimate Details'!#REF!</f>
        <v>#REF!</v>
      </c>
      <c r="F557" s="676"/>
      <c r="G557" s="677" t="e">
        <f>+'Estimate Details'!#REF!</f>
        <v>#REF!</v>
      </c>
      <c r="H557" s="678" t="e">
        <f>+'Estimate Details'!#REF!</f>
        <v>#REF!</v>
      </c>
      <c r="I557" s="678" t="e">
        <f>+'Estimate Details'!#REF!</f>
        <v>#REF!</v>
      </c>
      <c r="J557" s="677" t="e">
        <f>+'Estimate Details'!#REF!</f>
        <v>#REF!</v>
      </c>
      <c r="K557" s="677" t="e">
        <f>+'Estimate Details'!#REF!</f>
        <v>#REF!</v>
      </c>
      <c r="L557" s="677" t="e">
        <f>+'Estimate Details'!#REF!</f>
        <v>#REF!</v>
      </c>
      <c r="M557" s="236" t="e">
        <f>+'Estimate Details'!#REF!</f>
        <v>#REF!</v>
      </c>
      <c r="N557" s="699" t="e">
        <f>+'Estimate Details'!#REF!</f>
        <v>#REF!</v>
      </c>
      <c r="O557" s="681" t="e">
        <f>+'Estimate Details'!#REF!</f>
        <v>#REF!</v>
      </c>
      <c r="P557" s="682" t="e">
        <f>+'Estimate Details'!#REF!</f>
        <v>#REF!</v>
      </c>
      <c r="Q557" s="683" t="e">
        <f>+'Estimate Details'!#REF!</f>
        <v>#REF!</v>
      </c>
      <c r="R557" s="684" t="e">
        <f>+'Estimate Details'!#REF!</f>
        <v>#REF!</v>
      </c>
      <c r="S557" s="685"/>
      <c r="T557" s="684" t="e">
        <f>+'Estimate Details'!#REF!</f>
        <v>#REF!</v>
      </c>
      <c r="U557" s="686" t="s">
        <v>1311</v>
      </c>
      <c r="V557" s="682" t="e">
        <f>+'Estimate Details'!#REF!</f>
        <v>#REF!</v>
      </c>
      <c r="W557" s="686" t="s">
        <v>1311</v>
      </c>
      <c r="X557" s="682" t="e">
        <f>+'Estimate Details'!#REF!</f>
        <v>#REF!</v>
      </c>
      <c r="Y557" s="682" t="e">
        <f>+'Estimate Details'!#REF!</f>
        <v>#REF!</v>
      </c>
      <c r="Z557" s="684" t="e">
        <f>+'Estimate Details'!#REF!</f>
        <v>#REF!</v>
      </c>
      <c r="AA557" s="686"/>
      <c r="AB557" s="687" t="e">
        <f>+'Estimate Details'!#REF!</f>
        <v>#REF!</v>
      </c>
      <c r="AC557" s="688"/>
      <c r="AD557" s="696" t="e">
        <f>+'Estimate Details'!#REF!</f>
        <v>#REF!</v>
      </c>
      <c r="AE557" s="156"/>
      <c r="AF557" s="156"/>
      <c r="AG557" s="156"/>
      <c r="AH557" s="156"/>
      <c r="AI557" s="29"/>
      <c r="AJ557" s="29"/>
      <c r="AK557" s="29"/>
      <c r="AL557" s="29"/>
    </row>
    <row r="558" spans="1:44">
      <c r="A558" s="673" t="e">
        <f>+'Estimate Details'!#REF!</f>
        <v>#REF!</v>
      </c>
      <c r="B558" s="673"/>
      <c r="C558" s="673"/>
      <c r="D558" s="674"/>
      <c r="E558" s="675" t="e">
        <f>+'Estimate Details'!#REF!</f>
        <v>#REF!</v>
      </c>
      <c r="F558" s="676"/>
      <c r="G558" s="677" t="e">
        <f>+'Estimate Details'!#REF!</f>
        <v>#REF!</v>
      </c>
      <c r="H558" s="678" t="e">
        <f>+'Estimate Details'!#REF!</f>
        <v>#REF!</v>
      </c>
      <c r="I558" s="678" t="e">
        <f>+'Estimate Details'!#REF!</f>
        <v>#REF!</v>
      </c>
      <c r="J558" s="677" t="e">
        <f>+'Estimate Details'!#REF!</f>
        <v>#REF!</v>
      </c>
      <c r="K558" s="677" t="e">
        <f>+'Estimate Details'!#REF!</f>
        <v>#REF!</v>
      </c>
      <c r="L558" s="677" t="e">
        <f>+'Estimate Details'!#REF!</f>
        <v>#REF!</v>
      </c>
      <c r="M558" s="236" t="e">
        <f>+'Estimate Details'!#REF!</f>
        <v>#REF!</v>
      </c>
      <c r="N558" s="699" t="e">
        <f>+'Estimate Details'!#REF!</f>
        <v>#REF!</v>
      </c>
      <c r="O558" s="681" t="e">
        <f>+'Estimate Details'!#REF!</f>
        <v>#REF!</v>
      </c>
      <c r="P558" s="682" t="e">
        <f>+'Estimate Details'!#REF!</f>
        <v>#REF!</v>
      </c>
      <c r="Q558" s="683" t="e">
        <f>+'Estimate Details'!#REF!</f>
        <v>#REF!</v>
      </c>
      <c r="R558" s="684" t="e">
        <f>+'Estimate Details'!#REF!</f>
        <v>#REF!</v>
      </c>
      <c r="S558" s="685"/>
      <c r="T558" s="684" t="e">
        <f>+'Estimate Details'!#REF!</f>
        <v>#REF!</v>
      </c>
      <c r="U558" s="686" t="s">
        <v>1311</v>
      </c>
      <c r="V558" s="682" t="e">
        <f>+'Estimate Details'!#REF!</f>
        <v>#REF!</v>
      </c>
      <c r="W558" s="686" t="s">
        <v>1311</v>
      </c>
      <c r="X558" s="682" t="e">
        <f>+'Estimate Details'!#REF!</f>
        <v>#REF!</v>
      </c>
      <c r="Y558" s="682" t="e">
        <f>+'Estimate Details'!#REF!</f>
        <v>#REF!</v>
      </c>
      <c r="Z558" s="684" t="e">
        <f>+'Estimate Details'!#REF!</f>
        <v>#REF!</v>
      </c>
      <c r="AA558" s="686"/>
      <c r="AB558" s="687" t="e">
        <f>+'Estimate Details'!#REF!</f>
        <v>#REF!</v>
      </c>
      <c r="AC558" s="688"/>
      <c r="AD558" s="696" t="e">
        <f>+'Estimate Details'!#REF!</f>
        <v>#REF!</v>
      </c>
      <c r="AE558" s="156"/>
      <c r="AF558" s="156"/>
      <c r="AG558" s="156"/>
      <c r="AH558" s="156"/>
      <c r="AI558" s="29"/>
      <c r="AJ558" s="29"/>
      <c r="AK558" s="29"/>
      <c r="AL558" s="29"/>
    </row>
    <row r="559" spans="1:44">
      <c r="A559" s="673" t="e">
        <f>+'Estimate Details'!#REF!</f>
        <v>#REF!</v>
      </c>
      <c r="B559" s="673"/>
      <c r="C559" s="673"/>
      <c r="D559" s="674"/>
      <c r="E559" s="675" t="e">
        <f>+'Estimate Details'!#REF!</f>
        <v>#REF!</v>
      </c>
      <c r="F559" s="676"/>
      <c r="G559" s="677" t="e">
        <f>+'Estimate Details'!#REF!</f>
        <v>#REF!</v>
      </c>
      <c r="H559" s="678" t="e">
        <f>+'Estimate Details'!#REF!</f>
        <v>#REF!</v>
      </c>
      <c r="I559" s="678" t="e">
        <f>+'Estimate Details'!#REF!</f>
        <v>#REF!</v>
      </c>
      <c r="J559" s="677" t="e">
        <f>+'Estimate Details'!#REF!</f>
        <v>#REF!</v>
      </c>
      <c r="K559" s="677" t="e">
        <f>+'Estimate Details'!#REF!</f>
        <v>#REF!</v>
      </c>
      <c r="L559" s="677" t="e">
        <f>+'Estimate Details'!#REF!</f>
        <v>#REF!</v>
      </c>
      <c r="M559" s="236" t="e">
        <f>+'Estimate Details'!#REF!</f>
        <v>#REF!</v>
      </c>
      <c r="N559" s="699" t="e">
        <f>+'Estimate Details'!#REF!</f>
        <v>#REF!</v>
      </c>
      <c r="O559" s="681" t="e">
        <f>+'Estimate Details'!#REF!</f>
        <v>#REF!</v>
      </c>
      <c r="P559" s="682" t="e">
        <f>+'Estimate Details'!#REF!</f>
        <v>#REF!</v>
      </c>
      <c r="Q559" s="683" t="e">
        <f>+'Estimate Details'!#REF!</f>
        <v>#REF!</v>
      </c>
      <c r="R559" s="684" t="e">
        <f>+'Estimate Details'!#REF!</f>
        <v>#REF!</v>
      </c>
      <c r="S559" s="685"/>
      <c r="T559" s="684" t="e">
        <f>+'Estimate Details'!#REF!</f>
        <v>#REF!</v>
      </c>
      <c r="U559" s="686" t="s">
        <v>1311</v>
      </c>
      <c r="V559" s="682" t="e">
        <f>+'Estimate Details'!#REF!</f>
        <v>#REF!</v>
      </c>
      <c r="W559" s="686" t="s">
        <v>1311</v>
      </c>
      <c r="X559" s="682" t="e">
        <f>+'Estimate Details'!#REF!</f>
        <v>#REF!</v>
      </c>
      <c r="Y559" s="682" t="e">
        <f>+'Estimate Details'!#REF!</f>
        <v>#REF!</v>
      </c>
      <c r="Z559" s="684" t="e">
        <f>+'Estimate Details'!#REF!</f>
        <v>#REF!</v>
      </c>
      <c r="AA559" s="686"/>
      <c r="AB559" s="687" t="e">
        <f>+'Estimate Details'!#REF!</f>
        <v>#REF!</v>
      </c>
      <c r="AC559" s="688"/>
      <c r="AD559" s="696" t="e">
        <f>+'Estimate Details'!#REF!</f>
        <v>#REF!</v>
      </c>
      <c r="AE559" s="156"/>
      <c r="AF559" s="156"/>
      <c r="AG559" s="156"/>
      <c r="AH559" s="156"/>
      <c r="AI559" s="29"/>
      <c r="AJ559" s="29"/>
      <c r="AK559" s="29"/>
      <c r="AL559" s="29"/>
    </row>
    <row r="560" spans="1:44" ht="14.1" customHeight="1">
      <c r="A560" s="673" t="e">
        <f>+'Estimate Details'!#REF!</f>
        <v>#REF!</v>
      </c>
      <c r="B560" s="673"/>
      <c r="C560" s="673"/>
      <c r="D560" s="674"/>
      <c r="E560" s="675" t="e">
        <f>+'Estimate Details'!#REF!</f>
        <v>#REF!</v>
      </c>
      <c r="F560" s="676"/>
      <c r="G560" s="677" t="e">
        <f>+'Estimate Details'!#REF!</f>
        <v>#REF!</v>
      </c>
      <c r="H560" s="678" t="e">
        <f>+'Estimate Details'!#REF!</f>
        <v>#REF!</v>
      </c>
      <c r="I560" s="678" t="e">
        <f>+'Estimate Details'!#REF!</f>
        <v>#REF!</v>
      </c>
      <c r="J560" s="677" t="e">
        <f>+'Estimate Details'!#REF!</f>
        <v>#REF!</v>
      </c>
      <c r="K560" s="677" t="e">
        <f>+'Estimate Details'!#REF!</f>
        <v>#REF!</v>
      </c>
      <c r="L560" s="677" t="e">
        <f>+'Estimate Details'!#REF!</f>
        <v>#REF!</v>
      </c>
      <c r="M560" s="236" t="e">
        <f>+'Estimate Details'!#REF!</f>
        <v>#REF!</v>
      </c>
      <c r="N560" s="699" t="e">
        <f>+'Estimate Details'!#REF!</f>
        <v>#REF!</v>
      </c>
      <c r="O560" s="681" t="e">
        <f>+'Estimate Details'!#REF!</f>
        <v>#REF!</v>
      </c>
      <c r="P560" s="682" t="e">
        <f>+'Estimate Details'!#REF!</f>
        <v>#REF!</v>
      </c>
      <c r="Q560" s="683" t="e">
        <f>+'Estimate Details'!#REF!</f>
        <v>#REF!</v>
      </c>
      <c r="R560" s="684" t="e">
        <f>+'Estimate Details'!#REF!</f>
        <v>#REF!</v>
      </c>
      <c r="S560" s="685"/>
      <c r="T560" s="684" t="e">
        <f>+'Estimate Details'!#REF!</f>
        <v>#REF!</v>
      </c>
      <c r="U560" s="686" t="s">
        <v>1311</v>
      </c>
      <c r="V560" s="682" t="e">
        <f>+'Estimate Details'!#REF!</f>
        <v>#REF!</v>
      </c>
      <c r="W560" s="686" t="s">
        <v>1311</v>
      </c>
      <c r="X560" s="682" t="e">
        <f>+'Estimate Details'!#REF!</f>
        <v>#REF!</v>
      </c>
      <c r="Y560" s="682" t="e">
        <f>+'Estimate Details'!#REF!</f>
        <v>#REF!</v>
      </c>
      <c r="Z560" s="684" t="e">
        <f>+'Estimate Details'!#REF!</f>
        <v>#REF!</v>
      </c>
      <c r="AA560" s="686"/>
      <c r="AB560" s="687" t="e">
        <f>+'Estimate Details'!#REF!</f>
        <v>#REF!</v>
      </c>
      <c r="AC560" s="688"/>
      <c r="AD560" s="696" t="e">
        <f>+'Estimate Details'!#REF!</f>
        <v>#REF!</v>
      </c>
      <c r="AE560" s="156"/>
      <c r="AF560" s="156"/>
      <c r="AG560" s="156"/>
      <c r="AH560" s="156"/>
      <c r="AI560" s="29"/>
      <c r="AJ560" s="29"/>
      <c r="AK560" s="29"/>
      <c r="AL560" s="29"/>
    </row>
    <row r="561" spans="1:38" ht="14.1" customHeight="1">
      <c r="A561" s="673" t="e">
        <f>+'Estimate Details'!#REF!</f>
        <v>#REF!</v>
      </c>
      <c r="B561" s="673"/>
      <c r="C561" s="673"/>
      <c r="D561" s="674"/>
      <c r="E561" s="675" t="e">
        <f>+'Estimate Details'!#REF!</f>
        <v>#REF!</v>
      </c>
      <c r="F561" s="676"/>
      <c r="G561" s="677" t="e">
        <f>+'Estimate Details'!#REF!</f>
        <v>#REF!</v>
      </c>
      <c r="H561" s="678" t="e">
        <f>+'Estimate Details'!#REF!</f>
        <v>#REF!</v>
      </c>
      <c r="I561" s="678" t="e">
        <f>+'Estimate Details'!#REF!</f>
        <v>#REF!</v>
      </c>
      <c r="J561" s="677" t="e">
        <f>+'Estimate Details'!#REF!</f>
        <v>#REF!</v>
      </c>
      <c r="K561" s="677" t="e">
        <f>+'Estimate Details'!#REF!</f>
        <v>#REF!</v>
      </c>
      <c r="L561" s="677" t="e">
        <f>+'Estimate Details'!#REF!</f>
        <v>#REF!</v>
      </c>
      <c r="M561" s="236" t="e">
        <f>+'Estimate Details'!#REF!</f>
        <v>#REF!</v>
      </c>
      <c r="N561" s="699" t="e">
        <f>+'Estimate Details'!#REF!</f>
        <v>#REF!</v>
      </c>
      <c r="O561" s="681" t="e">
        <f>+'Estimate Details'!#REF!</f>
        <v>#REF!</v>
      </c>
      <c r="P561" s="682" t="e">
        <f>+'Estimate Details'!#REF!</f>
        <v>#REF!</v>
      </c>
      <c r="Q561" s="683" t="e">
        <f>+'Estimate Details'!#REF!</f>
        <v>#REF!</v>
      </c>
      <c r="R561" s="684" t="e">
        <f>+'Estimate Details'!#REF!</f>
        <v>#REF!</v>
      </c>
      <c r="S561" s="685"/>
      <c r="T561" s="684" t="e">
        <f>+'Estimate Details'!#REF!</f>
        <v>#REF!</v>
      </c>
      <c r="U561" s="686" t="s">
        <v>1311</v>
      </c>
      <c r="V561" s="682" t="e">
        <f>+'Estimate Details'!#REF!</f>
        <v>#REF!</v>
      </c>
      <c r="W561" s="686" t="s">
        <v>1311</v>
      </c>
      <c r="X561" s="682" t="e">
        <f>+'Estimate Details'!#REF!</f>
        <v>#REF!</v>
      </c>
      <c r="Y561" s="682" t="e">
        <f>+'Estimate Details'!#REF!</f>
        <v>#REF!</v>
      </c>
      <c r="Z561" s="684" t="e">
        <f>+'Estimate Details'!#REF!</f>
        <v>#REF!</v>
      </c>
      <c r="AA561" s="686"/>
      <c r="AB561" s="687" t="e">
        <f>+'Estimate Details'!#REF!</f>
        <v>#REF!</v>
      </c>
      <c r="AC561" s="688"/>
      <c r="AD561" s="696" t="e">
        <f>+'Estimate Details'!#REF!</f>
        <v>#REF!</v>
      </c>
      <c r="AE561" s="156"/>
      <c r="AF561" s="156"/>
      <c r="AG561" s="156"/>
      <c r="AH561" s="156"/>
      <c r="AI561" s="29"/>
      <c r="AJ561" s="29"/>
      <c r="AK561" s="29"/>
      <c r="AL561" s="29"/>
    </row>
    <row r="562" spans="1:38" ht="14.1" customHeight="1">
      <c r="A562" s="673" t="e">
        <f>+'Estimate Details'!#REF!</f>
        <v>#REF!</v>
      </c>
      <c r="B562" s="673"/>
      <c r="C562" s="673"/>
      <c r="D562" s="674"/>
      <c r="E562" s="675" t="e">
        <f>+'Estimate Details'!#REF!</f>
        <v>#REF!</v>
      </c>
      <c r="F562" s="676"/>
      <c r="G562" s="677" t="e">
        <f>+'Estimate Details'!#REF!</f>
        <v>#REF!</v>
      </c>
      <c r="H562" s="678" t="e">
        <f>+'Estimate Details'!#REF!</f>
        <v>#REF!</v>
      </c>
      <c r="I562" s="678" t="e">
        <f>+'Estimate Details'!#REF!</f>
        <v>#REF!</v>
      </c>
      <c r="J562" s="677" t="e">
        <f>+'Estimate Details'!#REF!</f>
        <v>#REF!</v>
      </c>
      <c r="K562" s="677" t="e">
        <f>+'Estimate Details'!#REF!</f>
        <v>#REF!</v>
      </c>
      <c r="L562" s="677" t="e">
        <f>+'Estimate Details'!#REF!</f>
        <v>#REF!</v>
      </c>
      <c r="M562" s="236" t="e">
        <f>+'Estimate Details'!#REF!</f>
        <v>#REF!</v>
      </c>
      <c r="N562" s="699" t="e">
        <f>+'Estimate Details'!#REF!</f>
        <v>#REF!</v>
      </c>
      <c r="O562" s="681" t="e">
        <f>+'Estimate Details'!#REF!</f>
        <v>#REF!</v>
      </c>
      <c r="P562" s="682" t="e">
        <f>+'Estimate Details'!#REF!</f>
        <v>#REF!</v>
      </c>
      <c r="Q562" s="683" t="e">
        <f>+'Estimate Details'!#REF!</f>
        <v>#REF!</v>
      </c>
      <c r="R562" s="684" t="e">
        <f>+'Estimate Details'!#REF!</f>
        <v>#REF!</v>
      </c>
      <c r="S562" s="685"/>
      <c r="T562" s="684" t="e">
        <f>+'Estimate Details'!#REF!</f>
        <v>#REF!</v>
      </c>
      <c r="U562" s="686" t="s">
        <v>1311</v>
      </c>
      <c r="V562" s="682" t="e">
        <f>+'Estimate Details'!#REF!</f>
        <v>#REF!</v>
      </c>
      <c r="W562" s="686" t="s">
        <v>1311</v>
      </c>
      <c r="X562" s="682" t="e">
        <f>+'Estimate Details'!#REF!</f>
        <v>#REF!</v>
      </c>
      <c r="Y562" s="682" t="e">
        <f>+'Estimate Details'!#REF!</f>
        <v>#REF!</v>
      </c>
      <c r="Z562" s="684" t="e">
        <f>+'Estimate Details'!#REF!</f>
        <v>#REF!</v>
      </c>
      <c r="AA562" s="686"/>
      <c r="AB562" s="687" t="e">
        <f>+'Estimate Details'!#REF!</f>
        <v>#REF!</v>
      </c>
      <c r="AC562" s="688"/>
      <c r="AD562" s="696" t="e">
        <f>+'Estimate Details'!#REF!</f>
        <v>#REF!</v>
      </c>
      <c r="AE562" s="156"/>
      <c r="AF562" s="156"/>
      <c r="AG562" s="156"/>
      <c r="AH562" s="156"/>
      <c r="AI562" s="29"/>
      <c r="AJ562" s="29"/>
      <c r="AK562" s="29"/>
      <c r="AL562" s="29"/>
    </row>
    <row r="563" spans="1:38" ht="14.1" customHeight="1">
      <c r="A563" s="673" t="e">
        <f>+'Estimate Details'!#REF!</f>
        <v>#REF!</v>
      </c>
      <c r="B563" s="673"/>
      <c r="C563" s="673"/>
      <c r="D563" s="674"/>
      <c r="E563" s="675" t="e">
        <f>+'Estimate Details'!#REF!</f>
        <v>#REF!</v>
      </c>
      <c r="F563" s="676"/>
      <c r="G563" s="677" t="e">
        <f>+'Estimate Details'!#REF!</f>
        <v>#REF!</v>
      </c>
      <c r="H563" s="678" t="e">
        <f>+'Estimate Details'!#REF!</f>
        <v>#REF!</v>
      </c>
      <c r="I563" s="678" t="e">
        <f>+'Estimate Details'!#REF!</f>
        <v>#REF!</v>
      </c>
      <c r="J563" s="677" t="e">
        <f>+'Estimate Details'!#REF!</f>
        <v>#REF!</v>
      </c>
      <c r="K563" s="677" t="e">
        <f>+'Estimate Details'!#REF!</f>
        <v>#REF!</v>
      </c>
      <c r="L563" s="677" t="e">
        <f>+'Estimate Details'!#REF!</f>
        <v>#REF!</v>
      </c>
      <c r="M563" s="236" t="e">
        <f>+'Estimate Details'!#REF!</f>
        <v>#REF!</v>
      </c>
      <c r="N563" s="699" t="e">
        <f>+'Estimate Details'!#REF!</f>
        <v>#REF!</v>
      </c>
      <c r="O563" s="681" t="e">
        <f>+'Estimate Details'!#REF!</f>
        <v>#REF!</v>
      </c>
      <c r="P563" s="682" t="e">
        <f>+'Estimate Details'!#REF!</f>
        <v>#REF!</v>
      </c>
      <c r="Q563" s="683" t="e">
        <f>+'Estimate Details'!#REF!</f>
        <v>#REF!</v>
      </c>
      <c r="R563" s="684" t="e">
        <f>+'Estimate Details'!#REF!</f>
        <v>#REF!</v>
      </c>
      <c r="S563" s="685"/>
      <c r="T563" s="684" t="e">
        <f>+'Estimate Details'!#REF!</f>
        <v>#REF!</v>
      </c>
      <c r="U563" s="686" t="s">
        <v>1311</v>
      </c>
      <c r="V563" s="682" t="e">
        <f>+'Estimate Details'!#REF!</f>
        <v>#REF!</v>
      </c>
      <c r="W563" s="686" t="s">
        <v>1311</v>
      </c>
      <c r="X563" s="682" t="e">
        <f>+'Estimate Details'!#REF!</f>
        <v>#REF!</v>
      </c>
      <c r="Y563" s="682" t="e">
        <f>+'Estimate Details'!#REF!</f>
        <v>#REF!</v>
      </c>
      <c r="Z563" s="684" t="e">
        <f>+'Estimate Details'!#REF!</f>
        <v>#REF!</v>
      </c>
      <c r="AA563" s="686"/>
      <c r="AB563" s="687" t="e">
        <f>+'Estimate Details'!#REF!</f>
        <v>#REF!</v>
      </c>
      <c r="AC563" s="688"/>
      <c r="AD563" s="696" t="e">
        <f>+'Estimate Details'!#REF!</f>
        <v>#REF!</v>
      </c>
      <c r="AE563" s="156"/>
      <c r="AF563" s="156"/>
      <c r="AG563" s="156"/>
      <c r="AH563" s="156"/>
      <c r="AI563" s="29"/>
      <c r="AJ563" s="29"/>
      <c r="AK563" s="29"/>
      <c r="AL563" s="29"/>
    </row>
    <row r="564" spans="1:38" ht="14.1" customHeight="1">
      <c r="A564" s="673" t="e">
        <f>+'Estimate Details'!#REF!</f>
        <v>#REF!</v>
      </c>
      <c r="B564" s="673"/>
      <c r="C564" s="673"/>
      <c r="D564" s="674"/>
      <c r="E564" s="675" t="e">
        <f>+'Estimate Details'!#REF!</f>
        <v>#REF!</v>
      </c>
      <c r="F564" s="676"/>
      <c r="G564" s="677" t="e">
        <f>+'Estimate Details'!#REF!</f>
        <v>#REF!</v>
      </c>
      <c r="H564" s="678" t="e">
        <f>+'Estimate Details'!#REF!</f>
        <v>#REF!</v>
      </c>
      <c r="I564" s="678" t="e">
        <f>+'Estimate Details'!#REF!</f>
        <v>#REF!</v>
      </c>
      <c r="J564" s="677" t="e">
        <f>+'Estimate Details'!#REF!</f>
        <v>#REF!</v>
      </c>
      <c r="K564" s="677" t="e">
        <f>+'Estimate Details'!#REF!</f>
        <v>#REF!</v>
      </c>
      <c r="L564" s="677" t="e">
        <f>+'Estimate Details'!#REF!</f>
        <v>#REF!</v>
      </c>
      <c r="M564" s="236" t="e">
        <f>+'Estimate Details'!#REF!</f>
        <v>#REF!</v>
      </c>
      <c r="N564" s="699" t="e">
        <f>+'Estimate Details'!#REF!</f>
        <v>#REF!</v>
      </c>
      <c r="O564" s="681" t="e">
        <f>+'Estimate Details'!#REF!</f>
        <v>#REF!</v>
      </c>
      <c r="P564" s="682" t="e">
        <f>+'Estimate Details'!#REF!</f>
        <v>#REF!</v>
      </c>
      <c r="Q564" s="683" t="e">
        <f>+'Estimate Details'!#REF!</f>
        <v>#REF!</v>
      </c>
      <c r="R564" s="684" t="e">
        <f>+'Estimate Details'!#REF!</f>
        <v>#REF!</v>
      </c>
      <c r="S564" s="685"/>
      <c r="T564" s="684" t="e">
        <f>+'Estimate Details'!#REF!</f>
        <v>#REF!</v>
      </c>
      <c r="U564" s="686" t="s">
        <v>1311</v>
      </c>
      <c r="V564" s="682" t="e">
        <f>+'Estimate Details'!#REF!</f>
        <v>#REF!</v>
      </c>
      <c r="W564" s="686" t="s">
        <v>1311</v>
      </c>
      <c r="X564" s="682" t="e">
        <f>+'Estimate Details'!#REF!</f>
        <v>#REF!</v>
      </c>
      <c r="Y564" s="682" t="e">
        <f>+'Estimate Details'!#REF!</f>
        <v>#REF!</v>
      </c>
      <c r="Z564" s="684" t="e">
        <f>+'Estimate Details'!#REF!</f>
        <v>#REF!</v>
      </c>
      <c r="AA564" s="686"/>
      <c r="AB564" s="687" t="e">
        <f>+'Estimate Details'!#REF!</f>
        <v>#REF!</v>
      </c>
      <c r="AC564" s="688"/>
      <c r="AD564" s="696" t="e">
        <f>+'Estimate Details'!#REF!</f>
        <v>#REF!</v>
      </c>
      <c r="AE564" s="156"/>
      <c r="AF564" s="156"/>
      <c r="AG564" s="156"/>
      <c r="AH564" s="156"/>
      <c r="AI564" s="29"/>
      <c r="AJ564" s="29"/>
      <c r="AK564" s="29"/>
      <c r="AL564" s="29"/>
    </row>
    <row r="565" spans="1:38" ht="14.1" customHeight="1">
      <c r="A565" s="673" t="e">
        <f>+'Estimate Details'!#REF!</f>
        <v>#REF!</v>
      </c>
      <c r="B565" s="673"/>
      <c r="C565" s="673"/>
      <c r="D565" s="674"/>
      <c r="E565" s="675" t="e">
        <f>+'Estimate Details'!#REF!</f>
        <v>#REF!</v>
      </c>
      <c r="F565" s="676"/>
      <c r="G565" s="677" t="e">
        <f>+'Estimate Details'!#REF!</f>
        <v>#REF!</v>
      </c>
      <c r="H565" s="678" t="e">
        <f>+'Estimate Details'!#REF!</f>
        <v>#REF!</v>
      </c>
      <c r="I565" s="678" t="e">
        <f>+'Estimate Details'!#REF!</f>
        <v>#REF!</v>
      </c>
      <c r="J565" s="677" t="e">
        <f>+'Estimate Details'!#REF!</f>
        <v>#REF!</v>
      </c>
      <c r="K565" s="677" t="e">
        <f>+'Estimate Details'!#REF!</f>
        <v>#REF!</v>
      </c>
      <c r="L565" s="677" t="e">
        <f>+'Estimate Details'!#REF!</f>
        <v>#REF!</v>
      </c>
      <c r="M565" s="236" t="e">
        <f>+'Estimate Details'!#REF!</f>
        <v>#REF!</v>
      </c>
      <c r="N565" s="699" t="e">
        <f>+'Estimate Details'!#REF!</f>
        <v>#REF!</v>
      </c>
      <c r="O565" s="681" t="e">
        <f>+'Estimate Details'!#REF!</f>
        <v>#REF!</v>
      </c>
      <c r="P565" s="682" t="e">
        <f>+'Estimate Details'!#REF!</f>
        <v>#REF!</v>
      </c>
      <c r="Q565" s="683" t="e">
        <f>+'Estimate Details'!#REF!</f>
        <v>#REF!</v>
      </c>
      <c r="R565" s="684" t="e">
        <f>+'Estimate Details'!#REF!</f>
        <v>#REF!</v>
      </c>
      <c r="S565" s="685"/>
      <c r="T565" s="684" t="e">
        <f>+'Estimate Details'!#REF!</f>
        <v>#REF!</v>
      </c>
      <c r="U565" s="686" t="s">
        <v>1311</v>
      </c>
      <c r="V565" s="682" t="e">
        <f>+'Estimate Details'!#REF!</f>
        <v>#REF!</v>
      </c>
      <c r="W565" s="686" t="s">
        <v>1311</v>
      </c>
      <c r="X565" s="682" t="e">
        <f>+'Estimate Details'!#REF!</f>
        <v>#REF!</v>
      </c>
      <c r="Y565" s="682" t="e">
        <f>+'Estimate Details'!#REF!</f>
        <v>#REF!</v>
      </c>
      <c r="Z565" s="684" t="e">
        <f>+'Estimate Details'!#REF!</f>
        <v>#REF!</v>
      </c>
      <c r="AA565" s="686"/>
      <c r="AB565" s="687" t="e">
        <f>+'Estimate Details'!#REF!</f>
        <v>#REF!</v>
      </c>
      <c r="AC565" s="688"/>
      <c r="AD565" s="696" t="e">
        <f>+'Estimate Details'!#REF!</f>
        <v>#REF!</v>
      </c>
      <c r="AE565" s="156"/>
      <c r="AF565" s="156"/>
      <c r="AG565" s="156"/>
      <c r="AH565" s="156"/>
      <c r="AI565" s="29"/>
      <c r="AJ565" s="29"/>
      <c r="AK565" s="29"/>
      <c r="AL565" s="29"/>
    </row>
    <row r="566" spans="1:38" ht="14.1" customHeight="1">
      <c r="A566" s="673" t="e">
        <f>+'Estimate Details'!#REF!</f>
        <v>#REF!</v>
      </c>
      <c r="B566" s="673"/>
      <c r="C566" s="673"/>
      <c r="D566" s="674"/>
      <c r="E566" s="675" t="e">
        <f>+'Estimate Details'!#REF!</f>
        <v>#REF!</v>
      </c>
      <c r="F566" s="676"/>
      <c r="G566" s="677" t="e">
        <f>+'Estimate Details'!#REF!</f>
        <v>#REF!</v>
      </c>
      <c r="H566" s="678" t="e">
        <f>+'Estimate Details'!#REF!</f>
        <v>#REF!</v>
      </c>
      <c r="I566" s="678" t="e">
        <f>+'Estimate Details'!#REF!</f>
        <v>#REF!</v>
      </c>
      <c r="J566" s="677" t="e">
        <f>+'Estimate Details'!#REF!</f>
        <v>#REF!</v>
      </c>
      <c r="K566" s="677" t="e">
        <f>+'Estimate Details'!#REF!</f>
        <v>#REF!</v>
      </c>
      <c r="L566" s="677" t="e">
        <f>+'Estimate Details'!#REF!</f>
        <v>#REF!</v>
      </c>
      <c r="M566" s="236" t="e">
        <f>+'Estimate Details'!#REF!</f>
        <v>#REF!</v>
      </c>
      <c r="N566" s="699" t="e">
        <f>+'Estimate Details'!#REF!</f>
        <v>#REF!</v>
      </c>
      <c r="O566" s="681" t="e">
        <f>+'Estimate Details'!#REF!</f>
        <v>#REF!</v>
      </c>
      <c r="P566" s="682" t="e">
        <f>+'Estimate Details'!#REF!</f>
        <v>#REF!</v>
      </c>
      <c r="Q566" s="683" t="e">
        <f>+'Estimate Details'!#REF!</f>
        <v>#REF!</v>
      </c>
      <c r="R566" s="684" t="e">
        <f>+'Estimate Details'!#REF!</f>
        <v>#REF!</v>
      </c>
      <c r="S566" s="685"/>
      <c r="T566" s="684" t="e">
        <f>+'Estimate Details'!#REF!</f>
        <v>#REF!</v>
      </c>
      <c r="U566" s="686" t="s">
        <v>1311</v>
      </c>
      <c r="V566" s="682" t="e">
        <f>+'Estimate Details'!#REF!</f>
        <v>#REF!</v>
      </c>
      <c r="W566" s="686" t="s">
        <v>1311</v>
      </c>
      <c r="X566" s="682" t="e">
        <f>+'Estimate Details'!#REF!</f>
        <v>#REF!</v>
      </c>
      <c r="Y566" s="682" t="e">
        <f>+'Estimate Details'!#REF!</f>
        <v>#REF!</v>
      </c>
      <c r="Z566" s="684" t="e">
        <f>+'Estimate Details'!#REF!</f>
        <v>#REF!</v>
      </c>
      <c r="AA566" s="686"/>
      <c r="AB566" s="687" t="e">
        <f>+'Estimate Details'!#REF!</f>
        <v>#REF!</v>
      </c>
      <c r="AC566" s="688"/>
      <c r="AD566" s="696" t="e">
        <f>+'Estimate Details'!#REF!</f>
        <v>#REF!</v>
      </c>
      <c r="AE566" s="156"/>
      <c r="AF566" s="156"/>
      <c r="AG566" s="156"/>
      <c r="AH566" s="156"/>
      <c r="AI566" s="29"/>
      <c r="AJ566" s="29"/>
      <c r="AK566" s="29"/>
      <c r="AL566" s="29"/>
    </row>
    <row r="567" spans="1:38" ht="14.1" customHeight="1">
      <c r="A567" s="673" t="e">
        <f>+'Estimate Details'!#REF!</f>
        <v>#REF!</v>
      </c>
      <c r="B567" s="673"/>
      <c r="C567" s="673"/>
      <c r="D567" s="674"/>
      <c r="E567" s="675" t="e">
        <f>+'Estimate Details'!#REF!</f>
        <v>#REF!</v>
      </c>
      <c r="F567" s="676"/>
      <c r="G567" s="677" t="e">
        <f>+'Estimate Details'!#REF!</f>
        <v>#REF!</v>
      </c>
      <c r="H567" s="678" t="e">
        <f>+'Estimate Details'!#REF!</f>
        <v>#REF!</v>
      </c>
      <c r="I567" s="678" t="e">
        <f>+'Estimate Details'!#REF!</f>
        <v>#REF!</v>
      </c>
      <c r="J567" s="677" t="e">
        <f>+'Estimate Details'!#REF!</f>
        <v>#REF!</v>
      </c>
      <c r="K567" s="677" t="e">
        <f>+'Estimate Details'!#REF!</f>
        <v>#REF!</v>
      </c>
      <c r="L567" s="677" t="e">
        <f>+'Estimate Details'!#REF!</f>
        <v>#REF!</v>
      </c>
      <c r="M567" s="236" t="e">
        <f>+'Estimate Details'!#REF!</f>
        <v>#REF!</v>
      </c>
      <c r="N567" s="699" t="e">
        <f>+'Estimate Details'!#REF!</f>
        <v>#REF!</v>
      </c>
      <c r="O567" s="681" t="e">
        <f>+'Estimate Details'!#REF!</f>
        <v>#REF!</v>
      </c>
      <c r="P567" s="682" t="e">
        <f>+'Estimate Details'!#REF!</f>
        <v>#REF!</v>
      </c>
      <c r="Q567" s="683" t="e">
        <f>+'Estimate Details'!#REF!</f>
        <v>#REF!</v>
      </c>
      <c r="R567" s="684" t="e">
        <f>+'Estimate Details'!#REF!</f>
        <v>#REF!</v>
      </c>
      <c r="S567" s="685"/>
      <c r="T567" s="684" t="e">
        <f>+'Estimate Details'!#REF!</f>
        <v>#REF!</v>
      </c>
      <c r="U567" s="686" t="s">
        <v>1311</v>
      </c>
      <c r="V567" s="682" t="e">
        <f>+'Estimate Details'!#REF!</f>
        <v>#REF!</v>
      </c>
      <c r="W567" s="686" t="s">
        <v>1311</v>
      </c>
      <c r="X567" s="682" t="e">
        <f>+'Estimate Details'!#REF!</f>
        <v>#REF!</v>
      </c>
      <c r="Y567" s="682" t="e">
        <f>+'Estimate Details'!#REF!</f>
        <v>#REF!</v>
      </c>
      <c r="Z567" s="684" t="e">
        <f>+'Estimate Details'!#REF!</f>
        <v>#REF!</v>
      </c>
      <c r="AA567" s="686"/>
      <c r="AB567" s="687" t="e">
        <f>+'Estimate Details'!#REF!</f>
        <v>#REF!</v>
      </c>
      <c r="AC567" s="688"/>
      <c r="AD567" s="696" t="e">
        <f>+'Estimate Details'!#REF!</f>
        <v>#REF!</v>
      </c>
      <c r="AE567" s="156"/>
      <c r="AF567" s="156"/>
      <c r="AG567" s="156"/>
      <c r="AH567" s="156"/>
      <c r="AI567" s="29"/>
      <c r="AJ567" s="29"/>
      <c r="AK567" s="29"/>
      <c r="AL567" s="29"/>
    </row>
    <row r="568" spans="1:38" ht="14.1" customHeight="1">
      <c r="A568" s="673" t="e">
        <f>+'Estimate Details'!#REF!</f>
        <v>#REF!</v>
      </c>
      <c r="B568" s="673"/>
      <c r="C568" s="673"/>
      <c r="D568" s="674"/>
      <c r="E568" s="675" t="e">
        <f>+'Estimate Details'!#REF!</f>
        <v>#REF!</v>
      </c>
      <c r="F568" s="676"/>
      <c r="G568" s="677" t="e">
        <f>+'Estimate Details'!#REF!</f>
        <v>#REF!</v>
      </c>
      <c r="H568" s="678" t="e">
        <f>+'Estimate Details'!#REF!</f>
        <v>#REF!</v>
      </c>
      <c r="I568" s="678" t="e">
        <f>+'Estimate Details'!#REF!</f>
        <v>#REF!</v>
      </c>
      <c r="J568" s="677" t="e">
        <f>+'Estimate Details'!#REF!</f>
        <v>#REF!</v>
      </c>
      <c r="K568" s="677" t="e">
        <f>+'Estimate Details'!#REF!</f>
        <v>#REF!</v>
      </c>
      <c r="L568" s="677" t="e">
        <f>+'Estimate Details'!#REF!</f>
        <v>#REF!</v>
      </c>
      <c r="M568" s="236" t="e">
        <f>+'Estimate Details'!#REF!</f>
        <v>#REF!</v>
      </c>
      <c r="N568" s="699" t="e">
        <f>+'Estimate Details'!#REF!</f>
        <v>#REF!</v>
      </c>
      <c r="O568" s="681" t="e">
        <f>+'Estimate Details'!#REF!</f>
        <v>#REF!</v>
      </c>
      <c r="P568" s="682" t="e">
        <f>+'Estimate Details'!#REF!</f>
        <v>#REF!</v>
      </c>
      <c r="Q568" s="683" t="e">
        <f>+'Estimate Details'!#REF!</f>
        <v>#REF!</v>
      </c>
      <c r="R568" s="684" t="e">
        <f>+'Estimate Details'!#REF!</f>
        <v>#REF!</v>
      </c>
      <c r="S568" s="685"/>
      <c r="T568" s="684" t="e">
        <f>+'Estimate Details'!#REF!</f>
        <v>#REF!</v>
      </c>
      <c r="U568" s="686" t="s">
        <v>1311</v>
      </c>
      <c r="V568" s="682" t="e">
        <f>+'Estimate Details'!#REF!</f>
        <v>#REF!</v>
      </c>
      <c r="W568" s="686" t="s">
        <v>1311</v>
      </c>
      <c r="X568" s="682" t="e">
        <f>+'Estimate Details'!#REF!</f>
        <v>#REF!</v>
      </c>
      <c r="Y568" s="682" t="e">
        <f>+'Estimate Details'!#REF!</f>
        <v>#REF!</v>
      </c>
      <c r="Z568" s="684" t="e">
        <f>+'Estimate Details'!#REF!</f>
        <v>#REF!</v>
      </c>
      <c r="AA568" s="686"/>
      <c r="AB568" s="687" t="e">
        <f>+'Estimate Details'!#REF!</f>
        <v>#REF!</v>
      </c>
      <c r="AC568" s="688"/>
      <c r="AD568" s="696" t="e">
        <f>+'Estimate Details'!#REF!</f>
        <v>#REF!</v>
      </c>
      <c r="AE568" s="156"/>
      <c r="AF568" s="156"/>
      <c r="AG568" s="156"/>
      <c r="AH568" s="156"/>
      <c r="AI568" s="29"/>
      <c r="AJ568" s="29"/>
      <c r="AK568" s="29"/>
      <c r="AL568" s="29"/>
    </row>
    <row r="569" spans="1:38" ht="14.1" customHeight="1">
      <c r="A569" s="673" t="e">
        <f>+'Estimate Details'!#REF!</f>
        <v>#REF!</v>
      </c>
      <c r="B569" s="673"/>
      <c r="C569" s="673"/>
      <c r="D569" s="674"/>
      <c r="E569" s="675" t="e">
        <f>+'Estimate Details'!#REF!</f>
        <v>#REF!</v>
      </c>
      <c r="F569" s="676"/>
      <c r="G569" s="677" t="e">
        <f>+'Estimate Details'!#REF!</f>
        <v>#REF!</v>
      </c>
      <c r="H569" s="678" t="e">
        <f>+'Estimate Details'!#REF!</f>
        <v>#REF!</v>
      </c>
      <c r="I569" s="678" t="e">
        <f>+'Estimate Details'!#REF!</f>
        <v>#REF!</v>
      </c>
      <c r="J569" s="677" t="e">
        <f>+'Estimate Details'!#REF!</f>
        <v>#REF!</v>
      </c>
      <c r="K569" s="677" t="e">
        <f>+'Estimate Details'!#REF!</f>
        <v>#REF!</v>
      </c>
      <c r="L569" s="677" t="e">
        <f>+'Estimate Details'!#REF!</f>
        <v>#REF!</v>
      </c>
      <c r="M569" s="236" t="e">
        <f>+'Estimate Details'!#REF!</f>
        <v>#REF!</v>
      </c>
      <c r="N569" s="699" t="e">
        <f>+'Estimate Details'!#REF!</f>
        <v>#REF!</v>
      </c>
      <c r="O569" s="681" t="e">
        <f>+'Estimate Details'!#REF!</f>
        <v>#REF!</v>
      </c>
      <c r="P569" s="682" t="e">
        <f>+'Estimate Details'!#REF!</f>
        <v>#REF!</v>
      </c>
      <c r="Q569" s="683" t="e">
        <f>+'Estimate Details'!#REF!</f>
        <v>#REF!</v>
      </c>
      <c r="R569" s="684" t="e">
        <f>+'Estimate Details'!#REF!</f>
        <v>#REF!</v>
      </c>
      <c r="S569" s="685"/>
      <c r="T569" s="684" t="e">
        <f>+'Estimate Details'!#REF!</f>
        <v>#REF!</v>
      </c>
      <c r="U569" s="686" t="s">
        <v>1311</v>
      </c>
      <c r="V569" s="682" t="e">
        <f>+'Estimate Details'!#REF!</f>
        <v>#REF!</v>
      </c>
      <c r="W569" s="686" t="s">
        <v>1311</v>
      </c>
      <c r="X569" s="682" t="e">
        <f>+'Estimate Details'!#REF!</f>
        <v>#REF!</v>
      </c>
      <c r="Y569" s="682" t="e">
        <f>+'Estimate Details'!#REF!</f>
        <v>#REF!</v>
      </c>
      <c r="Z569" s="684" t="e">
        <f>+'Estimate Details'!#REF!</f>
        <v>#REF!</v>
      </c>
      <c r="AA569" s="686"/>
      <c r="AB569" s="687" t="e">
        <f>+'Estimate Details'!#REF!</f>
        <v>#REF!</v>
      </c>
      <c r="AC569" s="688"/>
      <c r="AD569" s="696" t="e">
        <f>+'Estimate Details'!#REF!</f>
        <v>#REF!</v>
      </c>
      <c r="AE569" s="156"/>
      <c r="AF569" s="156"/>
      <c r="AG569" s="156"/>
      <c r="AH569" s="156"/>
      <c r="AI569" s="29"/>
      <c r="AJ569" s="29"/>
      <c r="AK569" s="29"/>
      <c r="AL569" s="29"/>
    </row>
    <row r="570" spans="1:38" ht="14.1" customHeight="1">
      <c r="A570" s="673" t="e">
        <f>+'Estimate Details'!#REF!</f>
        <v>#REF!</v>
      </c>
      <c r="B570" s="673"/>
      <c r="C570" s="673"/>
      <c r="D570" s="674"/>
      <c r="E570" s="675" t="e">
        <f>+'Estimate Details'!#REF!</f>
        <v>#REF!</v>
      </c>
      <c r="F570" s="676"/>
      <c r="G570" s="677" t="e">
        <f>+'Estimate Details'!#REF!</f>
        <v>#REF!</v>
      </c>
      <c r="H570" s="678" t="e">
        <f>+'Estimate Details'!#REF!</f>
        <v>#REF!</v>
      </c>
      <c r="I570" s="678" t="e">
        <f>+'Estimate Details'!#REF!</f>
        <v>#REF!</v>
      </c>
      <c r="J570" s="677" t="e">
        <f>+'Estimate Details'!#REF!</f>
        <v>#REF!</v>
      </c>
      <c r="K570" s="677" t="e">
        <f>+'Estimate Details'!#REF!</f>
        <v>#REF!</v>
      </c>
      <c r="L570" s="677" t="e">
        <f>+'Estimate Details'!#REF!</f>
        <v>#REF!</v>
      </c>
      <c r="M570" s="236" t="e">
        <f>+'Estimate Details'!#REF!</f>
        <v>#REF!</v>
      </c>
      <c r="N570" s="699" t="e">
        <f>+'Estimate Details'!#REF!</f>
        <v>#REF!</v>
      </c>
      <c r="O570" s="681" t="e">
        <f>+'Estimate Details'!#REF!</f>
        <v>#REF!</v>
      </c>
      <c r="P570" s="682" t="e">
        <f>+'Estimate Details'!#REF!</f>
        <v>#REF!</v>
      </c>
      <c r="Q570" s="683" t="e">
        <f>+'Estimate Details'!#REF!</f>
        <v>#REF!</v>
      </c>
      <c r="R570" s="684" t="e">
        <f>+'Estimate Details'!#REF!</f>
        <v>#REF!</v>
      </c>
      <c r="S570" s="685"/>
      <c r="T570" s="684" t="e">
        <f>+'Estimate Details'!#REF!</f>
        <v>#REF!</v>
      </c>
      <c r="U570" s="686" t="s">
        <v>1311</v>
      </c>
      <c r="V570" s="682" t="e">
        <f>+'Estimate Details'!#REF!</f>
        <v>#REF!</v>
      </c>
      <c r="W570" s="686" t="s">
        <v>1311</v>
      </c>
      <c r="X570" s="682" t="e">
        <f>+'Estimate Details'!#REF!</f>
        <v>#REF!</v>
      </c>
      <c r="Y570" s="682" t="e">
        <f>+'Estimate Details'!#REF!</f>
        <v>#REF!</v>
      </c>
      <c r="Z570" s="684" t="e">
        <f>+'Estimate Details'!#REF!</f>
        <v>#REF!</v>
      </c>
      <c r="AA570" s="686"/>
      <c r="AB570" s="687" t="e">
        <f>+'Estimate Details'!#REF!</f>
        <v>#REF!</v>
      </c>
      <c r="AC570" s="688"/>
      <c r="AD570" s="696" t="e">
        <f>+'Estimate Details'!#REF!</f>
        <v>#REF!</v>
      </c>
      <c r="AE570" s="156"/>
      <c r="AF570" s="156"/>
      <c r="AG570" s="156"/>
      <c r="AH570" s="156"/>
      <c r="AI570" s="29"/>
      <c r="AJ570" s="29"/>
      <c r="AK570" s="29"/>
      <c r="AL570" s="29"/>
    </row>
    <row r="571" spans="1:38" ht="14.1" customHeight="1">
      <c r="A571" s="673" t="e">
        <f>+'Estimate Details'!#REF!</f>
        <v>#REF!</v>
      </c>
      <c r="B571" s="673"/>
      <c r="C571" s="673"/>
      <c r="D571" s="674"/>
      <c r="E571" s="675" t="e">
        <f>+'Estimate Details'!#REF!</f>
        <v>#REF!</v>
      </c>
      <c r="F571" s="676"/>
      <c r="G571" s="677" t="e">
        <f>+'Estimate Details'!#REF!</f>
        <v>#REF!</v>
      </c>
      <c r="H571" s="678" t="e">
        <f>+'Estimate Details'!#REF!</f>
        <v>#REF!</v>
      </c>
      <c r="I571" s="678" t="e">
        <f>+'Estimate Details'!#REF!</f>
        <v>#REF!</v>
      </c>
      <c r="J571" s="677" t="e">
        <f>+'Estimate Details'!#REF!</f>
        <v>#REF!</v>
      </c>
      <c r="K571" s="677" t="e">
        <f>+'Estimate Details'!#REF!</f>
        <v>#REF!</v>
      </c>
      <c r="L571" s="677" t="e">
        <f>+'Estimate Details'!#REF!</f>
        <v>#REF!</v>
      </c>
      <c r="M571" s="236" t="e">
        <f>+'Estimate Details'!#REF!</f>
        <v>#REF!</v>
      </c>
      <c r="N571" s="699" t="e">
        <f>+'Estimate Details'!#REF!</f>
        <v>#REF!</v>
      </c>
      <c r="O571" s="681" t="e">
        <f>+'Estimate Details'!#REF!</f>
        <v>#REF!</v>
      </c>
      <c r="P571" s="682" t="e">
        <f>+'Estimate Details'!#REF!</f>
        <v>#REF!</v>
      </c>
      <c r="Q571" s="683" t="e">
        <f>+'Estimate Details'!#REF!</f>
        <v>#REF!</v>
      </c>
      <c r="R571" s="684" t="e">
        <f>+'Estimate Details'!#REF!</f>
        <v>#REF!</v>
      </c>
      <c r="S571" s="685"/>
      <c r="T571" s="684" t="e">
        <f>+'Estimate Details'!#REF!</f>
        <v>#REF!</v>
      </c>
      <c r="U571" s="686" t="s">
        <v>1311</v>
      </c>
      <c r="V571" s="682" t="e">
        <f>+'Estimate Details'!#REF!</f>
        <v>#REF!</v>
      </c>
      <c r="W571" s="686" t="s">
        <v>1311</v>
      </c>
      <c r="X571" s="682" t="e">
        <f>+'Estimate Details'!#REF!</f>
        <v>#REF!</v>
      </c>
      <c r="Y571" s="682" t="e">
        <f>+'Estimate Details'!#REF!</f>
        <v>#REF!</v>
      </c>
      <c r="Z571" s="684" t="e">
        <f>+'Estimate Details'!#REF!</f>
        <v>#REF!</v>
      </c>
      <c r="AA571" s="686"/>
      <c r="AB571" s="687" t="e">
        <f>+'Estimate Details'!#REF!</f>
        <v>#REF!</v>
      </c>
      <c r="AC571" s="688"/>
      <c r="AD571" s="696" t="e">
        <f>+'Estimate Details'!#REF!</f>
        <v>#REF!</v>
      </c>
      <c r="AE571" s="156"/>
      <c r="AF571" s="156"/>
      <c r="AG571" s="156"/>
      <c r="AH571" s="156"/>
      <c r="AI571" s="29"/>
      <c r="AJ571" s="29"/>
      <c r="AK571" s="29"/>
      <c r="AL571" s="29"/>
    </row>
    <row r="572" spans="1:38" ht="14.1" customHeight="1">
      <c r="A572" s="673" t="e">
        <f>+'Estimate Details'!#REF!</f>
        <v>#REF!</v>
      </c>
      <c r="B572" s="673"/>
      <c r="C572" s="673"/>
      <c r="D572" s="674"/>
      <c r="E572" s="675" t="e">
        <f>+'Estimate Details'!#REF!</f>
        <v>#REF!</v>
      </c>
      <c r="F572" s="676"/>
      <c r="G572" s="677" t="e">
        <f>+'Estimate Details'!#REF!</f>
        <v>#REF!</v>
      </c>
      <c r="H572" s="678" t="e">
        <f>+'Estimate Details'!#REF!</f>
        <v>#REF!</v>
      </c>
      <c r="I572" s="678" t="e">
        <f>+'Estimate Details'!#REF!</f>
        <v>#REF!</v>
      </c>
      <c r="J572" s="677" t="e">
        <f>+'Estimate Details'!#REF!</f>
        <v>#REF!</v>
      </c>
      <c r="K572" s="677" t="e">
        <f>+'Estimate Details'!#REF!</f>
        <v>#REF!</v>
      </c>
      <c r="L572" s="677" t="e">
        <f>+'Estimate Details'!#REF!</f>
        <v>#REF!</v>
      </c>
      <c r="M572" s="236" t="e">
        <f>+'Estimate Details'!#REF!</f>
        <v>#REF!</v>
      </c>
      <c r="N572" s="699" t="e">
        <f>+'Estimate Details'!#REF!</f>
        <v>#REF!</v>
      </c>
      <c r="O572" s="681" t="e">
        <f>+'Estimate Details'!#REF!</f>
        <v>#REF!</v>
      </c>
      <c r="P572" s="682" t="e">
        <f>+'Estimate Details'!#REF!</f>
        <v>#REF!</v>
      </c>
      <c r="Q572" s="683" t="e">
        <f>+'Estimate Details'!#REF!</f>
        <v>#REF!</v>
      </c>
      <c r="R572" s="684" t="e">
        <f>+'Estimate Details'!#REF!</f>
        <v>#REF!</v>
      </c>
      <c r="S572" s="685"/>
      <c r="T572" s="684" t="e">
        <f>+'Estimate Details'!#REF!</f>
        <v>#REF!</v>
      </c>
      <c r="U572" s="686" t="s">
        <v>1311</v>
      </c>
      <c r="V572" s="682" t="e">
        <f>+'Estimate Details'!#REF!</f>
        <v>#REF!</v>
      </c>
      <c r="W572" s="686" t="s">
        <v>1311</v>
      </c>
      <c r="X572" s="682" t="e">
        <f>+'Estimate Details'!#REF!</f>
        <v>#REF!</v>
      </c>
      <c r="Y572" s="682" t="e">
        <f>+'Estimate Details'!#REF!</f>
        <v>#REF!</v>
      </c>
      <c r="Z572" s="684" t="e">
        <f>+'Estimate Details'!#REF!</f>
        <v>#REF!</v>
      </c>
      <c r="AA572" s="686"/>
      <c r="AB572" s="687" t="e">
        <f>+'Estimate Details'!#REF!</f>
        <v>#REF!</v>
      </c>
      <c r="AC572" s="688"/>
      <c r="AD572" s="696" t="e">
        <f>+'Estimate Details'!#REF!</f>
        <v>#REF!</v>
      </c>
      <c r="AE572" s="156"/>
      <c r="AF572" s="156"/>
      <c r="AG572" s="156"/>
      <c r="AH572" s="156"/>
      <c r="AI572" s="29"/>
      <c r="AJ572" s="29"/>
      <c r="AK572" s="29"/>
      <c r="AL572" s="29"/>
    </row>
    <row r="573" spans="1:38" ht="14.1" customHeight="1">
      <c r="A573" s="673" t="e">
        <f>+'Estimate Details'!#REF!</f>
        <v>#REF!</v>
      </c>
      <c r="B573" s="673"/>
      <c r="C573" s="673"/>
      <c r="D573" s="674"/>
      <c r="E573" s="675" t="e">
        <f>+'Estimate Details'!#REF!</f>
        <v>#REF!</v>
      </c>
      <c r="F573" s="676"/>
      <c r="G573" s="677" t="e">
        <f>+'Estimate Details'!#REF!</f>
        <v>#REF!</v>
      </c>
      <c r="H573" s="678" t="e">
        <f>+'Estimate Details'!#REF!</f>
        <v>#REF!</v>
      </c>
      <c r="I573" s="678" t="e">
        <f>+'Estimate Details'!#REF!</f>
        <v>#REF!</v>
      </c>
      <c r="J573" s="677" t="e">
        <f>+'Estimate Details'!#REF!</f>
        <v>#REF!</v>
      </c>
      <c r="K573" s="677" t="e">
        <f>+'Estimate Details'!#REF!</f>
        <v>#REF!</v>
      </c>
      <c r="L573" s="677" t="e">
        <f>+'Estimate Details'!#REF!</f>
        <v>#REF!</v>
      </c>
      <c r="M573" s="236" t="e">
        <f>+'Estimate Details'!#REF!</f>
        <v>#REF!</v>
      </c>
      <c r="N573" s="699" t="e">
        <f>+'Estimate Details'!#REF!</f>
        <v>#REF!</v>
      </c>
      <c r="O573" s="681" t="e">
        <f>+'Estimate Details'!#REF!</f>
        <v>#REF!</v>
      </c>
      <c r="P573" s="682" t="e">
        <f>+'Estimate Details'!#REF!</f>
        <v>#REF!</v>
      </c>
      <c r="Q573" s="683" t="e">
        <f>+'Estimate Details'!#REF!</f>
        <v>#REF!</v>
      </c>
      <c r="R573" s="684" t="e">
        <f>+'Estimate Details'!#REF!</f>
        <v>#REF!</v>
      </c>
      <c r="S573" s="685"/>
      <c r="T573" s="684" t="e">
        <f>+'Estimate Details'!#REF!</f>
        <v>#REF!</v>
      </c>
      <c r="U573" s="686" t="s">
        <v>1311</v>
      </c>
      <c r="V573" s="682" t="e">
        <f>+'Estimate Details'!#REF!</f>
        <v>#REF!</v>
      </c>
      <c r="W573" s="686" t="s">
        <v>1311</v>
      </c>
      <c r="X573" s="682" t="e">
        <f>+'Estimate Details'!#REF!</f>
        <v>#REF!</v>
      </c>
      <c r="Y573" s="682" t="e">
        <f>+'Estimate Details'!#REF!</f>
        <v>#REF!</v>
      </c>
      <c r="Z573" s="684" t="e">
        <f>+'Estimate Details'!#REF!</f>
        <v>#REF!</v>
      </c>
      <c r="AA573" s="686"/>
      <c r="AB573" s="687" t="e">
        <f>+'Estimate Details'!#REF!</f>
        <v>#REF!</v>
      </c>
      <c r="AC573" s="688"/>
      <c r="AD573" s="696" t="e">
        <f>+'Estimate Details'!#REF!</f>
        <v>#REF!</v>
      </c>
      <c r="AE573" s="156"/>
      <c r="AF573" s="156"/>
      <c r="AG573" s="156"/>
      <c r="AH573" s="156"/>
      <c r="AI573" s="29"/>
      <c r="AJ573" s="29"/>
      <c r="AK573" s="29"/>
      <c r="AL573" s="29"/>
    </row>
    <row r="574" spans="1:38" ht="14.1" customHeight="1">
      <c r="A574" s="673" t="e">
        <f>+'Estimate Details'!#REF!</f>
        <v>#REF!</v>
      </c>
      <c r="B574" s="673"/>
      <c r="C574" s="673"/>
      <c r="D574" s="674"/>
      <c r="E574" s="675" t="e">
        <f>+'Estimate Details'!#REF!</f>
        <v>#REF!</v>
      </c>
      <c r="F574" s="676"/>
      <c r="G574" s="677" t="e">
        <f>+'Estimate Details'!#REF!</f>
        <v>#REF!</v>
      </c>
      <c r="H574" s="678" t="e">
        <f>+'Estimate Details'!#REF!</f>
        <v>#REF!</v>
      </c>
      <c r="I574" s="678" t="e">
        <f>+'Estimate Details'!#REF!</f>
        <v>#REF!</v>
      </c>
      <c r="J574" s="677" t="e">
        <f>+'Estimate Details'!#REF!</f>
        <v>#REF!</v>
      </c>
      <c r="K574" s="677" t="e">
        <f>+'Estimate Details'!#REF!</f>
        <v>#REF!</v>
      </c>
      <c r="L574" s="677" t="e">
        <f>+'Estimate Details'!#REF!</f>
        <v>#REF!</v>
      </c>
      <c r="M574" s="236" t="e">
        <f>+'Estimate Details'!#REF!</f>
        <v>#REF!</v>
      </c>
      <c r="N574" s="699" t="e">
        <f>+'Estimate Details'!#REF!</f>
        <v>#REF!</v>
      </c>
      <c r="O574" s="681" t="e">
        <f>+'Estimate Details'!#REF!</f>
        <v>#REF!</v>
      </c>
      <c r="P574" s="682" t="e">
        <f>+'Estimate Details'!#REF!</f>
        <v>#REF!</v>
      </c>
      <c r="Q574" s="683" t="e">
        <f>+'Estimate Details'!#REF!</f>
        <v>#REF!</v>
      </c>
      <c r="R574" s="684" t="e">
        <f>+'Estimate Details'!#REF!</f>
        <v>#REF!</v>
      </c>
      <c r="S574" s="685"/>
      <c r="T574" s="684" t="e">
        <f>+'Estimate Details'!#REF!</f>
        <v>#REF!</v>
      </c>
      <c r="U574" s="686" t="s">
        <v>1311</v>
      </c>
      <c r="V574" s="682" t="e">
        <f>+'Estimate Details'!#REF!</f>
        <v>#REF!</v>
      </c>
      <c r="W574" s="686" t="s">
        <v>1311</v>
      </c>
      <c r="X574" s="682" t="e">
        <f>+'Estimate Details'!#REF!</f>
        <v>#REF!</v>
      </c>
      <c r="Y574" s="682" t="e">
        <f>+'Estimate Details'!#REF!</f>
        <v>#REF!</v>
      </c>
      <c r="Z574" s="684" t="e">
        <f>+'Estimate Details'!#REF!</f>
        <v>#REF!</v>
      </c>
      <c r="AA574" s="686"/>
      <c r="AB574" s="687" t="e">
        <f>+'Estimate Details'!#REF!</f>
        <v>#REF!</v>
      </c>
      <c r="AC574" s="688"/>
      <c r="AD574" s="696" t="e">
        <f>+'Estimate Details'!#REF!</f>
        <v>#REF!</v>
      </c>
      <c r="AE574" s="156"/>
      <c r="AF574" s="156"/>
      <c r="AG574" s="156"/>
      <c r="AH574" s="156"/>
      <c r="AI574" s="29"/>
      <c r="AJ574" s="29"/>
      <c r="AK574" s="29"/>
      <c r="AL574" s="29"/>
    </row>
    <row r="575" spans="1:38" ht="14.1" customHeight="1">
      <c r="A575" s="673" t="e">
        <f>+'Estimate Details'!#REF!</f>
        <v>#REF!</v>
      </c>
      <c r="B575" s="673"/>
      <c r="C575" s="673"/>
      <c r="D575" s="674"/>
      <c r="E575" s="675" t="e">
        <f>+'Estimate Details'!#REF!</f>
        <v>#REF!</v>
      </c>
      <c r="F575" s="676"/>
      <c r="G575" s="677" t="e">
        <f>+'Estimate Details'!#REF!</f>
        <v>#REF!</v>
      </c>
      <c r="H575" s="678" t="e">
        <f>+'Estimate Details'!#REF!</f>
        <v>#REF!</v>
      </c>
      <c r="I575" s="678" t="e">
        <f>+'Estimate Details'!#REF!</f>
        <v>#REF!</v>
      </c>
      <c r="J575" s="677" t="e">
        <f>+'Estimate Details'!#REF!</f>
        <v>#REF!</v>
      </c>
      <c r="K575" s="677" t="e">
        <f>+'Estimate Details'!#REF!</f>
        <v>#REF!</v>
      </c>
      <c r="L575" s="677" t="e">
        <f>+'Estimate Details'!#REF!</f>
        <v>#REF!</v>
      </c>
      <c r="M575" s="236" t="e">
        <f>+'Estimate Details'!#REF!</f>
        <v>#REF!</v>
      </c>
      <c r="N575" s="699" t="e">
        <f>+'Estimate Details'!#REF!</f>
        <v>#REF!</v>
      </c>
      <c r="O575" s="681" t="e">
        <f>+'Estimate Details'!#REF!</f>
        <v>#REF!</v>
      </c>
      <c r="P575" s="682" t="e">
        <f>+'Estimate Details'!#REF!</f>
        <v>#REF!</v>
      </c>
      <c r="Q575" s="683" t="e">
        <f>+'Estimate Details'!#REF!</f>
        <v>#REF!</v>
      </c>
      <c r="R575" s="684" t="e">
        <f>+'Estimate Details'!#REF!</f>
        <v>#REF!</v>
      </c>
      <c r="S575" s="685"/>
      <c r="T575" s="684" t="e">
        <f>+'Estimate Details'!#REF!</f>
        <v>#REF!</v>
      </c>
      <c r="U575" s="686" t="s">
        <v>1311</v>
      </c>
      <c r="V575" s="682" t="e">
        <f>+'Estimate Details'!#REF!</f>
        <v>#REF!</v>
      </c>
      <c r="W575" s="686" t="s">
        <v>1311</v>
      </c>
      <c r="X575" s="682" t="e">
        <f>+'Estimate Details'!#REF!</f>
        <v>#REF!</v>
      </c>
      <c r="Y575" s="682" t="e">
        <f>+'Estimate Details'!#REF!</f>
        <v>#REF!</v>
      </c>
      <c r="Z575" s="684" t="e">
        <f>+'Estimate Details'!#REF!</f>
        <v>#REF!</v>
      </c>
      <c r="AA575" s="686"/>
      <c r="AB575" s="687" t="e">
        <f>+'Estimate Details'!#REF!</f>
        <v>#REF!</v>
      </c>
      <c r="AC575" s="688"/>
      <c r="AD575" s="696" t="e">
        <f>+'Estimate Details'!#REF!</f>
        <v>#REF!</v>
      </c>
      <c r="AE575" s="156"/>
      <c r="AF575" s="156"/>
      <c r="AG575" s="156"/>
      <c r="AH575" s="156"/>
      <c r="AI575" s="29"/>
      <c r="AJ575" s="29"/>
      <c r="AK575" s="29"/>
      <c r="AL575" s="29"/>
    </row>
    <row r="576" spans="1:38" ht="14.1" customHeight="1">
      <c r="A576" s="673" t="e">
        <f>+'Estimate Details'!#REF!</f>
        <v>#REF!</v>
      </c>
      <c r="B576" s="673"/>
      <c r="C576" s="673"/>
      <c r="D576" s="674"/>
      <c r="E576" s="675" t="e">
        <f>+'Estimate Details'!#REF!</f>
        <v>#REF!</v>
      </c>
      <c r="F576" s="676"/>
      <c r="G576" s="677" t="e">
        <f>+'Estimate Details'!#REF!</f>
        <v>#REF!</v>
      </c>
      <c r="H576" s="678" t="e">
        <f>+'Estimate Details'!#REF!</f>
        <v>#REF!</v>
      </c>
      <c r="I576" s="678" t="e">
        <f>+'Estimate Details'!#REF!</f>
        <v>#REF!</v>
      </c>
      <c r="J576" s="677" t="e">
        <f>+'Estimate Details'!#REF!</f>
        <v>#REF!</v>
      </c>
      <c r="K576" s="677" t="e">
        <f>+'Estimate Details'!#REF!</f>
        <v>#REF!</v>
      </c>
      <c r="L576" s="677" t="e">
        <f>+'Estimate Details'!#REF!</f>
        <v>#REF!</v>
      </c>
      <c r="M576" s="236" t="e">
        <f>+'Estimate Details'!#REF!</f>
        <v>#REF!</v>
      </c>
      <c r="N576" s="699" t="e">
        <f>+'Estimate Details'!#REF!</f>
        <v>#REF!</v>
      </c>
      <c r="O576" s="681" t="e">
        <f>+'Estimate Details'!#REF!</f>
        <v>#REF!</v>
      </c>
      <c r="P576" s="682" t="e">
        <f>+'Estimate Details'!#REF!</f>
        <v>#REF!</v>
      </c>
      <c r="Q576" s="683" t="e">
        <f>+'Estimate Details'!#REF!</f>
        <v>#REF!</v>
      </c>
      <c r="R576" s="684" t="e">
        <f>+'Estimate Details'!#REF!</f>
        <v>#REF!</v>
      </c>
      <c r="S576" s="685"/>
      <c r="T576" s="684" t="e">
        <f>+'Estimate Details'!#REF!</f>
        <v>#REF!</v>
      </c>
      <c r="U576" s="686" t="s">
        <v>1311</v>
      </c>
      <c r="V576" s="682" t="e">
        <f>+'Estimate Details'!#REF!</f>
        <v>#REF!</v>
      </c>
      <c r="W576" s="686" t="s">
        <v>1311</v>
      </c>
      <c r="X576" s="682" t="e">
        <f>+'Estimate Details'!#REF!</f>
        <v>#REF!</v>
      </c>
      <c r="Y576" s="682" t="e">
        <f>+'Estimate Details'!#REF!</f>
        <v>#REF!</v>
      </c>
      <c r="Z576" s="684" t="e">
        <f>+'Estimate Details'!#REF!</f>
        <v>#REF!</v>
      </c>
      <c r="AA576" s="686"/>
      <c r="AB576" s="687" t="e">
        <f>+'Estimate Details'!#REF!</f>
        <v>#REF!</v>
      </c>
      <c r="AC576" s="688"/>
      <c r="AD576" s="696" t="e">
        <f>+'Estimate Details'!#REF!</f>
        <v>#REF!</v>
      </c>
      <c r="AE576" s="156"/>
      <c r="AF576" s="156"/>
      <c r="AG576" s="156"/>
      <c r="AH576" s="156"/>
      <c r="AI576" s="29"/>
      <c r="AJ576" s="29"/>
      <c r="AK576" s="29"/>
      <c r="AL576" s="29"/>
    </row>
    <row r="577" spans="1:38" ht="14.1" customHeight="1">
      <c r="A577" s="673" t="e">
        <f>+'Estimate Details'!#REF!</f>
        <v>#REF!</v>
      </c>
      <c r="B577" s="673"/>
      <c r="C577" s="673"/>
      <c r="D577" s="674"/>
      <c r="E577" s="675" t="e">
        <f>+'Estimate Details'!#REF!</f>
        <v>#REF!</v>
      </c>
      <c r="F577" s="676"/>
      <c r="G577" s="677" t="e">
        <f>+'Estimate Details'!#REF!</f>
        <v>#REF!</v>
      </c>
      <c r="H577" s="678" t="e">
        <f>+'Estimate Details'!#REF!</f>
        <v>#REF!</v>
      </c>
      <c r="I577" s="678" t="e">
        <f>+'Estimate Details'!#REF!</f>
        <v>#REF!</v>
      </c>
      <c r="J577" s="677" t="e">
        <f>+'Estimate Details'!#REF!</f>
        <v>#REF!</v>
      </c>
      <c r="K577" s="677" t="e">
        <f>+'Estimate Details'!#REF!</f>
        <v>#REF!</v>
      </c>
      <c r="L577" s="677" t="e">
        <f>+'Estimate Details'!#REF!</f>
        <v>#REF!</v>
      </c>
      <c r="M577" s="236" t="e">
        <f>+'Estimate Details'!#REF!</f>
        <v>#REF!</v>
      </c>
      <c r="N577" s="699" t="e">
        <f>+'Estimate Details'!#REF!</f>
        <v>#REF!</v>
      </c>
      <c r="O577" s="681" t="e">
        <f>+'Estimate Details'!#REF!</f>
        <v>#REF!</v>
      </c>
      <c r="P577" s="682" t="e">
        <f>+'Estimate Details'!#REF!</f>
        <v>#REF!</v>
      </c>
      <c r="Q577" s="683" t="e">
        <f>+'Estimate Details'!#REF!</f>
        <v>#REF!</v>
      </c>
      <c r="R577" s="684" t="e">
        <f>+'Estimate Details'!#REF!</f>
        <v>#REF!</v>
      </c>
      <c r="S577" s="685"/>
      <c r="T577" s="684" t="e">
        <f>+'Estimate Details'!#REF!</f>
        <v>#REF!</v>
      </c>
      <c r="U577" s="686" t="s">
        <v>1311</v>
      </c>
      <c r="V577" s="682" t="e">
        <f>+'Estimate Details'!#REF!</f>
        <v>#REF!</v>
      </c>
      <c r="W577" s="686" t="s">
        <v>1311</v>
      </c>
      <c r="X577" s="682" t="e">
        <f>+'Estimate Details'!#REF!</f>
        <v>#REF!</v>
      </c>
      <c r="Y577" s="682" t="e">
        <f>+'Estimate Details'!#REF!</f>
        <v>#REF!</v>
      </c>
      <c r="Z577" s="684" t="e">
        <f>+'Estimate Details'!#REF!</f>
        <v>#REF!</v>
      </c>
      <c r="AA577" s="686"/>
      <c r="AB577" s="687" t="e">
        <f>+'Estimate Details'!#REF!</f>
        <v>#REF!</v>
      </c>
      <c r="AC577" s="688"/>
      <c r="AD577" s="696" t="e">
        <f>+'Estimate Details'!#REF!</f>
        <v>#REF!</v>
      </c>
      <c r="AE577" s="156"/>
      <c r="AF577" s="156"/>
      <c r="AG577" s="156"/>
      <c r="AH577" s="156"/>
      <c r="AI577" s="29"/>
      <c r="AJ577" s="29"/>
      <c r="AK577" s="29"/>
      <c r="AL577" s="29"/>
    </row>
    <row r="578" spans="1:38">
      <c r="A578" s="673" t="e">
        <f>+'Estimate Details'!#REF!</f>
        <v>#REF!</v>
      </c>
      <c r="B578" s="673"/>
      <c r="C578" s="673"/>
      <c r="D578" s="674"/>
      <c r="E578" s="675" t="e">
        <f>+'Estimate Details'!#REF!</f>
        <v>#REF!</v>
      </c>
      <c r="F578" s="676"/>
      <c r="G578" s="677" t="e">
        <f>+'Estimate Details'!#REF!</f>
        <v>#REF!</v>
      </c>
      <c r="H578" s="678" t="e">
        <f>+'Estimate Details'!#REF!</f>
        <v>#REF!</v>
      </c>
      <c r="I578" s="678" t="e">
        <f>+'Estimate Details'!#REF!</f>
        <v>#REF!</v>
      </c>
      <c r="J578" s="677" t="e">
        <f>+'Estimate Details'!#REF!</f>
        <v>#REF!</v>
      </c>
      <c r="K578" s="677" t="e">
        <f>+'Estimate Details'!#REF!</f>
        <v>#REF!</v>
      </c>
      <c r="L578" s="677" t="e">
        <f>+'Estimate Details'!#REF!</f>
        <v>#REF!</v>
      </c>
      <c r="M578" s="236" t="e">
        <f>+'Estimate Details'!#REF!</f>
        <v>#REF!</v>
      </c>
      <c r="N578" s="699" t="e">
        <f>+'Estimate Details'!#REF!</f>
        <v>#REF!</v>
      </c>
      <c r="O578" s="681" t="e">
        <f>+'Estimate Details'!#REF!</f>
        <v>#REF!</v>
      </c>
      <c r="P578" s="682" t="e">
        <f>+'Estimate Details'!#REF!</f>
        <v>#REF!</v>
      </c>
      <c r="Q578" s="683" t="e">
        <f>+'Estimate Details'!#REF!</f>
        <v>#REF!</v>
      </c>
      <c r="R578" s="684" t="e">
        <f>+'Estimate Details'!#REF!</f>
        <v>#REF!</v>
      </c>
      <c r="S578" s="685"/>
      <c r="T578" s="684" t="e">
        <f>+'Estimate Details'!#REF!</f>
        <v>#REF!</v>
      </c>
      <c r="U578" s="686" t="s">
        <v>1311</v>
      </c>
      <c r="V578" s="682" t="e">
        <f>+'Estimate Details'!#REF!</f>
        <v>#REF!</v>
      </c>
      <c r="W578" s="686" t="s">
        <v>1311</v>
      </c>
      <c r="X578" s="682" t="e">
        <f>+'Estimate Details'!#REF!</f>
        <v>#REF!</v>
      </c>
      <c r="Y578" s="682" t="e">
        <f>+'Estimate Details'!#REF!</f>
        <v>#REF!</v>
      </c>
      <c r="Z578" s="684" t="e">
        <f>+'Estimate Details'!#REF!</f>
        <v>#REF!</v>
      </c>
      <c r="AA578" s="686"/>
      <c r="AB578" s="687" t="e">
        <f>+'Estimate Details'!#REF!</f>
        <v>#REF!</v>
      </c>
      <c r="AC578" s="688"/>
      <c r="AD578" s="696" t="e">
        <f>+'Estimate Details'!#REF!</f>
        <v>#REF!</v>
      </c>
      <c r="AE578" s="156"/>
      <c r="AF578" s="156"/>
      <c r="AG578" s="156"/>
      <c r="AH578" s="156"/>
      <c r="AI578" s="29"/>
      <c r="AJ578" s="29"/>
      <c r="AK578" s="29"/>
      <c r="AL578" s="29"/>
    </row>
    <row r="579" spans="1:38">
      <c r="A579" s="673" t="e">
        <f>+'Estimate Details'!#REF!</f>
        <v>#REF!</v>
      </c>
      <c r="B579" s="673"/>
      <c r="C579" s="673"/>
      <c r="D579" s="674"/>
      <c r="E579" s="675" t="e">
        <f>+'Estimate Details'!#REF!</f>
        <v>#REF!</v>
      </c>
      <c r="F579" s="676"/>
      <c r="G579" s="677" t="e">
        <f>+'Estimate Details'!#REF!</f>
        <v>#REF!</v>
      </c>
      <c r="H579" s="678" t="e">
        <f>+'Estimate Details'!#REF!</f>
        <v>#REF!</v>
      </c>
      <c r="I579" s="678" t="e">
        <f>+'Estimate Details'!#REF!</f>
        <v>#REF!</v>
      </c>
      <c r="J579" s="677" t="e">
        <f>+'Estimate Details'!#REF!</f>
        <v>#REF!</v>
      </c>
      <c r="K579" s="677" t="e">
        <f>+'Estimate Details'!#REF!</f>
        <v>#REF!</v>
      </c>
      <c r="L579" s="677" t="e">
        <f>+'Estimate Details'!#REF!</f>
        <v>#REF!</v>
      </c>
      <c r="M579" s="236" t="e">
        <f>+'Estimate Details'!#REF!</f>
        <v>#REF!</v>
      </c>
      <c r="N579" s="699" t="e">
        <f>+'Estimate Details'!#REF!</f>
        <v>#REF!</v>
      </c>
      <c r="O579" s="681" t="e">
        <f>+'Estimate Details'!#REF!</f>
        <v>#REF!</v>
      </c>
      <c r="P579" s="682" t="e">
        <f>+'Estimate Details'!#REF!</f>
        <v>#REF!</v>
      </c>
      <c r="Q579" s="683" t="e">
        <f>+'Estimate Details'!#REF!</f>
        <v>#REF!</v>
      </c>
      <c r="R579" s="684" t="e">
        <f>+'Estimate Details'!#REF!</f>
        <v>#REF!</v>
      </c>
      <c r="S579" s="685"/>
      <c r="T579" s="684" t="e">
        <f>+'Estimate Details'!#REF!</f>
        <v>#REF!</v>
      </c>
      <c r="U579" s="686" t="s">
        <v>1311</v>
      </c>
      <c r="V579" s="682" t="e">
        <f>+'Estimate Details'!#REF!</f>
        <v>#REF!</v>
      </c>
      <c r="W579" s="686" t="s">
        <v>1311</v>
      </c>
      <c r="X579" s="682" t="e">
        <f>+'Estimate Details'!#REF!</f>
        <v>#REF!</v>
      </c>
      <c r="Y579" s="682" t="e">
        <f>+'Estimate Details'!#REF!</f>
        <v>#REF!</v>
      </c>
      <c r="Z579" s="684" t="e">
        <f>+'Estimate Details'!#REF!</f>
        <v>#REF!</v>
      </c>
      <c r="AA579" s="686"/>
      <c r="AB579" s="687" t="e">
        <f>+'Estimate Details'!#REF!</f>
        <v>#REF!</v>
      </c>
      <c r="AC579" s="688"/>
      <c r="AD579" s="696" t="e">
        <f>+'Estimate Details'!#REF!</f>
        <v>#REF!</v>
      </c>
      <c r="AE579" s="156"/>
      <c r="AF579" s="156"/>
      <c r="AG579" s="156"/>
      <c r="AH579" s="156"/>
      <c r="AI579" s="29"/>
      <c r="AJ579" s="29"/>
      <c r="AK579" s="29"/>
      <c r="AL579" s="29"/>
    </row>
    <row r="580" spans="1:38" ht="14.1" customHeight="1">
      <c r="A580" s="673" t="e">
        <f>+'Estimate Details'!#REF!</f>
        <v>#REF!</v>
      </c>
      <c r="B580" s="673"/>
      <c r="C580" s="673"/>
      <c r="D580" s="674"/>
      <c r="E580" s="675" t="e">
        <f>+'Estimate Details'!#REF!</f>
        <v>#REF!</v>
      </c>
      <c r="F580" s="676"/>
      <c r="G580" s="677" t="e">
        <f>+'Estimate Details'!#REF!</f>
        <v>#REF!</v>
      </c>
      <c r="H580" s="678" t="e">
        <f>+'Estimate Details'!#REF!</f>
        <v>#REF!</v>
      </c>
      <c r="I580" s="678" t="e">
        <f>+'Estimate Details'!#REF!</f>
        <v>#REF!</v>
      </c>
      <c r="J580" s="677" t="e">
        <f>+'Estimate Details'!#REF!</f>
        <v>#REF!</v>
      </c>
      <c r="K580" s="677" t="e">
        <f>+'Estimate Details'!#REF!</f>
        <v>#REF!</v>
      </c>
      <c r="L580" s="677" t="e">
        <f>+'Estimate Details'!#REF!</f>
        <v>#REF!</v>
      </c>
      <c r="M580" s="236" t="e">
        <f>+'Estimate Details'!#REF!</f>
        <v>#REF!</v>
      </c>
      <c r="N580" s="699" t="e">
        <f>+'Estimate Details'!#REF!</f>
        <v>#REF!</v>
      </c>
      <c r="O580" s="681" t="e">
        <f>+'Estimate Details'!#REF!</f>
        <v>#REF!</v>
      </c>
      <c r="P580" s="682" t="e">
        <f>+'Estimate Details'!#REF!</f>
        <v>#REF!</v>
      </c>
      <c r="Q580" s="683" t="e">
        <f>+'Estimate Details'!#REF!</f>
        <v>#REF!</v>
      </c>
      <c r="R580" s="684" t="e">
        <f>+'Estimate Details'!#REF!</f>
        <v>#REF!</v>
      </c>
      <c r="S580" s="685"/>
      <c r="T580" s="684" t="e">
        <f>+'Estimate Details'!#REF!</f>
        <v>#REF!</v>
      </c>
      <c r="U580" s="686" t="s">
        <v>1311</v>
      </c>
      <c r="V580" s="682" t="e">
        <f>+'Estimate Details'!#REF!</f>
        <v>#REF!</v>
      </c>
      <c r="W580" s="686" t="s">
        <v>1311</v>
      </c>
      <c r="X580" s="682" t="e">
        <f>+'Estimate Details'!#REF!</f>
        <v>#REF!</v>
      </c>
      <c r="Y580" s="682" t="e">
        <f>+'Estimate Details'!#REF!</f>
        <v>#REF!</v>
      </c>
      <c r="Z580" s="684" t="e">
        <f>+'Estimate Details'!#REF!</f>
        <v>#REF!</v>
      </c>
      <c r="AA580" s="686"/>
      <c r="AB580" s="687" t="e">
        <f>+'Estimate Details'!#REF!</f>
        <v>#REF!</v>
      </c>
      <c r="AC580" s="688"/>
      <c r="AD580" s="696" t="e">
        <f>+'Estimate Details'!#REF!</f>
        <v>#REF!</v>
      </c>
      <c r="AE580" s="156"/>
      <c r="AF580" s="156"/>
      <c r="AG580" s="156"/>
      <c r="AH580" s="156"/>
      <c r="AI580" s="29"/>
      <c r="AJ580" s="29"/>
      <c r="AK580" s="29"/>
      <c r="AL580" s="29"/>
    </row>
    <row r="581" spans="1:38" ht="14.1" customHeight="1">
      <c r="A581" s="673" t="e">
        <f>+'Estimate Details'!#REF!</f>
        <v>#REF!</v>
      </c>
      <c r="B581" s="673"/>
      <c r="C581" s="673"/>
      <c r="D581" s="674"/>
      <c r="E581" s="675" t="e">
        <f>+'Estimate Details'!#REF!</f>
        <v>#REF!</v>
      </c>
      <c r="F581" s="676"/>
      <c r="G581" s="677" t="e">
        <f>+'Estimate Details'!#REF!</f>
        <v>#REF!</v>
      </c>
      <c r="H581" s="678" t="e">
        <f>+'Estimate Details'!#REF!</f>
        <v>#REF!</v>
      </c>
      <c r="I581" s="678" t="e">
        <f>+'Estimate Details'!#REF!</f>
        <v>#REF!</v>
      </c>
      <c r="J581" s="677" t="e">
        <f>+'Estimate Details'!#REF!</f>
        <v>#REF!</v>
      </c>
      <c r="K581" s="677" t="e">
        <f>+'Estimate Details'!#REF!</f>
        <v>#REF!</v>
      </c>
      <c r="L581" s="677" t="e">
        <f>+'Estimate Details'!#REF!</f>
        <v>#REF!</v>
      </c>
      <c r="M581" s="236" t="e">
        <f>+'Estimate Details'!#REF!</f>
        <v>#REF!</v>
      </c>
      <c r="N581" s="699" t="e">
        <f>+'Estimate Details'!#REF!</f>
        <v>#REF!</v>
      </c>
      <c r="O581" s="681" t="e">
        <f>+'Estimate Details'!#REF!</f>
        <v>#REF!</v>
      </c>
      <c r="P581" s="682" t="e">
        <f>+'Estimate Details'!#REF!</f>
        <v>#REF!</v>
      </c>
      <c r="Q581" s="683" t="e">
        <f>+'Estimate Details'!#REF!</f>
        <v>#REF!</v>
      </c>
      <c r="R581" s="684" t="e">
        <f>+'Estimate Details'!#REF!</f>
        <v>#REF!</v>
      </c>
      <c r="S581" s="685"/>
      <c r="T581" s="684" t="e">
        <f>+'Estimate Details'!#REF!</f>
        <v>#REF!</v>
      </c>
      <c r="U581" s="686" t="s">
        <v>1311</v>
      </c>
      <c r="V581" s="682" t="e">
        <f>+'Estimate Details'!#REF!</f>
        <v>#REF!</v>
      </c>
      <c r="W581" s="686" t="s">
        <v>1311</v>
      </c>
      <c r="X581" s="682" t="e">
        <f>+'Estimate Details'!#REF!</f>
        <v>#REF!</v>
      </c>
      <c r="Y581" s="682" t="e">
        <f>+'Estimate Details'!#REF!</f>
        <v>#REF!</v>
      </c>
      <c r="Z581" s="684" t="e">
        <f>+'Estimate Details'!#REF!</f>
        <v>#REF!</v>
      </c>
      <c r="AA581" s="686"/>
      <c r="AB581" s="687" t="e">
        <f>+'Estimate Details'!#REF!</f>
        <v>#REF!</v>
      </c>
      <c r="AC581" s="688"/>
      <c r="AD581" s="696" t="e">
        <f>+'Estimate Details'!#REF!</f>
        <v>#REF!</v>
      </c>
      <c r="AE581" s="156"/>
      <c r="AF581" s="156"/>
      <c r="AG581" s="156"/>
      <c r="AH581" s="156"/>
      <c r="AI581" s="29"/>
      <c r="AJ581" s="29"/>
      <c r="AK581" s="29"/>
      <c r="AL581" s="29"/>
    </row>
    <row r="582" spans="1:38" ht="14.1" customHeight="1">
      <c r="A582" s="673" t="e">
        <f>+'Estimate Details'!#REF!</f>
        <v>#REF!</v>
      </c>
      <c r="B582" s="673"/>
      <c r="C582" s="673"/>
      <c r="D582" s="674"/>
      <c r="E582" s="675" t="e">
        <f>+'Estimate Details'!#REF!</f>
        <v>#REF!</v>
      </c>
      <c r="F582" s="676"/>
      <c r="G582" s="677" t="e">
        <f>+'Estimate Details'!#REF!</f>
        <v>#REF!</v>
      </c>
      <c r="H582" s="678" t="e">
        <f>+'Estimate Details'!#REF!</f>
        <v>#REF!</v>
      </c>
      <c r="I582" s="678" t="e">
        <f>+'Estimate Details'!#REF!</f>
        <v>#REF!</v>
      </c>
      <c r="J582" s="677" t="e">
        <f>+'Estimate Details'!#REF!</f>
        <v>#REF!</v>
      </c>
      <c r="K582" s="677" t="e">
        <f>+'Estimate Details'!#REF!</f>
        <v>#REF!</v>
      </c>
      <c r="L582" s="677" t="e">
        <f>+'Estimate Details'!#REF!</f>
        <v>#REF!</v>
      </c>
      <c r="M582" s="236" t="e">
        <f>+'Estimate Details'!#REF!</f>
        <v>#REF!</v>
      </c>
      <c r="N582" s="699" t="e">
        <f>+'Estimate Details'!#REF!</f>
        <v>#REF!</v>
      </c>
      <c r="O582" s="681" t="e">
        <f>+'Estimate Details'!#REF!</f>
        <v>#REF!</v>
      </c>
      <c r="P582" s="682" t="e">
        <f>+'Estimate Details'!#REF!</f>
        <v>#REF!</v>
      </c>
      <c r="Q582" s="683" t="e">
        <f>+'Estimate Details'!#REF!</f>
        <v>#REF!</v>
      </c>
      <c r="R582" s="684" t="e">
        <f>+'Estimate Details'!#REF!</f>
        <v>#REF!</v>
      </c>
      <c r="S582" s="685"/>
      <c r="T582" s="684" t="e">
        <f>+'Estimate Details'!#REF!</f>
        <v>#REF!</v>
      </c>
      <c r="U582" s="686" t="s">
        <v>1311</v>
      </c>
      <c r="V582" s="682" t="e">
        <f>+'Estimate Details'!#REF!</f>
        <v>#REF!</v>
      </c>
      <c r="W582" s="686" t="s">
        <v>1311</v>
      </c>
      <c r="X582" s="682" t="e">
        <f>+'Estimate Details'!#REF!</f>
        <v>#REF!</v>
      </c>
      <c r="Y582" s="682" t="e">
        <f>+'Estimate Details'!#REF!</f>
        <v>#REF!</v>
      </c>
      <c r="Z582" s="684" t="e">
        <f>+'Estimate Details'!#REF!</f>
        <v>#REF!</v>
      </c>
      <c r="AA582" s="686"/>
      <c r="AB582" s="687" t="e">
        <f>+'Estimate Details'!#REF!</f>
        <v>#REF!</v>
      </c>
      <c r="AC582" s="688"/>
      <c r="AD582" s="696" t="e">
        <f>+'Estimate Details'!#REF!</f>
        <v>#REF!</v>
      </c>
      <c r="AE582" s="156"/>
      <c r="AF582" s="156"/>
      <c r="AG582" s="156"/>
      <c r="AH582" s="156"/>
      <c r="AI582" s="29"/>
      <c r="AJ582" s="29"/>
      <c r="AK582" s="29"/>
      <c r="AL582" s="29"/>
    </row>
    <row r="583" spans="1:38" ht="14.1" customHeight="1">
      <c r="A583" s="673" t="e">
        <f>+'Estimate Details'!#REF!</f>
        <v>#REF!</v>
      </c>
      <c r="B583" s="673"/>
      <c r="C583" s="673"/>
      <c r="D583" s="674"/>
      <c r="E583" s="675" t="e">
        <f>+'Estimate Details'!#REF!</f>
        <v>#REF!</v>
      </c>
      <c r="F583" s="676"/>
      <c r="G583" s="677" t="e">
        <f>+'Estimate Details'!#REF!</f>
        <v>#REF!</v>
      </c>
      <c r="H583" s="678" t="e">
        <f>+'Estimate Details'!#REF!</f>
        <v>#REF!</v>
      </c>
      <c r="I583" s="678" t="e">
        <f>+'Estimate Details'!#REF!</f>
        <v>#REF!</v>
      </c>
      <c r="J583" s="677" t="e">
        <f>+'Estimate Details'!#REF!</f>
        <v>#REF!</v>
      </c>
      <c r="K583" s="677" t="e">
        <f>+'Estimate Details'!#REF!</f>
        <v>#REF!</v>
      </c>
      <c r="L583" s="677" t="e">
        <f>+'Estimate Details'!#REF!</f>
        <v>#REF!</v>
      </c>
      <c r="M583" s="236" t="e">
        <f>+'Estimate Details'!#REF!</f>
        <v>#REF!</v>
      </c>
      <c r="N583" s="699" t="e">
        <f>+'Estimate Details'!#REF!</f>
        <v>#REF!</v>
      </c>
      <c r="O583" s="681" t="e">
        <f>+'Estimate Details'!#REF!</f>
        <v>#REF!</v>
      </c>
      <c r="P583" s="682" t="e">
        <f>+'Estimate Details'!#REF!</f>
        <v>#REF!</v>
      </c>
      <c r="Q583" s="683" t="e">
        <f>+'Estimate Details'!#REF!</f>
        <v>#REF!</v>
      </c>
      <c r="R583" s="684" t="e">
        <f>+'Estimate Details'!#REF!</f>
        <v>#REF!</v>
      </c>
      <c r="S583" s="685"/>
      <c r="T583" s="684" t="e">
        <f>+'Estimate Details'!#REF!</f>
        <v>#REF!</v>
      </c>
      <c r="U583" s="686" t="s">
        <v>1311</v>
      </c>
      <c r="V583" s="682" t="e">
        <f>+'Estimate Details'!#REF!</f>
        <v>#REF!</v>
      </c>
      <c r="W583" s="686" t="s">
        <v>1311</v>
      </c>
      <c r="X583" s="682" t="e">
        <f>+'Estimate Details'!#REF!</f>
        <v>#REF!</v>
      </c>
      <c r="Y583" s="682" t="e">
        <f>+'Estimate Details'!#REF!</f>
        <v>#REF!</v>
      </c>
      <c r="Z583" s="684" t="e">
        <f>+'Estimate Details'!#REF!</f>
        <v>#REF!</v>
      </c>
      <c r="AA583" s="686"/>
      <c r="AB583" s="687" t="e">
        <f>+'Estimate Details'!#REF!</f>
        <v>#REF!</v>
      </c>
      <c r="AC583" s="688"/>
      <c r="AD583" s="696" t="e">
        <f>+'Estimate Details'!#REF!</f>
        <v>#REF!</v>
      </c>
      <c r="AE583" s="156"/>
      <c r="AF583" s="370"/>
      <c r="AG583" s="156"/>
      <c r="AH583" s="156"/>
      <c r="AI583" s="29"/>
      <c r="AJ583" s="29"/>
      <c r="AK583" s="29"/>
      <c r="AL583" s="29"/>
    </row>
    <row r="584" spans="1:38" ht="14.1" customHeight="1">
      <c r="A584" s="673" t="e">
        <f>+'Estimate Details'!#REF!</f>
        <v>#REF!</v>
      </c>
      <c r="B584" s="673"/>
      <c r="C584" s="673"/>
      <c r="D584" s="674"/>
      <c r="E584" s="675" t="e">
        <f>+'Estimate Details'!#REF!</f>
        <v>#REF!</v>
      </c>
      <c r="F584" s="676"/>
      <c r="G584" s="677" t="e">
        <f>+'Estimate Details'!#REF!</f>
        <v>#REF!</v>
      </c>
      <c r="H584" s="678" t="e">
        <f>+'Estimate Details'!#REF!</f>
        <v>#REF!</v>
      </c>
      <c r="I584" s="678" t="e">
        <f>+'Estimate Details'!#REF!</f>
        <v>#REF!</v>
      </c>
      <c r="J584" s="677" t="e">
        <f>+'Estimate Details'!#REF!</f>
        <v>#REF!</v>
      </c>
      <c r="K584" s="677" t="e">
        <f>+'Estimate Details'!#REF!</f>
        <v>#REF!</v>
      </c>
      <c r="L584" s="677" t="e">
        <f>+'Estimate Details'!#REF!</f>
        <v>#REF!</v>
      </c>
      <c r="M584" s="236" t="e">
        <f>+'Estimate Details'!#REF!</f>
        <v>#REF!</v>
      </c>
      <c r="N584" s="699" t="e">
        <f>+'Estimate Details'!#REF!</f>
        <v>#REF!</v>
      </c>
      <c r="O584" s="681" t="e">
        <f>+'Estimate Details'!#REF!</f>
        <v>#REF!</v>
      </c>
      <c r="P584" s="682" t="e">
        <f>+'Estimate Details'!#REF!</f>
        <v>#REF!</v>
      </c>
      <c r="Q584" s="683" t="e">
        <f>+'Estimate Details'!#REF!</f>
        <v>#REF!</v>
      </c>
      <c r="R584" s="684" t="e">
        <f>+'Estimate Details'!#REF!</f>
        <v>#REF!</v>
      </c>
      <c r="S584" s="685"/>
      <c r="T584" s="684" t="e">
        <f>+'Estimate Details'!#REF!</f>
        <v>#REF!</v>
      </c>
      <c r="U584" s="686" t="s">
        <v>1311</v>
      </c>
      <c r="V584" s="682" t="e">
        <f>+'Estimate Details'!#REF!</f>
        <v>#REF!</v>
      </c>
      <c r="W584" s="686" t="s">
        <v>1311</v>
      </c>
      <c r="X584" s="682" t="e">
        <f>+'Estimate Details'!#REF!</f>
        <v>#REF!</v>
      </c>
      <c r="Y584" s="682" t="e">
        <f>+'Estimate Details'!#REF!</f>
        <v>#REF!</v>
      </c>
      <c r="Z584" s="684" t="e">
        <f>+'Estimate Details'!#REF!</f>
        <v>#REF!</v>
      </c>
      <c r="AA584" s="686"/>
      <c r="AB584" s="687" t="e">
        <f>+'Estimate Details'!#REF!</f>
        <v>#REF!</v>
      </c>
      <c r="AC584" s="688"/>
      <c r="AD584" s="696" t="e">
        <f>+'Estimate Details'!#REF!</f>
        <v>#REF!</v>
      </c>
      <c r="AE584" s="156"/>
      <c r="AF584" s="370"/>
      <c r="AG584" s="156"/>
      <c r="AH584" s="156"/>
      <c r="AI584" s="29"/>
      <c r="AJ584" s="29"/>
      <c r="AK584" s="29"/>
      <c r="AL584" s="29"/>
    </row>
    <row r="585" spans="1:38" ht="14.1" customHeight="1">
      <c r="A585" s="673" t="e">
        <f>+'Estimate Details'!#REF!</f>
        <v>#REF!</v>
      </c>
      <c r="B585" s="673"/>
      <c r="C585" s="673"/>
      <c r="D585" s="674"/>
      <c r="E585" s="675" t="e">
        <f>+'Estimate Details'!#REF!</f>
        <v>#REF!</v>
      </c>
      <c r="F585" s="676"/>
      <c r="G585" s="677" t="e">
        <f>+'Estimate Details'!#REF!</f>
        <v>#REF!</v>
      </c>
      <c r="H585" s="678" t="e">
        <f>+'Estimate Details'!#REF!</f>
        <v>#REF!</v>
      </c>
      <c r="I585" s="678" t="e">
        <f>+'Estimate Details'!#REF!</f>
        <v>#REF!</v>
      </c>
      <c r="J585" s="677" t="e">
        <f>+'Estimate Details'!#REF!</f>
        <v>#REF!</v>
      </c>
      <c r="K585" s="677" t="e">
        <f>+'Estimate Details'!#REF!</f>
        <v>#REF!</v>
      </c>
      <c r="L585" s="677" t="e">
        <f>+'Estimate Details'!#REF!</f>
        <v>#REF!</v>
      </c>
      <c r="M585" s="236" t="e">
        <f>+'Estimate Details'!#REF!</f>
        <v>#REF!</v>
      </c>
      <c r="N585" s="699" t="e">
        <f>+'Estimate Details'!#REF!</f>
        <v>#REF!</v>
      </c>
      <c r="O585" s="681" t="e">
        <f>+'Estimate Details'!#REF!</f>
        <v>#REF!</v>
      </c>
      <c r="P585" s="682" t="e">
        <f>+'Estimate Details'!#REF!</f>
        <v>#REF!</v>
      </c>
      <c r="Q585" s="683" t="e">
        <f>+'Estimate Details'!#REF!</f>
        <v>#REF!</v>
      </c>
      <c r="R585" s="684" t="e">
        <f>+'Estimate Details'!#REF!</f>
        <v>#REF!</v>
      </c>
      <c r="S585" s="685"/>
      <c r="T585" s="684" t="e">
        <f>+'Estimate Details'!#REF!</f>
        <v>#REF!</v>
      </c>
      <c r="U585" s="686" t="s">
        <v>1311</v>
      </c>
      <c r="V585" s="682" t="e">
        <f>+'Estimate Details'!#REF!</f>
        <v>#REF!</v>
      </c>
      <c r="W585" s="686" t="s">
        <v>1311</v>
      </c>
      <c r="X585" s="682" t="e">
        <f>+'Estimate Details'!#REF!</f>
        <v>#REF!</v>
      </c>
      <c r="Y585" s="682" t="e">
        <f>+'Estimate Details'!#REF!</f>
        <v>#REF!</v>
      </c>
      <c r="Z585" s="684" t="e">
        <f>+'Estimate Details'!#REF!</f>
        <v>#REF!</v>
      </c>
      <c r="AA585" s="686"/>
      <c r="AB585" s="687" t="e">
        <f>+'Estimate Details'!#REF!</f>
        <v>#REF!</v>
      </c>
      <c r="AC585" s="688"/>
      <c r="AD585" s="696" t="e">
        <f>+'Estimate Details'!#REF!</f>
        <v>#REF!</v>
      </c>
      <c r="AE585" s="156"/>
      <c r="AF585" s="370"/>
      <c r="AG585" s="156"/>
      <c r="AH585" s="156"/>
      <c r="AI585" s="29"/>
      <c r="AJ585" s="29"/>
      <c r="AK585" s="29"/>
      <c r="AL585" s="29"/>
    </row>
    <row r="586" spans="1:38" ht="14.1" customHeight="1">
      <c r="A586" s="673" t="e">
        <f>+'Estimate Details'!#REF!</f>
        <v>#REF!</v>
      </c>
      <c r="B586" s="673"/>
      <c r="C586" s="673"/>
      <c r="D586" s="674"/>
      <c r="E586" s="675" t="e">
        <f>+'Estimate Details'!#REF!</f>
        <v>#REF!</v>
      </c>
      <c r="F586" s="676"/>
      <c r="G586" s="677" t="e">
        <f>+'Estimate Details'!#REF!</f>
        <v>#REF!</v>
      </c>
      <c r="H586" s="678" t="e">
        <f>+'Estimate Details'!#REF!</f>
        <v>#REF!</v>
      </c>
      <c r="I586" s="678" t="e">
        <f>+'Estimate Details'!#REF!</f>
        <v>#REF!</v>
      </c>
      <c r="J586" s="677" t="e">
        <f>+'Estimate Details'!#REF!</f>
        <v>#REF!</v>
      </c>
      <c r="K586" s="677" t="e">
        <f>+'Estimate Details'!#REF!</f>
        <v>#REF!</v>
      </c>
      <c r="L586" s="677" t="e">
        <f>+'Estimate Details'!#REF!</f>
        <v>#REF!</v>
      </c>
      <c r="M586" s="236" t="e">
        <f>+'Estimate Details'!#REF!</f>
        <v>#REF!</v>
      </c>
      <c r="N586" s="699" t="e">
        <f>+'Estimate Details'!#REF!</f>
        <v>#REF!</v>
      </c>
      <c r="O586" s="681" t="e">
        <f>+'Estimate Details'!#REF!</f>
        <v>#REF!</v>
      </c>
      <c r="P586" s="682" t="e">
        <f>+'Estimate Details'!#REF!</f>
        <v>#REF!</v>
      </c>
      <c r="Q586" s="683" t="e">
        <f>+'Estimate Details'!#REF!</f>
        <v>#REF!</v>
      </c>
      <c r="R586" s="684" t="e">
        <f>+'Estimate Details'!#REF!</f>
        <v>#REF!</v>
      </c>
      <c r="S586" s="685"/>
      <c r="T586" s="684" t="e">
        <f>+'Estimate Details'!#REF!</f>
        <v>#REF!</v>
      </c>
      <c r="U586" s="686" t="s">
        <v>1311</v>
      </c>
      <c r="V586" s="682" t="e">
        <f>+'Estimate Details'!#REF!</f>
        <v>#REF!</v>
      </c>
      <c r="W586" s="686" t="s">
        <v>1311</v>
      </c>
      <c r="X586" s="682" t="e">
        <f>+'Estimate Details'!#REF!</f>
        <v>#REF!</v>
      </c>
      <c r="Y586" s="682" t="e">
        <f>+'Estimate Details'!#REF!</f>
        <v>#REF!</v>
      </c>
      <c r="Z586" s="684" t="e">
        <f>+'Estimate Details'!#REF!</f>
        <v>#REF!</v>
      </c>
      <c r="AA586" s="686"/>
      <c r="AB586" s="687" t="e">
        <f>+'Estimate Details'!#REF!</f>
        <v>#REF!</v>
      </c>
      <c r="AC586" s="688"/>
      <c r="AD586" s="696" t="e">
        <f>+'Estimate Details'!#REF!</f>
        <v>#REF!</v>
      </c>
      <c r="AE586" s="156"/>
      <c r="AF586" s="370"/>
      <c r="AG586" s="156"/>
      <c r="AH586" s="156"/>
      <c r="AI586" s="29"/>
      <c r="AJ586" s="29"/>
      <c r="AK586" s="29"/>
      <c r="AL586" s="29"/>
    </row>
    <row r="587" spans="1:38" ht="14.1" customHeight="1">
      <c r="A587" s="673" t="e">
        <f>+'Estimate Details'!#REF!</f>
        <v>#REF!</v>
      </c>
      <c r="B587" s="673"/>
      <c r="C587" s="673"/>
      <c r="D587" s="674"/>
      <c r="E587" s="675" t="e">
        <f>+'Estimate Details'!#REF!</f>
        <v>#REF!</v>
      </c>
      <c r="F587" s="676"/>
      <c r="G587" s="677" t="e">
        <f>+'Estimate Details'!#REF!</f>
        <v>#REF!</v>
      </c>
      <c r="H587" s="678" t="e">
        <f>+'Estimate Details'!#REF!</f>
        <v>#REF!</v>
      </c>
      <c r="I587" s="678" t="e">
        <f>+'Estimate Details'!#REF!</f>
        <v>#REF!</v>
      </c>
      <c r="J587" s="677" t="e">
        <f>+'Estimate Details'!#REF!</f>
        <v>#REF!</v>
      </c>
      <c r="K587" s="677" t="e">
        <f>+'Estimate Details'!#REF!</f>
        <v>#REF!</v>
      </c>
      <c r="L587" s="677" t="e">
        <f>+'Estimate Details'!#REF!</f>
        <v>#REF!</v>
      </c>
      <c r="M587" s="236" t="e">
        <f>+'Estimate Details'!#REF!</f>
        <v>#REF!</v>
      </c>
      <c r="N587" s="699" t="e">
        <f>+'Estimate Details'!#REF!</f>
        <v>#REF!</v>
      </c>
      <c r="O587" s="681" t="e">
        <f>+'Estimate Details'!#REF!</f>
        <v>#REF!</v>
      </c>
      <c r="P587" s="682" t="e">
        <f>+'Estimate Details'!#REF!</f>
        <v>#REF!</v>
      </c>
      <c r="Q587" s="683" t="e">
        <f>+'Estimate Details'!#REF!</f>
        <v>#REF!</v>
      </c>
      <c r="R587" s="684" t="e">
        <f>+'Estimate Details'!#REF!</f>
        <v>#REF!</v>
      </c>
      <c r="S587" s="685"/>
      <c r="T587" s="684" t="e">
        <f>+'Estimate Details'!#REF!</f>
        <v>#REF!</v>
      </c>
      <c r="U587" s="686" t="s">
        <v>1311</v>
      </c>
      <c r="V587" s="682" t="e">
        <f>+'Estimate Details'!#REF!</f>
        <v>#REF!</v>
      </c>
      <c r="W587" s="686" t="s">
        <v>1311</v>
      </c>
      <c r="X587" s="682" t="e">
        <f>+'Estimate Details'!#REF!</f>
        <v>#REF!</v>
      </c>
      <c r="Y587" s="682" t="e">
        <f>+'Estimate Details'!#REF!</f>
        <v>#REF!</v>
      </c>
      <c r="Z587" s="684" t="e">
        <f>+'Estimate Details'!#REF!</f>
        <v>#REF!</v>
      </c>
      <c r="AA587" s="686"/>
      <c r="AB587" s="687" t="e">
        <f>+'Estimate Details'!#REF!</f>
        <v>#REF!</v>
      </c>
      <c r="AC587" s="688"/>
      <c r="AD587" s="696" t="e">
        <f>+'Estimate Details'!#REF!</f>
        <v>#REF!</v>
      </c>
      <c r="AE587" s="156"/>
      <c r="AF587" s="370"/>
      <c r="AG587" s="156"/>
      <c r="AH587" s="156"/>
      <c r="AI587" s="29"/>
      <c r="AJ587" s="29"/>
      <c r="AK587" s="29"/>
      <c r="AL587" s="29"/>
    </row>
    <row r="588" spans="1:38" ht="14.1" customHeight="1">
      <c r="A588" s="673" t="e">
        <f>+'Estimate Details'!#REF!</f>
        <v>#REF!</v>
      </c>
      <c r="B588" s="673"/>
      <c r="C588" s="673"/>
      <c r="D588" s="674"/>
      <c r="E588" s="675" t="e">
        <f>+'Estimate Details'!#REF!</f>
        <v>#REF!</v>
      </c>
      <c r="F588" s="676"/>
      <c r="G588" s="677" t="e">
        <f>+'Estimate Details'!#REF!</f>
        <v>#REF!</v>
      </c>
      <c r="H588" s="678" t="e">
        <f>+'Estimate Details'!#REF!</f>
        <v>#REF!</v>
      </c>
      <c r="I588" s="678" t="e">
        <f>+'Estimate Details'!#REF!</f>
        <v>#REF!</v>
      </c>
      <c r="J588" s="677" t="e">
        <f>+'Estimate Details'!#REF!</f>
        <v>#REF!</v>
      </c>
      <c r="K588" s="677" t="e">
        <f>+'Estimate Details'!#REF!</f>
        <v>#REF!</v>
      </c>
      <c r="L588" s="677" t="e">
        <f>+'Estimate Details'!#REF!</f>
        <v>#REF!</v>
      </c>
      <c r="M588" s="236" t="e">
        <f>+'Estimate Details'!#REF!</f>
        <v>#REF!</v>
      </c>
      <c r="N588" s="699" t="e">
        <f>+'Estimate Details'!#REF!</f>
        <v>#REF!</v>
      </c>
      <c r="O588" s="681" t="e">
        <f>+'Estimate Details'!#REF!</f>
        <v>#REF!</v>
      </c>
      <c r="P588" s="682" t="e">
        <f>+'Estimate Details'!#REF!</f>
        <v>#REF!</v>
      </c>
      <c r="Q588" s="683" t="e">
        <f>+'Estimate Details'!#REF!</f>
        <v>#REF!</v>
      </c>
      <c r="R588" s="684" t="e">
        <f>+'Estimate Details'!#REF!</f>
        <v>#REF!</v>
      </c>
      <c r="S588" s="685"/>
      <c r="T588" s="684" t="e">
        <f>+'Estimate Details'!#REF!</f>
        <v>#REF!</v>
      </c>
      <c r="U588" s="686" t="s">
        <v>1311</v>
      </c>
      <c r="V588" s="682" t="e">
        <f>+'Estimate Details'!#REF!</f>
        <v>#REF!</v>
      </c>
      <c r="W588" s="686" t="s">
        <v>1311</v>
      </c>
      <c r="X588" s="682" t="e">
        <f>+'Estimate Details'!#REF!</f>
        <v>#REF!</v>
      </c>
      <c r="Y588" s="682" t="e">
        <f>+'Estimate Details'!#REF!</f>
        <v>#REF!</v>
      </c>
      <c r="Z588" s="684" t="e">
        <f>+'Estimate Details'!#REF!</f>
        <v>#REF!</v>
      </c>
      <c r="AA588" s="686"/>
      <c r="AB588" s="687" t="e">
        <f>+'Estimate Details'!#REF!</f>
        <v>#REF!</v>
      </c>
      <c r="AC588" s="688"/>
      <c r="AD588" s="696" t="e">
        <f>+'Estimate Details'!#REF!</f>
        <v>#REF!</v>
      </c>
      <c r="AE588" s="156"/>
      <c r="AF588" s="370"/>
      <c r="AG588" s="156"/>
      <c r="AH588" s="156"/>
      <c r="AI588" s="29"/>
      <c r="AJ588" s="29"/>
      <c r="AK588" s="29"/>
      <c r="AL588" s="29"/>
    </row>
    <row r="589" spans="1:38" ht="14.1" customHeight="1">
      <c r="A589" s="673" t="e">
        <f>+'Estimate Details'!#REF!</f>
        <v>#REF!</v>
      </c>
      <c r="B589" s="673"/>
      <c r="C589" s="673"/>
      <c r="D589" s="674"/>
      <c r="E589" s="675" t="e">
        <f>+'Estimate Details'!#REF!</f>
        <v>#REF!</v>
      </c>
      <c r="F589" s="676"/>
      <c r="G589" s="677" t="e">
        <f>+'Estimate Details'!#REF!</f>
        <v>#REF!</v>
      </c>
      <c r="H589" s="678" t="e">
        <f>+'Estimate Details'!#REF!</f>
        <v>#REF!</v>
      </c>
      <c r="I589" s="678" t="e">
        <f>+'Estimate Details'!#REF!</f>
        <v>#REF!</v>
      </c>
      <c r="J589" s="677" t="e">
        <f>+'Estimate Details'!#REF!</f>
        <v>#REF!</v>
      </c>
      <c r="K589" s="677" t="e">
        <f>+'Estimate Details'!#REF!</f>
        <v>#REF!</v>
      </c>
      <c r="L589" s="677" t="e">
        <f>+'Estimate Details'!#REF!</f>
        <v>#REF!</v>
      </c>
      <c r="M589" s="236" t="e">
        <f>+'Estimate Details'!#REF!</f>
        <v>#REF!</v>
      </c>
      <c r="N589" s="699" t="e">
        <f>+'Estimate Details'!#REF!</f>
        <v>#REF!</v>
      </c>
      <c r="O589" s="681" t="e">
        <f>+'Estimate Details'!#REF!</f>
        <v>#REF!</v>
      </c>
      <c r="P589" s="682" t="e">
        <f>+'Estimate Details'!#REF!</f>
        <v>#REF!</v>
      </c>
      <c r="Q589" s="683" t="e">
        <f>+'Estimate Details'!#REF!</f>
        <v>#REF!</v>
      </c>
      <c r="R589" s="684" t="e">
        <f>+'Estimate Details'!#REF!</f>
        <v>#REF!</v>
      </c>
      <c r="S589" s="685"/>
      <c r="T589" s="684" t="e">
        <f>+'Estimate Details'!#REF!</f>
        <v>#REF!</v>
      </c>
      <c r="U589" s="686" t="s">
        <v>1311</v>
      </c>
      <c r="V589" s="682" t="e">
        <f>+'Estimate Details'!#REF!</f>
        <v>#REF!</v>
      </c>
      <c r="W589" s="686" t="s">
        <v>1311</v>
      </c>
      <c r="X589" s="682" t="e">
        <f>+'Estimate Details'!#REF!</f>
        <v>#REF!</v>
      </c>
      <c r="Y589" s="682" t="e">
        <f>+'Estimate Details'!#REF!</f>
        <v>#REF!</v>
      </c>
      <c r="Z589" s="684" t="e">
        <f>+'Estimate Details'!#REF!</f>
        <v>#REF!</v>
      </c>
      <c r="AA589" s="686"/>
      <c r="AB589" s="687" t="e">
        <f>+'Estimate Details'!#REF!</f>
        <v>#REF!</v>
      </c>
      <c r="AC589" s="688"/>
      <c r="AD589" s="696" t="e">
        <f>+'Estimate Details'!#REF!</f>
        <v>#REF!</v>
      </c>
      <c r="AE589" s="156"/>
      <c r="AF589" s="370"/>
      <c r="AG589" s="156"/>
      <c r="AH589" s="156"/>
      <c r="AI589" s="29"/>
      <c r="AJ589" s="29"/>
      <c r="AK589" s="29"/>
      <c r="AL589" s="29"/>
    </row>
    <row r="590" spans="1:38" ht="14.1" customHeight="1">
      <c r="A590" s="673" t="e">
        <f>+'Estimate Details'!#REF!</f>
        <v>#REF!</v>
      </c>
      <c r="B590" s="673"/>
      <c r="C590" s="673"/>
      <c r="D590" s="674"/>
      <c r="E590" s="675" t="e">
        <f>+'Estimate Details'!#REF!</f>
        <v>#REF!</v>
      </c>
      <c r="F590" s="676"/>
      <c r="G590" s="677" t="e">
        <f>+'Estimate Details'!#REF!</f>
        <v>#REF!</v>
      </c>
      <c r="H590" s="678" t="e">
        <f>+'Estimate Details'!#REF!</f>
        <v>#REF!</v>
      </c>
      <c r="I590" s="678" t="e">
        <f>+'Estimate Details'!#REF!</f>
        <v>#REF!</v>
      </c>
      <c r="J590" s="677" t="e">
        <f>+'Estimate Details'!#REF!</f>
        <v>#REF!</v>
      </c>
      <c r="K590" s="677" t="e">
        <f>+'Estimate Details'!#REF!</f>
        <v>#REF!</v>
      </c>
      <c r="L590" s="677" t="e">
        <f>+'Estimate Details'!#REF!</f>
        <v>#REF!</v>
      </c>
      <c r="M590" s="236" t="e">
        <f>+'Estimate Details'!#REF!</f>
        <v>#REF!</v>
      </c>
      <c r="N590" s="699" t="e">
        <f>+'Estimate Details'!#REF!</f>
        <v>#REF!</v>
      </c>
      <c r="O590" s="681" t="e">
        <f>+'Estimate Details'!#REF!</f>
        <v>#REF!</v>
      </c>
      <c r="P590" s="682" t="e">
        <f>+'Estimate Details'!#REF!</f>
        <v>#REF!</v>
      </c>
      <c r="Q590" s="683" t="e">
        <f>+'Estimate Details'!#REF!</f>
        <v>#REF!</v>
      </c>
      <c r="R590" s="684" t="e">
        <f>+'Estimate Details'!#REF!</f>
        <v>#REF!</v>
      </c>
      <c r="S590" s="685"/>
      <c r="T590" s="684" t="e">
        <f>+'Estimate Details'!#REF!</f>
        <v>#REF!</v>
      </c>
      <c r="U590" s="686" t="s">
        <v>1311</v>
      </c>
      <c r="V590" s="682" t="e">
        <f>+'Estimate Details'!#REF!</f>
        <v>#REF!</v>
      </c>
      <c r="W590" s="686" t="s">
        <v>1311</v>
      </c>
      <c r="X590" s="682" t="e">
        <f>+'Estimate Details'!#REF!</f>
        <v>#REF!</v>
      </c>
      <c r="Y590" s="682" t="e">
        <f>+'Estimate Details'!#REF!</f>
        <v>#REF!</v>
      </c>
      <c r="Z590" s="684" t="e">
        <f>+'Estimate Details'!#REF!</f>
        <v>#REF!</v>
      </c>
      <c r="AA590" s="686"/>
      <c r="AB590" s="687" t="e">
        <f>+'Estimate Details'!#REF!</f>
        <v>#REF!</v>
      </c>
      <c r="AC590" s="688"/>
      <c r="AD590" s="696" t="e">
        <f>+'Estimate Details'!#REF!</f>
        <v>#REF!</v>
      </c>
      <c r="AE590" s="156"/>
      <c r="AF590" s="370"/>
      <c r="AG590" s="156"/>
      <c r="AH590" s="156"/>
      <c r="AI590" s="29"/>
      <c r="AJ590" s="29"/>
      <c r="AK590" s="29"/>
      <c r="AL590" s="29"/>
    </row>
    <row r="591" spans="1:38" ht="14.1" customHeight="1">
      <c r="A591" s="673" t="e">
        <f>+'Estimate Details'!#REF!</f>
        <v>#REF!</v>
      </c>
      <c r="B591" s="673"/>
      <c r="C591" s="673"/>
      <c r="D591" s="674"/>
      <c r="E591" s="675" t="e">
        <f>+'Estimate Details'!#REF!</f>
        <v>#REF!</v>
      </c>
      <c r="F591" s="676"/>
      <c r="G591" s="677" t="e">
        <f>+'Estimate Details'!#REF!</f>
        <v>#REF!</v>
      </c>
      <c r="H591" s="678" t="e">
        <f>+'Estimate Details'!#REF!</f>
        <v>#REF!</v>
      </c>
      <c r="I591" s="678" t="e">
        <f>+'Estimate Details'!#REF!</f>
        <v>#REF!</v>
      </c>
      <c r="J591" s="677" t="e">
        <f>+'Estimate Details'!#REF!</f>
        <v>#REF!</v>
      </c>
      <c r="K591" s="677" t="e">
        <f>+'Estimate Details'!#REF!</f>
        <v>#REF!</v>
      </c>
      <c r="L591" s="677" t="e">
        <f>+'Estimate Details'!#REF!</f>
        <v>#REF!</v>
      </c>
      <c r="M591" s="236" t="e">
        <f>+'Estimate Details'!#REF!</f>
        <v>#REF!</v>
      </c>
      <c r="N591" s="699" t="e">
        <f>+'Estimate Details'!#REF!</f>
        <v>#REF!</v>
      </c>
      <c r="O591" s="681" t="e">
        <f>+'Estimate Details'!#REF!</f>
        <v>#REF!</v>
      </c>
      <c r="P591" s="682" t="e">
        <f>+'Estimate Details'!#REF!</f>
        <v>#REF!</v>
      </c>
      <c r="Q591" s="683" t="e">
        <f>+'Estimate Details'!#REF!</f>
        <v>#REF!</v>
      </c>
      <c r="R591" s="684" t="e">
        <f>+'Estimate Details'!#REF!</f>
        <v>#REF!</v>
      </c>
      <c r="S591" s="685"/>
      <c r="T591" s="684" t="e">
        <f>+'Estimate Details'!#REF!</f>
        <v>#REF!</v>
      </c>
      <c r="U591" s="686" t="s">
        <v>1311</v>
      </c>
      <c r="V591" s="682" t="e">
        <f>+'Estimate Details'!#REF!</f>
        <v>#REF!</v>
      </c>
      <c r="W591" s="686" t="s">
        <v>1311</v>
      </c>
      <c r="X591" s="682" t="e">
        <f>+'Estimate Details'!#REF!</f>
        <v>#REF!</v>
      </c>
      <c r="Y591" s="682" t="e">
        <f>+'Estimate Details'!#REF!</f>
        <v>#REF!</v>
      </c>
      <c r="Z591" s="684" t="e">
        <f>+'Estimate Details'!#REF!</f>
        <v>#REF!</v>
      </c>
      <c r="AA591" s="686"/>
      <c r="AB591" s="687" t="e">
        <f>+'Estimate Details'!#REF!</f>
        <v>#REF!</v>
      </c>
      <c r="AC591" s="688"/>
      <c r="AD591" s="696" t="e">
        <f>+'Estimate Details'!#REF!</f>
        <v>#REF!</v>
      </c>
      <c r="AE591" s="156"/>
      <c r="AF591" s="370"/>
      <c r="AG591" s="156"/>
      <c r="AH591" s="156"/>
      <c r="AI591" s="29"/>
      <c r="AJ591" s="29"/>
      <c r="AK591" s="29"/>
      <c r="AL591" s="29"/>
    </row>
    <row r="592" spans="1:38" ht="14.1" customHeight="1">
      <c r="A592" s="673" t="e">
        <f>+'Estimate Details'!#REF!</f>
        <v>#REF!</v>
      </c>
      <c r="B592" s="673"/>
      <c r="C592" s="673"/>
      <c r="D592" s="674"/>
      <c r="E592" s="675" t="e">
        <f>+'Estimate Details'!#REF!</f>
        <v>#REF!</v>
      </c>
      <c r="F592" s="676"/>
      <c r="G592" s="677" t="e">
        <f>+'Estimate Details'!#REF!</f>
        <v>#REF!</v>
      </c>
      <c r="H592" s="678" t="e">
        <f>+'Estimate Details'!#REF!</f>
        <v>#REF!</v>
      </c>
      <c r="I592" s="678" t="e">
        <f>+'Estimate Details'!#REF!</f>
        <v>#REF!</v>
      </c>
      <c r="J592" s="677" t="e">
        <f>+'Estimate Details'!#REF!</f>
        <v>#REF!</v>
      </c>
      <c r="K592" s="677" t="e">
        <f>+'Estimate Details'!#REF!</f>
        <v>#REF!</v>
      </c>
      <c r="L592" s="677" t="e">
        <f>+'Estimate Details'!#REF!</f>
        <v>#REF!</v>
      </c>
      <c r="M592" s="236" t="e">
        <f>+'Estimate Details'!#REF!</f>
        <v>#REF!</v>
      </c>
      <c r="N592" s="699" t="e">
        <f>+'Estimate Details'!#REF!</f>
        <v>#REF!</v>
      </c>
      <c r="O592" s="681" t="e">
        <f>+'Estimate Details'!#REF!</f>
        <v>#REF!</v>
      </c>
      <c r="P592" s="682" t="e">
        <f>+'Estimate Details'!#REF!</f>
        <v>#REF!</v>
      </c>
      <c r="Q592" s="683" t="e">
        <f>+'Estimate Details'!#REF!</f>
        <v>#REF!</v>
      </c>
      <c r="R592" s="684" t="e">
        <f>+'Estimate Details'!#REF!</f>
        <v>#REF!</v>
      </c>
      <c r="S592" s="685"/>
      <c r="T592" s="684" t="e">
        <f>+'Estimate Details'!#REF!</f>
        <v>#REF!</v>
      </c>
      <c r="U592" s="686" t="s">
        <v>1311</v>
      </c>
      <c r="V592" s="682" t="e">
        <f>+'Estimate Details'!#REF!</f>
        <v>#REF!</v>
      </c>
      <c r="W592" s="686" t="s">
        <v>1311</v>
      </c>
      <c r="X592" s="682" t="e">
        <f>+'Estimate Details'!#REF!</f>
        <v>#REF!</v>
      </c>
      <c r="Y592" s="682" t="e">
        <f>+'Estimate Details'!#REF!</f>
        <v>#REF!</v>
      </c>
      <c r="Z592" s="684" t="e">
        <f>+'Estimate Details'!#REF!</f>
        <v>#REF!</v>
      </c>
      <c r="AA592" s="686"/>
      <c r="AB592" s="687" t="e">
        <f>+'Estimate Details'!#REF!</f>
        <v>#REF!</v>
      </c>
      <c r="AC592" s="688"/>
      <c r="AD592" s="696" t="e">
        <f>+'Estimate Details'!#REF!</f>
        <v>#REF!</v>
      </c>
      <c r="AE592" s="156"/>
      <c r="AF592" s="370"/>
      <c r="AG592" s="156"/>
      <c r="AH592" s="156"/>
      <c r="AI592" s="29"/>
      <c r="AJ592" s="29"/>
      <c r="AK592" s="29"/>
      <c r="AL592" s="29"/>
    </row>
    <row r="593" spans="1:38" ht="14.1" customHeight="1">
      <c r="A593" s="673" t="e">
        <f>+'Estimate Details'!#REF!</f>
        <v>#REF!</v>
      </c>
      <c r="B593" s="673"/>
      <c r="C593" s="673"/>
      <c r="D593" s="674"/>
      <c r="E593" s="675" t="e">
        <f>+'Estimate Details'!#REF!</f>
        <v>#REF!</v>
      </c>
      <c r="F593" s="676"/>
      <c r="G593" s="677" t="e">
        <f>+'Estimate Details'!#REF!</f>
        <v>#REF!</v>
      </c>
      <c r="H593" s="678" t="e">
        <f>+'Estimate Details'!#REF!</f>
        <v>#REF!</v>
      </c>
      <c r="I593" s="678" t="e">
        <f>+'Estimate Details'!#REF!</f>
        <v>#REF!</v>
      </c>
      <c r="J593" s="677" t="e">
        <f>+'Estimate Details'!#REF!</f>
        <v>#REF!</v>
      </c>
      <c r="K593" s="677" t="e">
        <f>+'Estimate Details'!#REF!</f>
        <v>#REF!</v>
      </c>
      <c r="L593" s="677" t="e">
        <f>+'Estimate Details'!#REF!</f>
        <v>#REF!</v>
      </c>
      <c r="M593" s="236" t="e">
        <f>+'Estimate Details'!#REF!</f>
        <v>#REF!</v>
      </c>
      <c r="N593" s="699" t="e">
        <f>+'Estimate Details'!#REF!</f>
        <v>#REF!</v>
      </c>
      <c r="O593" s="681" t="e">
        <f>+'Estimate Details'!#REF!</f>
        <v>#REF!</v>
      </c>
      <c r="P593" s="682" t="e">
        <f>+'Estimate Details'!#REF!</f>
        <v>#REF!</v>
      </c>
      <c r="Q593" s="683" t="e">
        <f>+'Estimate Details'!#REF!</f>
        <v>#REF!</v>
      </c>
      <c r="R593" s="684" t="e">
        <f>+'Estimate Details'!#REF!</f>
        <v>#REF!</v>
      </c>
      <c r="S593" s="685"/>
      <c r="T593" s="684" t="e">
        <f>+'Estimate Details'!#REF!</f>
        <v>#REF!</v>
      </c>
      <c r="U593" s="686" t="s">
        <v>1311</v>
      </c>
      <c r="V593" s="682" t="e">
        <f>+'Estimate Details'!#REF!</f>
        <v>#REF!</v>
      </c>
      <c r="W593" s="686" t="s">
        <v>1311</v>
      </c>
      <c r="X593" s="682" t="e">
        <f>+'Estimate Details'!#REF!</f>
        <v>#REF!</v>
      </c>
      <c r="Y593" s="682" t="e">
        <f>+'Estimate Details'!#REF!</f>
        <v>#REF!</v>
      </c>
      <c r="Z593" s="684" t="e">
        <f>+'Estimate Details'!#REF!</f>
        <v>#REF!</v>
      </c>
      <c r="AA593" s="686"/>
      <c r="AB593" s="687" t="e">
        <f>+'Estimate Details'!#REF!</f>
        <v>#REF!</v>
      </c>
      <c r="AC593" s="688"/>
      <c r="AD593" s="696" t="e">
        <f>+'Estimate Details'!#REF!</f>
        <v>#REF!</v>
      </c>
      <c r="AE593" s="156"/>
      <c r="AF593" s="370"/>
      <c r="AG593" s="156"/>
      <c r="AH593" s="156"/>
      <c r="AI593" s="29"/>
      <c r="AJ593" s="29"/>
      <c r="AK593" s="29"/>
      <c r="AL593" s="29"/>
    </row>
    <row r="594" spans="1:38" ht="14.1" customHeight="1">
      <c r="A594" s="673" t="e">
        <f>+'Estimate Details'!#REF!</f>
        <v>#REF!</v>
      </c>
      <c r="B594" s="673"/>
      <c r="C594" s="673"/>
      <c r="D594" s="674"/>
      <c r="E594" s="675" t="e">
        <f>+'Estimate Details'!#REF!</f>
        <v>#REF!</v>
      </c>
      <c r="F594" s="676"/>
      <c r="G594" s="677" t="e">
        <f>+'Estimate Details'!#REF!</f>
        <v>#REF!</v>
      </c>
      <c r="H594" s="678" t="e">
        <f>+'Estimate Details'!#REF!</f>
        <v>#REF!</v>
      </c>
      <c r="I594" s="678" t="e">
        <f>+'Estimate Details'!#REF!</f>
        <v>#REF!</v>
      </c>
      <c r="J594" s="677" t="e">
        <f>+'Estimate Details'!#REF!</f>
        <v>#REF!</v>
      </c>
      <c r="K594" s="677" t="e">
        <f>+'Estimate Details'!#REF!</f>
        <v>#REF!</v>
      </c>
      <c r="L594" s="677" t="e">
        <f>+'Estimate Details'!#REF!</f>
        <v>#REF!</v>
      </c>
      <c r="M594" s="236" t="e">
        <f>+'Estimate Details'!#REF!</f>
        <v>#REF!</v>
      </c>
      <c r="N594" s="699" t="e">
        <f>+'Estimate Details'!#REF!</f>
        <v>#REF!</v>
      </c>
      <c r="O594" s="681" t="e">
        <f>+'Estimate Details'!#REF!</f>
        <v>#REF!</v>
      </c>
      <c r="P594" s="682" t="e">
        <f>+'Estimate Details'!#REF!</f>
        <v>#REF!</v>
      </c>
      <c r="Q594" s="683" t="e">
        <f>+'Estimate Details'!#REF!</f>
        <v>#REF!</v>
      </c>
      <c r="R594" s="684" t="e">
        <f>+'Estimate Details'!#REF!</f>
        <v>#REF!</v>
      </c>
      <c r="S594" s="685"/>
      <c r="T594" s="684" t="e">
        <f>+'Estimate Details'!#REF!</f>
        <v>#REF!</v>
      </c>
      <c r="U594" s="686" t="s">
        <v>1311</v>
      </c>
      <c r="V594" s="682" t="e">
        <f>+'Estimate Details'!#REF!</f>
        <v>#REF!</v>
      </c>
      <c r="W594" s="686" t="s">
        <v>1311</v>
      </c>
      <c r="X594" s="682" t="e">
        <f>+'Estimate Details'!#REF!</f>
        <v>#REF!</v>
      </c>
      <c r="Y594" s="682" t="e">
        <f>+'Estimate Details'!#REF!</f>
        <v>#REF!</v>
      </c>
      <c r="Z594" s="684" t="e">
        <f>+'Estimate Details'!#REF!</f>
        <v>#REF!</v>
      </c>
      <c r="AA594" s="686"/>
      <c r="AB594" s="687" t="e">
        <f>+'Estimate Details'!#REF!</f>
        <v>#REF!</v>
      </c>
      <c r="AC594" s="688"/>
      <c r="AD594" s="696" t="e">
        <f>+'Estimate Details'!#REF!</f>
        <v>#REF!</v>
      </c>
      <c r="AE594" s="156"/>
      <c r="AF594" s="370"/>
      <c r="AG594" s="156"/>
      <c r="AH594" s="156"/>
      <c r="AI594" s="29"/>
      <c r="AJ594" s="29"/>
      <c r="AK594" s="29"/>
      <c r="AL594" s="29"/>
    </row>
    <row r="595" spans="1:38" ht="14.1" customHeight="1">
      <c r="A595" s="673" t="e">
        <f>+'Estimate Details'!#REF!</f>
        <v>#REF!</v>
      </c>
      <c r="B595" s="673"/>
      <c r="C595" s="673"/>
      <c r="D595" s="674"/>
      <c r="E595" s="675" t="e">
        <f>+'Estimate Details'!#REF!</f>
        <v>#REF!</v>
      </c>
      <c r="F595" s="676"/>
      <c r="G595" s="677" t="e">
        <f>+'Estimate Details'!#REF!</f>
        <v>#REF!</v>
      </c>
      <c r="H595" s="678" t="e">
        <f>+'Estimate Details'!#REF!</f>
        <v>#REF!</v>
      </c>
      <c r="I595" s="678" t="e">
        <f>+'Estimate Details'!#REF!</f>
        <v>#REF!</v>
      </c>
      <c r="J595" s="677" t="e">
        <f>+'Estimate Details'!#REF!</f>
        <v>#REF!</v>
      </c>
      <c r="K595" s="677" t="e">
        <f>+'Estimate Details'!#REF!</f>
        <v>#REF!</v>
      </c>
      <c r="L595" s="677" t="e">
        <f>+'Estimate Details'!#REF!</f>
        <v>#REF!</v>
      </c>
      <c r="M595" s="236" t="e">
        <f>+'Estimate Details'!#REF!</f>
        <v>#REF!</v>
      </c>
      <c r="N595" s="699" t="e">
        <f>+'Estimate Details'!#REF!</f>
        <v>#REF!</v>
      </c>
      <c r="O595" s="681" t="e">
        <f>+'Estimate Details'!#REF!</f>
        <v>#REF!</v>
      </c>
      <c r="P595" s="682" t="e">
        <f>+'Estimate Details'!#REF!</f>
        <v>#REF!</v>
      </c>
      <c r="Q595" s="683" t="e">
        <f>+'Estimate Details'!#REF!</f>
        <v>#REF!</v>
      </c>
      <c r="R595" s="684" t="e">
        <f>+'Estimate Details'!#REF!</f>
        <v>#REF!</v>
      </c>
      <c r="S595" s="685"/>
      <c r="T595" s="684" t="e">
        <f>+'Estimate Details'!#REF!</f>
        <v>#REF!</v>
      </c>
      <c r="U595" s="686" t="s">
        <v>1311</v>
      </c>
      <c r="V595" s="682" t="e">
        <f>+'Estimate Details'!#REF!</f>
        <v>#REF!</v>
      </c>
      <c r="W595" s="686" t="s">
        <v>1311</v>
      </c>
      <c r="X595" s="682" t="e">
        <f>+'Estimate Details'!#REF!</f>
        <v>#REF!</v>
      </c>
      <c r="Y595" s="682" t="e">
        <f>+'Estimate Details'!#REF!</f>
        <v>#REF!</v>
      </c>
      <c r="Z595" s="684" t="e">
        <f>+'Estimate Details'!#REF!</f>
        <v>#REF!</v>
      </c>
      <c r="AA595" s="686"/>
      <c r="AB595" s="687" t="e">
        <f>+'Estimate Details'!#REF!</f>
        <v>#REF!</v>
      </c>
      <c r="AC595" s="688"/>
      <c r="AD595" s="696" t="e">
        <f>+'Estimate Details'!#REF!</f>
        <v>#REF!</v>
      </c>
      <c r="AE595" s="156"/>
      <c r="AF595" s="370"/>
      <c r="AG595" s="156"/>
      <c r="AH595" s="156"/>
      <c r="AI595" s="29"/>
      <c r="AJ595" s="29"/>
      <c r="AK595" s="29"/>
      <c r="AL595" s="29"/>
    </row>
    <row r="596" spans="1:38" ht="14.1" customHeight="1">
      <c r="A596" s="673" t="e">
        <f>+'Estimate Details'!#REF!</f>
        <v>#REF!</v>
      </c>
      <c r="B596" s="673"/>
      <c r="C596" s="673"/>
      <c r="D596" s="674"/>
      <c r="E596" s="675" t="e">
        <f>+'Estimate Details'!#REF!</f>
        <v>#REF!</v>
      </c>
      <c r="F596" s="676"/>
      <c r="G596" s="677" t="e">
        <f>+'Estimate Details'!#REF!</f>
        <v>#REF!</v>
      </c>
      <c r="H596" s="678" t="e">
        <f>+'Estimate Details'!#REF!</f>
        <v>#REF!</v>
      </c>
      <c r="I596" s="678" t="e">
        <f>+'Estimate Details'!#REF!</f>
        <v>#REF!</v>
      </c>
      <c r="J596" s="677" t="e">
        <f>+'Estimate Details'!#REF!</f>
        <v>#REF!</v>
      </c>
      <c r="K596" s="677" t="e">
        <f>+'Estimate Details'!#REF!</f>
        <v>#REF!</v>
      </c>
      <c r="L596" s="677" t="e">
        <f>+'Estimate Details'!#REF!</f>
        <v>#REF!</v>
      </c>
      <c r="M596" s="236" t="e">
        <f>+'Estimate Details'!#REF!</f>
        <v>#REF!</v>
      </c>
      <c r="N596" s="699" t="e">
        <f>+'Estimate Details'!#REF!</f>
        <v>#REF!</v>
      </c>
      <c r="O596" s="681" t="e">
        <f>+'Estimate Details'!#REF!</f>
        <v>#REF!</v>
      </c>
      <c r="P596" s="682" t="e">
        <f>+'Estimate Details'!#REF!</f>
        <v>#REF!</v>
      </c>
      <c r="Q596" s="683" t="e">
        <f>+'Estimate Details'!#REF!</f>
        <v>#REF!</v>
      </c>
      <c r="R596" s="684" t="e">
        <f>+'Estimate Details'!#REF!</f>
        <v>#REF!</v>
      </c>
      <c r="S596" s="685"/>
      <c r="T596" s="684" t="e">
        <f>+'Estimate Details'!#REF!</f>
        <v>#REF!</v>
      </c>
      <c r="U596" s="686" t="s">
        <v>1311</v>
      </c>
      <c r="V596" s="682" t="e">
        <f>+'Estimate Details'!#REF!</f>
        <v>#REF!</v>
      </c>
      <c r="W596" s="686" t="s">
        <v>1311</v>
      </c>
      <c r="X596" s="682" t="e">
        <f>+'Estimate Details'!#REF!</f>
        <v>#REF!</v>
      </c>
      <c r="Y596" s="682" t="e">
        <f>+'Estimate Details'!#REF!</f>
        <v>#REF!</v>
      </c>
      <c r="Z596" s="684" t="e">
        <f>+'Estimate Details'!#REF!</f>
        <v>#REF!</v>
      </c>
      <c r="AA596" s="686"/>
      <c r="AB596" s="687" t="e">
        <f>+'Estimate Details'!#REF!</f>
        <v>#REF!</v>
      </c>
      <c r="AC596" s="688"/>
      <c r="AD596" s="696" t="e">
        <f>+'Estimate Details'!#REF!</f>
        <v>#REF!</v>
      </c>
      <c r="AE596" s="156"/>
      <c r="AF596" s="370"/>
      <c r="AG596" s="156"/>
      <c r="AH596" s="156"/>
      <c r="AI596" s="29"/>
      <c r="AJ596" s="29"/>
      <c r="AK596" s="29"/>
      <c r="AL596" s="29"/>
    </row>
    <row r="597" spans="1:38" ht="14.1" customHeight="1">
      <c r="A597" s="673" t="e">
        <f>+'Estimate Details'!#REF!</f>
        <v>#REF!</v>
      </c>
      <c r="B597" s="673"/>
      <c r="C597" s="673"/>
      <c r="D597" s="674"/>
      <c r="E597" s="675" t="e">
        <f>+'Estimate Details'!#REF!</f>
        <v>#REF!</v>
      </c>
      <c r="F597" s="676"/>
      <c r="G597" s="677" t="e">
        <f>+'Estimate Details'!#REF!</f>
        <v>#REF!</v>
      </c>
      <c r="H597" s="678" t="e">
        <f>+'Estimate Details'!#REF!</f>
        <v>#REF!</v>
      </c>
      <c r="I597" s="678" t="e">
        <f>+'Estimate Details'!#REF!</f>
        <v>#REF!</v>
      </c>
      <c r="J597" s="677" t="e">
        <f>+'Estimate Details'!#REF!</f>
        <v>#REF!</v>
      </c>
      <c r="K597" s="677" t="e">
        <f>+'Estimate Details'!#REF!</f>
        <v>#REF!</v>
      </c>
      <c r="L597" s="677" t="e">
        <f>+'Estimate Details'!#REF!</f>
        <v>#REF!</v>
      </c>
      <c r="M597" s="236" t="e">
        <f>+'Estimate Details'!#REF!</f>
        <v>#REF!</v>
      </c>
      <c r="N597" s="699" t="e">
        <f>+'Estimate Details'!#REF!</f>
        <v>#REF!</v>
      </c>
      <c r="O597" s="681" t="e">
        <f>+'Estimate Details'!#REF!</f>
        <v>#REF!</v>
      </c>
      <c r="P597" s="682" t="e">
        <f>+'Estimate Details'!#REF!</f>
        <v>#REF!</v>
      </c>
      <c r="Q597" s="683" t="e">
        <f>+'Estimate Details'!#REF!</f>
        <v>#REF!</v>
      </c>
      <c r="R597" s="684" t="e">
        <f>+'Estimate Details'!#REF!</f>
        <v>#REF!</v>
      </c>
      <c r="S597" s="685"/>
      <c r="T597" s="684" t="e">
        <f>+'Estimate Details'!#REF!</f>
        <v>#REF!</v>
      </c>
      <c r="U597" s="686" t="s">
        <v>1311</v>
      </c>
      <c r="V597" s="682" t="e">
        <f>+'Estimate Details'!#REF!</f>
        <v>#REF!</v>
      </c>
      <c r="W597" s="686" t="s">
        <v>1311</v>
      </c>
      <c r="X597" s="682" t="e">
        <f>+'Estimate Details'!#REF!</f>
        <v>#REF!</v>
      </c>
      <c r="Y597" s="682" t="e">
        <f>+'Estimate Details'!#REF!</f>
        <v>#REF!</v>
      </c>
      <c r="Z597" s="684" t="e">
        <f>+'Estimate Details'!#REF!</f>
        <v>#REF!</v>
      </c>
      <c r="AA597" s="686"/>
      <c r="AB597" s="687" t="e">
        <f>+'Estimate Details'!#REF!</f>
        <v>#REF!</v>
      </c>
      <c r="AC597" s="688"/>
      <c r="AD597" s="696" t="e">
        <f>+'Estimate Details'!#REF!</f>
        <v>#REF!</v>
      </c>
      <c r="AE597" s="156"/>
      <c r="AF597" s="370"/>
      <c r="AG597" s="156"/>
      <c r="AH597" s="156"/>
      <c r="AI597" s="29"/>
      <c r="AJ597" s="29"/>
      <c r="AK597" s="29"/>
      <c r="AL597" s="29"/>
    </row>
    <row r="598" spans="1:38" ht="14.1" customHeight="1">
      <c r="A598" s="673" t="e">
        <f>+'Estimate Details'!#REF!</f>
        <v>#REF!</v>
      </c>
      <c r="B598" s="673"/>
      <c r="C598" s="673"/>
      <c r="D598" s="674"/>
      <c r="E598" s="675" t="e">
        <f>+'Estimate Details'!#REF!</f>
        <v>#REF!</v>
      </c>
      <c r="F598" s="676"/>
      <c r="G598" s="677" t="e">
        <f>+'Estimate Details'!#REF!</f>
        <v>#REF!</v>
      </c>
      <c r="H598" s="678" t="e">
        <f>+'Estimate Details'!#REF!</f>
        <v>#REF!</v>
      </c>
      <c r="I598" s="678" t="e">
        <f>+'Estimate Details'!#REF!</f>
        <v>#REF!</v>
      </c>
      <c r="J598" s="677" t="e">
        <f>+'Estimate Details'!#REF!</f>
        <v>#REF!</v>
      </c>
      <c r="K598" s="677" t="e">
        <f>+'Estimate Details'!#REF!</f>
        <v>#REF!</v>
      </c>
      <c r="L598" s="677" t="e">
        <f>+'Estimate Details'!#REF!</f>
        <v>#REF!</v>
      </c>
      <c r="M598" s="236" t="e">
        <f>+'Estimate Details'!#REF!</f>
        <v>#REF!</v>
      </c>
      <c r="N598" s="699" t="e">
        <f>+'Estimate Details'!#REF!</f>
        <v>#REF!</v>
      </c>
      <c r="O598" s="681" t="e">
        <f>+'Estimate Details'!#REF!</f>
        <v>#REF!</v>
      </c>
      <c r="P598" s="682" t="e">
        <f>+'Estimate Details'!#REF!</f>
        <v>#REF!</v>
      </c>
      <c r="Q598" s="683" t="e">
        <f>+'Estimate Details'!#REF!</f>
        <v>#REF!</v>
      </c>
      <c r="R598" s="684" t="e">
        <f>+'Estimate Details'!#REF!</f>
        <v>#REF!</v>
      </c>
      <c r="S598" s="685"/>
      <c r="T598" s="684" t="e">
        <f>+'Estimate Details'!#REF!</f>
        <v>#REF!</v>
      </c>
      <c r="U598" s="686" t="s">
        <v>1311</v>
      </c>
      <c r="V598" s="682" t="e">
        <f>+'Estimate Details'!#REF!</f>
        <v>#REF!</v>
      </c>
      <c r="W598" s="686" t="s">
        <v>1311</v>
      </c>
      <c r="X598" s="682" t="e">
        <f>+'Estimate Details'!#REF!</f>
        <v>#REF!</v>
      </c>
      <c r="Y598" s="682" t="e">
        <f>+'Estimate Details'!#REF!</f>
        <v>#REF!</v>
      </c>
      <c r="Z598" s="684" t="e">
        <f>+'Estimate Details'!#REF!</f>
        <v>#REF!</v>
      </c>
      <c r="AA598" s="686"/>
      <c r="AB598" s="687" t="e">
        <f>+'Estimate Details'!#REF!</f>
        <v>#REF!</v>
      </c>
      <c r="AC598" s="688"/>
      <c r="AD598" s="696" t="e">
        <f>+'Estimate Details'!#REF!</f>
        <v>#REF!</v>
      </c>
      <c r="AE598" s="156"/>
      <c r="AF598" s="370"/>
      <c r="AG598" s="156"/>
      <c r="AH598" s="156"/>
      <c r="AI598" s="29"/>
      <c r="AJ598" s="29"/>
      <c r="AK598" s="29"/>
      <c r="AL598" s="29"/>
    </row>
    <row r="599" spans="1:38" ht="14.1" customHeight="1">
      <c r="A599" s="673" t="e">
        <f>+'Estimate Details'!#REF!</f>
        <v>#REF!</v>
      </c>
      <c r="B599" s="673"/>
      <c r="C599" s="673"/>
      <c r="D599" s="674"/>
      <c r="E599" s="675" t="e">
        <f>+'Estimate Details'!#REF!</f>
        <v>#REF!</v>
      </c>
      <c r="F599" s="676"/>
      <c r="G599" s="677" t="e">
        <f>+'Estimate Details'!#REF!</f>
        <v>#REF!</v>
      </c>
      <c r="H599" s="678" t="e">
        <f>+'Estimate Details'!#REF!</f>
        <v>#REF!</v>
      </c>
      <c r="I599" s="678" t="e">
        <f>+'Estimate Details'!#REF!</f>
        <v>#REF!</v>
      </c>
      <c r="J599" s="677" t="e">
        <f>+'Estimate Details'!#REF!</f>
        <v>#REF!</v>
      </c>
      <c r="K599" s="677" t="e">
        <f>+'Estimate Details'!#REF!</f>
        <v>#REF!</v>
      </c>
      <c r="L599" s="677" t="e">
        <f>+'Estimate Details'!#REF!</f>
        <v>#REF!</v>
      </c>
      <c r="M599" s="236" t="e">
        <f>+'Estimate Details'!#REF!</f>
        <v>#REF!</v>
      </c>
      <c r="N599" s="699" t="e">
        <f>+'Estimate Details'!#REF!</f>
        <v>#REF!</v>
      </c>
      <c r="O599" s="681" t="e">
        <f>+'Estimate Details'!#REF!</f>
        <v>#REF!</v>
      </c>
      <c r="P599" s="682" t="e">
        <f>+'Estimate Details'!#REF!</f>
        <v>#REF!</v>
      </c>
      <c r="Q599" s="683" t="e">
        <f>+'Estimate Details'!#REF!</f>
        <v>#REF!</v>
      </c>
      <c r="R599" s="684" t="e">
        <f>+'Estimate Details'!#REF!</f>
        <v>#REF!</v>
      </c>
      <c r="S599" s="685"/>
      <c r="T599" s="684" t="e">
        <f>+'Estimate Details'!#REF!</f>
        <v>#REF!</v>
      </c>
      <c r="U599" s="686" t="s">
        <v>1311</v>
      </c>
      <c r="V599" s="682" t="e">
        <f>+'Estimate Details'!#REF!</f>
        <v>#REF!</v>
      </c>
      <c r="W599" s="686" t="s">
        <v>1311</v>
      </c>
      <c r="X599" s="682" t="e">
        <f>+'Estimate Details'!#REF!</f>
        <v>#REF!</v>
      </c>
      <c r="Y599" s="682" t="e">
        <f>+'Estimate Details'!#REF!</f>
        <v>#REF!</v>
      </c>
      <c r="Z599" s="684" t="e">
        <f>+'Estimate Details'!#REF!</f>
        <v>#REF!</v>
      </c>
      <c r="AA599" s="686"/>
      <c r="AB599" s="687" t="e">
        <f>+'Estimate Details'!#REF!</f>
        <v>#REF!</v>
      </c>
      <c r="AC599" s="688"/>
      <c r="AD599" s="696" t="e">
        <f>+'Estimate Details'!#REF!</f>
        <v>#REF!</v>
      </c>
      <c r="AE599" s="156"/>
      <c r="AF599" s="370"/>
      <c r="AG599" s="156"/>
      <c r="AH599" s="156"/>
      <c r="AI599" s="29"/>
      <c r="AJ599" s="29"/>
      <c r="AK599" s="29"/>
      <c r="AL599" s="29"/>
    </row>
    <row r="600" spans="1:38" ht="14.1" customHeight="1">
      <c r="A600" s="673" t="e">
        <f>+'Estimate Details'!#REF!</f>
        <v>#REF!</v>
      </c>
      <c r="B600" s="673"/>
      <c r="C600" s="673"/>
      <c r="D600" s="674"/>
      <c r="E600" s="675" t="e">
        <f>+'Estimate Details'!#REF!</f>
        <v>#REF!</v>
      </c>
      <c r="F600" s="676"/>
      <c r="G600" s="677" t="e">
        <f>+'Estimate Details'!#REF!</f>
        <v>#REF!</v>
      </c>
      <c r="H600" s="678" t="e">
        <f>+'Estimate Details'!#REF!</f>
        <v>#REF!</v>
      </c>
      <c r="I600" s="678" t="e">
        <f>+'Estimate Details'!#REF!</f>
        <v>#REF!</v>
      </c>
      <c r="J600" s="677" t="e">
        <f>+'Estimate Details'!#REF!</f>
        <v>#REF!</v>
      </c>
      <c r="K600" s="677" t="e">
        <f>+'Estimate Details'!#REF!</f>
        <v>#REF!</v>
      </c>
      <c r="L600" s="677" t="e">
        <f>+'Estimate Details'!#REF!</f>
        <v>#REF!</v>
      </c>
      <c r="M600" s="236" t="e">
        <f>+'Estimate Details'!#REF!</f>
        <v>#REF!</v>
      </c>
      <c r="N600" s="699" t="e">
        <f>+'Estimate Details'!#REF!</f>
        <v>#REF!</v>
      </c>
      <c r="O600" s="681" t="e">
        <f>+'Estimate Details'!#REF!</f>
        <v>#REF!</v>
      </c>
      <c r="P600" s="682" t="e">
        <f>+'Estimate Details'!#REF!</f>
        <v>#REF!</v>
      </c>
      <c r="Q600" s="683" t="e">
        <f>+'Estimate Details'!#REF!</f>
        <v>#REF!</v>
      </c>
      <c r="R600" s="684" t="e">
        <f>+'Estimate Details'!#REF!</f>
        <v>#REF!</v>
      </c>
      <c r="S600" s="685"/>
      <c r="T600" s="684" t="e">
        <f>+'Estimate Details'!#REF!</f>
        <v>#REF!</v>
      </c>
      <c r="U600" s="686" t="s">
        <v>1311</v>
      </c>
      <c r="V600" s="682" t="e">
        <f>+'Estimate Details'!#REF!</f>
        <v>#REF!</v>
      </c>
      <c r="W600" s="686" t="s">
        <v>1311</v>
      </c>
      <c r="X600" s="682" t="e">
        <f>+'Estimate Details'!#REF!</f>
        <v>#REF!</v>
      </c>
      <c r="Y600" s="682" t="e">
        <f>+'Estimate Details'!#REF!</f>
        <v>#REF!</v>
      </c>
      <c r="Z600" s="684" t="e">
        <f>+'Estimate Details'!#REF!</f>
        <v>#REF!</v>
      </c>
      <c r="AA600" s="686"/>
      <c r="AB600" s="687" t="e">
        <f>+'Estimate Details'!#REF!</f>
        <v>#REF!</v>
      </c>
      <c r="AC600" s="688"/>
      <c r="AD600" s="696" t="e">
        <f>+'Estimate Details'!#REF!</f>
        <v>#REF!</v>
      </c>
      <c r="AE600" s="156"/>
      <c r="AF600" s="370"/>
      <c r="AG600" s="156"/>
      <c r="AH600" s="156"/>
      <c r="AI600" s="29"/>
      <c r="AJ600" s="29"/>
      <c r="AK600" s="29"/>
      <c r="AL600" s="29"/>
    </row>
    <row r="601" spans="1:38" ht="14.1" customHeight="1">
      <c r="A601" s="673" t="e">
        <f>+'Estimate Details'!#REF!</f>
        <v>#REF!</v>
      </c>
      <c r="B601" s="673"/>
      <c r="C601" s="673"/>
      <c r="D601" s="674"/>
      <c r="E601" s="675" t="e">
        <f>+'Estimate Details'!#REF!</f>
        <v>#REF!</v>
      </c>
      <c r="F601" s="676"/>
      <c r="G601" s="677" t="e">
        <f>+'Estimate Details'!#REF!</f>
        <v>#REF!</v>
      </c>
      <c r="H601" s="678" t="e">
        <f>+'Estimate Details'!#REF!</f>
        <v>#REF!</v>
      </c>
      <c r="I601" s="678" t="e">
        <f>+'Estimate Details'!#REF!</f>
        <v>#REF!</v>
      </c>
      <c r="J601" s="677" t="e">
        <f>+'Estimate Details'!#REF!</f>
        <v>#REF!</v>
      </c>
      <c r="K601" s="677" t="e">
        <f>+'Estimate Details'!#REF!</f>
        <v>#REF!</v>
      </c>
      <c r="L601" s="677" t="e">
        <f>+'Estimate Details'!#REF!</f>
        <v>#REF!</v>
      </c>
      <c r="M601" s="236" t="e">
        <f>+'Estimate Details'!#REF!</f>
        <v>#REF!</v>
      </c>
      <c r="N601" s="699" t="e">
        <f>+'Estimate Details'!#REF!</f>
        <v>#REF!</v>
      </c>
      <c r="O601" s="681" t="e">
        <f>+'Estimate Details'!#REF!</f>
        <v>#REF!</v>
      </c>
      <c r="P601" s="682" t="e">
        <f>+'Estimate Details'!#REF!</f>
        <v>#REF!</v>
      </c>
      <c r="Q601" s="683" t="e">
        <f>+'Estimate Details'!#REF!</f>
        <v>#REF!</v>
      </c>
      <c r="R601" s="684" t="e">
        <f>+'Estimate Details'!#REF!</f>
        <v>#REF!</v>
      </c>
      <c r="S601" s="685"/>
      <c r="T601" s="684" t="e">
        <f>+'Estimate Details'!#REF!</f>
        <v>#REF!</v>
      </c>
      <c r="U601" s="686" t="s">
        <v>1311</v>
      </c>
      <c r="V601" s="682" t="e">
        <f>+'Estimate Details'!#REF!</f>
        <v>#REF!</v>
      </c>
      <c r="W601" s="686" t="s">
        <v>1311</v>
      </c>
      <c r="X601" s="682" t="e">
        <f>+'Estimate Details'!#REF!</f>
        <v>#REF!</v>
      </c>
      <c r="Y601" s="682" t="e">
        <f>+'Estimate Details'!#REF!</f>
        <v>#REF!</v>
      </c>
      <c r="Z601" s="684" t="e">
        <f>+'Estimate Details'!#REF!</f>
        <v>#REF!</v>
      </c>
      <c r="AA601" s="686"/>
      <c r="AB601" s="687" t="e">
        <f>+'Estimate Details'!#REF!</f>
        <v>#REF!</v>
      </c>
      <c r="AC601" s="688"/>
      <c r="AD601" s="696" t="e">
        <f>+'Estimate Details'!#REF!</f>
        <v>#REF!</v>
      </c>
      <c r="AE601" s="156"/>
      <c r="AF601" s="370"/>
      <c r="AG601" s="156"/>
      <c r="AH601" s="156"/>
      <c r="AI601" s="29"/>
      <c r="AJ601" s="29"/>
      <c r="AK601" s="29"/>
      <c r="AL601" s="29"/>
    </row>
    <row r="602" spans="1:38" ht="14.1" customHeight="1">
      <c r="A602" s="673" t="e">
        <f>+'Estimate Details'!#REF!</f>
        <v>#REF!</v>
      </c>
      <c r="B602" s="673"/>
      <c r="C602" s="673"/>
      <c r="D602" s="674"/>
      <c r="E602" s="675" t="e">
        <f>+'Estimate Details'!#REF!</f>
        <v>#REF!</v>
      </c>
      <c r="F602" s="676"/>
      <c r="G602" s="677" t="e">
        <f>+'Estimate Details'!#REF!</f>
        <v>#REF!</v>
      </c>
      <c r="H602" s="678" t="e">
        <f>+'Estimate Details'!#REF!</f>
        <v>#REF!</v>
      </c>
      <c r="I602" s="678" t="e">
        <f>+'Estimate Details'!#REF!</f>
        <v>#REF!</v>
      </c>
      <c r="J602" s="677" t="e">
        <f>+'Estimate Details'!#REF!</f>
        <v>#REF!</v>
      </c>
      <c r="K602" s="677" t="e">
        <f>+'Estimate Details'!#REF!</f>
        <v>#REF!</v>
      </c>
      <c r="L602" s="677" t="e">
        <f>+'Estimate Details'!#REF!</f>
        <v>#REF!</v>
      </c>
      <c r="M602" s="236" t="e">
        <f>+'Estimate Details'!#REF!</f>
        <v>#REF!</v>
      </c>
      <c r="N602" s="699" t="e">
        <f>+'Estimate Details'!#REF!</f>
        <v>#REF!</v>
      </c>
      <c r="O602" s="681" t="e">
        <f>+'Estimate Details'!#REF!</f>
        <v>#REF!</v>
      </c>
      <c r="P602" s="682" t="e">
        <f>+'Estimate Details'!#REF!</f>
        <v>#REF!</v>
      </c>
      <c r="Q602" s="683" t="e">
        <f>+'Estimate Details'!#REF!</f>
        <v>#REF!</v>
      </c>
      <c r="R602" s="684" t="e">
        <f>+'Estimate Details'!#REF!</f>
        <v>#REF!</v>
      </c>
      <c r="S602" s="685"/>
      <c r="T602" s="684" t="e">
        <f>+'Estimate Details'!#REF!</f>
        <v>#REF!</v>
      </c>
      <c r="U602" s="686" t="s">
        <v>1311</v>
      </c>
      <c r="V602" s="682" t="e">
        <f>+'Estimate Details'!#REF!</f>
        <v>#REF!</v>
      </c>
      <c r="W602" s="686" t="s">
        <v>1311</v>
      </c>
      <c r="X602" s="682" t="e">
        <f>+'Estimate Details'!#REF!</f>
        <v>#REF!</v>
      </c>
      <c r="Y602" s="682" t="e">
        <f>+'Estimate Details'!#REF!</f>
        <v>#REF!</v>
      </c>
      <c r="Z602" s="684" t="e">
        <f>+'Estimate Details'!#REF!</f>
        <v>#REF!</v>
      </c>
      <c r="AA602" s="686"/>
      <c r="AB602" s="687" t="e">
        <f>+'Estimate Details'!#REF!</f>
        <v>#REF!</v>
      </c>
      <c r="AC602" s="688"/>
      <c r="AD602" s="696" t="e">
        <f>+'Estimate Details'!#REF!</f>
        <v>#REF!</v>
      </c>
      <c r="AE602" s="156"/>
      <c r="AF602" s="370"/>
      <c r="AG602" s="156"/>
      <c r="AH602" s="156"/>
      <c r="AI602" s="29"/>
      <c r="AJ602" s="29"/>
      <c r="AK602" s="29"/>
      <c r="AL602" s="29"/>
    </row>
    <row r="603" spans="1:38" ht="14.1" customHeight="1">
      <c r="A603" s="673" t="e">
        <f>+'Estimate Details'!#REF!</f>
        <v>#REF!</v>
      </c>
      <c r="B603" s="673"/>
      <c r="C603" s="673"/>
      <c r="D603" s="674"/>
      <c r="E603" s="675" t="e">
        <f>+'Estimate Details'!#REF!</f>
        <v>#REF!</v>
      </c>
      <c r="F603" s="676"/>
      <c r="G603" s="677" t="e">
        <f>+'Estimate Details'!#REF!</f>
        <v>#REF!</v>
      </c>
      <c r="H603" s="678" t="e">
        <f>+'Estimate Details'!#REF!</f>
        <v>#REF!</v>
      </c>
      <c r="I603" s="678" t="e">
        <f>+'Estimate Details'!#REF!</f>
        <v>#REF!</v>
      </c>
      <c r="J603" s="677" t="e">
        <f>+'Estimate Details'!#REF!</f>
        <v>#REF!</v>
      </c>
      <c r="K603" s="677" t="e">
        <f>+'Estimate Details'!#REF!</f>
        <v>#REF!</v>
      </c>
      <c r="L603" s="677" t="e">
        <f>+'Estimate Details'!#REF!</f>
        <v>#REF!</v>
      </c>
      <c r="M603" s="236" t="e">
        <f>+'Estimate Details'!#REF!</f>
        <v>#REF!</v>
      </c>
      <c r="N603" s="699" t="e">
        <f>+'Estimate Details'!#REF!</f>
        <v>#REF!</v>
      </c>
      <c r="O603" s="681" t="e">
        <f>+'Estimate Details'!#REF!</f>
        <v>#REF!</v>
      </c>
      <c r="P603" s="682" t="e">
        <f>+'Estimate Details'!#REF!</f>
        <v>#REF!</v>
      </c>
      <c r="Q603" s="683" t="e">
        <f>+'Estimate Details'!#REF!</f>
        <v>#REF!</v>
      </c>
      <c r="R603" s="684" t="e">
        <f>+'Estimate Details'!#REF!</f>
        <v>#REF!</v>
      </c>
      <c r="S603" s="685"/>
      <c r="T603" s="684" t="e">
        <f>+'Estimate Details'!#REF!</f>
        <v>#REF!</v>
      </c>
      <c r="U603" s="686" t="s">
        <v>1311</v>
      </c>
      <c r="V603" s="682" t="e">
        <f>+'Estimate Details'!#REF!</f>
        <v>#REF!</v>
      </c>
      <c r="W603" s="686" t="s">
        <v>1311</v>
      </c>
      <c r="X603" s="682" t="e">
        <f>+'Estimate Details'!#REF!</f>
        <v>#REF!</v>
      </c>
      <c r="Y603" s="682" t="e">
        <f>+'Estimate Details'!#REF!</f>
        <v>#REF!</v>
      </c>
      <c r="Z603" s="684" t="e">
        <f>+'Estimate Details'!#REF!</f>
        <v>#REF!</v>
      </c>
      <c r="AA603" s="686"/>
      <c r="AB603" s="687" t="e">
        <f>+'Estimate Details'!#REF!</f>
        <v>#REF!</v>
      </c>
      <c r="AC603" s="688"/>
      <c r="AD603" s="696" t="e">
        <f>+'Estimate Details'!#REF!</f>
        <v>#REF!</v>
      </c>
      <c r="AE603" s="156"/>
      <c r="AF603" s="370"/>
      <c r="AG603" s="156"/>
      <c r="AH603" s="156"/>
      <c r="AI603" s="29"/>
      <c r="AJ603" s="29"/>
      <c r="AK603" s="29"/>
      <c r="AL603" s="29"/>
    </row>
    <row r="604" spans="1:38" ht="14.1" customHeight="1">
      <c r="A604" s="673" t="e">
        <f>+'Estimate Details'!#REF!</f>
        <v>#REF!</v>
      </c>
      <c r="B604" s="673"/>
      <c r="C604" s="673"/>
      <c r="D604" s="674"/>
      <c r="E604" s="675" t="e">
        <f>+'Estimate Details'!#REF!</f>
        <v>#REF!</v>
      </c>
      <c r="F604" s="676"/>
      <c r="G604" s="677" t="e">
        <f>+'Estimate Details'!#REF!</f>
        <v>#REF!</v>
      </c>
      <c r="H604" s="678" t="e">
        <f>+'Estimate Details'!#REF!</f>
        <v>#REF!</v>
      </c>
      <c r="I604" s="678" t="e">
        <f>+'Estimate Details'!#REF!</f>
        <v>#REF!</v>
      </c>
      <c r="J604" s="677" t="e">
        <f>+'Estimate Details'!#REF!</f>
        <v>#REF!</v>
      </c>
      <c r="K604" s="677" t="e">
        <f>+'Estimate Details'!#REF!</f>
        <v>#REF!</v>
      </c>
      <c r="L604" s="677" t="e">
        <f>+'Estimate Details'!#REF!</f>
        <v>#REF!</v>
      </c>
      <c r="M604" s="236" t="e">
        <f>+'Estimate Details'!#REF!</f>
        <v>#REF!</v>
      </c>
      <c r="N604" s="699" t="e">
        <f>+'Estimate Details'!#REF!</f>
        <v>#REF!</v>
      </c>
      <c r="O604" s="681" t="e">
        <f>+'Estimate Details'!#REF!</f>
        <v>#REF!</v>
      </c>
      <c r="P604" s="682" t="e">
        <f>+'Estimate Details'!#REF!</f>
        <v>#REF!</v>
      </c>
      <c r="Q604" s="683" t="e">
        <f>+'Estimate Details'!#REF!</f>
        <v>#REF!</v>
      </c>
      <c r="R604" s="684" t="e">
        <f>+'Estimate Details'!#REF!</f>
        <v>#REF!</v>
      </c>
      <c r="S604" s="685"/>
      <c r="T604" s="684" t="e">
        <f>+'Estimate Details'!#REF!</f>
        <v>#REF!</v>
      </c>
      <c r="U604" s="686" t="s">
        <v>1311</v>
      </c>
      <c r="V604" s="682" t="e">
        <f>+'Estimate Details'!#REF!</f>
        <v>#REF!</v>
      </c>
      <c r="W604" s="686" t="s">
        <v>1311</v>
      </c>
      <c r="X604" s="682" t="e">
        <f>+'Estimate Details'!#REF!</f>
        <v>#REF!</v>
      </c>
      <c r="Y604" s="682" t="e">
        <f>+'Estimate Details'!#REF!</f>
        <v>#REF!</v>
      </c>
      <c r="Z604" s="684" t="e">
        <f>+'Estimate Details'!#REF!</f>
        <v>#REF!</v>
      </c>
      <c r="AA604" s="686"/>
      <c r="AB604" s="687" t="e">
        <f>+'Estimate Details'!#REF!</f>
        <v>#REF!</v>
      </c>
      <c r="AC604" s="688"/>
      <c r="AD604" s="696" t="e">
        <f>+'Estimate Details'!#REF!</f>
        <v>#REF!</v>
      </c>
      <c r="AE604" s="156"/>
      <c r="AF604" s="370"/>
      <c r="AG604" s="156"/>
      <c r="AH604" s="156"/>
      <c r="AI604" s="29"/>
      <c r="AJ604" s="29"/>
      <c r="AK604" s="29"/>
      <c r="AL604" s="29"/>
    </row>
    <row r="605" spans="1:38" ht="14.1" customHeight="1">
      <c r="A605" s="673" t="e">
        <f>+'Estimate Details'!#REF!</f>
        <v>#REF!</v>
      </c>
      <c r="B605" s="673"/>
      <c r="C605" s="673"/>
      <c r="D605" s="674"/>
      <c r="E605" s="675" t="e">
        <f>+'Estimate Details'!#REF!</f>
        <v>#REF!</v>
      </c>
      <c r="F605" s="676"/>
      <c r="G605" s="677" t="e">
        <f>+'Estimate Details'!#REF!</f>
        <v>#REF!</v>
      </c>
      <c r="H605" s="678" t="e">
        <f>+'Estimate Details'!#REF!</f>
        <v>#REF!</v>
      </c>
      <c r="I605" s="678" t="e">
        <f>+'Estimate Details'!#REF!</f>
        <v>#REF!</v>
      </c>
      <c r="J605" s="677" t="e">
        <f>+'Estimate Details'!#REF!</f>
        <v>#REF!</v>
      </c>
      <c r="K605" s="677" t="e">
        <f>+'Estimate Details'!#REF!</f>
        <v>#REF!</v>
      </c>
      <c r="L605" s="677" t="e">
        <f>+'Estimate Details'!#REF!</f>
        <v>#REF!</v>
      </c>
      <c r="M605" s="236" t="e">
        <f>+'Estimate Details'!#REF!</f>
        <v>#REF!</v>
      </c>
      <c r="N605" s="699" t="e">
        <f>+'Estimate Details'!#REF!</f>
        <v>#REF!</v>
      </c>
      <c r="O605" s="681" t="e">
        <f>+'Estimate Details'!#REF!</f>
        <v>#REF!</v>
      </c>
      <c r="P605" s="682" t="e">
        <f>+'Estimate Details'!#REF!</f>
        <v>#REF!</v>
      </c>
      <c r="Q605" s="683" t="e">
        <f>+'Estimate Details'!#REF!</f>
        <v>#REF!</v>
      </c>
      <c r="R605" s="684" t="e">
        <f>+'Estimate Details'!#REF!</f>
        <v>#REF!</v>
      </c>
      <c r="S605" s="685"/>
      <c r="T605" s="684" t="e">
        <f>+'Estimate Details'!#REF!</f>
        <v>#REF!</v>
      </c>
      <c r="U605" s="686" t="s">
        <v>1311</v>
      </c>
      <c r="V605" s="682" t="e">
        <f>+'Estimate Details'!#REF!</f>
        <v>#REF!</v>
      </c>
      <c r="W605" s="686" t="s">
        <v>1311</v>
      </c>
      <c r="X605" s="682" t="e">
        <f>+'Estimate Details'!#REF!</f>
        <v>#REF!</v>
      </c>
      <c r="Y605" s="682" t="e">
        <f>+'Estimate Details'!#REF!</f>
        <v>#REF!</v>
      </c>
      <c r="Z605" s="684" t="e">
        <f>+'Estimate Details'!#REF!</f>
        <v>#REF!</v>
      </c>
      <c r="AA605" s="686"/>
      <c r="AB605" s="687" t="e">
        <f>+'Estimate Details'!#REF!</f>
        <v>#REF!</v>
      </c>
      <c r="AC605" s="688"/>
      <c r="AD605" s="696" t="e">
        <f>+'Estimate Details'!#REF!</f>
        <v>#REF!</v>
      </c>
      <c r="AE605" s="156"/>
      <c r="AF605" s="370"/>
      <c r="AG605" s="156"/>
      <c r="AH605" s="156"/>
      <c r="AI605" s="29"/>
      <c r="AJ605" s="29"/>
      <c r="AK605" s="29"/>
      <c r="AL605" s="29"/>
    </row>
    <row r="606" spans="1:38" ht="14.1" customHeight="1">
      <c r="A606" s="673" t="e">
        <f>+'Estimate Details'!#REF!</f>
        <v>#REF!</v>
      </c>
      <c r="B606" s="673"/>
      <c r="C606" s="673"/>
      <c r="D606" s="674"/>
      <c r="E606" s="675" t="e">
        <f>+'Estimate Details'!#REF!</f>
        <v>#REF!</v>
      </c>
      <c r="F606" s="676"/>
      <c r="G606" s="677" t="e">
        <f>+'Estimate Details'!#REF!</f>
        <v>#REF!</v>
      </c>
      <c r="H606" s="678" t="e">
        <f>+'Estimate Details'!#REF!</f>
        <v>#REF!</v>
      </c>
      <c r="I606" s="678" t="e">
        <f>+'Estimate Details'!#REF!</f>
        <v>#REF!</v>
      </c>
      <c r="J606" s="677" t="e">
        <f>+'Estimate Details'!#REF!</f>
        <v>#REF!</v>
      </c>
      <c r="K606" s="677" t="e">
        <f>+'Estimate Details'!#REF!</f>
        <v>#REF!</v>
      </c>
      <c r="L606" s="677" t="e">
        <f>+'Estimate Details'!#REF!</f>
        <v>#REF!</v>
      </c>
      <c r="M606" s="236" t="e">
        <f>+'Estimate Details'!#REF!</f>
        <v>#REF!</v>
      </c>
      <c r="N606" s="699" t="e">
        <f>+'Estimate Details'!#REF!</f>
        <v>#REF!</v>
      </c>
      <c r="O606" s="681" t="e">
        <f>+'Estimate Details'!#REF!</f>
        <v>#REF!</v>
      </c>
      <c r="P606" s="682" t="e">
        <f>+'Estimate Details'!#REF!</f>
        <v>#REF!</v>
      </c>
      <c r="Q606" s="683" t="e">
        <f>+'Estimate Details'!#REF!</f>
        <v>#REF!</v>
      </c>
      <c r="R606" s="684" t="e">
        <f>+'Estimate Details'!#REF!</f>
        <v>#REF!</v>
      </c>
      <c r="S606" s="685"/>
      <c r="T606" s="684" t="e">
        <f>+'Estimate Details'!#REF!</f>
        <v>#REF!</v>
      </c>
      <c r="U606" s="686" t="s">
        <v>1300</v>
      </c>
      <c r="V606" s="682" t="e">
        <f>+'Estimate Details'!#REF!</f>
        <v>#REF!</v>
      </c>
      <c r="W606" s="686" t="s">
        <v>1311</v>
      </c>
      <c r="X606" s="682" t="e">
        <f>+'Estimate Details'!#REF!</f>
        <v>#REF!</v>
      </c>
      <c r="Y606" s="682" t="e">
        <f>+'Estimate Details'!#REF!</f>
        <v>#REF!</v>
      </c>
      <c r="Z606" s="684" t="e">
        <f>+'Estimate Details'!#REF!</f>
        <v>#REF!</v>
      </c>
      <c r="AA606" s="686"/>
      <c r="AB606" s="687" t="e">
        <f>+'Estimate Details'!#REF!</f>
        <v>#REF!</v>
      </c>
      <c r="AC606" s="688"/>
      <c r="AD606" s="696" t="e">
        <f>+'Estimate Details'!#REF!</f>
        <v>#REF!</v>
      </c>
      <c r="AE606" s="156"/>
      <c r="AF606" s="370"/>
      <c r="AG606" s="156"/>
      <c r="AH606" s="156"/>
      <c r="AI606" s="29"/>
      <c r="AJ606" s="29"/>
      <c r="AK606" s="29"/>
      <c r="AL606" s="29"/>
    </row>
    <row r="607" spans="1:38" ht="14.1" customHeight="1">
      <c r="A607" s="673" t="e">
        <f>+'Estimate Details'!#REF!</f>
        <v>#REF!</v>
      </c>
      <c r="B607" s="673"/>
      <c r="C607" s="673"/>
      <c r="D607" s="674"/>
      <c r="E607" s="675" t="e">
        <f>+'Estimate Details'!#REF!</f>
        <v>#REF!</v>
      </c>
      <c r="F607" s="676"/>
      <c r="G607" s="677" t="e">
        <f>+'Estimate Details'!#REF!</f>
        <v>#REF!</v>
      </c>
      <c r="H607" s="678" t="e">
        <f>+'Estimate Details'!#REF!</f>
        <v>#REF!</v>
      </c>
      <c r="I607" s="678" t="e">
        <f>+'Estimate Details'!#REF!</f>
        <v>#REF!</v>
      </c>
      <c r="J607" s="677" t="e">
        <f>+'Estimate Details'!#REF!</f>
        <v>#REF!</v>
      </c>
      <c r="K607" s="677" t="e">
        <f>+'Estimate Details'!#REF!</f>
        <v>#REF!</v>
      </c>
      <c r="L607" s="677" t="e">
        <f>+'Estimate Details'!#REF!</f>
        <v>#REF!</v>
      </c>
      <c r="M607" s="236" t="e">
        <f>+'Estimate Details'!#REF!</f>
        <v>#REF!</v>
      </c>
      <c r="N607" s="699" t="e">
        <f>+'Estimate Details'!#REF!</f>
        <v>#REF!</v>
      </c>
      <c r="O607" s="681" t="e">
        <f>+'Estimate Details'!#REF!</f>
        <v>#REF!</v>
      </c>
      <c r="P607" s="682" t="e">
        <f>+'Estimate Details'!#REF!</f>
        <v>#REF!</v>
      </c>
      <c r="Q607" s="683" t="e">
        <f>+'Estimate Details'!#REF!</f>
        <v>#REF!</v>
      </c>
      <c r="R607" s="684" t="e">
        <f>+'Estimate Details'!#REF!</f>
        <v>#REF!</v>
      </c>
      <c r="S607" s="685"/>
      <c r="T607" s="684" t="e">
        <f>+'Estimate Details'!#REF!</f>
        <v>#REF!</v>
      </c>
      <c r="U607" s="686" t="s">
        <v>1310</v>
      </c>
      <c r="V607" s="682" t="e">
        <f>+'Estimate Details'!#REF!</f>
        <v>#REF!</v>
      </c>
      <c r="W607" s="686" t="s">
        <v>1311</v>
      </c>
      <c r="X607" s="682" t="e">
        <f>+'Estimate Details'!#REF!</f>
        <v>#REF!</v>
      </c>
      <c r="Y607" s="682" t="e">
        <f>+'Estimate Details'!#REF!</f>
        <v>#REF!</v>
      </c>
      <c r="Z607" s="684" t="e">
        <f>+'Estimate Details'!#REF!</f>
        <v>#REF!</v>
      </c>
      <c r="AA607" s="686"/>
      <c r="AB607" s="687" t="e">
        <f>+'Estimate Details'!#REF!</f>
        <v>#REF!</v>
      </c>
      <c r="AC607" s="688"/>
      <c r="AD607" s="696" t="e">
        <f>+'Estimate Details'!#REF!</f>
        <v>#REF!</v>
      </c>
      <c r="AE607" s="156"/>
      <c r="AF607" s="370"/>
      <c r="AG607" s="156"/>
      <c r="AH607" s="156"/>
      <c r="AI607" s="29"/>
      <c r="AJ607" s="29"/>
      <c r="AK607" s="29"/>
      <c r="AL607" s="29"/>
    </row>
    <row r="608" spans="1:38" ht="14.1" customHeight="1">
      <c r="A608" s="673" t="e">
        <f>+'Estimate Details'!#REF!</f>
        <v>#REF!</v>
      </c>
      <c r="B608" s="673"/>
      <c r="C608" s="673"/>
      <c r="D608" s="674"/>
      <c r="E608" s="675" t="e">
        <f>+'Estimate Details'!#REF!</f>
        <v>#REF!</v>
      </c>
      <c r="F608" s="676"/>
      <c r="G608" s="677" t="e">
        <f>+'Estimate Details'!#REF!</f>
        <v>#REF!</v>
      </c>
      <c r="H608" s="678" t="e">
        <f>+'Estimate Details'!#REF!</f>
        <v>#REF!</v>
      </c>
      <c r="I608" s="678" t="e">
        <f>+'Estimate Details'!#REF!</f>
        <v>#REF!</v>
      </c>
      <c r="J608" s="677" t="e">
        <f>+'Estimate Details'!#REF!</f>
        <v>#REF!</v>
      </c>
      <c r="K608" s="677" t="e">
        <f>+'Estimate Details'!#REF!</f>
        <v>#REF!</v>
      </c>
      <c r="L608" s="677" t="e">
        <f>+'Estimate Details'!#REF!</f>
        <v>#REF!</v>
      </c>
      <c r="M608" s="236" t="e">
        <f>+'Estimate Details'!#REF!</f>
        <v>#REF!</v>
      </c>
      <c r="N608" s="699" t="e">
        <f>+'Estimate Details'!#REF!</f>
        <v>#REF!</v>
      </c>
      <c r="O608" s="681" t="e">
        <f>+'Estimate Details'!#REF!</f>
        <v>#REF!</v>
      </c>
      <c r="P608" s="682" t="e">
        <f>+'Estimate Details'!#REF!</f>
        <v>#REF!</v>
      </c>
      <c r="Q608" s="683" t="e">
        <f>+'Estimate Details'!#REF!</f>
        <v>#REF!</v>
      </c>
      <c r="R608" s="684" t="e">
        <f>+'Estimate Details'!#REF!</f>
        <v>#REF!</v>
      </c>
      <c r="S608" s="685"/>
      <c r="T608" s="684" t="e">
        <f>+'Estimate Details'!#REF!</f>
        <v>#REF!</v>
      </c>
      <c r="U608" s="686" t="s">
        <v>1300</v>
      </c>
      <c r="V608" s="682" t="e">
        <f>+'Estimate Details'!#REF!</f>
        <v>#REF!</v>
      </c>
      <c r="W608" s="686"/>
      <c r="X608" s="682" t="e">
        <f>+'Estimate Details'!#REF!</f>
        <v>#REF!</v>
      </c>
      <c r="Y608" s="682" t="e">
        <f>+'Estimate Details'!#REF!</f>
        <v>#REF!</v>
      </c>
      <c r="Z608" s="684" t="e">
        <f>+'Estimate Details'!#REF!</f>
        <v>#REF!</v>
      </c>
      <c r="AA608" s="686"/>
      <c r="AB608" s="687" t="e">
        <f>+'Estimate Details'!#REF!</f>
        <v>#REF!</v>
      </c>
      <c r="AC608" s="688"/>
      <c r="AD608" s="696" t="e">
        <f>+'Estimate Details'!#REF!</f>
        <v>#REF!</v>
      </c>
      <c r="AE608" s="156"/>
      <c r="AF608" s="370"/>
      <c r="AG608" s="156"/>
      <c r="AH608" s="156"/>
      <c r="AI608" s="29"/>
      <c r="AJ608" s="29"/>
      <c r="AK608" s="29"/>
      <c r="AL608" s="29"/>
    </row>
    <row r="609" spans="1:38" ht="14.1" customHeight="1">
      <c r="A609" s="673" t="e">
        <f>+'Estimate Details'!#REF!</f>
        <v>#REF!</v>
      </c>
      <c r="B609" s="673"/>
      <c r="C609" s="673"/>
      <c r="D609" s="674"/>
      <c r="E609" s="675" t="e">
        <f>+'Estimate Details'!#REF!</f>
        <v>#REF!</v>
      </c>
      <c r="F609" s="676"/>
      <c r="G609" s="677" t="e">
        <f>+'Estimate Details'!#REF!</f>
        <v>#REF!</v>
      </c>
      <c r="H609" s="678" t="e">
        <f>+'Estimate Details'!#REF!</f>
        <v>#REF!</v>
      </c>
      <c r="I609" s="678" t="e">
        <f>+'Estimate Details'!#REF!</f>
        <v>#REF!</v>
      </c>
      <c r="J609" s="677" t="e">
        <f>+'Estimate Details'!#REF!</f>
        <v>#REF!</v>
      </c>
      <c r="K609" s="677" t="e">
        <f>+'Estimate Details'!#REF!</f>
        <v>#REF!</v>
      </c>
      <c r="L609" s="677" t="e">
        <f>+'Estimate Details'!#REF!</f>
        <v>#REF!</v>
      </c>
      <c r="M609" s="236" t="e">
        <f>+'Estimate Details'!#REF!</f>
        <v>#REF!</v>
      </c>
      <c r="N609" s="699" t="e">
        <f>+'Estimate Details'!#REF!</f>
        <v>#REF!</v>
      </c>
      <c r="O609" s="681" t="e">
        <f>+'Estimate Details'!#REF!</f>
        <v>#REF!</v>
      </c>
      <c r="P609" s="682" t="e">
        <f>+'Estimate Details'!#REF!</f>
        <v>#REF!</v>
      </c>
      <c r="Q609" s="683" t="e">
        <f>+'Estimate Details'!#REF!</f>
        <v>#REF!</v>
      </c>
      <c r="R609" s="684" t="e">
        <f>+'Estimate Details'!#REF!</f>
        <v>#REF!</v>
      </c>
      <c r="S609" s="685"/>
      <c r="T609" s="684" t="e">
        <f>+'Estimate Details'!#REF!</f>
        <v>#REF!</v>
      </c>
      <c r="U609" s="686" t="s">
        <v>1300</v>
      </c>
      <c r="V609" s="682" t="e">
        <f>+'Estimate Details'!#REF!</f>
        <v>#REF!</v>
      </c>
      <c r="W609" s="686" t="s">
        <v>1311</v>
      </c>
      <c r="X609" s="682" t="e">
        <f>+'Estimate Details'!#REF!</f>
        <v>#REF!</v>
      </c>
      <c r="Y609" s="682" t="e">
        <f>+'Estimate Details'!#REF!</f>
        <v>#REF!</v>
      </c>
      <c r="Z609" s="684" t="e">
        <f>+'Estimate Details'!#REF!</f>
        <v>#REF!</v>
      </c>
      <c r="AA609" s="686"/>
      <c r="AB609" s="687" t="e">
        <f>+'Estimate Details'!#REF!</f>
        <v>#REF!</v>
      </c>
      <c r="AC609" s="688"/>
      <c r="AD609" s="696" t="e">
        <f>+'Estimate Details'!#REF!</f>
        <v>#REF!</v>
      </c>
      <c r="AE609" s="156"/>
      <c r="AF609" s="370"/>
      <c r="AG609" s="156"/>
      <c r="AH609" s="156"/>
      <c r="AI609" s="29"/>
      <c r="AJ609" s="29"/>
      <c r="AK609" s="29"/>
      <c r="AL609" s="29"/>
    </row>
    <row r="610" spans="1:38" ht="14.1" customHeight="1">
      <c r="A610" s="673" t="e">
        <f>+'Estimate Details'!#REF!</f>
        <v>#REF!</v>
      </c>
      <c r="B610" s="673"/>
      <c r="C610" s="673"/>
      <c r="D610" s="674"/>
      <c r="E610" s="675" t="e">
        <f>+'Estimate Details'!#REF!</f>
        <v>#REF!</v>
      </c>
      <c r="F610" s="676"/>
      <c r="G610" s="677" t="e">
        <f>+'Estimate Details'!#REF!</f>
        <v>#REF!</v>
      </c>
      <c r="H610" s="678" t="e">
        <f>+'Estimate Details'!#REF!</f>
        <v>#REF!</v>
      </c>
      <c r="I610" s="678" t="e">
        <f>+'Estimate Details'!#REF!</f>
        <v>#REF!</v>
      </c>
      <c r="J610" s="677" t="e">
        <f>+'Estimate Details'!#REF!</f>
        <v>#REF!</v>
      </c>
      <c r="K610" s="677" t="e">
        <f>+'Estimate Details'!#REF!</f>
        <v>#REF!</v>
      </c>
      <c r="L610" s="677" t="e">
        <f>+'Estimate Details'!#REF!</f>
        <v>#REF!</v>
      </c>
      <c r="M610" s="236" t="e">
        <f>+'Estimate Details'!#REF!</f>
        <v>#REF!</v>
      </c>
      <c r="N610" s="699" t="e">
        <f>+'Estimate Details'!#REF!</f>
        <v>#REF!</v>
      </c>
      <c r="O610" s="681" t="e">
        <f>+'Estimate Details'!#REF!</f>
        <v>#REF!</v>
      </c>
      <c r="P610" s="682" t="e">
        <f>+'Estimate Details'!#REF!</f>
        <v>#REF!</v>
      </c>
      <c r="Q610" s="683" t="e">
        <f>+'Estimate Details'!#REF!</f>
        <v>#REF!</v>
      </c>
      <c r="R610" s="684" t="e">
        <f>+'Estimate Details'!#REF!</f>
        <v>#REF!</v>
      </c>
      <c r="S610" s="685"/>
      <c r="T610" s="684" t="e">
        <f>+'Estimate Details'!#REF!</f>
        <v>#REF!</v>
      </c>
      <c r="U610" s="686" t="s">
        <v>1300</v>
      </c>
      <c r="V610" s="682" t="e">
        <f>+'Estimate Details'!#REF!</f>
        <v>#REF!</v>
      </c>
      <c r="W610" s="686" t="s">
        <v>1311</v>
      </c>
      <c r="X610" s="682" t="e">
        <f>+'Estimate Details'!#REF!</f>
        <v>#REF!</v>
      </c>
      <c r="Y610" s="682" t="e">
        <f>+'Estimate Details'!#REF!</f>
        <v>#REF!</v>
      </c>
      <c r="Z610" s="684" t="e">
        <f>+'Estimate Details'!#REF!</f>
        <v>#REF!</v>
      </c>
      <c r="AA610" s="686"/>
      <c r="AB610" s="687" t="e">
        <f>+'Estimate Details'!#REF!</f>
        <v>#REF!</v>
      </c>
      <c r="AC610" s="688"/>
      <c r="AD610" s="696" t="e">
        <f>+'Estimate Details'!#REF!</f>
        <v>#REF!</v>
      </c>
      <c r="AE610" s="156"/>
      <c r="AF610" s="370"/>
      <c r="AG610" s="156"/>
      <c r="AH610" s="156"/>
      <c r="AI610" s="29"/>
      <c r="AJ610" s="29"/>
      <c r="AK610" s="29"/>
      <c r="AL610" s="29"/>
    </row>
    <row r="611" spans="1:38" ht="14.1" customHeight="1">
      <c r="A611" s="673" t="e">
        <f>+'Estimate Details'!#REF!</f>
        <v>#REF!</v>
      </c>
      <c r="B611" s="673"/>
      <c r="C611" s="673"/>
      <c r="D611" s="674"/>
      <c r="E611" s="675" t="e">
        <f>+'Estimate Details'!#REF!</f>
        <v>#REF!</v>
      </c>
      <c r="F611" s="676"/>
      <c r="G611" s="677" t="e">
        <f>+'Estimate Details'!#REF!</f>
        <v>#REF!</v>
      </c>
      <c r="H611" s="678" t="e">
        <f>+'Estimate Details'!#REF!</f>
        <v>#REF!</v>
      </c>
      <c r="I611" s="678" t="e">
        <f>+'Estimate Details'!#REF!</f>
        <v>#REF!</v>
      </c>
      <c r="J611" s="677" t="e">
        <f>+'Estimate Details'!#REF!</f>
        <v>#REF!</v>
      </c>
      <c r="K611" s="677" t="e">
        <f>+'Estimate Details'!#REF!</f>
        <v>#REF!</v>
      </c>
      <c r="L611" s="677" t="e">
        <f>+'Estimate Details'!#REF!</f>
        <v>#REF!</v>
      </c>
      <c r="M611" s="236" t="e">
        <f>+'Estimate Details'!#REF!</f>
        <v>#REF!</v>
      </c>
      <c r="N611" s="699" t="e">
        <f>+'Estimate Details'!#REF!</f>
        <v>#REF!</v>
      </c>
      <c r="O611" s="681" t="e">
        <f>+'Estimate Details'!#REF!</f>
        <v>#REF!</v>
      </c>
      <c r="P611" s="682" t="e">
        <f>+'Estimate Details'!#REF!</f>
        <v>#REF!</v>
      </c>
      <c r="Q611" s="683" t="e">
        <f>+'Estimate Details'!#REF!</f>
        <v>#REF!</v>
      </c>
      <c r="R611" s="684" t="e">
        <f>+'Estimate Details'!#REF!</f>
        <v>#REF!</v>
      </c>
      <c r="S611" s="685"/>
      <c r="T611" s="684" t="e">
        <f>+'Estimate Details'!#REF!</f>
        <v>#REF!</v>
      </c>
      <c r="U611" s="686" t="s">
        <v>1310</v>
      </c>
      <c r="V611" s="682" t="e">
        <f>+'Estimate Details'!#REF!</f>
        <v>#REF!</v>
      </c>
      <c r="W611" s="686" t="s">
        <v>1311</v>
      </c>
      <c r="X611" s="682" t="e">
        <f>+'Estimate Details'!#REF!</f>
        <v>#REF!</v>
      </c>
      <c r="Y611" s="682" t="e">
        <f>+'Estimate Details'!#REF!</f>
        <v>#REF!</v>
      </c>
      <c r="Z611" s="684" t="e">
        <f>+'Estimate Details'!#REF!</f>
        <v>#REF!</v>
      </c>
      <c r="AA611" s="686"/>
      <c r="AB611" s="687" t="e">
        <f>+'Estimate Details'!#REF!</f>
        <v>#REF!</v>
      </c>
      <c r="AC611" s="688"/>
      <c r="AD611" s="696" t="e">
        <f>+'Estimate Details'!#REF!</f>
        <v>#REF!</v>
      </c>
      <c r="AE611" s="156"/>
      <c r="AF611" s="370"/>
      <c r="AG611" s="156"/>
      <c r="AH611" s="156"/>
      <c r="AI611" s="29"/>
      <c r="AJ611" s="29"/>
      <c r="AK611" s="29"/>
      <c r="AL611" s="29"/>
    </row>
    <row r="612" spans="1:38" ht="14.1" customHeight="1">
      <c r="A612" s="673" t="e">
        <f>+'Estimate Details'!#REF!</f>
        <v>#REF!</v>
      </c>
      <c r="B612" s="673"/>
      <c r="C612" s="673"/>
      <c r="D612" s="674"/>
      <c r="E612" s="675" t="e">
        <f>+'Estimate Details'!#REF!</f>
        <v>#REF!</v>
      </c>
      <c r="F612" s="676"/>
      <c r="G612" s="677" t="e">
        <f>+'Estimate Details'!#REF!</f>
        <v>#REF!</v>
      </c>
      <c r="H612" s="678" t="e">
        <f>+'Estimate Details'!#REF!</f>
        <v>#REF!</v>
      </c>
      <c r="I612" s="678" t="e">
        <f>+'Estimate Details'!#REF!</f>
        <v>#REF!</v>
      </c>
      <c r="J612" s="677" t="e">
        <f>+'Estimate Details'!#REF!</f>
        <v>#REF!</v>
      </c>
      <c r="K612" s="677" t="e">
        <f>+'Estimate Details'!#REF!</f>
        <v>#REF!</v>
      </c>
      <c r="L612" s="677" t="e">
        <f>+'Estimate Details'!#REF!</f>
        <v>#REF!</v>
      </c>
      <c r="M612" s="236" t="e">
        <f>+'Estimate Details'!#REF!</f>
        <v>#REF!</v>
      </c>
      <c r="N612" s="699" t="e">
        <f>+'Estimate Details'!#REF!</f>
        <v>#REF!</v>
      </c>
      <c r="O612" s="681" t="e">
        <f>+'Estimate Details'!#REF!</f>
        <v>#REF!</v>
      </c>
      <c r="P612" s="682" t="e">
        <f>+'Estimate Details'!#REF!</f>
        <v>#REF!</v>
      </c>
      <c r="Q612" s="683" t="e">
        <f>+'Estimate Details'!#REF!</f>
        <v>#REF!</v>
      </c>
      <c r="R612" s="684" t="e">
        <f>+'Estimate Details'!#REF!</f>
        <v>#REF!</v>
      </c>
      <c r="S612" s="685"/>
      <c r="T612" s="684" t="e">
        <f>+'Estimate Details'!#REF!</f>
        <v>#REF!</v>
      </c>
      <c r="U612" s="686"/>
      <c r="V612" s="682" t="e">
        <f>+'Estimate Details'!#REF!</f>
        <v>#REF!</v>
      </c>
      <c r="W612" s="686" t="s">
        <v>1311</v>
      </c>
      <c r="X612" s="682" t="e">
        <f>+'Estimate Details'!#REF!</f>
        <v>#REF!</v>
      </c>
      <c r="Y612" s="682" t="e">
        <f>+'Estimate Details'!#REF!</f>
        <v>#REF!</v>
      </c>
      <c r="Z612" s="684" t="e">
        <f>+'Estimate Details'!#REF!</f>
        <v>#REF!</v>
      </c>
      <c r="AA612" s="686"/>
      <c r="AB612" s="687" t="e">
        <f>+'Estimate Details'!#REF!</f>
        <v>#REF!</v>
      </c>
      <c r="AC612" s="688"/>
      <c r="AD612" s="696" t="e">
        <f>+'Estimate Details'!#REF!</f>
        <v>#REF!</v>
      </c>
      <c r="AE612" s="156"/>
      <c r="AF612" s="370"/>
      <c r="AG612" s="156"/>
      <c r="AH612" s="156"/>
      <c r="AI612" s="29"/>
      <c r="AJ612" s="29"/>
      <c r="AK612" s="29"/>
      <c r="AL612" s="29"/>
    </row>
    <row r="613" spans="1:38" ht="14.1" customHeight="1">
      <c r="A613" s="673" t="e">
        <f>+'Estimate Details'!#REF!</f>
        <v>#REF!</v>
      </c>
      <c r="B613" s="673"/>
      <c r="C613" s="673"/>
      <c r="D613" s="674"/>
      <c r="E613" s="675" t="e">
        <f>+'Estimate Details'!#REF!</f>
        <v>#REF!</v>
      </c>
      <c r="F613" s="676"/>
      <c r="G613" s="677" t="e">
        <f>+'Estimate Details'!#REF!</f>
        <v>#REF!</v>
      </c>
      <c r="H613" s="678" t="e">
        <f>+'Estimate Details'!#REF!</f>
        <v>#REF!</v>
      </c>
      <c r="I613" s="678" t="e">
        <f>+'Estimate Details'!#REF!</f>
        <v>#REF!</v>
      </c>
      <c r="J613" s="677" t="e">
        <f>+'Estimate Details'!#REF!</f>
        <v>#REF!</v>
      </c>
      <c r="K613" s="677" t="e">
        <f>+'Estimate Details'!#REF!</f>
        <v>#REF!</v>
      </c>
      <c r="L613" s="677" t="e">
        <f>+'Estimate Details'!#REF!</f>
        <v>#REF!</v>
      </c>
      <c r="M613" s="236" t="e">
        <f>+'Estimate Details'!#REF!</f>
        <v>#REF!</v>
      </c>
      <c r="N613" s="699" t="e">
        <f>+'Estimate Details'!#REF!</f>
        <v>#REF!</v>
      </c>
      <c r="O613" s="681" t="e">
        <f>+'Estimate Details'!#REF!</f>
        <v>#REF!</v>
      </c>
      <c r="P613" s="682" t="e">
        <f>+'Estimate Details'!#REF!</f>
        <v>#REF!</v>
      </c>
      <c r="Q613" s="683" t="e">
        <f>+'Estimate Details'!#REF!</f>
        <v>#REF!</v>
      </c>
      <c r="R613" s="684" t="e">
        <f>+'Estimate Details'!#REF!</f>
        <v>#REF!</v>
      </c>
      <c r="S613" s="685"/>
      <c r="T613" s="684" t="e">
        <f>+'Estimate Details'!#REF!</f>
        <v>#REF!</v>
      </c>
      <c r="U613" s="686" t="s">
        <v>1311</v>
      </c>
      <c r="V613" s="682" t="e">
        <f>+'Estimate Details'!#REF!</f>
        <v>#REF!</v>
      </c>
      <c r="W613" s="686" t="s">
        <v>1311</v>
      </c>
      <c r="X613" s="682" t="e">
        <f>+'Estimate Details'!#REF!</f>
        <v>#REF!</v>
      </c>
      <c r="Y613" s="682" t="e">
        <f>+'Estimate Details'!#REF!</f>
        <v>#REF!</v>
      </c>
      <c r="Z613" s="684" t="e">
        <f>+'Estimate Details'!#REF!</f>
        <v>#REF!</v>
      </c>
      <c r="AA613" s="686"/>
      <c r="AB613" s="687" t="e">
        <f>+'Estimate Details'!#REF!</f>
        <v>#REF!</v>
      </c>
      <c r="AC613" s="688"/>
      <c r="AD613" s="696" t="e">
        <f>+'Estimate Details'!#REF!</f>
        <v>#REF!</v>
      </c>
      <c r="AE613" s="156"/>
      <c r="AF613" s="370"/>
      <c r="AG613" s="156"/>
      <c r="AH613" s="156"/>
      <c r="AI613" s="29"/>
      <c r="AJ613" s="29"/>
      <c r="AK613" s="29"/>
      <c r="AL613" s="29"/>
    </row>
    <row r="614" spans="1:38" ht="14.1" customHeight="1">
      <c r="A614" s="673" t="e">
        <f>+'Estimate Details'!#REF!</f>
        <v>#REF!</v>
      </c>
      <c r="B614" s="673"/>
      <c r="C614" s="673"/>
      <c r="D614" s="674"/>
      <c r="E614" s="675" t="e">
        <f>+'Estimate Details'!#REF!</f>
        <v>#REF!</v>
      </c>
      <c r="F614" s="676"/>
      <c r="G614" s="677" t="e">
        <f>+'Estimate Details'!#REF!</f>
        <v>#REF!</v>
      </c>
      <c r="H614" s="678" t="e">
        <f>+'Estimate Details'!#REF!</f>
        <v>#REF!</v>
      </c>
      <c r="I614" s="678" t="e">
        <f>+'Estimate Details'!#REF!</f>
        <v>#REF!</v>
      </c>
      <c r="J614" s="677" t="e">
        <f>+'Estimate Details'!#REF!</f>
        <v>#REF!</v>
      </c>
      <c r="K614" s="677" t="e">
        <f>+'Estimate Details'!#REF!</f>
        <v>#REF!</v>
      </c>
      <c r="L614" s="677" t="e">
        <f>+'Estimate Details'!#REF!</f>
        <v>#REF!</v>
      </c>
      <c r="M614" s="236" t="e">
        <f>+'Estimate Details'!#REF!</f>
        <v>#REF!</v>
      </c>
      <c r="N614" s="699" t="e">
        <f>+'Estimate Details'!#REF!</f>
        <v>#REF!</v>
      </c>
      <c r="O614" s="681" t="e">
        <f>+'Estimate Details'!#REF!</f>
        <v>#REF!</v>
      </c>
      <c r="P614" s="682" t="e">
        <f>+'Estimate Details'!#REF!</f>
        <v>#REF!</v>
      </c>
      <c r="Q614" s="683" t="e">
        <f>+'Estimate Details'!#REF!</f>
        <v>#REF!</v>
      </c>
      <c r="R614" s="684" t="e">
        <f>+'Estimate Details'!#REF!</f>
        <v>#REF!</v>
      </c>
      <c r="S614" s="685"/>
      <c r="T614" s="684" t="e">
        <f>+'Estimate Details'!#REF!</f>
        <v>#REF!</v>
      </c>
      <c r="U614" s="686" t="s">
        <v>1311</v>
      </c>
      <c r="V614" s="682" t="e">
        <f>+'Estimate Details'!#REF!</f>
        <v>#REF!</v>
      </c>
      <c r="W614" s="686" t="s">
        <v>1311</v>
      </c>
      <c r="X614" s="682" t="e">
        <f>+'Estimate Details'!#REF!</f>
        <v>#REF!</v>
      </c>
      <c r="Y614" s="682" t="e">
        <f>+'Estimate Details'!#REF!</f>
        <v>#REF!</v>
      </c>
      <c r="Z614" s="684" t="e">
        <f>+'Estimate Details'!#REF!</f>
        <v>#REF!</v>
      </c>
      <c r="AA614" s="686"/>
      <c r="AB614" s="687" t="e">
        <f>+'Estimate Details'!#REF!</f>
        <v>#REF!</v>
      </c>
      <c r="AC614" s="688"/>
      <c r="AD614" s="696" t="e">
        <f>+'Estimate Details'!#REF!</f>
        <v>#REF!</v>
      </c>
      <c r="AE614" s="156"/>
      <c r="AF614" s="370"/>
      <c r="AG614" s="156"/>
      <c r="AH614" s="156"/>
      <c r="AI614" s="29"/>
      <c r="AJ614" s="29"/>
      <c r="AK614" s="29"/>
      <c r="AL614" s="29"/>
    </row>
    <row r="615" spans="1:38" ht="14.1" customHeight="1">
      <c r="A615" s="673" t="e">
        <f>+'Estimate Details'!#REF!</f>
        <v>#REF!</v>
      </c>
      <c r="B615" s="673"/>
      <c r="C615" s="673"/>
      <c r="D615" s="674"/>
      <c r="E615" s="675" t="e">
        <f>+'Estimate Details'!#REF!</f>
        <v>#REF!</v>
      </c>
      <c r="F615" s="676"/>
      <c r="G615" s="677" t="e">
        <f>+'Estimate Details'!#REF!</f>
        <v>#REF!</v>
      </c>
      <c r="H615" s="678" t="e">
        <f>+'Estimate Details'!#REF!</f>
        <v>#REF!</v>
      </c>
      <c r="I615" s="678" t="e">
        <f>+'Estimate Details'!#REF!</f>
        <v>#REF!</v>
      </c>
      <c r="J615" s="677" t="e">
        <f>+'Estimate Details'!#REF!</f>
        <v>#REF!</v>
      </c>
      <c r="K615" s="677" t="e">
        <f>+'Estimate Details'!#REF!</f>
        <v>#REF!</v>
      </c>
      <c r="L615" s="677" t="e">
        <f>+'Estimate Details'!#REF!</f>
        <v>#REF!</v>
      </c>
      <c r="M615" s="236" t="e">
        <f>+'Estimate Details'!#REF!</f>
        <v>#REF!</v>
      </c>
      <c r="N615" s="699" t="e">
        <f>+'Estimate Details'!#REF!</f>
        <v>#REF!</v>
      </c>
      <c r="O615" s="681" t="e">
        <f>+'Estimate Details'!#REF!</f>
        <v>#REF!</v>
      </c>
      <c r="P615" s="682" t="e">
        <f>+'Estimate Details'!#REF!</f>
        <v>#REF!</v>
      </c>
      <c r="Q615" s="683" t="e">
        <f>+'Estimate Details'!#REF!</f>
        <v>#REF!</v>
      </c>
      <c r="R615" s="684" t="e">
        <f>+'Estimate Details'!#REF!</f>
        <v>#REF!</v>
      </c>
      <c r="S615" s="685"/>
      <c r="T615" s="684" t="e">
        <f>+'Estimate Details'!#REF!</f>
        <v>#REF!</v>
      </c>
      <c r="U615" s="686" t="s">
        <v>1311</v>
      </c>
      <c r="V615" s="682" t="e">
        <f>+'Estimate Details'!#REF!</f>
        <v>#REF!</v>
      </c>
      <c r="W615" s="686" t="s">
        <v>1311</v>
      </c>
      <c r="X615" s="682" t="e">
        <f>+'Estimate Details'!#REF!</f>
        <v>#REF!</v>
      </c>
      <c r="Y615" s="682" t="e">
        <f>+'Estimate Details'!#REF!</f>
        <v>#REF!</v>
      </c>
      <c r="Z615" s="684" t="e">
        <f>+'Estimate Details'!#REF!</f>
        <v>#REF!</v>
      </c>
      <c r="AA615" s="686"/>
      <c r="AB615" s="687" t="e">
        <f>+'Estimate Details'!#REF!</f>
        <v>#REF!</v>
      </c>
      <c r="AC615" s="688"/>
      <c r="AD615" s="696" t="e">
        <f>+'Estimate Details'!#REF!</f>
        <v>#REF!</v>
      </c>
      <c r="AE615" s="156"/>
      <c r="AF615" s="370"/>
      <c r="AG615" s="156"/>
      <c r="AH615" s="156"/>
      <c r="AI615" s="29"/>
      <c r="AJ615" s="29"/>
      <c r="AK615" s="29"/>
      <c r="AL615" s="29"/>
    </row>
    <row r="616" spans="1:38" ht="14.1" customHeight="1">
      <c r="A616" s="673" t="e">
        <f>+'Estimate Details'!#REF!</f>
        <v>#REF!</v>
      </c>
      <c r="B616" s="673"/>
      <c r="C616" s="673"/>
      <c r="D616" s="674"/>
      <c r="E616" s="675" t="e">
        <f>+'Estimate Details'!#REF!</f>
        <v>#REF!</v>
      </c>
      <c r="F616" s="676"/>
      <c r="G616" s="677" t="e">
        <f>+'Estimate Details'!#REF!</f>
        <v>#REF!</v>
      </c>
      <c r="H616" s="678" t="e">
        <f>+'Estimate Details'!#REF!</f>
        <v>#REF!</v>
      </c>
      <c r="I616" s="678" t="e">
        <f>+'Estimate Details'!#REF!</f>
        <v>#REF!</v>
      </c>
      <c r="J616" s="677" t="e">
        <f>+'Estimate Details'!#REF!</f>
        <v>#REF!</v>
      </c>
      <c r="K616" s="677" t="e">
        <f>+'Estimate Details'!#REF!</f>
        <v>#REF!</v>
      </c>
      <c r="L616" s="677" t="e">
        <f>+'Estimate Details'!#REF!</f>
        <v>#REF!</v>
      </c>
      <c r="M616" s="236" t="e">
        <f>+'Estimate Details'!#REF!</f>
        <v>#REF!</v>
      </c>
      <c r="N616" s="699" t="e">
        <f>+'Estimate Details'!#REF!</f>
        <v>#REF!</v>
      </c>
      <c r="O616" s="681" t="e">
        <f>+'Estimate Details'!#REF!</f>
        <v>#REF!</v>
      </c>
      <c r="P616" s="682" t="e">
        <f>+'Estimate Details'!#REF!</f>
        <v>#REF!</v>
      </c>
      <c r="Q616" s="683" t="e">
        <f>+'Estimate Details'!#REF!</f>
        <v>#REF!</v>
      </c>
      <c r="R616" s="684" t="e">
        <f>+'Estimate Details'!#REF!</f>
        <v>#REF!</v>
      </c>
      <c r="S616" s="685"/>
      <c r="T616" s="684" t="e">
        <f>+'Estimate Details'!#REF!</f>
        <v>#REF!</v>
      </c>
      <c r="U616" s="686" t="s">
        <v>1311</v>
      </c>
      <c r="V616" s="682" t="e">
        <f>+'Estimate Details'!#REF!</f>
        <v>#REF!</v>
      </c>
      <c r="W616" s="686" t="s">
        <v>1311</v>
      </c>
      <c r="X616" s="682" t="e">
        <f>+'Estimate Details'!#REF!</f>
        <v>#REF!</v>
      </c>
      <c r="Y616" s="682" t="e">
        <f>+'Estimate Details'!#REF!</f>
        <v>#REF!</v>
      </c>
      <c r="Z616" s="684" t="e">
        <f>+'Estimate Details'!#REF!</f>
        <v>#REF!</v>
      </c>
      <c r="AA616" s="686"/>
      <c r="AB616" s="687" t="e">
        <f>+'Estimate Details'!#REF!</f>
        <v>#REF!</v>
      </c>
      <c r="AC616" s="688"/>
      <c r="AD616" s="696" t="e">
        <f>+'Estimate Details'!#REF!</f>
        <v>#REF!</v>
      </c>
      <c r="AE616" s="156"/>
      <c r="AF616" s="370"/>
      <c r="AG616" s="156"/>
      <c r="AH616" s="156"/>
      <c r="AI616" s="29"/>
      <c r="AJ616" s="29"/>
      <c r="AK616" s="29"/>
      <c r="AL616" s="29"/>
    </row>
    <row r="617" spans="1:38" ht="14.1" customHeight="1">
      <c r="A617" s="673" t="e">
        <f>+'Estimate Details'!#REF!</f>
        <v>#REF!</v>
      </c>
      <c r="B617" s="673"/>
      <c r="C617" s="673"/>
      <c r="D617" s="674"/>
      <c r="E617" s="675" t="e">
        <f>+'Estimate Details'!#REF!</f>
        <v>#REF!</v>
      </c>
      <c r="F617" s="676"/>
      <c r="G617" s="677" t="e">
        <f>+'Estimate Details'!#REF!</f>
        <v>#REF!</v>
      </c>
      <c r="H617" s="678" t="e">
        <f>+'Estimate Details'!#REF!</f>
        <v>#REF!</v>
      </c>
      <c r="I617" s="678" t="e">
        <f>+'Estimate Details'!#REF!</f>
        <v>#REF!</v>
      </c>
      <c r="J617" s="677" t="e">
        <f>+'Estimate Details'!#REF!</f>
        <v>#REF!</v>
      </c>
      <c r="K617" s="677" t="e">
        <f>+'Estimate Details'!#REF!</f>
        <v>#REF!</v>
      </c>
      <c r="L617" s="677" t="e">
        <f>+'Estimate Details'!#REF!</f>
        <v>#REF!</v>
      </c>
      <c r="M617" s="236" t="e">
        <f>+'Estimate Details'!#REF!</f>
        <v>#REF!</v>
      </c>
      <c r="N617" s="699" t="e">
        <f>+'Estimate Details'!#REF!</f>
        <v>#REF!</v>
      </c>
      <c r="O617" s="681" t="e">
        <f>+'Estimate Details'!#REF!</f>
        <v>#REF!</v>
      </c>
      <c r="P617" s="682" t="e">
        <f>+'Estimate Details'!#REF!</f>
        <v>#REF!</v>
      </c>
      <c r="Q617" s="683" t="e">
        <f>+'Estimate Details'!#REF!</f>
        <v>#REF!</v>
      </c>
      <c r="R617" s="684" t="e">
        <f>+'Estimate Details'!#REF!</f>
        <v>#REF!</v>
      </c>
      <c r="S617" s="685"/>
      <c r="T617" s="684" t="e">
        <f>+'Estimate Details'!#REF!</f>
        <v>#REF!</v>
      </c>
      <c r="U617" s="686" t="s">
        <v>1311</v>
      </c>
      <c r="V617" s="682" t="e">
        <f>+'Estimate Details'!#REF!</f>
        <v>#REF!</v>
      </c>
      <c r="W617" s="686" t="s">
        <v>1311</v>
      </c>
      <c r="X617" s="682" t="e">
        <f>+'Estimate Details'!#REF!</f>
        <v>#REF!</v>
      </c>
      <c r="Y617" s="682" t="e">
        <f>+'Estimate Details'!#REF!</f>
        <v>#REF!</v>
      </c>
      <c r="Z617" s="684" t="e">
        <f>+'Estimate Details'!#REF!</f>
        <v>#REF!</v>
      </c>
      <c r="AA617" s="686"/>
      <c r="AB617" s="687" t="e">
        <f>+'Estimate Details'!#REF!</f>
        <v>#REF!</v>
      </c>
      <c r="AC617" s="688"/>
      <c r="AD617" s="696" t="e">
        <f>+'Estimate Details'!#REF!</f>
        <v>#REF!</v>
      </c>
      <c r="AE617" s="156"/>
      <c r="AF617" s="370"/>
      <c r="AG617" s="156"/>
      <c r="AH617" s="156"/>
      <c r="AI617" s="29"/>
      <c r="AJ617" s="29"/>
      <c r="AK617" s="29"/>
      <c r="AL617" s="29"/>
    </row>
    <row r="618" spans="1:38" ht="14.1" customHeight="1" thickBot="1">
      <c r="A618" s="673" t="e">
        <f>+'Estimate Details'!#REF!</f>
        <v>#REF!</v>
      </c>
      <c r="B618" s="673"/>
      <c r="C618" s="673"/>
      <c r="D618" s="674"/>
      <c r="E618" s="675" t="e">
        <f>+'Estimate Details'!#REF!</f>
        <v>#REF!</v>
      </c>
      <c r="F618" s="676"/>
      <c r="G618" s="677" t="e">
        <f>+'Estimate Details'!#REF!</f>
        <v>#REF!</v>
      </c>
      <c r="H618" s="678" t="e">
        <f>+'Estimate Details'!#REF!</f>
        <v>#REF!</v>
      </c>
      <c r="I618" s="678" t="e">
        <f>+'Estimate Details'!#REF!</f>
        <v>#REF!</v>
      </c>
      <c r="J618" s="677" t="e">
        <f>+'Estimate Details'!#REF!</f>
        <v>#REF!</v>
      </c>
      <c r="K618" s="677" t="e">
        <f>+'Estimate Details'!#REF!</f>
        <v>#REF!</v>
      </c>
      <c r="L618" s="677" t="e">
        <f>+'Estimate Details'!#REF!</f>
        <v>#REF!</v>
      </c>
      <c r="M618" s="236" t="e">
        <f>+'Estimate Details'!#REF!</f>
        <v>#REF!</v>
      </c>
      <c r="N618" s="699" t="e">
        <f>+'Estimate Details'!#REF!</f>
        <v>#REF!</v>
      </c>
      <c r="O618" s="681" t="e">
        <f>+'Estimate Details'!#REF!</f>
        <v>#REF!</v>
      </c>
      <c r="P618" s="682" t="e">
        <f>+'Estimate Details'!#REF!</f>
        <v>#REF!</v>
      </c>
      <c r="Q618" s="683" t="e">
        <f>+'Estimate Details'!#REF!</f>
        <v>#REF!</v>
      </c>
      <c r="R618" s="684" t="e">
        <f>+'Estimate Details'!#REF!</f>
        <v>#REF!</v>
      </c>
      <c r="S618" s="685"/>
      <c r="T618" s="684" t="e">
        <f>+'Estimate Details'!#REF!</f>
        <v>#REF!</v>
      </c>
      <c r="U618" s="686"/>
      <c r="V618" s="682" t="e">
        <f>+'Estimate Details'!#REF!</f>
        <v>#REF!</v>
      </c>
      <c r="W618" s="686" t="s">
        <v>1311</v>
      </c>
      <c r="X618" s="682" t="e">
        <f>+'Estimate Details'!#REF!</f>
        <v>#REF!</v>
      </c>
      <c r="Y618" s="682" t="e">
        <f>+'Estimate Details'!#REF!</f>
        <v>#REF!</v>
      </c>
      <c r="Z618" s="684" t="e">
        <f>+'Estimate Details'!#REF!</f>
        <v>#REF!</v>
      </c>
      <c r="AA618" s="686"/>
      <c r="AB618" s="687" t="e">
        <f>+'Estimate Details'!#REF!</f>
        <v>#REF!</v>
      </c>
      <c r="AC618" s="688"/>
      <c r="AD618" s="696" t="e">
        <f>+'Estimate Details'!#REF!</f>
        <v>#REF!</v>
      </c>
      <c r="AE618" s="156"/>
      <c r="AF618" s="370"/>
      <c r="AG618" s="156"/>
      <c r="AH618" s="156"/>
      <c r="AI618" s="29"/>
      <c r="AJ618" s="29"/>
      <c r="AK618" s="29"/>
      <c r="AL618" s="29"/>
    </row>
    <row r="619" spans="1:38" ht="16.2" thickBot="1">
      <c r="A619" s="419"/>
      <c r="B619" s="420"/>
      <c r="C619" s="420"/>
      <c r="D619" s="420"/>
      <c r="E619" s="421"/>
      <c r="F619" s="242"/>
      <c r="G619" s="422"/>
      <c r="H619" s="423" t="s">
        <v>1858</v>
      </c>
      <c r="I619" s="424"/>
      <c r="J619" s="425"/>
      <c r="K619" s="421"/>
      <c r="L619" s="421"/>
      <c r="M619" s="426"/>
      <c r="N619" s="427"/>
      <c r="O619" s="428"/>
      <c r="P619" s="429"/>
      <c r="Q619" s="430"/>
      <c r="R619" s="432" t="e">
        <f>SUM(R288:R618)</f>
        <v>#REF!</v>
      </c>
      <c r="S619" s="508"/>
      <c r="T619" s="432" t="e">
        <f>SUM(T288:T618)</f>
        <v>#REF!</v>
      </c>
      <c r="U619" s="480"/>
      <c r="V619" s="432" t="e">
        <f>SUM(V288:V618)</f>
        <v>#REF!</v>
      </c>
      <c r="W619" s="480"/>
      <c r="X619" s="429"/>
      <c r="Y619" s="429"/>
      <c r="Z619" s="432" t="e">
        <f>SUM(Z288:Z618)</f>
        <v>#REF!</v>
      </c>
      <c r="AA619" s="480"/>
      <c r="AB619" s="431"/>
      <c r="AC619" s="476"/>
      <c r="AD619" s="432" t="e">
        <f>SUM(AB288:AB618)</f>
        <v>#REF!</v>
      </c>
      <c r="AE619" s="178" t="e">
        <f>SUM(R619:Z619)</f>
        <v>#REF!</v>
      </c>
      <c r="AF619" s="370"/>
      <c r="AG619" s="156"/>
      <c r="AH619" s="156"/>
      <c r="AI619" s="29"/>
      <c r="AJ619" s="29"/>
      <c r="AK619" s="29"/>
      <c r="AL619" s="29"/>
    </row>
    <row r="620" spans="1:38">
      <c r="A620" s="295"/>
      <c r="B620" s="295"/>
      <c r="C620" s="295"/>
      <c r="D620" s="295"/>
      <c r="E620" s="344"/>
      <c r="F620" s="156"/>
      <c r="G620" s="433"/>
      <c r="H620" s="434"/>
      <c r="I620" s="373"/>
      <c r="J620" s="435"/>
      <c r="K620" s="344"/>
      <c r="L620" s="344"/>
      <c r="M620" s="436"/>
      <c r="N620" s="437"/>
      <c r="O620" s="438"/>
      <c r="P620" s="244"/>
      <c r="Q620" s="439"/>
      <c r="R620" s="441"/>
      <c r="S620" s="510"/>
      <c r="T620" s="441"/>
      <c r="U620" s="488"/>
      <c r="V620" s="441"/>
      <c r="W620" s="488"/>
      <c r="X620" s="244"/>
      <c r="Y620" s="244"/>
      <c r="Z620" s="441"/>
      <c r="AA620" s="488"/>
      <c r="AB620" s="178"/>
      <c r="AC620" s="441"/>
      <c r="AD620" s="441"/>
      <c r="AE620" s="178"/>
      <c r="AF620" s="370"/>
      <c r="AG620" s="156"/>
      <c r="AH620" s="156"/>
      <c r="AI620" s="29"/>
      <c r="AJ620" s="29"/>
      <c r="AK620" s="29"/>
      <c r="AL620" s="29"/>
    </row>
    <row r="621" spans="1:38" ht="14.1" customHeight="1">
      <c r="A621" s="209"/>
      <c r="B621" s="210"/>
      <c r="C621" s="210"/>
      <c r="D621" s="210"/>
      <c r="E621" s="317"/>
      <c r="F621" s="411"/>
      <c r="G621" s="412"/>
      <c r="H621" s="413"/>
      <c r="I621" s="414"/>
      <c r="J621" s="390"/>
      <c r="K621" s="317"/>
      <c r="L621" s="317"/>
      <c r="M621" s="415"/>
      <c r="N621" s="416"/>
      <c r="O621" s="417"/>
      <c r="P621" s="392"/>
      <c r="Q621" s="418"/>
      <c r="R621" s="549" t="s">
        <v>265</v>
      </c>
      <c r="S621" s="509" t="s">
        <v>266</v>
      </c>
      <c r="T621" s="549" t="s">
        <v>265</v>
      </c>
      <c r="U621" s="509" t="s">
        <v>266</v>
      </c>
      <c r="V621" s="549" t="s">
        <v>265</v>
      </c>
      <c r="W621" s="509" t="s">
        <v>266</v>
      </c>
      <c r="X621" s="392"/>
      <c r="Y621" s="392"/>
      <c r="Z621" s="549" t="s">
        <v>265</v>
      </c>
      <c r="AA621" s="509" t="s">
        <v>266</v>
      </c>
      <c r="AB621" s="395"/>
      <c r="AC621" s="570"/>
      <c r="AD621" s="395"/>
      <c r="AE621" s="156"/>
      <c r="AF621" s="370"/>
      <c r="AG621" s="156"/>
      <c r="AH621" s="156"/>
      <c r="AI621" s="29"/>
      <c r="AJ621" s="29"/>
      <c r="AK621" s="29"/>
      <c r="AL621" s="29"/>
    </row>
    <row r="622" spans="1:38" ht="14.1" customHeight="1">
      <c r="A622" s="116" t="e">
        <f>+'Estimate Details'!#REF!</f>
        <v>#REF!</v>
      </c>
      <c r="B622" s="116"/>
      <c r="C622" s="116"/>
      <c r="D622" s="166"/>
      <c r="E622" s="158" t="e">
        <f>+'Estimate Details'!#REF!</f>
        <v>#REF!</v>
      </c>
      <c r="F622" s="41"/>
      <c r="G622" s="117" t="e">
        <f>+'Estimate Details'!#REF!</f>
        <v>#REF!</v>
      </c>
      <c r="H622" s="118" t="e">
        <f>+'Estimate Details'!#REF!</f>
        <v>#REF!</v>
      </c>
      <c r="I622" s="108" t="e">
        <f>+'Estimate Details'!#REF!</f>
        <v>#REF!</v>
      </c>
      <c r="J622" s="168" t="e">
        <f>+'Estimate Details'!#REF!</f>
        <v>#REF!</v>
      </c>
      <c r="K622" s="42" t="e">
        <f>+'Estimate Details'!#REF!</f>
        <v>#REF!</v>
      </c>
      <c r="L622" s="42" t="e">
        <f>+'Estimate Details'!#REF!</f>
        <v>#REF!</v>
      </c>
      <c r="M622" s="177" t="e">
        <f>+'Estimate Details'!#REF!</f>
        <v>#REF!</v>
      </c>
      <c r="N622" s="170" t="e">
        <f>+'Estimate Details'!#REF!</f>
        <v>#REF!</v>
      </c>
      <c r="O622" s="171" t="e">
        <f>+'Estimate Details'!#REF!</f>
        <v>#REF!</v>
      </c>
      <c r="P622" s="172" t="e">
        <f>+'Estimate Details'!#REF!</f>
        <v>#REF!</v>
      </c>
      <c r="Q622" s="173" t="e">
        <f>+'Estimate Details'!#REF!</f>
        <v>#REF!</v>
      </c>
      <c r="R622" s="174" t="e">
        <f>+'Estimate Details'!#REF!</f>
        <v>#REF!</v>
      </c>
      <c r="S622" s="507"/>
      <c r="T622" s="174" t="e">
        <f>+'Estimate Details'!#REF!</f>
        <v>#REF!</v>
      </c>
      <c r="U622" s="481" t="s">
        <v>1302</v>
      </c>
      <c r="V622" s="172" t="e">
        <f>+'Estimate Details'!#REF!</f>
        <v>#REF!</v>
      </c>
      <c r="W622" s="481" t="s">
        <v>1310</v>
      </c>
      <c r="X622" s="172" t="e">
        <f>+'Estimate Details'!#REF!</f>
        <v>#REF!</v>
      </c>
      <c r="Y622" s="172" t="e">
        <f>+'Estimate Details'!#REF!</f>
        <v>#REF!</v>
      </c>
      <c r="Z622" s="174" t="e">
        <f>+'Estimate Details'!#REF!</f>
        <v>#REF!</v>
      </c>
      <c r="AA622" s="481"/>
      <c r="AB622" s="175" t="e">
        <f>+'Estimate Details'!#REF!</f>
        <v>#REF!</v>
      </c>
      <c r="AC622" s="569"/>
      <c r="AD622" s="176" t="e">
        <f>+'Estimate Details'!#REF!</f>
        <v>#REF!</v>
      </c>
      <c r="AE622" s="156"/>
      <c r="AF622" s="370"/>
      <c r="AG622" s="156"/>
      <c r="AH622" s="156"/>
      <c r="AI622" s="29"/>
      <c r="AJ622" s="29"/>
      <c r="AK622" s="29"/>
      <c r="AL622" s="29"/>
    </row>
    <row r="623" spans="1:38" ht="14.1" customHeight="1">
      <c r="A623" s="116" t="e">
        <f>+'Estimate Details'!#REF!</f>
        <v>#REF!</v>
      </c>
      <c r="B623" s="116"/>
      <c r="C623" s="116"/>
      <c r="D623" s="166"/>
      <c r="E623" s="158" t="e">
        <f>+'Estimate Details'!#REF!</f>
        <v>#REF!</v>
      </c>
      <c r="F623" s="41"/>
      <c r="G623" s="117" t="e">
        <f>+'Estimate Details'!#REF!</f>
        <v>#REF!</v>
      </c>
      <c r="H623" s="118" t="e">
        <f>+'Estimate Details'!#REF!</f>
        <v>#REF!</v>
      </c>
      <c r="I623" s="108" t="e">
        <f>+'Estimate Details'!#REF!</f>
        <v>#REF!</v>
      </c>
      <c r="J623" s="168" t="e">
        <f>+'Estimate Details'!#REF!</f>
        <v>#REF!</v>
      </c>
      <c r="K623" s="42" t="e">
        <f>+'Estimate Details'!#REF!</f>
        <v>#REF!</v>
      </c>
      <c r="L623" s="42" t="e">
        <f>+'Estimate Details'!#REF!</f>
        <v>#REF!</v>
      </c>
      <c r="M623" s="177" t="e">
        <f>+'Estimate Details'!#REF!</f>
        <v>#REF!</v>
      </c>
      <c r="N623" s="194" t="e">
        <f>+'Estimate Details'!#REF!</f>
        <v>#REF!</v>
      </c>
      <c r="O623" s="171" t="e">
        <f>+'Estimate Details'!#REF!</f>
        <v>#REF!</v>
      </c>
      <c r="P623" s="172" t="e">
        <f>+'Estimate Details'!#REF!</f>
        <v>#REF!</v>
      </c>
      <c r="Q623" s="173" t="e">
        <f>+'Estimate Details'!#REF!</f>
        <v>#REF!</v>
      </c>
      <c r="R623" s="174" t="e">
        <f>+'Estimate Details'!#REF!</f>
        <v>#REF!</v>
      </c>
      <c r="S623" s="507"/>
      <c r="T623" s="174" t="e">
        <f>+'Estimate Details'!#REF!</f>
        <v>#REF!</v>
      </c>
      <c r="U623" s="481"/>
      <c r="V623" s="172" t="e">
        <f>+'Estimate Details'!#REF!</f>
        <v>#REF!</v>
      </c>
      <c r="W623" s="481" t="s">
        <v>1309</v>
      </c>
      <c r="X623" s="172" t="e">
        <f>+'Estimate Details'!#REF!</f>
        <v>#REF!</v>
      </c>
      <c r="Y623" s="172" t="e">
        <f>+'Estimate Details'!#REF!</f>
        <v>#REF!</v>
      </c>
      <c r="Z623" s="174" t="e">
        <f>+'Estimate Details'!#REF!</f>
        <v>#REF!</v>
      </c>
      <c r="AA623" s="481"/>
      <c r="AB623" s="175" t="e">
        <f>+'Estimate Details'!#REF!</f>
        <v>#REF!</v>
      </c>
      <c r="AC623" s="569"/>
      <c r="AD623" s="176" t="e">
        <f>+'Estimate Details'!#REF!</f>
        <v>#REF!</v>
      </c>
      <c r="AE623" s="156"/>
      <c r="AF623" s="370"/>
      <c r="AG623" s="156"/>
      <c r="AH623" s="156"/>
      <c r="AI623" s="29"/>
      <c r="AJ623" s="29"/>
      <c r="AK623" s="29"/>
      <c r="AL623" s="29"/>
    </row>
    <row r="624" spans="1:38" ht="14.1" customHeight="1">
      <c r="A624" s="116" t="e">
        <f>+'Estimate Details'!#REF!</f>
        <v>#REF!</v>
      </c>
      <c r="B624" s="116"/>
      <c r="C624" s="116"/>
      <c r="D624" s="166"/>
      <c r="E624" s="158" t="e">
        <f>+'Estimate Details'!#REF!</f>
        <v>#REF!</v>
      </c>
      <c r="F624" s="41"/>
      <c r="G624" s="117" t="e">
        <f>+'Estimate Details'!#REF!</f>
        <v>#REF!</v>
      </c>
      <c r="H624" s="118" t="e">
        <f>+'Estimate Details'!#REF!</f>
        <v>#REF!</v>
      </c>
      <c r="I624" s="108" t="e">
        <f>+'Estimate Details'!#REF!</f>
        <v>#REF!</v>
      </c>
      <c r="J624" s="168" t="e">
        <f>+'Estimate Details'!#REF!</f>
        <v>#REF!</v>
      </c>
      <c r="K624" s="42" t="e">
        <f>+'Estimate Details'!#REF!</f>
        <v>#REF!</v>
      </c>
      <c r="L624" s="42" t="e">
        <f>+'Estimate Details'!#REF!</f>
        <v>#REF!</v>
      </c>
      <c r="M624" s="177" t="e">
        <f>+'Estimate Details'!#REF!</f>
        <v>#REF!</v>
      </c>
      <c r="N624" s="170" t="e">
        <f>+'Estimate Details'!#REF!</f>
        <v>#REF!</v>
      </c>
      <c r="O624" s="171" t="e">
        <f>+'Estimate Details'!#REF!</f>
        <v>#REF!</v>
      </c>
      <c r="P624" s="172" t="e">
        <f>+'Estimate Details'!#REF!</f>
        <v>#REF!</v>
      </c>
      <c r="Q624" s="173" t="e">
        <f>+'Estimate Details'!#REF!</f>
        <v>#REF!</v>
      </c>
      <c r="R624" s="174" t="e">
        <f>+'Estimate Details'!#REF!</f>
        <v>#REF!</v>
      </c>
      <c r="S624" s="507"/>
      <c r="T624" s="174" t="e">
        <f>+'Estimate Details'!#REF!</f>
        <v>#REF!</v>
      </c>
      <c r="U624" s="481"/>
      <c r="V624" s="172" t="e">
        <f>+'Estimate Details'!#REF!</f>
        <v>#REF!</v>
      </c>
      <c r="W624" s="481" t="s">
        <v>1309</v>
      </c>
      <c r="X624" s="172" t="e">
        <f>+'Estimate Details'!#REF!</f>
        <v>#REF!</v>
      </c>
      <c r="Y624" s="172" t="e">
        <f>+'Estimate Details'!#REF!</f>
        <v>#REF!</v>
      </c>
      <c r="Z624" s="174" t="e">
        <f>+'Estimate Details'!#REF!</f>
        <v>#REF!</v>
      </c>
      <c r="AA624" s="481"/>
      <c r="AB624" s="175" t="e">
        <f>+'Estimate Details'!#REF!</f>
        <v>#REF!</v>
      </c>
      <c r="AC624" s="569"/>
      <c r="AD624" s="176" t="e">
        <f>+'Estimate Details'!#REF!</f>
        <v>#REF!</v>
      </c>
      <c r="AE624" s="156"/>
      <c r="AF624" s="370"/>
      <c r="AG624" s="156"/>
      <c r="AH624" s="156"/>
      <c r="AI624" s="29"/>
      <c r="AJ624" s="29"/>
      <c r="AK624" s="29"/>
      <c r="AL624" s="29"/>
    </row>
    <row r="625" spans="1:38" ht="14.1" customHeight="1">
      <c r="A625" s="116" t="e">
        <f>+'Estimate Details'!#REF!</f>
        <v>#REF!</v>
      </c>
      <c r="B625" s="116"/>
      <c r="C625" s="116"/>
      <c r="D625" s="166"/>
      <c r="E625" s="158" t="e">
        <f>+'Estimate Details'!#REF!</f>
        <v>#REF!</v>
      </c>
      <c r="F625" s="41"/>
      <c r="G625" s="117" t="e">
        <f>+'Estimate Details'!#REF!</f>
        <v>#REF!</v>
      </c>
      <c r="H625" s="118" t="e">
        <f>+'Estimate Details'!#REF!</f>
        <v>#REF!</v>
      </c>
      <c r="I625" s="108" t="e">
        <f>+'Estimate Details'!#REF!</f>
        <v>#REF!</v>
      </c>
      <c r="J625" s="168" t="e">
        <f>+'Estimate Details'!#REF!</f>
        <v>#REF!</v>
      </c>
      <c r="K625" s="42" t="e">
        <f>+'Estimate Details'!#REF!</f>
        <v>#REF!</v>
      </c>
      <c r="L625" s="42" t="e">
        <f>+'Estimate Details'!#REF!</f>
        <v>#REF!</v>
      </c>
      <c r="M625" s="177" t="e">
        <f>+'Estimate Details'!#REF!</f>
        <v>#REF!</v>
      </c>
      <c r="N625" s="194" t="e">
        <f>+'Estimate Details'!#REF!</f>
        <v>#REF!</v>
      </c>
      <c r="O625" s="171" t="e">
        <f>+'Estimate Details'!#REF!</f>
        <v>#REF!</v>
      </c>
      <c r="P625" s="172" t="e">
        <f>+'Estimate Details'!#REF!</f>
        <v>#REF!</v>
      </c>
      <c r="Q625" s="173" t="e">
        <f>+'Estimate Details'!#REF!</f>
        <v>#REF!</v>
      </c>
      <c r="R625" s="174" t="e">
        <f>+'Estimate Details'!#REF!</f>
        <v>#REF!</v>
      </c>
      <c r="S625" s="507"/>
      <c r="T625" s="174" t="e">
        <f>+'Estimate Details'!#REF!</f>
        <v>#REF!</v>
      </c>
      <c r="U625" s="481"/>
      <c r="V625" s="172" t="e">
        <f>+'Estimate Details'!#REF!</f>
        <v>#REF!</v>
      </c>
      <c r="W625" s="481" t="s">
        <v>1309</v>
      </c>
      <c r="X625" s="172" t="e">
        <f>+'Estimate Details'!#REF!</f>
        <v>#REF!</v>
      </c>
      <c r="Y625" s="172" t="e">
        <f>+'Estimate Details'!#REF!</f>
        <v>#REF!</v>
      </c>
      <c r="Z625" s="174" t="e">
        <f>+'Estimate Details'!#REF!</f>
        <v>#REF!</v>
      </c>
      <c r="AA625" s="481"/>
      <c r="AB625" s="175" t="e">
        <f>+'Estimate Details'!#REF!</f>
        <v>#REF!</v>
      </c>
      <c r="AC625" s="569"/>
      <c r="AD625" s="176" t="e">
        <f>+'Estimate Details'!#REF!</f>
        <v>#REF!</v>
      </c>
      <c r="AE625" s="156"/>
      <c r="AF625" s="370"/>
      <c r="AG625" s="156"/>
      <c r="AH625" s="156"/>
      <c r="AI625" s="29"/>
      <c r="AJ625" s="29"/>
      <c r="AK625" s="29"/>
      <c r="AL625" s="29"/>
    </row>
    <row r="626" spans="1:38" ht="14.1" customHeight="1">
      <c r="A626" s="116" t="e">
        <f>+'Estimate Details'!#REF!</f>
        <v>#REF!</v>
      </c>
      <c r="B626" s="116"/>
      <c r="C626" s="116"/>
      <c r="D626" s="166"/>
      <c r="E626" s="158" t="e">
        <f>+'Estimate Details'!#REF!</f>
        <v>#REF!</v>
      </c>
      <c r="F626" s="41"/>
      <c r="G626" s="117" t="e">
        <f>+'Estimate Details'!#REF!</f>
        <v>#REF!</v>
      </c>
      <c r="H626" s="118" t="e">
        <f>+'Estimate Details'!#REF!</f>
        <v>#REF!</v>
      </c>
      <c r="I626" s="108" t="e">
        <f>+'Estimate Details'!#REF!</f>
        <v>#REF!</v>
      </c>
      <c r="J626" s="168" t="e">
        <f>+'Estimate Details'!#REF!</f>
        <v>#REF!</v>
      </c>
      <c r="K626" s="42" t="e">
        <f>+'Estimate Details'!#REF!</f>
        <v>#REF!</v>
      </c>
      <c r="L626" s="42" t="e">
        <f>+'Estimate Details'!#REF!</f>
        <v>#REF!</v>
      </c>
      <c r="M626" s="177" t="e">
        <f>+'Estimate Details'!#REF!</f>
        <v>#REF!</v>
      </c>
      <c r="N626" s="194" t="e">
        <f>+'Estimate Details'!#REF!</f>
        <v>#REF!</v>
      </c>
      <c r="O626" s="171" t="e">
        <f>+'Estimate Details'!#REF!</f>
        <v>#REF!</v>
      </c>
      <c r="P626" s="172" t="e">
        <f>+'Estimate Details'!#REF!</f>
        <v>#REF!</v>
      </c>
      <c r="Q626" s="173" t="e">
        <f>+'Estimate Details'!#REF!</f>
        <v>#REF!</v>
      </c>
      <c r="R626" s="174" t="e">
        <f>+'Estimate Details'!#REF!</f>
        <v>#REF!</v>
      </c>
      <c r="S626" s="507"/>
      <c r="T626" s="174" t="e">
        <f>+'Estimate Details'!#REF!</f>
        <v>#REF!</v>
      </c>
      <c r="U626" s="481"/>
      <c r="V626" s="172" t="e">
        <f>+'Estimate Details'!#REF!</f>
        <v>#REF!</v>
      </c>
      <c r="W626" s="481" t="s">
        <v>1309</v>
      </c>
      <c r="X626" s="172" t="e">
        <f>+'Estimate Details'!#REF!</f>
        <v>#REF!</v>
      </c>
      <c r="Y626" s="172" t="e">
        <f>+'Estimate Details'!#REF!</f>
        <v>#REF!</v>
      </c>
      <c r="Z626" s="174" t="e">
        <f>+'Estimate Details'!#REF!</f>
        <v>#REF!</v>
      </c>
      <c r="AA626" s="481"/>
      <c r="AB626" s="175" t="e">
        <f>+'Estimate Details'!#REF!</f>
        <v>#REF!</v>
      </c>
      <c r="AC626" s="569"/>
      <c r="AD626" s="176" t="e">
        <f>+'Estimate Details'!#REF!</f>
        <v>#REF!</v>
      </c>
      <c r="AE626" s="156"/>
      <c r="AF626" s="370"/>
      <c r="AG626" s="156"/>
      <c r="AH626" s="156"/>
      <c r="AI626" s="29"/>
      <c r="AJ626" s="29"/>
      <c r="AK626" s="29"/>
      <c r="AL626" s="29"/>
    </row>
    <row r="627" spans="1:38">
      <c r="A627" s="116" t="e">
        <f>+'Estimate Details'!#REF!</f>
        <v>#REF!</v>
      </c>
      <c r="B627" s="116"/>
      <c r="C627" s="116"/>
      <c r="D627" s="166"/>
      <c r="E627" s="158" t="e">
        <f>+'Estimate Details'!#REF!</f>
        <v>#REF!</v>
      </c>
      <c r="F627" s="41"/>
      <c r="G627" s="117" t="e">
        <f>+'Estimate Details'!#REF!</f>
        <v>#REF!</v>
      </c>
      <c r="H627" s="118" t="e">
        <f>+'Estimate Details'!#REF!</f>
        <v>#REF!</v>
      </c>
      <c r="I627" s="108" t="e">
        <f>+'Estimate Details'!#REF!</f>
        <v>#REF!</v>
      </c>
      <c r="J627" s="168" t="e">
        <f>+'Estimate Details'!#REF!</f>
        <v>#REF!</v>
      </c>
      <c r="K627" s="42" t="e">
        <f>+'Estimate Details'!#REF!</f>
        <v>#REF!</v>
      </c>
      <c r="L627" s="42" t="e">
        <f>+'Estimate Details'!#REF!</f>
        <v>#REF!</v>
      </c>
      <c r="M627" s="204" t="e">
        <f>+'Estimate Details'!#REF!</f>
        <v>#REF!</v>
      </c>
      <c r="N627" s="170" t="e">
        <f>+'Estimate Details'!#REF!</f>
        <v>#REF!</v>
      </c>
      <c r="O627" s="171" t="e">
        <f>+'Estimate Details'!#REF!</f>
        <v>#REF!</v>
      </c>
      <c r="P627" s="172" t="e">
        <f>+'Estimate Details'!#REF!</f>
        <v>#REF!</v>
      </c>
      <c r="Q627" s="173" t="e">
        <f>+'Estimate Details'!#REF!</f>
        <v>#REF!</v>
      </c>
      <c r="R627" s="174" t="e">
        <f>+'Estimate Details'!#REF!</f>
        <v>#REF!</v>
      </c>
      <c r="S627" s="507"/>
      <c r="T627" s="174" t="e">
        <f>+'Estimate Details'!#REF!</f>
        <v>#REF!</v>
      </c>
      <c r="U627" s="481"/>
      <c r="V627" s="172" t="e">
        <f>+'Estimate Details'!#REF!</f>
        <v>#REF!</v>
      </c>
      <c r="W627" s="481" t="s">
        <v>1309</v>
      </c>
      <c r="X627" s="172" t="e">
        <f>+'Estimate Details'!#REF!</f>
        <v>#REF!</v>
      </c>
      <c r="Y627" s="172" t="e">
        <f>+'Estimate Details'!#REF!</f>
        <v>#REF!</v>
      </c>
      <c r="Z627" s="174" t="e">
        <f>+'Estimate Details'!#REF!</f>
        <v>#REF!</v>
      </c>
      <c r="AA627" s="481"/>
      <c r="AB627" s="175" t="e">
        <f>+'Estimate Details'!#REF!</f>
        <v>#REF!</v>
      </c>
      <c r="AC627" s="569"/>
      <c r="AD627" s="176" t="e">
        <f>+'Estimate Details'!#REF!</f>
        <v>#REF!</v>
      </c>
      <c r="AE627" s="156"/>
      <c r="AF627" s="156"/>
      <c r="AG627" s="156"/>
      <c r="AH627" s="156"/>
      <c r="AI627" s="29"/>
      <c r="AJ627" s="29"/>
      <c r="AK627" s="29"/>
      <c r="AL627" s="29"/>
    </row>
    <row r="628" spans="1:38">
      <c r="A628" s="116" t="e">
        <f>+'Estimate Details'!#REF!</f>
        <v>#REF!</v>
      </c>
      <c r="B628" s="116"/>
      <c r="C628" s="116"/>
      <c r="D628" s="166"/>
      <c r="E628" s="158" t="e">
        <f>+'Estimate Details'!#REF!</f>
        <v>#REF!</v>
      </c>
      <c r="F628" s="41"/>
      <c r="G628" s="117" t="e">
        <f>+'Estimate Details'!#REF!</f>
        <v>#REF!</v>
      </c>
      <c r="H628" s="118" t="e">
        <f>+'Estimate Details'!#REF!</f>
        <v>#REF!</v>
      </c>
      <c r="I628" s="108" t="e">
        <f>+'Estimate Details'!#REF!</f>
        <v>#REF!</v>
      </c>
      <c r="J628" s="168" t="e">
        <f>+'Estimate Details'!#REF!</f>
        <v>#REF!</v>
      </c>
      <c r="K628" s="42" t="e">
        <f>+'Estimate Details'!#REF!</f>
        <v>#REF!</v>
      </c>
      <c r="L628" s="42" t="e">
        <f>+'Estimate Details'!#REF!</f>
        <v>#REF!</v>
      </c>
      <c r="M628" s="204" t="e">
        <f>+'Estimate Details'!#REF!</f>
        <v>#REF!</v>
      </c>
      <c r="N628" s="170" t="e">
        <f>+'Estimate Details'!#REF!</f>
        <v>#REF!</v>
      </c>
      <c r="O628" s="171" t="e">
        <f>+'Estimate Details'!#REF!</f>
        <v>#REF!</v>
      </c>
      <c r="P628" s="172" t="e">
        <f>+'Estimate Details'!#REF!</f>
        <v>#REF!</v>
      </c>
      <c r="Q628" s="173" t="e">
        <f>+'Estimate Details'!#REF!</f>
        <v>#REF!</v>
      </c>
      <c r="R628" s="174" t="e">
        <f>+'Estimate Details'!#REF!</f>
        <v>#REF!</v>
      </c>
      <c r="S628" s="507"/>
      <c r="T628" s="174" t="e">
        <f>+'Estimate Details'!#REF!</f>
        <v>#REF!</v>
      </c>
      <c r="U628" s="481"/>
      <c r="V628" s="172" t="e">
        <f>+'Estimate Details'!#REF!</f>
        <v>#REF!</v>
      </c>
      <c r="W628" s="481" t="s">
        <v>1309</v>
      </c>
      <c r="X628" s="172" t="e">
        <f>+'Estimate Details'!#REF!</f>
        <v>#REF!</v>
      </c>
      <c r="Y628" s="172" t="e">
        <f>+'Estimate Details'!#REF!</f>
        <v>#REF!</v>
      </c>
      <c r="Z628" s="174" t="e">
        <f>+'Estimate Details'!#REF!</f>
        <v>#REF!</v>
      </c>
      <c r="AA628" s="481"/>
      <c r="AB628" s="175" t="e">
        <f>+'Estimate Details'!#REF!</f>
        <v>#REF!</v>
      </c>
      <c r="AC628" s="569"/>
      <c r="AD628" s="176" t="e">
        <f>+'Estimate Details'!#REF!</f>
        <v>#REF!</v>
      </c>
      <c r="AE628" s="156"/>
      <c r="AF628" s="156"/>
      <c r="AG628" s="156"/>
      <c r="AH628" s="156"/>
      <c r="AI628" s="29"/>
      <c r="AJ628" s="29"/>
      <c r="AK628" s="29"/>
      <c r="AL628" s="29"/>
    </row>
    <row r="629" spans="1:38" ht="14.1" customHeight="1">
      <c r="A629" s="116" t="e">
        <f>+'Estimate Details'!#REF!</f>
        <v>#REF!</v>
      </c>
      <c r="B629" s="116"/>
      <c r="C629" s="116"/>
      <c r="D629" s="166"/>
      <c r="E629" s="158" t="e">
        <f>+'Estimate Details'!#REF!</f>
        <v>#REF!</v>
      </c>
      <c r="F629" s="41"/>
      <c r="G629" s="117" t="e">
        <f>+'Estimate Details'!#REF!</f>
        <v>#REF!</v>
      </c>
      <c r="H629" s="118" t="e">
        <f>+'Estimate Details'!#REF!</f>
        <v>#REF!</v>
      </c>
      <c r="I629" s="108" t="e">
        <f>+'Estimate Details'!#REF!</f>
        <v>#REF!</v>
      </c>
      <c r="J629" s="168" t="e">
        <f>+'Estimate Details'!#REF!</f>
        <v>#REF!</v>
      </c>
      <c r="K629" s="42" t="e">
        <f>+'Estimate Details'!#REF!</f>
        <v>#REF!</v>
      </c>
      <c r="L629" s="42" t="e">
        <f>+'Estimate Details'!#REF!</f>
        <v>#REF!</v>
      </c>
      <c r="M629" s="195" t="e">
        <f>+'Estimate Details'!#REF!</f>
        <v>#REF!</v>
      </c>
      <c r="N629" s="41" t="e">
        <f>+'Estimate Details'!#REF!</f>
        <v>#REF!</v>
      </c>
      <c r="O629" s="171" t="e">
        <f>+'Estimate Details'!#REF!</f>
        <v>#REF!</v>
      </c>
      <c r="P629" s="172" t="e">
        <f>+'Estimate Details'!#REF!</f>
        <v>#REF!</v>
      </c>
      <c r="Q629" s="173" t="e">
        <f>+'Estimate Details'!#REF!</f>
        <v>#REF!</v>
      </c>
      <c r="R629" s="174" t="e">
        <f>+'Estimate Details'!#REF!</f>
        <v>#REF!</v>
      </c>
      <c r="S629" s="507"/>
      <c r="T629" s="174" t="e">
        <f>+'Estimate Details'!#REF!</f>
        <v>#REF!</v>
      </c>
      <c r="U629" s="481"/>
      <c r="V629" s="172" t="e">
        <f>+'Estimate Details'!#REF!</f>
        <v>#REF!</v>
      </c>
      <c r="W629" s="481" t="s">
        <v>1309</v>
      </c>
      <c r="X629" s="172" t="e">
        <f>+'Estimate Details'!#REF!</f>
        <v>#REF!</v>
      </c>
      <c r="Y629" s="172" t="e">
        <f>+'Estimate Details'!#REF!</f>
        <v>#REF!</v>
      </c>
      <c r="Z629" s="174" t="e">
        <f>+'Estimate Details'!#REF!</f>
        <v>#REF!</v>
      </c>
      <c r="AA629" s="481"/>
      <c r="AB629" s="175" t="e">
        <f>+'Estimate Details'!#REF!</f>
        <v>#REF!</v>
      </c>
      <c r="AC629" s="569"/>
      <c r="AD629" s="176" t="e">
        <f>+'Estimate Details'!#REF!</f>
        <v>#REF!</v>
      </c>
      <c r="AE629" s="156"/>
      <c r="AF629" s="156"/>
      <c r="AG629" s="156"/>
      <c r="AH629" s="156"/>
      <c r="AI629" s="29"/>
      <c r="AJ629" s="29"/>
      <c r="AK629" s="29"/>
      <c r="AL629" s="29"/>
    </row>
    <row r="630" spans="1:38" ht="14.1" customHeight="1">
      <c r="A630" s="116" t="e">
        <f>+'Estimate Details'!#REF!</f>
        <v>#REF!</v>
      </c>
      <c r="B630" s="116"/>
      <c r="C630" s="116"/>
      <c r="D630" s="166"/>
      <c r="E630" s="158" t="e">
        <f>+'Estimate Details'!#REF!</f>
        <v>#REF!</v>
      </c>
      <c r="F630" s="41"/>
      <c r="G630" s="375" t="e">
        <f>+'Estimate Details'!#REF!</f>
        <v>#REF!</v>
      </c>
      <c r="H630" s="118" t="e">
        <f>+'Estimate Details'!#REF!</f>
        <v>#REF!</v>
      </c>
      <c r="I630" s="108" t="e">
        <f>+'Estimate Details'!#REF!</f>
        <v>#REF!</v>
      </c>
      <c r="J630" s="168" t="e">
        <f>+'Estimate Details'!#REF!</f>
        <v>#REF!</v>
      </c>
      <c r="K630" s="42" t="e">
        <f>+'Estimate Details'!#REF!</f>
        <v>#REF!</v>
      </c>
      <c r="L630" s="42" t="e">
        <f>+'Estimate Details'!#REF!</f>
        <v>#REF!</v>
      </c>
      <c r="M630" s="177" t="e">
        <f>+'Estimate Details'!#REF!</f>
        <v>#REF!</v>
      </c>
      <c r="N630" s="194" t="e">
        <f>+'Estimate Details'!#REF!</f>
        <v>#REF!</v>
      </c>
      <c r="O630" s="171" t="e">
        <f>+'Estimate Details'!#REF!</f>
        <v>#REF!</v>
      </c>
      <c r="P630" s="172" t="e">
        <f>+'Estimate Details'!#REF!</f>
        <v>#REF!</v>
      </c>
      <c r="Q630" s="173" t="e">
        <f>+'Estimate Details'!#REF!</f>
        <v>#REF!</v>
      </c>
      <c r="R630" s="174" t="e">
        <f>+'Estimate Details'!#REF!</f>
        <v>#REF!</v>
      </c>
      <c r="S630" s="507"/>
      <c r="T630" s="174" t="e">
        <f>+'Estimate Details'!#REF!</f>
        <v>#REF!</v>
      </c>
      <c r="U630" s="481"/>
      <c r="V630" s="172" t="e">
        <f>+'Estimate Details'!#REF!</f>
        <v>#REF!</v>
      </c>
      <c r="W630" s="481" t="s">
        <v>1309</v>
      </c>
      <c r="X630" s="172" t="e">
        <f>+'Estimate Details'!#REF!</f>
        <v>#REF!</v>
      </c>
      <c r="Y630" s="172" t="e">
        <f>+'Estimate Details'!#REF!</f>
        <v>#REF!</v>
      </c>
      <c r="Z630" s="174" t="e">
        <f>+'Estimate Details'!#REF!</f>
        <v>#REF!</v>
      </c>
      <c r="AA630" s="481"/>
      <c r="AB630" s="175" t="e">
        <f>+'Estimate Details'!#REF!</f>
        <v>#REF!</v>
      </c>
      <c r="AC630" s="569"/>
      <c r="AD630" s="176" t="e">
        <f>+'Estimate Details'!#REF!</f>
        <v>#REF!</v>
      </c>
      <c r="AE630" s="156"/>
      <c r="AF630" s="156"/>
      <c r="AG630" s="156"/>
      <c r="AH630" s="156"/>
      <c r="AI630" s="29"/>
      <c r="AJ630" s="29"/>
      <c r="AK630" s="29"/>
      <c r="AL630" s="29"/>
    </row>
    <row r="631" spans="1:38" ht="14.1" customHeight="1">
      <c r="A631" s="116" t="e">
        <f>+'Estimate Details'!#REF!</f>
        <v>#REF!</v>
      </c>
      <c r="B631" s="116"/>
      <c r="C631" s="116"/>
      <c r="D631" s="166"/>
      <c r="E631" s="158" t="e">
        <f>+'Estimate Details'!#REF!</f>
        <v>#REF!</v>
      </c>
      <c r="F631" s="41"/>
      <c r="G631" s="117" t="e">
        <f>+'Estimate Details'!#REF!</f>
        <v>#REF!</v>
      </c>
      <c r="H631" s="118" t="e">
        <f>+'Estimate Details'!#REF!</f>
        <v>#REF!</v>
      </c>
      <c r="I631" s="108" t="e">
        <f>+'Estimate Details'!#REF!</f>
        <v>#REF!</v>
      </c>
      <c r="J631" s="168" t="e">
        <f>+'Estimate Details'!#REF!</f>
        <v>#REF!</v>
      </c>
      <c r="K631" s="42" t="e">
        <f>+'Estimate Details'!#REF!</f>
        <v>#REF!</v>
      </c>
      <c r="L631" s="42" t="e">
        <f>+'Estimate Details'!#REF!</f>
        <v>#REF!</v>
      </c>
      <c r="M631" s="177" t="e">
        <f>+'Estimate Details'!#REF!</f>
        <v>#REF!</v>
      </c>
      <c r="N631" s="170" t="e">
        <f>+'Estimate Details'!#REF!</f>
        <v>#REF!</v>
      </c>
      <c r="O631" s="171" t="e">
        <f>+'Estimate Details'!#REF!</f>
        <v>#REF!</v>
      </c>
      <c r="P631" s="172" t="e">
        <f>+'Estimate Details'!#REF!</f>
        <v>#REF!</v>
      </c>
      <c r="Q631" s="173" t="e">
        <f>+'Estimate Details'!#REF!</f>
        <v>#REF!</v>
      </c>
      <c r="R631" s="174" t="e">
        <f>+'Estimate Details'!#REF!</f>
        <v>#REF!</v>
      </c>
      <c r="S631" s="507"/>
      <c r="T631" s="174" t="e">
        <f>+'Estimate Details'!#REF!</f>
        <v>#REF!</v>
      </c>
      <c r="U631" s="481"/>
      <c r="V631" s="172" t="e">
        <f>+'Estimate Details'!#REF!</f>
        <v>#REF!</v>
      </c>
      <c r="W631" s="481" t="s">
        <v>1309</v>
      </c>
      <c r="X631" s="172" t="e">
        <f>+'Estimate Details'!#REF!</f>
        <v>#REF!</v>
      </c>
      <c r="Y631" s="172" t="e">
        <f>+'Estimate Details'!#REF!</f>
        <v>#REF!</v>
      </c>
      <c r="Z631" s="174" t="e">
        <f>+'Estimate Details'!#REF!</f>
        <v>#REF!</v>
      </c>
      <c r="AA631" s="481"/>
      <c r="AB631" s="175" t="e">
        <f>+'Estimate Details'!#REF!</f>
        <v>#REF!</v>
      </c>
      <c r="AC631" s="569"/>
      <c r="AD631" s="176" t="e">
        <f>+'Estimate Details'!#REF!</f>
        <v>#REF!</v>
      </c>
      <c r="AE631" s="156"/>
      <c r="AF631" s="156"/>
      <c r="AG631" s="156"/>
      <c r="AH631" s="156"/>
      <c r="AI631" s="29"/>
      <c r="AJ631" s="29"/>
      <c r="AK631" s="29"/>
      <c r="AL631" s="29"/>
    </row>
    <row r="632" spans="1:38" ht="14.1" customHeight="1">
      <c r="A632" s="116" t="e">
        <f>+'Estimate Details'!#REF!</f>
        <v>#REF!</v>
      </c>
      <c r="B632" s="116"/>
      <c r="C632" s="116"/>
      <c r="D632" s="166"/>
      <c r="E632" s="158" t="e">
        <f>+'Estimate Details'!#REF!</f>
        <v>#REF!</v>
      </c>
      <c r="F632" s="41"/>
      <c r="G632" s="117" t="e">
        <f>+'Estimate Details'!#REF!</f>
        <v>#REF!</v>
      </c>
      <c r="H632" s="118" t="e">
        <f>+'Estimate Details'!#REF!</f>
        <v>#REF!</v>
      </c>
      <c r="I632" s="108" t="e">
        <f>+'Estimate Details'!#REF!</f>
        <v>#REF!</v>
      </c>
      <c r="J632" s="168" t="e">
        <f>+'Estimate Details'!#REF!</f>
        <v>#REF!</v>
      </c>
      <c r="K632" s="42" t="e">
        <f>+'Estimate Details'!#REF!</f>
        <v>#REF!</v>
      </c>
      <c r="L632" s="42" t="e">
        <f>+'Estimate Details'!#REF!</f>
        <v>#REF!</v>
      </c>
      <c r="M632" s="204" t="e">
        <f>+'Estimate Details'!#REF!</f>
        <v>#REF!</v>
      </c>
      <c r="N632" s="170" t="e">
        <f>+'Estimate Details'!#REF!</f>
        <v>#REF!</v>
      </c>
      <c r="O632" s="171" t="e">
        <f>+'Estimate Details'!#REF!</f>
        <v>#REF!</v>
      </c>
      <c r="P632" s="172" t="e">
        <f>+'Estimate Details'!#REF!</f>
        <v>#REF!</v>
      </c>
      <c r="Q632" s="173" t="e">
        <f>+'Estimate Details'!#REF!</f>
        <v>#REF!</v>
      </c>
      <c r="R632" s="174" t="e">
        <f>+'Estimate Details'!#REF!</f>
        <v>#REF!</v>
      </c>
      <c r="S632" s="507"/>
      <c r="T632" s="174" t="e">
        <f>+'Estimate Details'!#REF!</f>
        <v>#REF!</v>
      </c>
      <c r="U632" s="481" t="s">
        <v>1304</v>
      </c>
      <c r="V632" s="172" t="e">
        <f>+'Estimate Details'!#REF!</f>
        <v>#REF!</v>
      </c>
      <c r="W632" s="481" t="s">
        <v>1309</v>
      </c>
      <c r="X632" s="172" t="e">
        <f>+'Estimate Details'!#REF!</f>
        <v>#REF!</v>
      </c>
      <c r="Y632" s="172" t="e">
        <f>+'Estimate Details'!#REF!</f>
        <v>#REF!</v>
      </c>
      <c r="Z632" s="174" t="e">
        <f>+'Estimate Details'!#REF!</f>
        <v>#REF!</v>
      </c>
      <c r="AA632" s="481"/>
      <c r="AB632" s="175" t="e">
        <f>+'Estimate Details'!#REF!</f>
        <v>#REF!</v>
      </c>
      <c r="AC632" s="569"/>
      <c r="AD632" s="176" t="e">
        <f>+'Estimate Details'!#REF!</f>
        <v>#REF!</v>
      </c>
      <c r="AE632" s="156"/>
      <c r="AF632" s="371"/>
      <c r="AG632" s="156"/>
      <c r="AH632" s="156"/>
      <c r="AI632" s="29"/>
      <c r="AJ632" s="29"/>
      <c r="AK632" s="29"/>
      <c r="AL632" s="29"/>
    </row>
    <row r="633" spans="1:38" ht="14.1" customHeight="1">
      <c r="A633" s="116" t="e">
        <f>+'Estimate Details'!#REF!</f>
        <v>#REF!</v>
      </c>
      <c r="B633" s="116"/>
      <c r="C633" s="116"/>
      <c r="D633" s="166"/>
      <c r="E633" s="158" t="e">
        <f>+'Estimate Details'!#REF!</f>
        <v>#REF!</v>
      </c>
      <c r="F633" s="41"/>
      <c r="G633" s="117" t="e">
        <f>+'Estimate Details'!#REF!</f>
        <v>#REF!</v>
      </c>
      <c r="H633" s="118" t="e">
        <f>+'Estimate Details'!#REF!</f>
        <v>#REF!</v>
      </c>
      <c r="I633" s="108" t="e">
        <f>+'Estimate Details'!#REF!</f>
        <v>#REF!</v>
      </c>
      <c r="J633" s="168" t="e">
        <f>+'Estimate Details'!#REF!</f>
        <v>#REF!</v>
      </c>
      <c r="K633" s="42" t="e">
        <f>+'Estimate Details'!#REF!</f>
        <v>#REF!</v>
      </c>
      <c r="L633" s="42" t="e">
        <f>+'Estimate Details'!#REF!</f>
        <v>#REF!</v>
      </c>
      <c r="M633" s="204" t="e">
        <f>+'Estimate Details'!#REF!</f>
        <v>#REF!</v>
      </c>
      <c r="N633" s="170" t="e">
        <f>+'Estimate Details'!#REF!</f>
        <v>#REF!</v>
      </c>
      <c r="O633" s="171" t="e">
        <f>+'Estimate Details'!#REF!</f>
        <v>#REF!</v>
      </c>
      <c r="P633" s="172" t="e">
        <f>+'Estimate Details'!#REF!</f>
        <v>#REF!</v>
      </c>
      <c r="Q633" s="173" t="e">
        <f>+'Estimate Details'!#REF!</f>
        <v>#REF!</v>
      </c>
      <c r="R633" s="174" t="e">
        <f>+'Estimate Details'!#REF!</f>
        <v>#REF!</v>
      </c>
      <c r="S633" s="507"/>
      <c r="T633" s="174" t="e">
        <f>+'Estimate Details'!#REF!</f>
        <v>#REF!</v>
      </c>
      <c r="U633" s="481" t="s">
        <v>1309</v>
      </c>
      <c r="V633" s="172" t="e">
        <f>+'Estimate Details'!#REF!</f>
        <v>#REF!</v>
      </c>
      <c r="W633" s="481" t="s">
        <v>1309</v>
      </c>
      <c r="X633" s="172" t="e">
        <f>+'Estimate Details'!#REF!</f>
        <v>#REF!</v>
      </c>
      <c r="Y633" s="172" t="e">
        <f>+'Estimate Details'!#REF!</f>
        <v>#REF!</v>
      </c>
      <c r="Z633" s="174" t="e">
        <f>+'Estimate Details'!#REF!</f>
        <v>#REF!</v>
      </c>
      <c r="AA633" s="481"/>
      <c r="AB633" s="175" t="e">
        <f>+'Estimate Details'!#REF!</f>
        <v>#REF!</v>
      </c>
      <c r="AC633" s="569"/>
      <c r="AD633" s="176" t="e">
        <f>+'Estimate Details'!#REF!</f>
        <v>#REF!</v>
      </c>
      <c r="AE633" s="156"/>
      <c r="AF633" s="371"/>
      <c r="AG633" s="156"/>
      <c r="AH633" s="156"/>
      <c r="AI633" s="29"/>
      <c r="AJ633" s="29"/>
      <c r="AK633" s="29"/>
      <c r="AL633" s="29"/>
    </row>
    <row r="634" spans="1:38" ht="14.1" customHeight="1">
      <c r="A634" s="116" t="e">
        <f>+'Estimate Details'!#REF!</f>
        <v>#REF!</v>
      </c>
      <c r="B634" s="116"/>
      <c r="C634" s="116"/>
      <c r="D634" s="166"/>
      <c r="E634" s="158" t="e">
        <f>+'Estimate Details'!#REF!</f>
        <v>#REF!</v>
      </c>
      <c r="F634" s="41"/>
      <c r="G634" s="117" t="e">
        <f>+'Estimate Details'!#REF!</f>
        <v>#REF!</v>
      </c>
      <c r="H634" s="118" t="e">
        <f>+'Estimate Details'!#REF!</f>
        <v>#REF!</v>
      </c>
      <c r="I634" s="108" t="e">
        <f>+'Estimate Details'!#REF!</f>
        <v>#REF!</v>
      </c>
      <c r="J634" s="168" t="e">
        <f>+'Estimate Details'!#REF!</f>
        <v>#REF!</v>
      </c>
      <c r="K634" s="42" t="e">
        <f>+'Estimate Details'!#REF!</f>
        <v>#REF!</v>
      </c>
      <c r="L634" s="42" t="e">
        <f>+'Estimate Details'!#REF!</f>
        <v>#REF!</v>
      </c>
      <c r="M634" s="204" t="e">
        <f>+'Estimate Details'!#REF!</f>
        <v>#REF!</v>
      </c>
      <c r="N634" s="170" t="e">
        <f>+'Estimate Details'!#REF!</f>
        <v>#REF!</v>
      </c>
      <c r="O634" s="171" t="e">
        <f>+'Estimate Details'!#REF!</f>
        <v>#REF!</v>
      </c>
      <c r="P634" s="172" t="e">
        <f>+'Estimate Details'!#REF!</f>
        <v>#REF!</v>
      </c>
      <c r="Q634" s="173" t="e">
        <f>+'Estimate Details'!#REF!</f>
        <v>#REF!</v>
      </c>
      <c r="R634" s="174" t="e">
        <f>+'Estimate Details'!#REF!</f>
        <v>#REF!</v>
      </c>
      <c r="S634" s="507"/>
      <c r="T634" s="174" t="e">
        <f>+'Estimate Details'!#REF!</f>
        <v>#REF!</v>
      </c>
      <c r="U634" s="481" t="s">
        <v>1309</v>
      </c>
      <c r="V634" s="172" t="e">
        <f>+'Estimate Details'!#REF!</f>
        <v>#REF!</v>
      </c>
      <c r="W634" s="481" t="s">
        <v>1309</v>
      </c>
      <c r="X634" s="172" t="e">
        <f>+'Estimate Details'!#REF!</f>
        <v>#REF!</v>
      </c>
      <c r="Y634" s="172" t="e">
        <f>+'Estimate Details'!#REF!</f>
        <v>#REF!</v>
      </c>
      <c r="Z634" s="174" t="e">
        <f>+'Estimate Details'!#REF!</f>
        <v>#REF!</v>
      </c>
      <c r="AA634" s="481"/>
      <c r="AB634" s="175" t="e">
        <f>+'Estimate Details'!#REF!</f>
        <v>#REF!</v>
      </c>
      <c r="AC634" s="569"/>
      <c r="AD634" s="176" t="e">
        <f>+'Estimate Details'!#REF!</f>
        <v>#REF!</v>
      </c>
      <c r="AE634" s="156"/>
      <c r="AF634" s="371"/>
      <c r="AG634" s="156"/>
      <c r="AH634" s="156"/>
      <c r="AI634" s="29"/>
      <c r="AJ634" s="29"/>
      <c r="AK634" s="29"/>
      <c r="AL634" s="29"/>
    </row>
    <row r="635" spans="1:38" ht="14.1" customHeight="1">
      <c r="A635" s="116" t="e">
        <f>+'Estimate Details'!#REF!</f>
        <v>#REF!</v>
      </c>
      <c r="B635" s="116"/>
      <c r="C635" s="116"/>
      <c r="D635" s="166"/>
      <c r="E635" s="158" t="e">
        <f>+'Estimate Details'!#REF!</f>
        <v>#REF!</v>
      </c>
      <c r="F635" s="41"/>
      <c r="G635" s="117" t="e">
        <f>+'Estimate Details'!#REF!</f>
        <v>#REF!</v>
      </c>
      <c r="H635" s="206" t="e">
        <f>+'Estimate Details'!#REF!</f>
        <v>#REF!</v>
      </c>
      <c r="I635" s="108" t="e">
        <f>+'Estimate Details'!#REF!</f>
        <v>#REF!</v>
      </c>
      <c r="J635" s="168" t="e">
        <f>+'Estimate Details'!#REF!</f>
        <v>#REF!</v>
      </c>
      <c r="K635" s="42" t="e">
        <f>+'Estimate Details'!#REF!</f>
        <v>#REF!</v>
      </c>
      <c r="L635" s="42" t="e">
        <f>+'Estimate Details'!#REF!</f>
        <v>#REF!</v>
      </c>
      <c r="M635" s="204" t="e">
        <f>+'Estimate Details'!#REF!</f>
        <v>#REF!</v>
      </c>
      <c r="N635" s="170" t="e">
        <f>+'Estimate Details'!#REF!</f>
        <v>#REF!</v>
      </c>
      <c r="O635" s="171" t="e">
        <f>+'Estimate Details'!#REF!</f>
        <v>#REF!</v>
      </c>
      <c r="P635" s="172" t="e">
        <f>+'Estimate Details'!#REF!</f>
        <v>#REF!</v>
      </c>
      <c r="Q635" s="173" t="e">
        <f>+'Estimate Details'!#REF!</f>
        <v>#REF!</v>
      </c>
      <c r="R635" s="174" t="e">
        <f>+'Estimate Details'!#REF!</f>
        <v>#REF!</v>
      </c>
      <c r="S635" s="507"/>
      <c r="T635" s="174" t="e">
        <f>+'Estimate Details'!#REF!</f>
        <v>#REF!</v>
      </c>
      <c r="U635" s="481" t="s">
        <v>1309</v>
      </c>
      <c r="V635" s="172" t="e">
        <f>+'Estimate Details'!#REF!</f>
        <v>#REF!</v>
      </c>
      <c r="W635" s="481" t="s">
        <v>1309</v>
      </c>
      <c r="X635" s="172" t="e">
        <f>+'Estimate Details'!#REF!</f>
        <v>#REF!</v>
      </c>
      <c r="Y635" s="172" t="e">
        <f>+'Estimate Details'!#REF!</f>
        <v>#REF!</v>
      </c>
      <c r="Z635" s="174" t="e">
        <f>+'Estimate Details'!#REF!</f>
        <v>#REF!</v>
      </c>
      <c r="AA635" s="481"/>
      <c r="AB635" s="175" t="e">
        <f>+'Estimate Details'!#REF!</f>
        <v>#REF!</v>
      </c>
      <c r="AC635" s="569"/>
      <c r="AD635" s="176" t="e">
        <f>+'Estimate Details'!#REF!</f>
        <v>#REF!</v>
      </c>
      <c r="AE635" s="156"/>
      <c r="AF635" s="371"/>
      <c r="AG635" s="156"/>
      <c r="AH635" s="156"/>
      <c r="AI635" s="29"/>
      <c r="AJ635" s="29"/>
      <c r="AK635" s="29"/>
      <c r="AL635" s="29"/>
    </row>
    <row r="636" spans="1:38" ht="14.1" customHeight="1">
      <c r="A636" s="116" t="e">
        <f>+'Estimate Details'!#REF!</f>
        <v>#REF!</v>
      </c>
      <c r="B636" s="116"/>
      <c r="C636" s="116"/>
      <c r="D636" s="166"/>
      <c r="E636" s="158" t="e">
        <f>+'Estimate Details'!#REF!</f>
        <v>#REF!</v>
      </c>
      <c r="F636" s="41"/>
      <c r="G636" s="117" t="e">
        <f>+'Estimate Details'!#REF!</f>
        <v>#REF!</v>
      </c>
      <c r="H636" s="118" t="e">
        <f>+'Estimate Details'!#REF!</f>
        <v>#REF!</v>
      </c>
      <c r="I636" s="108" t="e">
        <f>+'Estimate Details'!#REF!</f>
        <v>#REF!</v>
      </c>
      <c r="J636" s="168" t="e">
        <f>+'Estimate Details'!#REF!</f>
        <v>#REF!</v>
      </c>
      <c r="K636" s="42" t="e">
        <f>+'Estimate Details'!#REF!</f>
        <v>#REF!</v>
      </c>
      <c r="L636" s="42" t="e">
        <f>+'Estimate Details'!#REF!</f>
        <v>#REF!</v>
      </c>
      <c r="M636" s="204" t="e">
        <f>+'Estimate Details'!#REF!</f>
        <v>#REF!</v>
      </c>
      <c r="N636" s="170" t="e">
        <f>+'Estimate Details'!#REF!</f>
        <v>#REF!</v>
      </c>
      <c r="O636" s="171" t="e">
        <f>+'Estimate Details'!#REF!</f>
        <v>#REF!</v>
      </c>
      <c r="P636" s="172" t="e">
        <f>+'Estimate Details'!#REF!</f>
        <v>#REF!</v>
      </c>
      <c r="Q636" s="173" t="e">
        <f>+'Estimate Details'!#REF!</f>
        <v>#REF!</v>
      </c>
      <c r="R636" s="174" t="e">
        <f>+'Estimate Details'!#REF!</f>
        <v>#REF!</v>
      </c>
      <c r="S636" s="507"/>
      <c r="T636" s="174" t="e">
        <f>+'Estimate Details'!#REF!</f>
        <v>#REF!</v>
      </c>
      <c r="U636" s="481" t="s">
        <v>1309</v>
      </c>
      <c r="V636" s="172" t="e">
        <f>+'Estimate Details'!#REF!</f>
        <v>#REF!</v>
      </c>
      <c r="W636" s="481" t="s">
        <v>1309</v>
      </c>
      <c r="X636" s="172" t="e">
        <f>+'Estimate Details'!#REF!</f>
        <v>#REF!</v>
      </c>
      <c r="Y636" s="172" t="e">
        <f>+'Estimate Details'!#REF!</f>
        <v>#REF!</v>
      </c>
      <c r="Z636" s="174" t="e">
        <f>+'Estimate Details'!#REF!</f>
        <v>#REF!</v>
      </c>
      <c r="AA636" s="481"/>
      <c r="AB636" s="175" t="e">
        <f>+'Estimate Details'!#REF!</f>
        <v>#REF!</v>
      </c>
      <c r="AC636" s="569"/>
      <c r="AD636" s="176" t="e">
        <f>+'Estimate Details'!#REF!</f>
        <v>#REF!</v>
      </c>
      <c r="AE636" s="156"/>
      <c r="AF636" s="371"/>
      <c r="AG636" s="156"/>
      <c r="AH636" s="156"/>
      <c r="AI636" s="29"/>
      <c r="AJ636" s="29"/>
      <c r="AK636" s="29"/>
      <c r="AL636" s="29"/>
    </row>
    <row r="637" spans="1:38" ht="14.1" customHeight="1">
      <c r="A637" s="116" t="e">
        <f>+'Estimate Details'!#REF!</f>
        <v>#REF!</v>
      </c>
      <c r="B637" s="116"/>
      <c r="C637" s="116"/>
      <c r="D637" s="166"/>
      <c r="E637" s="158" t="e">
        <f>+'Estimate Details'!#REF!</f>
        <v>#REF!</v>
      </c>
      <c r="F637" s="41"/>
      <c r="G637" s="117" t="e">
        <f>+'Estimate Details'!#REF!</f>
        <v>#REF!</v>
      </c>
      <c r="H637" s="118" t="e">
        <f>+'Estimate Details'!#REF!</f>
        <v>#REF!</v>
      </c>
      <c r="I637" s="108" t="e">
        <f>+'Estimate Details'!#REF!</f>
        <v>#REF!</v>
      </c>
      <c r="J637" s="168" t="e">
        <f>+'Estimate Details'!#REF!</f>
        <v>#REF!</v>
      </c>
      <c r="K637" s="42" t="e">
        <f>+'Estimate Details'!#REF!</f>
        <v>#REF!</v>
      </c>
      <c r="L637" s="42" t="e">
        <f>+'Estimate Details'!#REF!</f>
        <v>#REF!</v>
      </c>
      <c r="M637" s="204" t="e">
        <f>+'Estimate Details'!#REF!</f>
        <v>#REF!</v>
      </c>
      <c r="N637" s="170" t="e">
        <f>+'Estimate Details'!#REF!</f>
        <v>#REF!</v>
      </c>
      <c r="O637" s="171" t="e">
        <f>+'Estimate Details'!#REF!</f>
        <v>#REF!</v>
      </c>
      <c r="P637" s="172" t="e">
        <f>+'Estimate Details'!#REF!</f>
        <v>#REF!</v>
      </c>
      <c r="Q637" s="173" t="e">
        <f>+'Estimate Details'!#REF!</f>
        <v>#REF!</v>
      </c>
      <c r="R637" s="174" t="e">
        <f>+'Estimate Details'!#REF!</f>
        <v>#REF!</v>
      </c>
      <c r="S637" s="507"/>
      <c r="T637" s="174" t="e">
        <f>+'Estimate Details'!#REF!</f>
        <v>#REF!</v>
      </c>
      <c r="U637" s="481" t="s">
        <v>1309</v>
      </c>
      <c r="V637" s="172" t="e">
        <f>+'Estimate Details'!#REF!</f>
        <v>#REF!</v>
      </c>
      <c r="W637" s="481" t="s">
        <v>1309</v>
      </c>
      <c r="X637" s="172" t="e">
        <f>+'Estimate Details'!#REF!</f>
        <v>#REF!</v>
      </c>
      <c r="Y637" s="172" t="e">
        <f>+'Estimate Details'!#REF!</f>
        <v>#REF!</v>
      </c>
      <c r="Z637" s="174" t="e">
        <f>+'Estimate Details'!#REF!</f>
        <v>#REF!</v>
      </c>
      <c r="AA637" s="481"/>
      <c r="AB637" s="175" t="e">
        <f>+'Estimate Details'!#REF!</f>
        <v>#REF!</v>
      </c>
      <c r="AC637" s="569"/>
      <c r="AD637" s="176" t="e">
        <f>+'Estimate Details'!#REF!</f>
        <v>#REF!</v>
      </c>
      <c r="AE637" s="156"/>
      <c r="AF637" s="371"/>
      <c r="AG637" s="156"/>
      <c r="AH637" s="156"/>
      <c r="AI637" s="29"/>
      <c r="AJ637" s="29"/>
      <c r="AK637" s="29"/>
      <c r="AL637" s="29"/>
    </row>
    <row r="638" spans="1:38" ht="14.1" customHeight="1">
      <c r="A638" s="116" t="e">
        <f>+'Estimate Details'!#REF!</f>
        <v>#REF!</v>
      </c>
      <c r="B638" s="116"/>
      <c r="C638" s="116"/>
      <c r="D638" s="166"/>
      <c r="E638" s="158" t="e">
        <f>+'Estimate Details'!#REF!</f>
        <v>#REF!</v>
      </c>
      <c r="F638" s="41"/>
      <c r="G638" s="117" t="e">
        <f>+'Estimate Details'!#REF!</f>
        <v>#REF!</v>
      </c>
      <c r="H638" s="118" t="e">
        <f>+'Estimate Details'!#REF!</f>
        <v>#REF!</v>
      </c>
      <c r="I638" s="108" t="e">
        <f>+'Estimate Details'!#REF!</f>
        <v>#REF!</v>
      </c>
      <c r="J638" s="168" t="e">
        <f>+'Estimate Details'!#REF!</f>
        <v>#REF!</v>
      </c>
      <c r="K638" s="42" t="e">
        <f>+'Estimate Details'!#REF!</f>
        <v>#REF!</v>
      </c>
      <c r="L638" s="42" t="e">
        <f>+'Estimate Details'!#REF!</f>
        <v>#REF!</v>
      </c>
      <c r="M638" s="204" t="e">
        <f>+'Estimate Details'!#REF!</f>
        <v>#REF!</v>
      </c>
      <c r="N638" s="170" t="e">
        <f>+'Estimate Details'!#REF!</f>
        <v>#REF!</v>
      </c>
      <c r="O638" s="171" t="e">
        <f>+'Estimate Details'!#REF!</f>
        <v>#REF!</v>
      </c>
      <c r="P638" s="172" t="e">
        <f>+'Estimate Details'!#REF!</f>
        <v>#REF!</v>
      </c>
      <c r="Q638" s="173" t="e">
        <f>+'Estimate Details'!#REF!</f>
        <v>#REF!</v>
      </c>
      <c r="R638" s="174" t="e">
        <f>+'Estimate Details'!#REF!</f>
        <v>#REF!</v>
      </c>
      <c r="S638" s="507"/>
      <c r="T638" s="174" t="e">
        <f>+'Estimate Details'!#REF!</f>
        <v>#REF!</v>
      </c>
      <c r="U638" s="481" t="s">
        <v>1309</v>
      </c>
      <c r="V638" s="172" t="e">
        <f>+'Estimate Details'!#REF!</f>
        <v>#REF!</v>
      </c>
      <c r="W638" s="481" t="s">
        <v>1309</v>
      </c>
      <c r="X638" s="172" t="e">
        <f>+'Estimate Details'!#REF!</f>
        <v>#REF!</v>
      </c>
      <c r="Y638" s="172" t="e">
        <f>+'Estimate Details'!#REF!</f>
        <v>#REF!</v>
      </c>
      <c r="Z638" s="174" t="e">
        <f>+'Estimate Details'!#REF!</f>
        <v>#REF!</v>
      </c>
      <c r="AA638" s="481"/>
      <c r="AB638" s="175" t="e">
        <f>+'Estimate Details'!#REF!</f>
        <v>#REF!</v>
      </c>
      <c r="AC638" s="569"/>
      <c r="AD638" s="176" t="e">
        <f>+'Estimate Details'!#REF!</f>
        <v>#REF!</v>
      </c>
      <c r="AE638" s="156"/>
      <c r="AF638" s="371"/>
      <c r="AG638" s="156"/>
      <c r="AH638" s="156"/>
      <c r="AI638" s="29"/>
      <c r="AJ638" s="29"/>
      <c r="AK638" s="29"/>
      <c r="AL638" s="29"/>
    </row>
    <row r="639" spans="1:38" ht="14.1" customHeight="1">
      <c r="A639" s="116" t="e">
        <f>+'Estimate Details'!#REF!</f>
        <v>#REF!</v>
      </c>
      <c r="B639" s="116"/>
      <c r="C639" s="116"/>
      <c r="D639" s="166"/>
      <c r="E639" s="158" t="e">
        <f>+'Estimate Details'!#REF!</f>
        <v>#REF!</v>
      </c>
      <c r="F639" s="41"/>
      <c r="G639" s="117" t="e">
        <f>+'Estimate Details'!#REF!</f>
        <v>#REF!</v>
      </c>
      <c r="H639" s="118" t="e">
        <f>+'Estimate Details'!#REF!</f>
        <v>#REF!</v>
      </c>
      <c r="I639" s="108" t="e">
        <f>+'Estimate Details'!#REF!</f>
        <v>#REF!</v>
      </c>
      <c r="J639" s="168" t="e">
        <f>+'Estimate Details'!#REF!</f>
        <v>#REF!</v>
      </c>
      <c r="K639" s="42" t="e">
        <f>+'Estimate Details'!#REF!</f>
        <v>#REF!</v>
      </c>
      <c r="L639" s="42" t="e">
        <f>+'Estimate Details'!#REF!</f>
        <v>#REF!</v>
      </c>
      <c r="M639" s="204" t="e">
        <f>+'Estimate Details'!#REF!</f>
        <v>#REF!</v>
      </c>
      <c r="N639" s="170" t="e">
        <f>+'Estimate Details'!#REF!</f>
        <v>#REF!</v>
      </c>
      <c r="O639" s="171" t="e">
        <f>+'Estimate Details'!#REF!</f>
        <v>#REF!</v>
      </c>
      <c r="P639" s="172" t="e">
        <f>+'Estimate Details'!#REF!</f>
        <v>#REF!</v>
      </c>
      <c r="Q639" s="173" t="e">
        <f>+'Estimate Details'!#REF!</f>
        <v>#REF!</v>
      </c>
      <c r="R639" s="174" t="e">
        <f>+'Estimate Details'!#REF!</f>
        <v>#REF!</v>
      </c>
      <c r="S639" s="507"/>
      <c r="T639" s="174" t="e">
        <f>+'Estimate Details'!#REF!</f>
        <v>#REF!</v>
      </c>
      <c r="U639" s="481" t="s">
        <v>1309</v>
      </c>
      <c r="V639" s="172" t="e">
        <f>+'Estimate Details'!#REF!</f>
        <v>#REF!</v>
      </c>
      <c r="W639" s="481" t="s">
        <v>1309</v>
      </c>
      <c r="X639" s="172" t="e">
        <f>+'Estimate Details'!#REF!</f>
        <v>#REF!</v>
      </c>
      <c r="Y639" s="172" t="e">
        <f>+'Estimate Details'!#REF!</f>
        <v>#REF!</v>
      </c>
      <c r="Z639" s="174" t="e">
        <f>+'Estimate Details'!#REF!</f>
        <v>#REF!</v>
      </c>
      <c r="AA639" s="481"/>
      <c r="AB639" s="175" t="e">
        <f>+'Estimate Details'!#REF!</f>
        <v>#REF!</v>
      </c>
      <c r="AC639" s="569"/>
      <c r="AD639" s="176" t="e">
        <f>+'Estimate Details'!#REF!</f>
        <v>#REF!</v>
      </c>
      <c r="AE639" s="156"/>
      <c r="AF639" s="371"/>
      <c r="AG639" s="156"/>
      <c r="AH639" s="156"/>
      <c r="AI639" s="29"/>
      <c r="AJ639" s="29"/>
      <c r="AK639" s="29"/>
      <c r="AL639" s="29"/>
    </row>
    <row r="640" spans="1:38" ht="14.1" customHeight="1">
      <c r="A640" s="116" t="e">
        <f>+'Estimate Details'!#REF!</f>
        <v>#REF!</v>
      </c>
      <c r="B640" s="116"/>
      <c r="C640" s="116"/>
      <c r="D640" s="166"/>
      <c r="E640" s="158" t="e">
        <f>+'Estimate Details'!#REF!</f>
        <v>#REF!</v>
      </c>
      <c r="F640" s="41"/>
      <c r="G640" s="117" t="e">
        <f>+'Estimate Details'!#REF!</f>
        <v>#REF!</v>
      </c>
      <c r="H640" s="118" t="e">
        <f>+'Estimate Details'!#REF!</f>
        <v>#REF!</v>
      </c>
      <c r="I640" s="108" t="e">
        <f>+'Estimate Details'!#REF!</f>
        <v>#REF!</v>
      </c>
      <c r="J640" s="168" t="e">
        <f>+'Estimate Details'!#REF!</f>
        <v>#REF!</v>
      </c>
      <c r="K640" s="42" t="e">
        <f>+'Estimate Details'!#REF!</f>
        <v>#REF!</v>
      </c>
      <c r="L640" s="42" t="e">
        <f>+'Estimate Details'!#REF!</f>
        <v>#REF!</v>
      </c>
      <c r="M640" s="204" t="e">
        <f>+'Estimate Details'!#REF!</f>
        <v>#REF!</v>
      </c>
      <c r="N640" s="170" t="e">
        <f>+'Estimate Details'!#REF!</f>
        <v>#REF!</v>
      </c>
      <c r="O640" s="171" t="e">
        <f>+'Estimate Details'!#REF!</f>
        <v>#REF!</v>
      </c>
      <c r="P640" s="172" t="e">
        <f>+'Estimate Details'!#REF!</f>
        <v>#REF!</v>
      </c>
      <c r="Q640" s="173" t="e">
        <f>+'Estimate Details'!#REF!</f>
        <v>#REF!</v>
      </c>
      <c r="R640" s="174" t="e">
        <f>+'Estimate Details'!#REF!</f>
        <v>#REF!</v>
      </c>
      <c r="S640" s="507"/>
      <c r="T640" s="174" t="e">
        <f>+'Estimate Details'!#REF!</f>
        <v>#REF!</v>
      </c>
      <c r="U640" s="481" t="s">
        <v>1309</v>
      </c>
      <c r="V640" s="172" t="e">
        <f>+'Estimate Details'!#REF!</f>
        <v>#REF!</v>
      </c>
      <c r="W640" s="481" t="s">
        <v>1309</v>
      </c>
      <c r="X640" s="172" t="e">
        <f>+'Estimate Details'!#REF!</f>
        <v>#REF!</v>
      </c>
      <c r="Y640" s="172" t="e">
        <f>+'Estimate Details'!#REF!</f>
        <v>#REF!</v>
      </c>
      <c r="Z640" s="174" t="e">
        <f>+'Estimate Details'!#REF!</f>
        <v>#REF!</v>
      </c>
      <c r="AA640" s="481"/>
      <c r="AB640" s="175" t="e">
        <f>+'Estimate Details'!#REF!</f>
        <v>#REF!</v>
      </c>
      <c r="AC640" s="569"/>
      <c r="AD640" s="176" t="e">
        <f>+'Estimate Details'!#REF!</f>
        <v>#REF!</v>
      </c>
      <c r="AE640" s="156"/>
      <c r="AF640" s="371"/>
      <c r="AG640" s="156"/>
      <c r="AH640" s="156"/>
      <c r="AI640" s="29"/>
      <c r="AJ640" s="29"/>
      <c r="AK640" s="29"/>
      <c r="AL640" s="29"/>
    </row>
    <row r="641" spans="1:38" ht="14.1" customHeight="1">
      <c r="A641" s="116" t="e">
        <f>+'Estimate Details'!#REF!</f>
        <v>#REF!</v>
      </c>
      <c r="B641" s="116"/>
      <c r="C641" s="116"/>
      <c r="D641" s="166"/>
      <c r="E641" s="158" t="e">
        <f>+'Estimate Details'!#REF!</f>
        <v>#REF!</v>
      </c>
      <c r="F641" s="41"/>
      <c r="G641" s="117" t="e">
        <f>+'Estimate Details'!#REF!</f>
        <v>#REF!</v>
      </c>
      <c r="H641" s="118" t="e">
        <f>+'Estimate Details'!#REF!</f>
        <v>#REF!</v>
      </c>
      <c r="I641" s="108" t="e">
        <f>+'Estimate Details'!#REF!</f>
        <v>#REF!</v>
      </c>
      <c r="J641" s="168" t="e">
        <f>+'Estimate Details'!#REF!</f>
        <v>#REF!</v>
      </c>
      <c r="K641" s="42" t="e">
        <f>+'Estimate Details'!#REF!</f>
        <v>#REF!</v>
      </c>
      <c r="L641" s="42" t="e">
        <f>+'Estimate Details'!#REF!</f>
        <v>#REF!</v>
      </c>
      <c r="M641" s="204" t="e">
        <f>+'Estimate Details'!#REF!</f>
        <v>#REF!</v>
      </c>
      <c r="N641" s="170" t="e">
        <f>+'Estimate Details'!#REF!</f>
        <v>#REF!</v>
      </c>
      <c r="O641" s="171" t="e">
        <f>+'Estimate Details'!#REF!</f>
        <v>#REF!</v>
      </c>
      <c r="P641" s="172" t="e">
        <f>+'Estimate Details'!#REF!</f>
        <v>#REF!</v>
      </c>
      <c r="Q641" s="173" t="e">
        <f>+'Estimate Details'!#REF!</f>
        <v>#REF!</v>
      </c>
      <c r="R641" s="174" t="e">
        <f>+'Estimate Details'!#REF!</f>
        <v>#REF!</v>
      </c>
      <c r="S641" s="507"/>
      <c r="T641" s="174" t="e">
        <f>+'Estimate Details'!#REF!</f>
        <v>#REF!</v>
      </c>
      <c r="U641" s="481" t="s">
        <v>1309</v>
      </c>
      <c r="V641" s="172" t="e">
        <f>+'Estimate Details'!#REF!</f>
        <v>#REF!</v>
      </c>
      <c r="W641" s="481" t="s">
        <v>1309</v>
      </c>
      <c r="X641" s="172" t="e">
        <f>+'Estimate Details'!#REF!</f>
        <v>#REF!</v>
      </c>
      <c r="Y641" s="172" t="e">
        <f>+'Estimate Details'!#REF!</f>
        <v>#REF!</v>
      </c>
      <c r="Z641" s="174" t="e">
        <f>+'Estimate Details'!#REF!</f>
        <v>#REF!</v>
      </c>
      <c r="AA641" s="481"/>
      <c r="AB641" s="175" t="e">
        <f>+'Estimate Details'!#REF!</f>
        <v>#REF!</v>
      </c>
      <c r="AC641" s="569"/>
      <c r="AD641" s="176" t="e">
        <f>+'Estimate Details'!#REF!</f>
        <v>#REF!</v>
      </c>
      <c r="AE641" s="156"/>
      <c r="AF641" s="371"/>
      <c r="AG641" s="156"/>
      <c r="AH641" s="156"/>
      <c r="AI641" s="29"/>
      <c r="AJ641" s="29"/>
      <c r="AK641" s="29"/>
      <c r="AL641" s="29"/>
    </row>
    <row r="642" spans="1:38" ht="14.1" customHeight="1">
      <c r="A642" s="116" t="e">
        <f>+'Estimate Details'!#REF!</f>
        <v>#REF!</v>
      </c>
      <c r="B642" s="116"/>
      <c r="C642" s="116"/>
      <c r="D642" s="166"/>
      <c r="E642" s="158" t="e">
        <f>+'Estimate Details'!#REF!</f>
        <v>#REF!</v>
      </c>
      <c r="F642" s="41"/>
      <c r="G642" s="117" t="e">
        <f>+'Estimate Details'!#REF!</f>
        <v>#REF!</v>
      </c>
      <c r="H642" s="118" t="e">
        <f>+'Estimate Details'!#REF!</f>
        <v>#REF!</v>
      </c>
      <c r="I642" s="108" t="e">
        <f>+'Estimate Details'!#REF!</f>
        <v>#REF!</v>
      </c>
      <c r="J642" s="168" t="e">
        <f>+'Estimate Details'!#REF!</f>
        <v>#REF!</v>
      </c>
      <c r="K642" s="42" t="e">
        <f>+'Estimate Details'!#REF!</f>
        <v>#REF!</v>
      </c>
      <c r="L642" s="42" t="e">
        <f>+'Estimate Details'!#REF!</f>
        <v>#REF!</v>
      </c>
      <c r="M642" s="204" t="e">
        <f>+'Estimate Details'!#REF!</f>
        <v>#REF!</v>
      </c>
      <c r="N642" s="170" t="e">
        <f>+'Estimate Details'!#REF!</f>
        <v>#REF!</v>
      </c>
      <c r="O642" s="171" t="e">
        <f>+'Estimate Details'!#REF!</f>
        <v>#REF!</v>
      </c>
      <c r="P642" s="172" t="e">
        <f>+'Estimate Details'!#REF!</f>
        <v>#REF!</v>
      </c>
      <c r="Q642" s="173" t="e">
        <f>+'Estimate Details'!#REF!</f>
        <v>#REF!</v>
      </c>
      <c r="R642" s="174" t="e">
        <f>+'Estimate Details'!#REF!</f>
        <v>#REF!</v>
      </c>
      <c r="S642" s="507"/>
      <c r="T642" s="174" t="e">
        <f>+'Estimate Details'!#REF!</f>
        <v>#REF!</v>
      </c>
      <c r="U642" s="481" t="s">
        <v>1309</v>
      </c>
      <c r="V642" s="172" t="e">
        <f>+'Estimate Details'!#REF!</f>
        <v>#REF!</v>
      </c>
      <c r="W642" s="481" t="s">
        <v>1309</v>
      </c>
      <c r="X642" s="172" t="e">
        <f>+'Estimate Details'!#REF!</f>
        <v>#REF!</v>
      </c>
      <c r="Y642" s="172" t="e">
        <f>+'Estimate Details'!#REF!</f>
        <v>#REF!</v>
      </c>
      <c r="Z642" s="174" t="e">
        <f>+'Estimate Details'!#REF!</f>
        <v>#REF!</v>
      </c>
      <c r="AA642" s="481"/>
      <c r="AB642" s="175" t="e">
        <f>+'Estimate Details'!#REF!</f>
        <v>#REF!</v>
      </c>
      <c r="AC642" s="569"/>
      <c r="AD642" s="176" t="e">
        <f>+'Estimate Details'!#REF!</f>
        <v>#REF!</v>
      </c>
      <c r="AE642" s="156"/>
      <c r="AF642" s="371"/>
      <c r="AG642" s="156"/>
      <c r="AH642" s="156"/>
      <c r="AI642" s="29"/>
      <c r="AJ642" s="29"/>
      <c r="AK642" s="29"/>
      <c r="AL642" s="29"/>
    </row>
    <row r="643" spans="1:38" ht="14.1" customHeight="1">
      <c r="A643" s="116" t="e">
        <f>+'Estimate Details'!#REF!</f>
        <v>#REF!</v>
      </c>
      <c r="B643" s="116"/>
      <c r="C643" s="116"/>
      <c r="D643" s="166"/>
      <c r="E643" s="158" t="e">
        <f>+'Estimate Details'!#REF!</f>
        <v>#REF!</v>
      </c>
      <c r="F643" s="41"/>
      <c r="G643" s="117" t="e">
        <f>+'Estimate Details'!#REF!</f>
        <v>#REF!</v>
      </c>
      <c r="H643" s="118" t="e">
        <f>+'Estimate Details'!#REF!</f>
        <v>#REF!</v>
      </c>
      <c r="I643" s="108" t="e">
        <f>+'Estimate Details'!#REF!</f>
        <v>#REF!</v>
      </c>
      <c r="J643" s="168" t="e">
        <f>+'Estimate Details'!#REF!</f>
        <v>#REF!</v>
      </c>
      <c r="K643" s="42" t="e">
        <f>+'Estimate Details'!#REF!</f>
        <v>#REF!</v>
      </c>
      <c r="L643" s="42" t="e">
        <f>+'Estimate Details'!#REF!</f>
        <v>#REF!</v>
      </c>
      <c r="M643" s="204" t="e">
        <f>+'Estimate Details'!#REF!</f>
        <v>#REF!</v>
      </c>
      <c r="N643" s="170" t="e">
        <f>+'Estimate Details'!#REF!</f>
        <v>#REF!</v>
      </c>
      <c r="O643" s="171" t="e">
        <f>+'Estimate Details'!#REF!</f>
        <v>#REF!</v>
      </c>
      <c r="P643" s="172" t="e">
        <f>+'Estimate Details'!#REF!</f>
        <v>#REF!</v>
      </c>
      <c r="Q643" s="173" t="e">
        <f>+'Estimate Details'!#REF!</f>
        <v>#REF!</v>
      </c>
      <c r="R643" s="174" t="e">
        <f>+'Estimate Details'!#REF!</f>
        <v>#REF!</v>
      </c>
      <c r="S643" s="507"/>
      <c r="T643" s="174" t="e">
        <f>+'Estimate Details'!#REF!</f>
        <v>#REF!</v>
      </c>
      <c r="U643" s="481" t="s">
        <v>1309</v>
      </c>
      <c r="V643" s="172" t="e">
        <f>+'Estimate Details'!#REF!</f>
        <v>#REF!</v>
      </c>
      <c r="W643" s="481" t="s">
        <v>1309</v>
      </c>
      <c r="X643" s="172" t="e">
        <f>+'Estimate Details'!#REF!</f>
        <v>#REF!</v>
      </c>
      <c r="Y643" s="172" t="e">
        <f>+'Estimate Details'!#REF!</f>
        <v>#REF!</v>
      </c>
      <c r="Z643" s="174" t="e">
        <f>+'Estimate Details'!#REF!</f>
        <v>#REF!</v>
      </c>
      <c r="AA643" s="481"/>
      <c r="AB643" s="175" t="e">
        <f>+'Estimate Details'!#REF!</f>
        <v>#REF!</v>
      </c>
      <c r="AC643" s="569"/>
      <c r="AD643" s="176" t="e">
        <f>+'Estimate Details'!#REF!</f>
        <v>#REF!</v>
      </c>
      <c r="AE643" s="156"/>
      <c r="AF643" s="371"/>
      <c r="AG643" s="156"/>
      <c r="AH643" s="156"/>
      <c r="AI643" s="29"/>
      <c r="AJ643" s="29"/>
      <c r="AK643" s="29"/>
      <c r="AL643" s="29"/>
    </row>
    <row r="644" spans="1:38">
      <c r="A644" s="116" t="e">
        <f>+'Estimate Details'!#REF!</f>
        <v>#REF!</v>
      </c>
      <c r="B644" s="116"/>
      <c r="C644" s="116"/>
      <c r="D644" s="166"/>
      <c r="E644" s="158" t="e">
        <f>+'Estimate Details'!#REF!</f>
        <v>#REF!</v>
      </c>
      <c r="F644" s="41"/>
      <c r="G644" s="117" t="e">
        <f>+'Estimate Details'!#REF!</f>
        <v>#REF!</v>
      </c>
      <c r="H644" s="118" t="e">
        <f>+'Estimate Details'!#REF!</f>
        <v>#REF!</v>
      </c>
      <c r="I644" s="108" t="e">
        <f>+'Estimate Details'!#REF!</f>
        <v>#REF!</v>
      </c>
      <c r="J644" s="168" t="e">
        <f>+'Estimate Details'!#REF!</f>
        <v>#REF!</v>
      </c>
      <c r="K644" s="42" t="e">
        <f>+'Estimate Details'!#REF!</f>
        <v>#REF!</v>
      </c>
      <c r="L644" s="42" t="e">
        <f>+'Estimate Details'!#REF!</f>
        <v>#REF!</v>
      </c>
      <c r="M644" s="204" t="e">
        <f>+'Estimate Details'!#REF!</f>
        <v>#REF!</v>
      </c>
      <c r="N644" s="170" t="e">
        <f>+'Estimate Details'!#REF!</f>
        <v>#REF!</v>
      </c>
      <c r="O644" s="171" t="e">
        <f>+'Estimate Details'!#REF!</f>
        <v>#REF!</v>
      </c>
      <c r="P644" s="172" t="e">
        <f>+'Estimate Details'!#REF!</f>
        <v>#REF!</v>
      </c>
      <c r="Q644" s="173" t="e">
        <f>+'Estimate Details'!#REF!</f>
        <v>#REF!</v>
      </c>
      <c r="R644" s="174" t="e">
        <f>+'Estimate Details'!#REF!</f>
        <v>#REF!</v>
      </c>
      <c r="S644" s="507"/>
      <c r="T644" s="174" t="e">
        <f>+'Estimate Details'!#REF!</f>
        <v>#REF!</v>
      </c>
      <c r="U644" s="481" t="s">
        <v>1309</v>
      </c>
      <c r="V644" s="172" t="e">
        <f>+'Estimate Details'!#REF!</f>
        <v>#REF!</v>
      </c>
      <c r="W644" s="481" t="s">
        <v>1309</v>
      </c>
      <c r="X644" s="172" t="e">
        <f>+'Estimate Details'!#REF!</f>
        <v>#REF!</v>
      </c>
      <c r="Y644" s="172" t="e">
        <f>+'Estimate Details'!#REF!</f>
        <v>#REF!</v>
      </c>
      <c r="Z644" s="174" t="e">
        <f>+'Estimate Details'!#REF!</f>
        <v>#REF!</v>
      </c>
      <c r="AA644" s="481"/>
      <c r="AB644" s="175" t="e">
        <f>+'Estimate Details'!#REF!</f>
        <v>#REF!</v>
      </c>
      <c r="AC644" s="569"/>
      <c r="AD644" s="176" t="e">
        <f>+'Estimate Details'!#REF!</f>
        <v>#REF!</v>
      </c>
      <c r="AE644" s="156"/>
      <c r="AF644" s="156"/>
      <c r="AG644" s="156"/>
      <c r="AH644" s="156"/>
      <c r="AI644" s="29"/>
      <c r="AJ644" s="29"/>
      <c r="AK644" s="29"/>
      <c r="AL644" s="29"/>
    </row>
    <row r="645" spans="1:38">
      <c r="A645" s="116" t="e">
        <f>+'Estimate Details'!#REF!</f>
        <v>#REF!</v>
      </c>
      <c r="B645" s="116"/>
      <c r="C645" s="116"/>
      <c r="D645" s="166"/>
      <c r="E645" s="158" t="e">
        <f>+'Estimate Details'!#REF!</f>
        <v>#REF!</v>
      </c>
      <c r="F645" s="41"/>
      <c r="G645" s="117" t="e">
        <f>+'Estimate Details'!#REF!</f>
        <v>#REF!</v>
      </c>
      <c r="H645" s="118" t="e">
        <f>+'Estimate Details'!#REF!</f>
        <v>#REF!</v>
      </c>
      <c r="I645" s="108" t="e">
        <f>+'Estimate Details'!#REF!</f>
        <v>#REF!</v>
      </c>
      <c r="J645" s="168" t="e">
        <f>+'Estimate Details'!#REF!</f>
        <v>#REF!</v>
      </c>
      <c r="K645" s="42" t="e">
        <f>+'Estimate Details'!#REF!</f>
        <v>#REF!</v>
      </c>
      <c r="L645" s="42" t="e">
        <f>+'Estimate Details'!#REF!</f>
        <v>#REF!</v>
      </c>
      <c r="M645" s="204" t="e">
        <f>+'Estimate Details'!#REF!</f>
        <v>#REF!</v>
      </c>
      <c r="N645" s="170" t="e">
        <f>+'Estimate Details'!#REF!</f>
        <v>#REF!</v>
      </c>
      <c r="O645" s="171" t="e">
        <f>+'Estimate Details'!#REF!</f>
        <v>#REF!</v>
      </c>
      <c r="P645" s="172" t="e">
        <f>+'Estimate Details'!#REF!</f>
        <v>#REF!</v>
      </c>
      <c r="Q645" s="173" t="e">
        <f>+'Estimate Details'!#REF!</f>
        <v>#REF!</v>
      </c>
      <c r="R645" s="174" t="e">
        <f>+'Estimate Details'!#REF!</f>
        <v>#REF!</v>
      </c>
      <c r="S645" s="507"/>
      <c r="T645" s="174" t="e">
        <f>+'Estimate Details'!#REF!</f>
        <v>#REF!</v>
      </c>
      <c r="U645" s="481" t="s">
        <v>1309</v>
      </c>
      <c r="V645" s="172" t="e">
        <f>+'Estimate Details'!#REF!</f>
        <v>#REF!</v>
      </c>
      <c r="W645" s="481" t="s">
        <v>1309</v>
      </c>
      <c r="X645" s="172" t="e">
        <f>+'Estimate Details'!#REF!</f>
        <v>#REF!</v>
      </c>
      <c r="Y645" s="172" t="e">
        <f>+'Estimate Details'!#REF!</f>
        <v>#REF!</v>
      </c>
      <c r="Z645" s="174" t="e">
        <f>+'Estimate Details'!#REF!</f>
        <v>#REF!</v>
      </c>
      <c r="AA645" s="481"/>
      <c r="AB645" s="175" t="e">
        <f>+'Estimate Details'!#REF!</f>
        <v>#REF!</v>
      </c>
      <c r="AC645" s="569"/>
      <c r="AD645" s="176" t="e">
        <f>+'Estimate Details'!#REF!</f>
        <v>#REF!</v>
      </c>
      <c r="AE645" s="156"/>
      <c r="AF645" s="156"/>
      <c r="AG645" s="156"/>
      <c r="AH645" s="156"/>
      <c r="AI645" s="29"/>
      <c r="AJ645" s="29"/>
      <c r="AK645" s="29"/>
      <c r="AL645" s="29"/>
    </row>
    <row r="646" spans="1:38">
      <c r="A646" s="116" t="e">
        <f>+'Estimate Details'!#REF!</f>
        <v>#REF!</v>
      </c>
      <c r="B646" s="116"/>
      <c r="C646" s="116"/>
      <c r="D646" s="166"/>
      <c r="E646" s="158" t="e">
        <f>+'Estimate Details'!#REF!</f>
        <v>#REF!</v>
      </c>
      <c r="F646" s="41"/>
      <c r="G646" s="117" t="e">
        <f>+'Estimate Details'!#REF!</f>
        <v>#REF!</v>
      </c>
      <c r="H646" s="118" t="e">
        <f>+'Estimate Details'!#REF!</f>
        <v>#REF!</v>
      </c>
      <c r="I646" s="108" t="e">
        <f>+'Estimate Details'!#REF!</f>
        <v>#REF!</v>
      </c>
      <c r="J646" s="168" t="e">
        <f>+'Estimate Details'!#REF!</f>
        <v>#REF!</v>
      </c>
      <c r="K646" s="42" t="e">
        <f>+'Estimate Details'!#REF!</f>
        <v>#REF!</v>
      </c>
      <c r="L646" s="42" t="e">
        <f>+'Estimate Details'!#REF!</f>
        <v>#REF!</v>
      </c>
      <c r="M646" s="204" t="e">
        <f>+'Estimate Details'!#REF!</f>
        <v>#REF!</v>
      </c>
      <c r="N646" s="170" t="e">
        <f>+'Estimate Details'!#REF!</f>
        <v>#REF!</v>
      </c>
      <c r="O646" s="171" t="e">
        <f>+'Estimate Details'!#REF!</f>
        <v>#REF!</v>
      </c>
      <c r="P646" s="172" t="e">
        <f>+'Estimate Details'!#REF!</f>
        <v>#REF!</v>
      </c>
      <c r="Q646" s="173" t="e">
        <f>+'Estimate Details'!#REF!</f>
        <v>#REF!</v>
      </c>
      <c r="R646" s="174" t="e">
        <f>+'Estimate Details'!#REF!</f>
        <v>#REF!</v>
      </c>
      <c r="S646" s="507"/>
      <c r="T646" s="174" t="e">
        <f>+'Estimate Details'!#REF!</f>
        <v>#REF!</v>
      </c>
      <c r="U646" s="481" t="s">
        <v>1309</v>
      </c>
      <c r="V646" s="172" t="e">
        <f>+'Estimate Details'!#REF!</f>
        <v>#REF!</v>
      </c>
      <c r="W646" s="481" t="s">
        <v>1309</v>
      </c>
      <c r="X646" s="172" t="e">
        <f>+'Estimate Details'!#REF!</f>
        <v>#REF!</v>
      </c>
      <c r="Y646" s="172" t="e">
        <f>+'Estimate Details'!#REF!</f>
        <v>#REF!</v>
      </c>
      <c r="Z646" s="174" t="e">
        <f>+'Estimate Details'!#REF!</f>
        <v>#REF!</v>
      </c>
      <c r="AA646" s="481"/>
      <c r="AB646" s="175" t="e">
        <f>+'Estimate Details'!#REF!</f>
        <v>#REF!</v>
      </c>
      <c r="AC646" s="569"/>
      <c r="AD646" s="176" t="e">
        <f>+'Estimate Details'!#REF!</f>
        <v>#REF!</v>
      </c>
      <c r="AE646" s="156"/>
      <c r="AF646" s="156"/>
      <c r="AG646" s="156"/>
      <c r="AH646" s="156"/>
      <c r="AI646" s="29"/>
      <c r="AJ646" s="29"/>
      <c r="AK646" s="29"/>
      <c r="AL646" s="29"/>
    </row>
    <row r="647" spans="1:38">
      <c r="A647" s="116" t="e">
        <f>+'Estimate Details'!#REF!</f>
        <v>#REF!</v>
      </c>
      <c r="B647" s="116"/>
      <c r="C647" s="116"/>
      <c r="D647" s="166"/>
      <c r="E647" s="158" t="e">
        <f>+'Estimate Details'!#REF!</f>
        <v>#REF!</v>
      </c>
      <c r="F647" s="41"/>
      <c r="G647" s="117" t="e">
        <f>+'Estimate Details'!#REF!</f>
        <v>#REF!</v>
      </c>
      <c r="H647" s="118" t="e">
        <f>+'Estimate Details'!#REF!</f>
        <v>#REF!</v>
      </c>
      <c r="I647" s="108" t="e">
        <f>+'Estimate Details'!#REF!</f>
        <v>#REF!</v>
      </c>
      <c r="J647" s="168" t="e">
        <f>+'Estimate Details'!#REF!</f>
        <v>#REF!</v>
      </c>
      <c r="K647" s="42" t="e">
        <f>+'Estimate Details'!#REF!</f>
        <v>#REF!</v>
      </c>
      <c r="L647" s="42" t="e">
        <f>+'Estimate Details'!#REF!</f>
        <v>#REF!</v>
      </c>
      <c r="M647" s="204" t="e">
        <f>+'Estimate Details'!#REF!</f>
        <v>#REF!</v>
      </c>
      <c r="N647" s="170" t="e">
        <f>+'Estimate Details'!#REF!</f>
        <v>#REF!</v>
      </c>
      <c r="O647" s="171" t="e">
        <f>+'Estimate Details'!#REF!</f>
        <v>#REF!</v>
      </c>
      <c r="P647" s="172" t="e">
        <f>+'Estimate Details'!#REF!</f>
        <v>#REF!</v>
      </c>
      <c r="Q647" s="173" t="e">
        <f>+'Estimate Details'!#REF!</f>
        <v>#REF!</v>
      </c>
      <c r="R647" s="174" t="e">
        <f>+'Estimate Details'!#REF!</f>
        <v>#REF!</v>
      </c>
      <c r="S647" s="507"/>
      <c r="T647" s="174" t="e">
        <f>+'Estimate Details'!#REF!</f>
        <v>#REF!</v>
      </c>
      <c r="U647" s="481" t="s">
        <v>1309</v>
      </c>
      <c r="V647" s="172" t="e">
        <f>+'Estimate Details'!#REF!</f>
        <v>#REF!</v>
      </c>
      <c r="W647" s="481" t="s">
        <v>1309</v>
      </c>
      <c r="X647" s="172" t="e">
        <f>+'Estimate Details'!#REF!</f>
        <v>#REF!</v>
      </c>
      <c r="Y647" s="172" t="e">
        <f>+'Estimate Details'!#REF!</f>
        <v>#REF!</v>
      </c>
      <c r="Z647" s="174" t="e">
        <f>+'Estimate Details'!#REF!</f>
        <v>#REF!</v>
      </c>
      <c r="AA647" s="481"/>
      <c r="AB647" s="175" t="e">
        <f>+'Estimate Details'!#REF!</f>
        <v>#REF!</v>
      </c>
      <c r="AC647" s="569"/>
      <c r="AD647" s="176" t="e">
        <f>+'Estimate Details'!#REF!</f>
        <v>#REF!</v>
      </c>
      <c r="AE647" s="156"/>
      <c r="AF647" s="156"/>
      <c r="AG647" s="156"/>
      <c r="AH647" s="156"/>
      <c r="AI647" s="29"/>
      <c r="AJ647" s="29"/>
      <c r="AK647" s="29"/>
      <c r="AL647" s="29"/>
    </row>
    <row r="648" spans="1:38">
      <c r="A648" s="116" t="e">
        <f>+'Estimate Details'!#REF!</f>
        <v>#REF!</v>
      </c>
      <c r="B648" s="116"/>
      <c r="C648" s="116"/>
      <c r="D648" s="166"/>
      <c r="E648" s="158" t="e">
        <f>+'Estimate Details'!#REF!</f>
        <v>#REF!</v>
      </c>
      <c r="F648" s="160"/>
      <c r="G648" s="197" t="e">
        <f>+'Estimate Details'!#REF!</f>
        <v>#REF!</v>
      </c>
      <c r="H648" s="198" t="e">
        <f>+'Estimate Details'!#REF!</f>
        <v>#REF!</v>
      </c>
      <c r="I648" s="199" t="e">
        <f>+'Estimate Details'!#REF!</f>
        <v>#REF!</v>
      </c>
      <c r="J648" s="200" t="e">
        <f>+'Estimate Details'!#REF!</f>
        <v>#REF!</v>
      </c>
      <c r="K648" s="158" t="e">
        <f>+'Estimate Details'!#REF!</f>
        <v>#REF!</v>
      </c>
      <c r="L648" s="158" t="e">
        <f>+'Estimate Details'!#REF!</f>
        <v>#REF!</v>
      </c>
      <c r="M648" s="212" t="e">
        <f>+'Estimate Details'!#REF!</f>
        <v>#REF!</v>
      </c>
      <c r="N648" s="213" t="e">
        <f>+'Estimate Details'!#REF!</f>
        <v>#REF!</v>
      </c>
      <c r="O648" s="162" t="e">
        <f>+'Estimate Details'!#REF!</f>
        <v>#REF!</v>
      </c>
      <c r="P648" s="163" t="e">
        <f>+'Estimate Details'!#REF!</f>
        <v>#REF!</v>
      </c>
      <c r="Q648" s="203" t="e">
        <f>+'Estimate Details'!#REF!</f>
        <v>#REF!</v>
      </c>
      <c r="R648" s="164" t="e">
        <f>+'Estimate Details'!#REF!</f>
        <v>#REF!</v>
      </c>
      <c r="S648" s="506"/>
      <c r="T648" s="164" t="e">
        <f>+'Estimate Details'!#REF!</f>
        <v>#REF!</v>
      </c>
      <c r="U648" s="481" t="s">
        <v>1309</v>
      </c>
      <c r="V648" s="163" t="e">
        <f>+'Estimate Details'!#REF!</f>
        <v>#REF!</v>
      </c>
      <c r="W648" s="481" t="s">
        <v>1309</v>
      </c>
      <c r="X648" s="163" t="e">
        <f>+'Estimate Details'!#REF!</f>
        <v>#REF!</v>
      </c>
      <c r="Y648" s="163" t="e">
        <f>+'Estimate Details'!#REF!</f>
        <v>#REF!</v>
      </c>
      <c r="Z648" s="164" t="e">
        <f>+'Estimate Details'!#REF!</f>
        <v>#REF!</v>
      </c>
      <c r="AA648" s="486"/>
      <c r="AB648" s="165" t="e">
        <f>+'Estimate Details'!#REF!</f>
        <v>#REF!</v>
      </c>
      <c r="AC648" s="568"/>
      <c r="AD648" s="176" t="e">
        <f>+'Estimate Details'!#REF!</f>
        <v>#REF!</v>
      </c>
      <c r="AE648" s="244"/>
      <c r="AF648" s="156"/>
      <c r="AG648" s="156"/>
      <c r="AH648" s="156"/>
      <c r="AI648" s="29"/>
      <c r="AJ648" s="29"/>
      <c r="AK648" s="29"/>
      <c r="AL648" s="29"/>
    </row>
    <row r="649" spans="1:38">
      <c r="A649" s="116" t="e">
        <f>+'Estimate Details'!#REF!</f>
        <v>#REF!</v>
      </c>
      <c r="B649" s="116"/>
      <c r="C649" s="116"/>
      <c r="D649" s="166"/>
      <c r="E649" s="158" t="e">
        <f>+'Estimate Details'!#REF!</f>
        <v>#REF!</v>
      </c>
      <c r="F649" s="41"/>
      <c r="G649" s="117" t="e">
        <f>+'Estimate Details'!#REF!</f>
        <v>#REF!</v>
      </c>
      <c r="H649" s="118" t="e">
        <f>+'Estimate Details'!#REF!</f>
        <v>#REF!</v>
      </c>
      <c r="I649" s="108" t="e">
        <f>+'Estimate Details'!#REF!</f>
        <v>#REF!</v>
      </c>
      <c r="J649" s="168" t="e">
        <f>+'Estimate Details'!#REF!</f>
        <v>#REF!</v>
      </c>
      <c r="K649" s="42" t="e">
        <f>+'Estimate Details'!#REF!</f>
        <v>#REF!</v>
      </c>
      <c r="L649" s="42" t="e">
        <f>+'Estimate Details'!#REF!</f>
        <v>#REF!</v>
      </c>
      <c r="M649" s="204" t="e">
        <f>+'Estimate Details'!#REF!</f>
        <v>#REF!</v>
      </c>
      <c r="N649" s="170" t="e">
        <f>+'Estimate Details'!#REF!</f>
        <v>#REF!</v>
      </c>
      <c r="O649" s="171" t="e">
        <f>+'Estimate Details'!#REF!</f>
        <v>#REF!</v>
      </c>
      <c r="P649" s="172" t="e">
        <f>+'Estimate Details'!#REF!</f>
        <v>#REF!</v>
      </c>
      <c r="Q649" s="173" t="e">
        <f>+'Estimate Details'!#REF!</f>
        <v>#REF!</v>
      </c>
      <c r="R649" s="174" t="e">
        <f>+'Estimate Details'!#REF!</f>
        <v>#REF!</v>
      </c>
      <c r="S649" s="507"/>
      <c r="T649" s="174" t="e">
        <f>+'Estimate Details'!#REF!</f>
        <v>#REF!</v>
      </c>
      <c r="U649" s="481" t="s">
        <v>1309</v>
      </c>
      <c r="V649" s="172" t="e">
        <f>+'Estimate Details'!#REF!</f>
        <v>#REF!</v>
      </c>
      <c r="W649" s="481" t="s">
        <v>1309</v>
      </c>
      <c r="X649" s="172" t="e">
        <f>+'Estimate Details'!#REF!</f>
        <v>#REF!</v>
      </c>
      <c r="Y649" s="172" t="e">
        <f>+'Estimate Details'!#REF!</f>
        <v>#REF!</v>
      </c>
      <c r="Z649" s="174" t="e">
        <f>+'Estimate Details'!#REF!</f>
        <v>#REF!</v>
      </c>
      <c r="AA649" s="481"/>
      <c r="AB649" s="175" t="e">
        <f>+'Estimate Details'!#REF!</f>
        <v>#REF!</v>
      </c>
      <c r="AC649" s="569"/>
      <c r="AD649" s="176" t="e">
        <f>+'Estimate Details'!#REF!</f>
        <v>#REF!</v>
      </c>
      <c r="AE649" s="156"/>
      <c r="AF649" s="156"/>
      <c r="AG649" s="156"/>
      <c r="AH649" s="156"/>
      <c r="AI649" s="29"/>
      <c r="AJ649" s="29"/>
      <c r="AK649" s="29"/>
      <c r="AL649" s="29"/>
    </row>
    <row r="650" spans="1:38">
      <c r="A650" s="116" t="e">
        <f>+'Estimate Details'!#REF!</f>
        <v>#REF!</v>
      </c>
      <c r="B650" s="116"/>
      <c r="C650" s="116"/>
      <c r="D650" s="166"/>
      <c r="E650" s="158" t="e">
        <f>+'Estimate Details'!#REF!</f>
        <v>#REF!</v>
      </c>
      <c r="F650" s="41"/>
      <c r="G650" s="117" t="e">
        <f>+'Estimate Details'!#REF!</f>
        <v>#REF!</v>
      </c>
      <c r="H650" s="118" t="e">
        <f>+'Estimate Details'!#REF!</f>
        <v>#REF!</v>
      </c>
      <c r="I650" s="108" t="e">
        <f>+'Estimate Details'!#REF!</f>
        <v>#REF!</v>
      </c>
      <c r="J650" s="168" t="e">
        <f>+'Estimate Details'!#REF!</f>
        <v>#REF!</v>
      </c>
      <c r="K650" s="42" t="e">
        <f>+'Estimate Details'!#REF!</f>
        <v>#REF!</v>
      </c>
      <c r="L650" s="42" t="e">
        <f>+'Estimate Details'!#REF!</f>
        <v>#REF!</v>
      </c>
      <c r="M650" s="204" t="e">
        <f>+'Estimate Details'!#REF!</f>
        <v>#REF!</v>
      </c>
      <c r="N650" s="170" t="e">
        <f>+'Estimate Details'!#REF!</f>
        <v>#REF!</v>
      </c>
      <c r="O650" s="171" t="e">
        <f>+'Estimate Details'!#REF!</f>
        <v>#REF!</v>
      </c>
      <c r="P650" s="172" t="e">
        <f>+'Estimate Details'!#REF!</f>
        <v>#REF!</v>
      </c>
      <c r="Q650" s="173" t="e">
        <f>+'Estimate Details'!#REF!</f>
        <v>#REF!</v>
      </c>
      <c r="R650" s="174" t="e">
        <f>+'Estimate Details'!#REF!</f>
        <v>#REF!</v>
      </c>
      <c r="S650" s="507"/>
      <c r="T650" s="174" t="e">
        <f>+'Estimate Details'!#REF!</f>
        <v>#REF!</v>
      </c>
      <c r="U650" s="481" t="s">
        <v>1309</v>
      </c>
      <c r="V650" s="172" t="e">
        <f>+'Estimate Details'!#REF!</f>
        <v>#REF!</v>
      </c>
      <c r="W650" s="481" t="s">
        <v>1309</v>
      </c>
      <c r="X650" s="172" t="e">
        <f>+'Estimate Details'!#REF!</f>
        <v>#REF!</v>
      </c>
      <c r="Y650" s="172" t="e">
        <f>+'Estimate Details'!#REF!</f>
        <v>#REF!</v>
      </c>
      <c r="Z650" s="174" t="e">
        <f>+'Estimate Details'!#REF!</f>
        <v>#REF!</v>
      </c>
      <c r="AA650" s="481"/>
      <c r="AB650" s="175" t="e">
        <f>+'Estimate Details'!#REF!</f>
        <v>#REF!</v>
      </c>
      <c r="AC650" s="569"/>
      <c r="AD650" s="176" t="e">
        <f>+'Estimate Details'!#REF!</f>
        <v>#REF!</v>
      </c>
      <c r="AE650" s="156"/>
      <c r="AF650" s="156"/>
      <c r="AG650" s="156"/>
      <c r="AH650" s="156"/>
      <c r="AI650" s="29"/>
      <c r="AJ650" s="29"/>
      <c r="AK650" s="29"/>
      <c r="AL650" s="29"/>
    </row>
    <row r="651" spans="1:38">
      <c r="A651" s="116" t="e">
        <f>+'Estimate Details'!#REF!</f>
        <v>#REF!</v>
      </c>
      <c r="B651" s="116"/>
      <c r="C651" s="116"/>
      <c r="D651" s="166"/>
      <c r="E651" s="158" t="e">
        <f>+'Estimate Details'!#REF!</f>
        <v>#REF!</v>
      </c>
      <c r="F651" s="41"/>
      <c r="G651" s="375" t="e">
        <f>+'Estimate Details'!#REF!</f>
        <v>#REF!</v>
      </c>
      <c r="H651" s="118" t="e">
        <f>+'Estimate Details'!#REF!</f>
        <v>#REF!</v>
      </c>
      <c r="I651" s="108" t="e">
        <f>+'Estimate Details'!#REF!</f>
        <v>#REF!</v>
      </c>
      <c r="J651" s="168" t="e">
        <f>+'Estimate Details'!#REF!</f>
        <v>#REF!</v>
      </c>
      <c r="K651" s="42" t="e">
        <f>+'Estimate Details'!#REF!</f>
        <v>#REF!</v>
      </c>
      <c r="L651" s="42" t="e">
        <f>+'Estimate Details'!#REF!</f>
        <v>#REF!</v>
      </c>
      <c r="M651" s="204" t="e">
        <f>+'Estimate Details'!#REF!</f>
        <v>#REF!</v>
      </c>
      <c r="N651" s="170" t="e">
        <f>+'Estimate Details'!#REF!</f>
        <v>#REF!</v>
      </c>
      <c r="O651" s="171" t="e">
        <f>+'Estimate Details'!#REF!</f>
        <v>#REF!</v>
      </c>
      <c r="P651" s="172" t="e">
        <f>+'Estimate Details'!#REF!</f>
        <v>#REF!</v>
      </c>
      <c r="Q651" s="173" t="e">
        <f>+'Estimate Details'!#REF!</f>
        <v>#REF!</v>
      </c>
      <c r="R651" s="174" t="e">
        <f>+'Estimate Details'!#REF!</f>
        <v>#REF!</v>
      </c>
      <c r="S651" s="507"/>
      <c r="T651" s="174" t="e">
        <f>+'Estimate Details'!#REF!</f>
        <v>#REF!</v>
      </c>
      <c r="U651" s="481" t="s">
        <v>1309</v>
      </c>
      <c r="V651" s="172" t="e">
        <f>+'Estimate Details'!#REF!</f>
        <v>#REF!</v>
      </c>
      <c r="W651" s="481" t="s">
        <v>1309</v>
      </c>
      <c r="X651" s="172" t="e">
        <f>+'Estimate Details'!#REF!</f>
        <v>#REF!</v>
      </c>
      <c r="Y651" s="172" t="e">
        <f>+'Estimate Details'!#REF!</f>
        <v>#REF!</v>
      </c>
      <c r="Z651" s="174" t="e">
        <f>+'Estimate Details'!#REF!</f>
        <v>#REF!</v>
      </c>
      <c r="AA651" s="481"/>
      <c r="AB651" s="175" t="e">
        <f>+'Estimate Details'!#REF!</f>
        <v>#REF!</v>
      </c>
      <c r="AC651" s="569"/>
      <c r="AD651" s="176" t="e">
        <f>+'Estimate Details'!#REF!</f>
        <v>#REF!</v>
      </c>
      <c r="AE651" s="156"/>
      <c r="AF651" s="156"/>
      <c r="AG651" s="156"/>
      <c r="AH651" s="156"/>
      <c r="AI651" s="29"/>
      <c r="AJ651" s="29"/>
      <c r="AK651" s="29"/>
      <c r="AL651" s="29"/>
    </row>
    <row r="652" spans="1:38" ht="13.5" customHeight="1">
      <c r="A652" s="116" t="e">
        <f>+'Estimate Details'!#REF!</f>
        <v>#REF!</v>
      </c>
      <c r="B652" s="116"/>
      <c r="C652" s="116"/>
      <c r="D652" s="166"/>
      <c r="E652" s="158" t="e">
        <f>+'Estimate Details'!#REF!</f>
        <v>#REF!</v>
      </c>
      <c r="F652" s="41"/>
      <c r="G652" s="117" t="e">
        <f>+'Estimate Details'!#REF!</f>
        <v>#REF!</v>
      </c>
      <c r="H652" s="118" t="e">
        <f>+'Estimate Details'!#REF!</f>
        <v>#REF!</v>
      </c>
      <c r="I652" s="108" t="e">
        <f>+'Estimate Details'!#REF!</f>
        <v>#REF!</v>
      </c>
      <c r="J652" s="168" t="e">
        <f>+'Estimate Details'!#REF!</f>
        <v>#REF!</v>
      </c>
      <c r="K652" s="42" t="e">
        <f>+'Estimate Details'!#REF!</f>
        <v>#REF!</v>
      </c>
      <c r="L652" s="42" t="e">
        <f>+'Estimate Details'!#REF!</f>
        <v>#REF!</v>
      </c>
      <c r="M652" s="204" t="e">
        <f>+'Estimate Details'!#REF!</f>
        <v>#REF!</v>
      </c>
      <c r="N652" s="170" t="e">
        <f>+'Estimate Details'!#REF!</f>
        <v>#REF!</v>
      </c>
      <c r="O652" s="171" t="e">
        <f>+'Estimate Details'!#REF!</f>
        <v>#REF!</v>
      </c>
      <c r="P652" s="172" t="e">
        <f>+'Estimate Details'!#REF!</f>
        <v>#REF!</v>
      </c>
      <c r="Q652" s="173" t="e">
        <f>+'Estimate Details'!#REF!</f>
        <v>#REF!</v>
      </c>
      <c r="R652" s="174" t="e">
        <f>+'Estimate Details'!#REF!</f>
        <v>#REF!</v>
      </c>
      <c r="S652" s="507"/>
      <c r="T652" s="174" t="e">
        <f>+'Estimate Details'!#REF!</f>
        <v>#REF!</v>
      </c>
      <c r="U652" s="481" t="s">
        <v>1309</v>
      </c>
      <c r="V652" s="172" t="e">
        <f>+'Estimate Details'!#REF!</f>
        <v>#REF!</v>
      </c>
      <c r="W652" s="481" t="s">
        <v>1309</v>
      </c>
      <c r="X652" s="172" t="e">
        <f>+'Estimate Details'!#REF!</f>
        <v>#REF!</v>
      </c>
      <c r="Y652" s="172" t="e">
        <f>+'Estimate Details'!#REF!</f>
        <v>#REF!</v>
      </c>
      <c r="Z652" s="174" t="e">
        <f>+'Estimate Details'!#REF!</f>
        <v>#REF!</v>
      </c>
      <c r="AA652" s="481"/>
      <c r="AB652" s="175" t="e">
        <f>+'Estimate Details'!#REF!</f>
        <v>#REF!</v>
      </c>
      <c r="AC652" s="569"/>
      <c r="AD652" s="176" t="e">
        <f>+'Estimate Details'!#REF!</f>
        <v>#REF!</v>
      </c>
      <c r="AE652" s="156"/>
      <c r="AF652" s="156"/>
      <c r="AG652" s="156"/>
      <c r="AH652" s="156"/>
      <c r="AI652" s="29"/>
      <c r="AJ652" s="29"/>
      <c r="AK652" s="29"/>
      <c r="AL652" s="29"/>
    </row>
    <row r="653" spans="1:38" ht="13.5" customHeight="1">
      <c r="A653" s="116" t="e">
        <f>+'Estimate Details'!#REF!</f>
        <v>#REF!</v>
      </c>
      <c r="B653" s="116"/>
      <c r="C653" s="116"/>
      <c r="D653" s="166"/>
      <c r="E653" s="158" t="e">
        <f>+'Estimate Details'!#REF!</f>
        <v>#REF!</v>
      </c>
      <c r="F653" s="41"/>
      <c r="G653" s="117" t="e">
        <f>+'Estimate Details'!#REF!</f>
        <v>#REF!</v>
      </c>
      <c r="H653" s="118" t="e">
        <f>+'Estimate Details'!#REF!</f>
        <v>#REF!</v>
      </c>
      <c r="I653" s="108" t="e">
        <f>+'Estimate Details'!#REF!</f>
        <v>#REF!</v>
      </c>
      <c r="J653" s="168" t="e">
        <f>+'Estimate Details'!#REF!</f>
        <v>#REF!</v>
      </c>
      <c r="K653" s="42" t="e">
        <f>+'Estimate Details'!#REF!</f>
        <v>#REF!</v>
      </c>
      <c r="L653" s="42" t="e">
        <f>+'Estimate Details'!#REF!</f>
        <v>#REF!</v>
      </c>
      <c r="M653" s="204" t="e">
        <f>+'Estimate Details'!#REF!</f>
        <v>#REF!</v>
      </c>
      <c r="N653" s="170" t="e">
        <f>+'Estimate Details'!#REF!</f>
        <v>#REF!</v>
      </c>
      <c r="O653" s="171" t="e">
        <f>+'Estimate Details'!#REF!</f>
        <v>#REF!</v>
      </c>
      <c r="P653" s="172" t="e">
        <f>+'Estimate Details'!#REF!</f>
        <v>#REF!</v>
      </c>
      <c r="Q653" s="173" t="e">
        <f>+'Estimate Details'!#REF!</f>
        <v>#REF!</v>
      </c>
      <c r="R653" s="174" t="e">
        <f>+'Estimate Details'!#REF!</f>
        <v>#REF!</v>
      </c>
      <c r="S653" s="507"/>
      <c r="T653" s="174" t="e">
        <f>+'Estimate Details'!#REF!</f>
        <v>#REF!</v>
      </c>
      <c r="U653" s="481" t="s">
        <v>1309</v>
      </c>
      <c r="V653" s="172" t="e">
        <f>+'Estimate Details'!#REF!</f>
        <v>#REF!</v>
      </c>
      <c r="W653" s="481" t="s">
        <v>1309</v>
      </c>
      <c r="X653" s="172" t="e">
        <f>+'Estimate Details'!#REF!</f>
        <v>#REF!</v>
      </c>
      <c r="Y653" s="172" t="e">
        <f>+'Estimate Details'!#REF!</f>
        <v>#REF!</v>
      </c>
      <c r="Z653" s="174" t="e">
        <f>+'Estimate Details'!#REF!</f>
        <v>#REF!</v>
      </c>
      <c r="AA653" s="481"/>
      <c r="AB653" s="175" t="e">
        <f>+'Estimate Details'!#REF!</f>
        <v>#REF!</v>
      </c>
      <c r="AC653" s="569"/>
      <c r="AD653" s="176" t="e">
        <f>+'Estimate Details'!#REF!</f>
        <v>#REF!</v>
      </c>
      <c r="AE653" s="156"/>
      <c r="AF653" s="372"/>
      <c r="AG653" s="156"/>
      <c r="AH653" s="156"/>
      <c r="AI653" s="29"/>
      <c r="AJ653" s="29"/>
      <c r="AK653" s="29"/>
      <c r="AL653" s="29"/>
    </row>
    <row r="654" spans="1:38" ht="13.5" customHeight="1">
      <c r="A654" s="116" t="e">
        <f>+'Estimate Details'!#REF!</f>
        <v>#REF!</v>
      </c>
      <c r="B654" s="116"/>
      <c r="C654" s="116"/>
      <c r="D654" s="166"/>
      <c r="E654" s="158" t="e">
        <f>+'Estimate Details'!#REF!</f>
        <v>#REF!</v>
      </c>
      <c r="F654" s="41"/>
      <c r="G654" s="117" t="e">
        <f>+'Estimate Details'!#REF!</f>
        <v>#REF!</v>
      </c>
      <c r="H654" s="118" t="e">
        <f>+'Estimate Details'!#REF!</f>
        <v>#REF!</v>
      </c>
      <c r="I654" s="108" t="e">
        <f>+'Estimate Details'!#REF!</f>
        <v>#REF!</v>
      </c>
      <c r="J654" s="168" t="e">
        <f>+'Estimate Details'!#REF!</f>
        <v>#REF!</v>
      </c>
      <c r="K654" s="42" t="e">
        <f>+'Estimate Details'!#REF!</f>
        <v>#REF!</v>
      </c>
      <c r="L654" s="42" t="e">
        <f>+'Estimate Details'!#REF!</f>
        <v>#REF!</v>
      </c>
      <c r="M654" s="204" t="e">
        <f>+'Estimate Details'!#REF!</f>
        <v>#REF!</v>
      </c>
      <c r="N654" s="170" t="e">
        <f>+'Estimate Details'!#REF!</f>
        <v>#REF!</v>
      </c>
      <c r="O654" s="171" t="e">
        <f>+'Estimate Details'!#REF!</f>
        <v>#REF!</v>
      </c>
      <c r="P654" s="172" t="e">
        <f>+'Estimate Details'!#REF!</f>
        <v>#REF!</v>
      </c>
      <c r="Q654" s="173" t="e">
        <f>+'Estimate Details'!#REF!</f>
        <v>#REF!</v>
      </c>
      <c r="R654" s="174" t="e">
        <f>+'Estimate Details'!#REF!</f>
        <v>#REF!</v>
      </c>
      <c r="S654" s="507"/>
      <c r="T654" s="174" t="e">
        <f>+'Estimate Details'!#REF!</f>
        <v>#REF!</v>
      </c>
      <c r="U654" s="481" t="s">
        <v>1309</v>
      </c>
      <c r="V654" s="172" t="e">
        <f>+'Estimate Details'!#REF!</f>
        <v>#REF!</v>
      </c>
      <c r="W654" s="481" t="s">
        <v>1309</v>
      </c>
      <c r="X654" s="172" t="e">
        <f>+'Estimate Details'!#REF!</f>
        <v>#REF!</v>
      </c>
      <c r="Y654" s="172" t="e">
        <f>+'Estimate Details'!#REF!</f>
        <v>#REF!</v>
      </c>
      <c r="Z654" s="174" t="e">
        <f>+'Estimate Details'!#REF!</f>
        <v>#REF!</v>
      </c>
      <c r="AA654" s="481"/>
      <c r="AB654" s="175" t="e">
        <f>+'Estimate Details'!#REF!</f>
        <v>#REF!</v>
      </c>
      <c r="AC654" s="569"/>
      <c r="AD654" s="181" t="e">
        <f>+'Estimate Details'!#REF!</f>
        <v>#REF!</v>
      </c>
      <c r="AE654" s="156"/>
      <c r="AF654" s="372"/>
      <c r="AG654" s="156"/>
      <c r="AH654" s="156"/>
      <c r="AI654" s="29"/>
      <c r="AJ654" s="29"/>
      <c r="AK654" s="29"/>
      <c r="AL654" s="29"/>
    </row>
    <row r="655" spans="1:38" ht="13.5" customHeight="1">
      <c r="A655" s="116" t="e">
        <f>+'Estimate Details'!#REF!</f>
        <v>#REF!</v>
      </c>
      <c r="B655" s="116"/>
      <c r="C655" s="116"/>
      <c r="D655" s="166"/>
      <c r="E655" s="158" t="e">
        <f>+'Estimate Details'!#REF!</f>
        <v>#REF!</v>
      </c>
      <c r="F655" s="41"/>
      <c r="G655" s="117" t="e">
        <f>+'Estimate Details'!#REF!</f>
        <v>#REF!</v>
      </c>
      <c r="H655" s="118" t="e">
        <f>+'Estimate Details'!#REF!</f>
        <v>#REF!</v>
      </c>
      <c r="I655" s="108" t="e">
        <f>+'Estimate Details'!#REF!</f>
        <v>#REF!</v>
      </c>
      <c r="J655" s="168" t="e">
        <f>+'Estimate Details'!#REF!</f>
        <v>#REF!</v>
      </c>
      <c r="K655" s="42" t="e">
        <f>+'Estimate Details'!#REF!</f>
        <v>#REF!</v>
      </c>
      <c r="L655" s="42" t="e">
        <f>+'Estimate Details'!#REF!</f>
        <v>#REF!</v>
      </c>
      <c r="M655" s="204" t="e">
        <f>+'Estimate Details'!#REF!</f>
        <v>#REF!</v>
      </c>
      <c r="N655" s="170" t="e">
        <f>+'Estimate Details'!#REF!</f>
        <v>#REF!</v>
      </c>
      <c r="O655" s="171" t="e">
        <f>+'Estimate Details'!#REF!</f>
        <v>#REF!</v>
      </c>
      <c r="P655" s="172" t="e">
        <f>+'Estimate Details'!#REF!</f>
        <v>#REF!</v>
      </c>
      <c r="Q655" s="173" t="e">
        <f>+'Estimate Details'!#REF!</f>
        <v>#REF!</v>
      </c>
      <c r="R655" s="174" t="e">
        <f>+'Estimate Details'!#REF!</f>
        <v>#REF!</v>
      </c>
      <c r="S655" s="507"/>
      <c r="T655" s="174" t="e">
        <f>+'Estimate Details'!#REF!</f>
        <v>#REF!</v>
      </c>
      <c r="U655" s="481" t="s">
        <v>1309</v>
      </c>
      <c r="V655" s="172" t="e">
        <f>+'Estimate Details'!#REF!</f>
        <v>#REF!</v>
      </c>
      <c r="W655" s="481" t="s">
        <v>1309</v>
      </c>
      <c r="X655" s="172" t="e">
        <f>+'Estimate Details'!#REF!</f>
        <v>#REF!</v>
      </c>
      <c r="Y655" s="172" t="e">
        <f>+'Estimate Details'!#REF!</f>
        <v>#REF!</v>
      </c>
      <c r="Z655" s="174" t="e">
        <f>+'Estimate Details'!#REF!</f>
        <v>#REF!</v>
      </c>
      <c r="AA655" s="481"/>
      <c r="AB655" s="175" t="e">
        <f>+'Estimate Details'!#REF!</f>
        <v>#REF!</v>
      </c>
      <c r="AC655" s="569"/>
      <c r="AD655" s="176" t="e">
        <f>+'Estimate Details'!#REF!</f>
        <v>#REF!</v>
      </c>
      <c r="AE655" s="156"/>
      <c r="AF655" s="372"/>
      <c r="AG655" s="156"/>
      <c r="AH655" s="156"/>
      <c r="AI655" s="29"/>
      <c r="AJ655" s="29"/>
      <c r="AK655" s="29"/>
      <c r="AL655" s="29"/>
    </row>
    <row r="656" spans="1:38" ht="13.5" customHeight="1">
      <c r="A656" s="116" t="e">
        <f>+'Estimate Details'!#REF!</f>
        <v>#REF!</v>
      </c>
      <c r="B656" s="116"/>
      <c r="C656" s="116"/>
      <c r="D656" s="166"/>
      <c r="E656" s="158" t="e">
        <f>+'Estimate Details'!#REF!</f>
        <v>#REF!</v>
      </c>
      <c r="F656" s="41"/>
      <c r="G656" s="117" t="e">
        <f>+'Estimate Details'!#REF!</f>
        <v>#REF!</v>
      </c>
      <c r="H656" s="118" t="e">
        <f>+'Estimate Details'!#REF!</f>
        <v>#REF!</v>
      </c>
      <c r="I656" s="108" t="e">
        <f>+'Estimate Details'!#REF!</f>
        <v>#REF!</v>
      </c>
      <c r="J656" s="168" t="e">
        <f>+'Estimate Details'!#REF!</f>
        <v>#REF!</v>
      </c>
      <c r="K656" s="42" t="e">
        <f>+'Estimate Details'!#REF!</f>
        <v>#REF!</v>
      </c>
      <c r="L656" s="42" t="e">
        <f>+'Estimate Details'!#REF!</f>
        <v>#REF!</v>
      </c>
      <c r="M656" s="204" t="e">
        <f>+'Estimate Details'!#REF!</f>
        <v>#REF!</v>
      </c>
      <c r="N656" s="170" t="e">
        <f>+'Estimate Details'!#REF!</f>
        <v>#REF!</v>
      </c>
      <c r="O656" s="171" t="e">
        <f>+'Estimate Details'!#REF!</f>
        <v>#REF!</v>
      </c>
      <c r="P656" s="172" t="e">
        <f>+'Estimate Details'!#REF!</f>
        <v>#REF!</v>
      </c>
      <c r="Q656" s="173" t="e">
        <f>+'Estimate Details'!#REF!</f>
        <v>#REF!</v>
      </c>
      <c r="R656" s="174" t="e">
        <f>+'Estimate Details'!#REF!</f>
        <v>#REF!</v>
      </c>
      <c r="S656" s="507"/>
      <c r="T656" s="174" t="e">
        <f>+'Estimate Details'!#REF!</f>
        <v>#REF!</v>
      </c>
      <c r="U656" s="481" t="s">
        <v>1309</v>
      </c>
      <c r="V656" s="172" t="e">
        <f>+'Estimate Details'!#REF!</f>
        <v>#REF!</v>
      </c>
      <c r="W656" s="481" t="s">
        <v>1309</v>
      </c>
      <c r="X656" s="172" t="e">
        <f>+'Estimate Details'!#REF!</f>
        <v>#REF!</v>
      </c>
      <c r="Y656" s="172" t="e">
        <f>+'Estimate Details'!#REF!</f>
        <v>#REF!</v>
      </c>
      <c r="Z656" s="174" t="e">
        <f>+'Estimate Details'!#REF!</f>
        <v>#REF!</v>
      </c>
      <c r="AA656" s="481"/>
      <c r="AB656" s="175" t="e">
        <f>+'Estimate Details'!#REF!</f>
        <v>#REF!</v>
      </c>
      <c r="AC656" s="569"/>
      <c r="AD656" s="176" t="e">
        <f>+'Estimate Details'!#REF!</f>
        <v>#REF!</v>
      </c>
      <c r="AE656" s="156"/>
      <c r="AF656" s="156"/>
      <c r="AG656" s="156"/>
      <c r="AH656" s="156"/>
      <c r="AI656" s="29"/>
      <c r="AJ656" s="29"/>
      <c r="AK656" s="29"/>
      <c r="AL656" s="29"/>
    </row>
    <row r="657" spans="1:38" ht="13.5" customHeight="1">
      <c r="A657" s="116" t="e">
        <f>+'Estimate Details'!#REF!</f>
        <v>#REF!</v>
      </c>
      <c r="B657" s="116"/>
      <c r="C657" s="116"/>
      <c r="D657" s="166"/>
      <c r="E657" s="158" t="e">
        <f>+'Estimate Details'!#REF!</f>
        <v>#REF!</v>
      </c>
      <c r="F657" s="41"/>
      <c r="G657" s="117" t="e">
        <f>+'Estimate Details'!#REF!</f>
        <v>#REF!</v>
      </c>
      <c r="H657" s="118" t="e">
        <f>+'Estimate Details'!#REF!</f>
        <v>#REF!</v>
      </c>
      <c r="I657" s="108" t="e">
        <f>+'Estimate Details'!#REF!</f>
        <v>#REF!</v>
      </c>
      <c r="J657" s="168" t="e">
        <f>+'Estimate Details'!#REF!</f>
        <v>#REF!</v>
      </c>
      <c r="K657" s="42" t="e">
        <f>+'Estimate Details'!#REF!</f>
        <v>#REF!</v>
      </c>
      <c r="L657" s="42" t="e">
        <f>+'Estimate Details'!#REF!</f>
        <v>#REF!</v>
      </c>
      <c r="M657" s="204" t="e">
        <f>+'Estimate Details'!#REF!</f>
        <v>#REF!</v>
      </c>
      <c r="N657" s="170" t="e">
        <f>+'Estimate Details'!#REF!</f>
        <v>#REF!</v>
      </c>
      <c r="O657" s="171" t="e">
        <f>+'Estimate Details'!#REF!</f>
        <v>#REF!</v>
      </c>
      <c r="P657" s="172" t="e">
        <f>+'Estimate Details'!#REF!</f>
        <v>#REF!</v>
      </c>
      <c r="Q657" s="173" t="e">
        <f>+'Estimate Details'!#REF!</f>
        <v>#REF!</v>
      </c>
      <c r="R657" s="174" t="e">
        <f>+'Estimate Details'!#REF!</f>
        <v>#REF!</v>
      </c>
      <c r="S657" s="507"/>
      <c r="T657" s="174" t="e">
        <f>+'Estimate Details'!#REF!</f>
        <v>#REF!</v>
      </c>
      <c r="U657" s="481" t="s">
        <v>1309</v>
      </c>
      <c r="V657" s="172" t="e">
        <f>+'Estimate Details'!#REF!</f>
        <v>#REF!</v>
      </c>
      <c r="W657" s="481" t="s">
        <v>1309</v>
      </c>
      <c r="X657" s="172" t="e">
        <f>+'Estimate Details'!#REF!</f>
        <v>#REF!</v>
      </c>
      <c r="Y657" s="172" t="e">
        <f>+'Estimate Details'!#REF!</f>
        <v>#REF!</v>
      </c>
      <c r="Z657" s="174" t="e">
        <f>+'Estimate Details'!#REF!</f>
        <v>#REF!</v>
      </c>
      <c r="AA657" s="481"/>
      <c r="AB657" s="175" t="e">
        <f>+'Estimate Details'!#REF!</f>
        <v>#REF!</v>
      </c>
      <c r="AC657" s="569"/>
      <c r="AD657" s="176" t="e">
        <f>+'Estimate Details'!#REF!</f>
        <v>#REF!</v>
      </c>
      <c r="AE657" s="156"/>
      <c r="AF657" s="372"/>
      <c r="AG657" s="156"/>
      <c r="AH657" s="156"/>
      <c r="AI657" s="29"/>
      <c r="AJ657" s="29"/>
      <c r="AK657" s="29"/>
      <c r="AL657" s="29"/>
    </row>
    <row r="658" spans="1:38" ht="13.5" customHeight="1">
      <c r="A658" s="116" t="e">
        <f>+'Estimate Details'!#REF!</f>
        <v>#REF!</v>
      </c>
      <c r="B658" s="116"/>
      <c r="C658" s="116"/>
      <c r="D658" s="166"/>
      <c r="E658" s="158" t="e">
        <f>+'Estimate Details'!#REF!</f>
        <v>#REF!</v>
      </c>
      <c r="F658" s="41"/>
      <c r="G658" s="117" t="e">
        <f>+'Estimate Details'!#REF!</f>
        <v>#REF!</v>
      </c>
      <c r="H658" s="118" t="e">
        <f>+'Estimate Details'!#REF!</f>
        <v>#REF!</v>
      </c>
      <c r="I658" s="108" t="e">
        <f>+'Estimate Details'!#REF!</f>
        <v>#REF!</v>
      </c>
      <c r="J658" s="168" t="e">
        <f>+'Estimate Details'!#REF!</f>
        <v>#REF!</v>
      </c>
      <c r="K658" s="42" t="e">
        <f>+'Estimate Details'!#REF!</f>
        <v>#REF!</v>
      </c>
      <c r="L658" s="42" t="e">
        <f>+'Estimate Details'!#REF!</f>
        <v>#REF!</v>
      </c>
      <c r="M658" s="204" t="e">
        <f>+'Estimate Details'!#REF!</f>
        <v>#REF!</v>
      </c>
      <c r="N658" s="170" t="e">
        <f>+'Estimate Details'!#REF!</f>
        <v>#REF!</v>
      </c>
      <c r="O658" s="171" t="e">
        <f>+'Estimate Details'!#REF!</f>
        <v>#REF!</v>
      </c>
      <c r="P658" s="172" t="e">
        <f>+'Estimate Details'!#REF!</f>
        <v>#REF!</v>
      </c>
      <c r="Q658" s="173" t="e">
        <f>+'Estimate Details'!#REF!</f>
        <v>#REF!</v>
      </c>
      <c r="R658" s="174" t="e">
        <f>+'Estimate Details'!#REF!</f>
        <v>#REF!</v>
      </c>
      <c r="S658" s="507"/>
      <c r="T658" s="174" t="e">
        <f>+'Estimate Details'!#REF!</f>
        <v>#REF!</v>
      </c>
      <c r="U658" s="481" t="s">
        <v>1309</v>
      </c>
      <c r="V658" s="172" t="e">
        <f>+'Estimate Details'!#REF!</f>
        <v>#REF!</v>
      </c>
      <c r="W658" s="481" t="s">
        <v>1309</v>
      </c>
      <c r="X658" s="172" t="e">
        <f>+'Estimate Details'!#REF!</f>
        <v>#REF!</v>
      </c>
      <c r="Y658" s="172" t="e">
        <f>+'Estimate Details'!#REF!</f>
        <v>#REF!</v>
      </c>
      <c r="Z658" s="174" t="e">
        <f>+'Estimate Details'!#REF!</f>
        <v>#REF!</v>
      </c>
      <c r="AA658" s="481"/>
      <c r="AB658" s="175" t="e">
        <f>+'Estimate Details'!#REF!</f>
        <v>#REF!</v>
      </c>
      <c r="AC658" s="569"/>
      <c r="AD658" s="176" t="e">
        <f>+'Estimate Details'!#REF!</f>
        <v>#REF!</v>
      </c>
      <c r="AE658" s="156"/>
      <c r="AF658" s="372"/>
      <c r="AG658" s="156"/>
      <c r="AH658" s="156"/>
      <c r="AI658" s="29"/>
      <c r="AJ658" s="29"/>
      <c r="AK658" s="29"/>
      <c r="AL658" s="29"/>
    </row>
    <row r="659" spans="1:38" ht="13.5" customHeight="1">
      <c r="A659" s="116" t="e">
        <f>+'Estimate Details'!#REF!</f>
        <v>#REF!</v>
      </c>
      <c r="B659" s="116"/>
      <c r="C659" s="116"/>
      <c r="D659" s="166"/>
      <c r="E659" s="158" t="e">
        <f>+'Estimate Details'!#REF!</f>
        <v>#REF!</v>
      </c>
      <c r="F659" s="41"/>
      <c r="G659" s="117" t="e">
        <f>+'Estimate Details'!#REF!</f>
        <v>#REF!</v>
      </c>
      <c r="H659" s="118" t="e">
        <f>+'Estimate Details'!#REF!</f>
        <v>#REF!</v>
      </c>
      <c r="I659" s="108" t="e">
        <f>+'Estimate Details'!#REF!</f>
        <v>#REF!</v>
      </c>
      <c r="J659" s="168" t="e">
        <f>+'Estimate Details'!#REF!</f>
        <v>#REF!</v>
      </c>
      <c r="K659" s="42" t="e">
        <f>+'Estimate Details'!#REF!</f>
        <v>#REF!</v>
      </c>
      <c r="L659" s="42" t="e">
        <f>+'Estimate Details'!#REF!</f>
        <v>#REF!</v>
      </c>
      <c r="M659" s="204" t="e">
        <f>+'Estimate Details'!#REF!</f>
        <v>#REF!</v>
      </c>
      <c r="N659" s="170" t="e">
        <f>+'Estimate Details'!#REF!</f>
        <v>#REF!</v>
      </c>
      <c r="O659" s="171" t="e">
        <f>+'Estimate Details'!#REF!</f>
        <v>#REF!</v>
      </c>
      <c r="P659" s="172" t="e">
        <f>+'Estimate Details'!#REF!</f>
        <v>#REF!</v>
      </c>
      <c r="Q659" s="173" t="e">
        <f>+'Estimate Details'!#REF!</f>
        <v>#REF!</v>
      </c>
      <c r="R659" s="174" t="e">
        <f>+'Estimate Details'!#REF!</f>
        <v>#REF!</v>
      </c>
      <c r="S659" s="507"/>
      <c r="T659" s="174" t="e">
        <f>+'Estimate Details'!#REF!</f>
        <v>#REF!</v>
      </c>
      <c r="U659" s="481" t="s">
        <v>1309</v>
      </c>
      <c r="V659" s="172" t="e">
        <f>+'Estimate Details'!#REF!</f>
        <v>#REF!</v>
      </c>
      <c r="W659" s="481" t="s">
        <v>1309</v>
      </c>
      <c r="X659" s="172" t="e">
        <f>+'Estimate Details'!#REF!</f>
        <v>#REF!</v>
      </c>
      <c r="Y659" s="172" t="e">
        <f>+'Estimate Details'!#REF!</f>
        <v>#REF!</v>
      </c>
      <c r="Z659" s="174" t="e">
        <f>+'Estimate Details'!#REF!</f>
        <v>#REF!</v>
      </c>
      <c r="AA659" s="481"/>
      <c r="AB659" s="175" t="e">
        <f>+'Estimate Details'!#REF!</f>
        <v>#REF!</v>
      </c>
      <c r="AC659" s="569"/>
      <c r="AD659" s="176" t="e">
        <f>+'Estimate Details'!#REF!</f>
        <v>#REF!</v>
      </c>
      <c r="AE659" s="156"/>
      <c r="AF659" s="372"/>
      <c r="AG659" s="156"/>
      <c r="AH659" s="156"/>
      <c r="AI659" s="29"/>
      <c r="AJ659" s="29"/>
      <c r="AK659" s="29"/>
      <c r="AL659" s="29"/>
    </row>
    <row r="660" spans="1:38" ht="13.5" customHeight="1">
      <c r="A660" s="116" t="e">
        <f>+'Estimate Details'!#REF!</f>
        <v>#REF!</v>
      </c>
      <c r="B660" s="116"/>
      <c r="C660" s="116"/>
      <c r="D660" s="166"/>
      <c r="E660" s="158" t="e">
        <f>+'Estimate Details'!#REF!</f>
        <v>#REF!</v>
      </c>
      <c r="F660" s="41"/>
      <c r="G660" s="117" t="e">
        <f>+'Estimate Details'!#REF!</f>
        <v>#REF!</v>
      </c>
      <c r="H660" s="118" t="e">
        <f>+'Estimate Details'!#REF!</f>
        <v>#REF!</v>
      </c>
      <c r="I660" s="108" t="e">
        <f>+'Estimate Details'!#REF!</f>
        <v>#REF!</v>
      </c>
      <c r="J660" s="168" t="e">
        <f>+'Estimate Details'!#REF!</f>
        <v>#REF!</v>
      </c>
      <c r="K660" s="42" t="e">
        <f>+'Estimate Details'!#REF!</f>
        <v>#REF!</v>
      </c>
      <c r="L660" s="42" t="e">
        <f>+'Estimate Details'!#REF!</f>
        <v>#REF!</v>
      </c>
      <c r="M660" s="204" t="e">
        <f>+'Estimate Details'!#REF!</f>
        <v>#REF!</v>
      </c>
      <c r="N660" s="170" t="e">
        <f>+'Estimate Details'!#REF!</f>
        <v>#REF!</v>
      </c>
      <c r="O660" s="171" t="e">
        <f>+'Estimate Details'!#REF!</f>
        <v>#REF!</v>
      </c>
      <c r="P660" s="172" t="e">
        <f>+'Estimate Details'!#REF!</f>
        <v>#REF!</v>
      </c>
      <c r="Q660" s="173" t="e">
        <f>+'Estimate Details'!#REF!</f>
        <v>#REF!</v>
      </c>
      <c r="R660" s="174" t="e">
        <f>+'Estimate Details'!#REF!</f>
        <v>#REF!</v>
      </c>
      <c r="S660" s="507"/>
      <c r="T660" s="174" t="e">
        <f>+'Estimate Details'!#REF!</f>
        <v>#REF!</v>
      </c>
      <c r="U660" s="481" t="s">
        <v>1309</v>
      </c>
      <c r="V660" s="172" t="e">
        <f>+'Estimate Details'!#REF!</f>
        <v>#REF!</v>
      </c>
      <c r="W660" s="481" t="s">
        <v>1309</v>
      </c>
      <c r="X660" s="172" t="e">
        <f>+'Estimate Details'!#REF!</f>
        <v>#REF!</v>
      </c>
      <c r="Y660" s="172" t="e">
        <f>+'Estimate Details'!#REF!</f>
        <v>#REF!</v>
      </c>
      <c r="Z660" s="174" t="e">
        <f>+'Estimate Details'!#REF!</f>
        <v>#REF!</v>
      </c>
      <c r="AA660" s="481"/>
      <c r="AB660" s="175" t="e">
        <f>+'Estimate Details'!#REF!</f>
        <v>#REF!</v>
      </c>
      <c r="AC660" s="569"/>
      <c r="AD660" s="176" t="e">
        <f>+'Estimate Details'!#REF!</f>
        <v>#REF!</v>
      </c>
      <c r="AE660" s="156"/>
      <c r="AF660" s="372"/>
      <c r="AG660" s="156"/>
      <c r="AH660" s="156"/>
      <c r="AI660" s="29"/>
      <c r="AJ660" s="29"/>
      <c r="AK660" s="29"/>
      <c r="AL660" s="29"/>
    </row>
    <row r="661" spans="1:38" ht="13.5" customHeight="1">
      <c r="A661" s="116" t="e">
        <f>+'Estimate Details'!#REF!</f>
        <v>#REF!</v>
      </c>
      <c r="B661" s="116"/>
      <c r="C661" s="116"/>
      <c r="D661" s="166"/>
      <c r="E661" s="158" t="e">
        <f>+'Estimate Details'!#REF!</f>
        <v>#REF!</v>
      </c>
      <c r="F661" s="41"/>
      <c r="G661" s="117" t="e">
        <f>+'Estimate Details'!#REF!</f>
        <v>#REF!</v>
      </c>
      <c r="H661" s="118" t="e">
        <f>+'Estimate Details'!#REF!</f>
        <v>#REF!</v>
      </c>
      <c r="I661" s="108" t="e">
        <f>+'Estimate Details'!#REF!</f>
        <v>#REF!</v>
      </c>
      <c r="J661" s="168" t="e">
        <f>+'Estimate Details'!#REF!</f>
        <v>#REF!</v>
      </c>
      <c r="K661" s="42" t="e">
        <f>+'Estimate Details'!#REF!</f>
        <v>#REF!</v>
      </c>
      <c r="L661" s="42" t="e">
        <f>+'Estimate Details'!#REF!</f>
        <v>#REF!</v>
      </c>
      <c r="M661" s="204" t="e">
        <f>+'Estimate Details'!#REF!</f>
        <v>#REF!</v>
      </c>
      <c r="N661" s="170" t="e">
        <f>+'Estimate Details'!#REF!</f>
        <v>#REF!</v>
      </c>
      <c r="O661" s="171" t="e">
        <f>+'Estimate Details'!#REF!</f>
        <v>#REF!</v>
      </c>
      <c r="P661" s="172" t="e">
        <f>+'Estimate Details'!#REF!</f>
        <v>#REF!</v>
      </c>
      <c r="Q661" s="173" t="e">
        <f>+'Estimate Details'!#REF!</f>
        <v>#REF!</v>
      </c>
      <c r="R661" s="174" t="e">
        <f>+'Estimate Details'!#REF!</f>
        <v>#REF!</v>
      </c>
      <c r="S661" s="507"/>
      <c r="T661" s="174" t="e">
        <f>+'Estimate Details'!#REF!</f>
        <v>#REF!</v>
      </c>
      <c r="U661" s="481" t="s">
        <v>1309</v>
      </c>
      <c r="V661" s="172" t="e">
        <f>+'Estimate Details'!#REF!</f>
        <v>#REF!</v>
      </c>
      <c r="W661" s="481" t="s">
        <v>1309</v>
      </c>
      <c r="X661" s="172" t="e">
        <f>+'Estimate Details'!#REF!</f>
        <v>#REF!</v>
      </c>
      <c r="Y661" s="172" t="e">
        <f>+'Estimate Details'!#REF!</f>
        <v>#REF!</v>
      </c>
      <c r="Z661" s="174" t="e">
        <f>+'Estimate Details'!#REF!</f>
        <v>#REF!</v>
      </c>
      <c r="AA661" s="481"/>
      <c r="AB661" s="175" t="e">
        <f>+'Estimate Details'!#REF!</f>
        <v>#REF!</v>
      </c>
      <c r="AC661" s="569"/>
      <c r="AD661" s="176" t="e">
        <f>+'Estimate Details'!#REF!</f>
        <v>#REF!</v>
      </c>
      <c r="AE661" s="156"/>
      <c r="AF661" s="372"/>
      <c r="AG661" s="156"/>
      <c r="AH661" s="156"/>
      <c r="AI661" s="29"/>
      <c r="AJ661" s="29"/>
      <c r="AK661" s="29"/>
      <c r="AL661" s="29"/>
    </row>
    <row r="662" spans="1:38" ht="13.5" customHeight="1">
      <c r="A662" s="116" t="e">
        <f>+'Estimate Details'!#REF!</f>
        <v>#REF!</v>
      </c>
      <c r="B662" s="116"/>
      <c r="C662" s="116"/>
      <c r="D662" s="166"/>
      <c r="E662" s="158" t="e">
        <f>+'Estimate Details'!#REF!</f>
        <v>#REF!</v>
      </c>
      <c r="F662" s="41"/>
      <c r="G662" s="117" t="e">
        <f>+'Estimate Details'!#REF!</f>
        <v>#REF!</v>
      </c>
      <c r="H662" s="118" t="e">
        <f>+'Estimate Details'!#REF!</f>
        <v>#REF!</v>
      </c>
      <c r="I662" s="108" t="e">
        <f>+'Estimate Details'!#REF!</f>
        <v>#REF!</v>
      </c>
      <c r="J662" s="168" t="e">
        <f>+'Estimate Details'!#REF!</f>
        <v>#REF!</v>
      </c>
      <c r="K662" s="42" t="e">
        <f>+'Estimate Details'!#REF!</f>
        <v>#REF!</v>
      </c>
      <c r="L662" s="42" t="e">
        <f>+'Estimate Details'!#REF!</f>
        <v>#REF!</v>
      </c>
      <c r="M662" s="204" t="e">
        <f>+'Estimate Details'!#REF!</f>
        <v>#REF!</v>
      </c>
      <c r="N662" s="170" t="e">
        <f>+'Estimate Details'!#REF!</f>
        <v>#REF!</v>
      </c>
      <c r="O662" s="171" t="e">
        <f>+'Estimate Details'!#REF!</f>
        <v>#REF!</v>
      </c>
      <c r="P662" s="172" t="e">
        <f>+'Estimate Details'!#REF!</f>
        <v>#REF!</v>
      </c>
      <c r="Q662" s="173" t="e">
        <f>+'Estimate Details'!#REF!</f>
        <v>#REF!</v>
      </c>
      <c r="R662" s="174" t="e">
        <f>+'Estimate Details'!#REF!</f>
        <v>#REF!</v>
      </c>
      <c r="S662" s="507"/>
      <c r="T662" s="174" t="e">
        <f>+'Estimate Details'!#REF!</f>
        <v>#REF!</v>
      </c>
      <c r="U662" s="481" t="s">
        <v>1309</v>
      </c>
      <c r="V662" s="172" t="e">
        <f>+'Estimate Details'!#REF!</f>
        <v>#REF!</v>
      </c>
      <c r="W662" s="481" t="s">
        <v>1309</v>
      </c>
      <c r="X662" s="172" t="e">
        <f>+'Estimate Details'!#REF!</f>
        <v>#REF!</v>
      </c>
      <c r="Y662" s="172" t="e">
        <f>+'Estimate Details'!#REF!</f>
        <v>#REF!</v>
      </c>
      <c r="Z662" s="174" t="e">
        <f>+'Estimate Details'!#REF!</f>
        <v>#REF!</v>
      </c>
      <c r="AA662" s="481"/>
      <c r="AB662" s="175" t="e">
        <f>+'Estimate Details'!#REF!</f>
        <v>#REF!</v>
      </c>
      <c r="AC662" s="569"/>
      <c r="AD662" s="176" t="e">
        <f>+'Estimate Details'!#REF!</f>
        <v>#REF!</v>
      </c>
      <c r="AE662" s="156"/>
      <c r="AF662" s="372"/>
      <c r="AG662" s="156"/>
      <c r="AH662" s="156"/>
      <c r="AI662" s="29"/>
      <c r="AJ662" s="29"/>
      <c r="AK662" s="29"/>
      <c r="AL662" s="29"/>
    </row>
    <row r="663" spans="1:38" ht="13.5" customHeight="1">
      <c r="A663" s="116" t="e">
        <f>+'Estimate Details'!#REF!</f>
        <v>#REF!</v>
      </c>
      <c r="B663" s="116"/>
      <c r="C663" s="116"/>
      <c r="D663" s="166"/>
      <c r="E663" s="158" t="e">
        <f>+'Estimate Details'!#REF!</f>
        <v>#REF!</v>
      </c>
      <c r="F663" s="41"/>
      <c r="G663" s="117" t="e">
        <f>+'Estimate Details'!#REF!</f>
        <v>#REF!</v>
      </c>
      <c r="H663" s="118" t="e">
        <f>+'Estimate Details'!#REF!</f>
        <v>#REF!</v>
      </c>
      <c r="I663" s="108" t="e">
        <f>+'Estimate Details'!#REF!</f>
        <v>#REF!</v>
      </c>
      <c r="J663" s="168" t="e">
        <f>+'Estimate Details'!#REF!</f>
        <v>#REF!</v>
      </c>
      <c r="K663" s="42" t="e">
        <f>+'Estimate Details'!#REF!</f>
        <v>#REF!</v>
      </c>
      <c r="L663" s="42" t="e">
        <f>+'Estimate Details'!#REF!</f>
        <v>#REF!</v>
      </c>
      <c r="M663" s="204" t="e">
        <f>+'Estimate Details'!#REF!</f>
        <v>#REF!</v>
      </c>
      <c r="N663" s="170" t="e">
        <f>+'Estimate Details'!#REF!</f>
        <v>#REF!</v>
      </c>
      <c r="O663" s="171" t="e">
        <f>+'Estimate Details'!#REF!</f>
        <v>#REF!</v>
      </c>
      <c r="P663" s="172" t="e">
        <f>+'Estimate Details'!#REF!</f>
        <v>#REF!</v>
      </c>
      <c r="Q663" s="173" t="e">
        <f>+'Estimate Details'!#REF!</f>
        <v>#REF!</v>
      </c>
      <c r="R663" s="174" t="e">
        <f>+'Estimate Details'!#REF!</f>
        <v>#REF!</v>
      </c>
      <c r="S663" s="507"/>
      <c r="T663" s="174" t="e">
        <f>+'Estimate Details'!#REF!</f>
        <v>#REF!</v>
      </c>
      <c r="U663" s="481" t="s">
        <v>1309</v>
      </c>
      <c r="V663" s="172" t="e">
        <f>+'Estimate Details'!#REF!</f>
        <v>#REF!</v>
      </c>
      <c r="W663" s="481" t="s">
        <v>1309</v>
      </c>
      <c r="X663" s="172" t="e">
        <f>+'Estimate Details'!#REF!</f>
        <v>#REF!</v>
      </c>
      <c r="Y663" s="172" t="e">
        <f>+'Estimate Details'!#REF!</f>
        <v>#REF!</v>
      </c>
      <c r="Z663" s="174" t="e">
        <f>+'Estimate Details'!#REF!</f>
        <v>#REF!</v>
      </c>
      <c r="AA663" s="481"/>
      <c r="AB663" s="175" t="e">
        <f>+'Estimate Details'!#REF!</f>
        <v>#REF!</v>
      </c>
      <c r="AC663" s="569"/>
      <c r="AD663" s="176" t="e">
        <f>+'Estimate Details'!#REF!</f>
        <v>#REF!</v>
      </c>
      <c r="AE663" s="156"/>
      <c r="AF663" s="372"/>
      <c r="AG663" s="156"/>
      <c r="AH663" s="156"/>
      <c r="AI663" s="29"/>
      <c r="AJ663" s="29"/>
      <c r="AK663" s="29"/>
      <c r="AL663" s="29"/>
    </row>
    <row r="664" spans="1:38" ht="14.1" customHeight="1">
      <c r="A664" s="116" t="e">
        <f>+'Estimate Details'!#REF!</f>
        <v>#REF!</v>
      </c>
      <c r="B664" s="116"/>
      <c r="C664" s="116"/>
      <c r="D664" s="166"/>
      <c r="E664" s="158" t="e">
        <f>+'Estimate Details'!#REF!</f>
        <v>#REF!</v>
      </c>
      <c r="F664" s="41"/>
      <c r="G664" s="117" t="e">
        <f>+'Estimate Details'!#REF!</f>
        <v>#REF!</v>
      </c>
      <c r="H664" s="118" t="e">
        <f>+'Estimate Details'!#REF!</f>
        <v>#REF!</v>
      </c>
      <c r="I664" s="108" t="e">
        <f>+'Estimate Details'!#REF!</f>
        <v>#REF!</v>
      </c>
      <c r="J664" s="168" t="e">
        <f>+'Estimate Details'!#REF!</f>
        <v>#REF!</v>
      </c>
      <c r="K664" s="42" t="e">
        <f>+'Estimate Details'!#REF!</f>
        <v>#REF!</v>
      </c>
      <c r="L664" s="42" t="e">
        <f>+'Estimate Details'!#REF!</f>
        <v>#REF!</v>
      </c>
      <c r="M664" s="204" t="e">
        <f>+'Estimate Details'!#REF!</f>
        <v>#REF!</v>
      </c>
      <c r="N664" s="170" t="e">
        <f>+'Estimate Details'!#REF!</f>
        <v>#REF!</v>
      </c>
      <c r="O664" s="171" t="e">
        <f>+'Estimate Details'!#REF!</f>
        <v>#REF!</v>
      </c>
      <c r="P664" s="172" t="e">
        <f>+'Estimate Details'!#REF!</f>
        <v>#REF!</v>
      </c>
      <c r="Q664" s="173" t="e">
        <f>+'Estimate Details'!#REF!</f>
        <v>#REF!</v>
      </c>
      <c r="R664" s="174" t="e">
        <f>+'Estimate Details'!#REF!</f>
        <v>#REF!</v>
      </c>
      <c r="S664" s="507"/>
      <c r="T664" s="174" t="e">
        <f>+'Estimate Details'!#REF!</f>
        <v>#REF!</v>
      </c>
      <c r="U664" s="481" t="s">
        <v>1309</v>
      </c>
      <c r="V664" s="172" t="e">
        <f>+'Estimate Details'!#REF!</f>
        <v>#REF!</v>
      </c>
      <c r="W664" s="481" t="s">
        <v>1309</v>
      </c>
      <c r="X664" s="172" t="e">
        <f>+'Estimate Details'!#REF!</f>
        <v>#REF!</v>
      </c>
      <c r="Y664" s="172" t="e">
        <f>+'Estimate Details'!#REF!</f>
        <v>#REF!</v>
      </c>
      <c r="Z664" s="174" t="e">
        <f>+'Estimate Details'!#REF!</f>
        <v>#REF!</v>
      </c>
      <c r="AA664" s="481"/>
      <c r="AB664" s="175" t="e">
        <f>+'Estimate Details'!#REF!</f>
        <v>#REF!</v>
      </c>
      <c r="AC664" s="569"/>
      <c r="AD664" s="176" t="e">
        <f>+'Estimate Details'!#REF!</f>
        <v>#REF!</v>
      </c>
      <c r="AE664" s="156"/>
      <c r="AF664" s="372"/>
      <c r="AG664" s="156"/>
      <c r="AH664" s="156"/>
      <c r="AI664" s="29"/>
      <c r="AJ664" s="29"/>
      <c r="AK664" s="29"/>
      <c r="AL664" s="29"/>
    </row>
    <row r="665" spans="1:38" ht="14.1" customHeight="1">
      <c r="A665" s="116" t="e">
        <f>+'Estimate Details'!#REF!</f>
        <v>#REF!</v>
      </c>
      <c r="B665" s="116"/>
      <c r="C665" s="116"/>
      <c r="D665" s="166"/>
      <c r="E665" s="158" t="e">
        <f>+'Estimate Details'!#REF!</f>
        <v>#REF!</v>
      </c>
      <c r="F665" s="41"/>
      <c r="G665" s="117" t="e">
        <f>+'Estimate Details'!#REF!</f>
        <v>#REF!</v>
      </c>
      <c r="H665" s="118" t="e">
        <f>+'Estimate Details'!#REF!</f>
        <v>#REF!</v>
      </c>
      <c r="I665" s="108" t="e">
        <f>+'Estimate Details'!#REF!</f>
        <v>#REF!</v>
      </c>
      <c r="J665" s="168" t="e">
        <f>+'Estimate Details'!#REF!</f>
        <v>#REF!</v>
      </c>
      <c r="K665" s="42" t="e">
        <f>+'Estimate Details'!#REF!</f>
        <v>#REF!</v>
      </c>
      <c r="L665" s="42" t="e">
        <f>+'Estimate Details'!#REF!</f>
        <v>#REF!</v>
      </c>
      <c r="M665" s="204" t="e">
        <f>+'Estimate Details'!#REF!</f>
        <v>#REF!</v>
      </c>
      <c r="N665" s="170" t="e">
        <f>+'Estimate Details'!#REF!</f>
        <v>#REF!</v>
      </c>
      <c r="O665" s="171" t="e">
        <f>+'Estimate Details'!#REF!</f>
        <v>#REF!</v>
      </c>
      <c r="P665" s="172" t="e">
        <f>+'Estimate Details'!#REF!</f>
        <v>#REF!</v>
      </c>
      <c r="Q665" s="173" t="e">
        <f>+'Estimate Details'!#REF!</f>
        <v>#REF!</v>
      </c>
      <c r="R665" s="174" t="e">
        <f>+'Estimate Details'!#REF!</f>
        <v>#REF!</v>
      </c>
      <c r="S665" s="507"/>
      <c r="T665" s="174" t="e">
        <f>+'Estimate Details'!#REF!</f>
        <v>#REF!</v>
      </c>
      <c r="U665" s="481" t="s">
        <v>1309</v>
      </c>
      <c r="V665" s="172" t="e">
        <f>+'Estimate Details'!#REF!</f>
        <v>#REF!</v>
      </c>
      <c r="W665" s="481" t="s">
        <v>1309</v>
      </c>
      <c r="X665" s="172" t="e">
        <f>+'Estimate Details'!#REF!</f>
        <v>#REF!</v>
      </c>
      <c r="Y665" s="172" t="e">
        <f>+'Estimate Details'!#REF!</f>
        <v>#REF!</v>
      </c>
      <c r="Z665" s="174" t="e">
        <f>+'Estimate Details'!#REF!</f>
        <v>#REF!</v>
      </c>
      <c r="AA665" s="481"/>
      <c r="AB665" s="175" t="e">
        <f>+'Estimate Details'!#REF!</f>
        <v>#REF!</v>
      </c>
      <c r="AC665" s="569"/>
      <c r="AD665" s="176" t="e">
        <f>+'Estimate Details'!#REF!</f>
        <v>#REF!</v>
      </c>
      <c r="AE665" s="156"/>
      <c r="AF665" s="372"/>
      <c r="AG665" s="156"/>
      <c r="AH665" s="156"/>
      <c r="AI665" s="29"/>
      <c r="AJ665" s="29"/>
      <c r="AK665" s="29"/>
      <c r="AL665" s="29"/>
    </row>
    <row r="666" spans="1:38">
      <c r="A666" s="116" t="e">
        <f>+'Estimate Details'!#REF!</f>
        <v>#REF!</v>
      </c>
      <c r="B666" s="116"/>
      <c r="C666" s="116"/>
      <c r="D666" s="166"/>
      <c r="E666" s="158" t="e">
        <f>+'Estimate Details'!#REF!</f>
        <v>#REF!</v>
      </c>
      <c r="F666" s="41"/>
      <c r="G666" s="117" t="e">
        <f>+'Estimate Details'!#REF!</f>
        <v>#REF!</v>
      </c>
      <c r="H666" s="118" t="e">
        <f>+'Estimate Details'!#REF!</f>
        <v>#REF!</v>
      </c>
      <c r="I666" s="108" t="e">
        <f>+'Estimate Details'!#REF!</f>
        <v>#REF!</v>
      </c>
      <c r="J666" s="168" t="e">
        <f>+'Estimate Details'!#REF!</f>
        <v>#REF!</v>
      </c>
      <c r="K666" s="42" t="e">
        <f>+'Estimate Details'!#REF!</f>
        <v>#REF!</v>
      </c>
      <c r="L666" s="42" t="e">
        <f>+'Estimate Details'!#REF!</f>
        <v>#REF!</v>
      </c>
      <c r="M666" s="204" t="e">
        <f>+'Estimate Details'!#REF!</f>
        <v>#REF!</v>
      </c>
      <c r="N666" s="170" t="e">
        <f>+'Estimate Details'!#REF!</f>
        <v>#REF!</v>
      </c>
      <c r="O666" s="171" t="e">
        <f>+'Estimate Details'!#REF!</f>
        <v>#REF!</v>
      </c>
      <c r="P666" s="172" t="e">
        <f>+'Estimate Details'!#REF!</f>
        <v>#REF!</v>
      </c>
      <c r="Q666" s="173" t="e">
        <f>+'Estimate Details'!#REF!</f>
        <v>#REF!</v>
      </c>
      <c r="R666" s="174" t="e">
        <f>+'Estimate Details'!#REF!</f>
        <v>#REF!</v>
      </c>
      <c r="S666" s="507"/>
      <c r="T666" s="174" t="e">
        <f>+'Estimate Details'!#REF!</f>
        <v>#REF!</v>
      </c>
      <c r="U666" s="481" t="s">
        <v>1309</v>
      </c>
      <c r="V666" s="172" t="e">
        <f>+'Estimate Details'!#REF!</f>
        <v>#REF!</v>
      </c>
      <c r="W666" s="481" t="s">
        <v>1309</v>
      </c>
      <c r="X666" s="172" t="e">
        <f>+'Estimate Details'!#REF!</f>
        <v>#REF!</v>
      </c>
      <c r="Y666" s="172" t="e">
        <f>+'Estimate Details'!#REF!</f>
        <v>#REF!</v>
      </c>
      <c r="Z666" s="174" t="e">
        <f>+'Estimate Details'!#REF!</f>
        <v>#REF!</v>
      </c>
      <c r="AA666" s="481"/>
      <c r="AB666" s="175" t="e">
        <f>+'Estimate Details'!#REF!</f>
        <v>#REF!</v>
      </c>
      <c r="AC666" s="569"/>
      <c r="AD666" s="176" t="e">
        <f>+'Estimate Details'!#REF!</f>
        <v>#REF!</v>
      </c>
      <c r="AE666" s="156"/>
      <c r="AF666" s="156"/>
      <c r="AG666" s="156"/>
      <c r="AH666" s="156"/>
      <c r="AI666" s="29"/>
      <c r="AJ666" s="29"/>
      <c r="AK666" s="29"/>
      <c r="AL666" s="29"/>
    </row>
    <row r="667" spans="1:38">
      <c r="A667" s="116" t="e">
        <f>+'Estimate Details'!#REF!</f>
        <v>#REF!</v>
      </c>
      <c r="B667" s="116"/>
      <c r="C667" s="116"/>
      <c r="D667" s="166"/>
      <c r="E667" s="158" t="e">
        <f>+'Estimate Details'!#REF!</f>
        <v>#REF!</v>
      </c>
      <c r="F667" s="160"/>
      <c r="G667" s="197" t="e">
        <f>+'Estimate Details'!#REF!</f>
        <v>#REF!</v>
      </c>
      <c r="H667" s="198" t="e">
        <f>+'Estimate Details'!#REF!</f>
        <v>#REF!</v>
      </c>
      <c r="I667" s="199" t="e">
        <f>+'Estimate Details'!#REF!</f>
        <v>#REF!</v>
      </c>
      <c r="J667" s="200" t="e">
        <f>+'Estimate Details'!#REF!</f>
        <v>#REF!</v>
      </c>
      <c r="K667" s="158" t="e">
        <f>+'Estimate Details'!#REF!</f>
        <v>#REF!</v>
      </c>
      <c r="L667" s="158" t="e">
        <f>+'Estimate Details'!#REF!</f>
        <v>#REF!</v>
      </c>
      <c r="M667" s="212" t="e">
        <f>+'Estimate Details'!#REF!</f>
        <v>#REF!</v>
      </c>
      <c r="N667" s="213" t="e">
        <f>+'Estimate Details'!#REF!</f>
        <v>#REF!</v>
      </c>
      <c r="O667" s="162" t="e">
        <f>+'Estimate Details'!#REF!</f>
        <v>#REF!</v>
      </c>
      <c r="P667" s="163" t="e">
        <f>+'Estimate Details'!#REF!</f>
        <v>#REF!</v>
      </c>
      <c r="Q667" s="203" t="e">
        <f>+'Estimate Details'!#REF!</f>
        <v>#REF!</v>
      </c>
      <c r="R667" s="164" t="e">
        <f>+'Estimate Details'!#REF!</f>
        <v>#REF!</v>
      </c>
      <c r="S667" s="506"/>
      <c r="T667" s="164" t="e">
        <f>+'Estimate Details'!#REF!</f>
        <v>#REF!</v>
      </c>
      <c r="U667" s="481" t="s">
        <v>1309</v>
      </c>
      <c r="V667" s="163" t="e">
        <f>+'Estimate Details'!#REF!</f>
        <v>#REF!</v>
      </c>
      <c r="W667" s="481" t="s">
        <v>1309</v>
      </c>
      <c r="X667" s="163" t="e">
        <f>+'Estimate Details'!#REF!</f>
        <v>#REF!</v>
      </c>
      <c r="Y667" s="163" t="e">
        <f>+'Estimate Details'!#REF!</f>
        <v>#REF!</v>
      </c>
      <c r="Z667" s="164" t="e">
        <f>+'Estimate Details'!#REF!</f>
        <v>#REF!</v>
      </c>
      <c r="AA667" s="486"/>
      <c r="AB667" s="165" t="e">
        <f>+'Estimate Details'!#REF!</f>
        <v>#REF!</v>
      </c>
      <c r="AC667" s="568"/>
      <c r="AD667" s="176" t="e">
        <f>+'Estimate Details'!#REF!</f>
        <v>#REF!</v>
      </c>
      <c r="AE667" s="244"/>
      <c r="AF667" s="156"/>
      <c r="AG667" s="156"/>
      <c r="AH667" s="156"/>
      <c r="AI667" s="29"/>
      <c r="AJ667" s="29"/>
      <c r="AK667" s="29"/>
      <c r="AL667" s="29"/>
    </row>
    <row r="668" spans="1:38" ht="14.1" customHeight="1">
      <c r="A668" s="116" t="e">
        <f>+'Estimate Details'!#REF!</f>
        <v>#REF!</v>
      </c>
      <c r="B668" s="116"/>
      <c r="C668" s="116"/>
      <c r="D668" s="166"/>
      <c r="E668" s="158" t="e">
        <f>+'Estimate Details'!#REF!</f>
        <v>#REF!</v>
      </c>
      <c r="F668" s="41"/>
      <c r="G668" s="117" t="e">
        <f>+'Estimate Details'!#REF!</f>
        <v>#REF!</v>
      </c>
      <c r="H668" s="118" t="e">
        <f>+'Estimate Details'!#REF!</f>
        <v>#REF!</v>
      </c>
      <c r="I668" s="108" t="e">
        <f>+'Estimate Details'!#REF!</f>
        <v>#REF!</v>
      </c>
      <c r="J668" s="168" t="e">
        <f>+'Estimate Details'!#REF!</f>
        <v>#REF!</v>
      </c>
      <c r="K668" s="42" t="e">
        <f>+'Estimate Details'!#REF!</f>
        <v>#REF!</v>
      </c>
      <c r="L668" s="42" t="e">
        <f>+'Estimate Details'!#REF!</f>
        <v>#REF!</v>
      </c>
      <c r="M668" s="204" t="e">
        <f>+'Estimate Details'!#REF!</f>
        <v>#REF!</v>
      </c>
      <c r="N668" s="170" t="e">
        <f>+'Estimate Details'!#REF!</f>
        <v>#REF!</v>
      </c>
      <c r="O668" s="171" t="e">
        <f>+'Estimate Details'!#REF!</f>
        <v>#REF!</v>
      </c>
      <c r="P668" s="172" t="e">
        <f>+'Estimate Details'!#REF!</f>
        <v>#REF!</v>
      </c>
      <c r="Q668" s="173" t="e">
        <f>+'Estimate Details'!#REF!</f>
        <v>#REF!</v>
      </c>
      <c r="R668" s="174" t="e">
        <f>+'Estimate Details'!#REF!</f>
        <v>#REF!</v>
      </c>
      <c r="S668" s="507"/>
      <c r="T668" s="174" t="e">
        <f>+'Estimate Details'!#REF!</f>
        <v>#REF!</v>
      </c>
      <c r="U668" s="481" t="s">
        <v>1309</v>
      </c>
      <c r="V668" s="172" t="e">
        <f>+'Estimate Details'!#REF!</f>
        <v>#REF!</v>
      </c>
      <c r="W668" s="481"/>
      <c r="X668" s="172" t="e">
        <f>+'Estimate Details'!#REF!</f>
        <v>#REF!</v>
      </c>
      <c r="Y668" s="172" t="e">
        <f>+'Estimate Details'!#REF!</f>
        <v>#REF!</v>
      </c>
      <c r="Z668" s="174" t="e">
        <f>+'Estimate Details'!#REF!</f>
        <v>#REF!</v>
      </c>
      <c r="AA668" s="481"/>
      <c r="AB668" s="175" t="e">
        <f>+'Estimate Details'!#REF!</f>
        <v>#REF!</v>
      </c>
      <c r="AC668" s="569"/>
      <c r="AD668" s="176" t="e">
        <f>+'Estimate Details'!#REF!</f>
        <v>#REF!</v>
      </c>
      <c r="AE668" s="156"/>
      <c r="AF668" s="156"/>
      <c r="AG668" s="156"/>
      <c r="AH668" s="156"/>
      <c r="AI668" s="29"/>
      <c r="AJ668" s="29"/>
      <c r="AK668" s="29"/>
      <c r="AL668" s="29"/>
    </row>
    <row r="669" spans="1:38">
      <c r="A669" s="116" t="e">
        <f>+'Estimate Details'!#REF!</f>
        <v>#REF!</v>
      </c>
      <c r="B669" s="116"/>
      <c r="C669" s="116"/>
      <c r="D669" s="166"/>
      <c r="E669" s="158" t="e">
        <f>+'Estimate Details'!#REF!</f>
        <v>#REF!</v>
      </c>
      <c r="F669" s="41"/>
      <c r="G669" s="375" t="e">
        <f>+'Estimate Details'!#REF!</f>
        <v>#REF!</v>
      </c>
      <c r="H669" s="41" t="e">
        <f>+'Estimate Details'!#REF!</f>
        <v>#REF!</v>
      </c>
      <c r="I669" s="108" t="e">
        <f>+'Estimate Details'!#REF!</f>
        <v>#REF!</v>
      </c>
      <c r="J669" s="42" t="e">
        <f>+'Estimate Details'!#REF!</f>
        <v>#REF!</v>
      </c>
      <c r="K669" s="42" t="e">
        <f>+'Estimate Details'!#REF!</f>
        <v>#REF!</v>
      </c>
      <c r="L669" s="42" t="e">
        <f>+'Estimate Details'!#REF!</f>
        <v>#REF!</v>
      </c>
      <c r="M669" s="177" t="e">
        <f>+'Estimate Details'!#REF!</f>
        <v>#REF!</v>
      </c>
      <c r="N669" s="170" t="e">
        <f>+'Estimate Details'!#REF!</f>
        <v>#REF!</v>
      </c>
      <c r="O669" s="171" t="e">
        <f>+'Estimate Details'!#REF!</f>
        <v>#REF!</v>
      </c>
      <c r="P669" s="172" t="e">
        <f>+'Estimate Details'!#REF!</f>
        <v>#REF!</v>
      </c>
      <c r="Q669" s="173" t="e">
        <f>+'Estimate Details'!#REF!</f>
        <v>#REF!</v>
      </c>
      <c r="R669" s="174" t="e">
        <f>+'Estimate Details'!#REF!</f>
        <v>#REF!</v>
      </c>
      <c r="S669" s="507"/>
      <c r="T669" s="174" t="e">
        <f>+'Estimate Details'!#REF!</f>
        <v>#REF!</v>
      </c>
      <c r="U669" s="481" t="s">
        <v>1309</v>
      </c>
      <c r="V669" s="172" t="e">
        <f>+'Estimate Details'!#REF!</f>
        <v>#REF!</v>
      </c>
      <c r="W669" s="481" t="s">
        <v>1309</v>
      </c>
      <c r="X669" s="172" t="e">
        <f>+'Estimate Details'!#REF!</f>
        <v>#REF!</v>
      </c>
      <c r="Y669" s="172" t="e">
        <f>+'Estimate Details'!#REF!</f>
        <v>#REF!</v>
      </c>
      <c r="Z669" s="174" t="e">
        <f>+'Estimate Details'!#REF!</f>
        <v>#REF!</v>
      </c>
      <c r="AA669" s="481"/>
      <c r="AB669" s="175" t="e">
        <f>+'Estimate Details'!#REF!</f>
        <v>#REF!</v>
      </c>
      <c r="AC669" s="569"/>
      <c r="AD669" s="176" t="e">
        <f>+'Estimate Details'!#REF!</f>
        <v>#REF!</v>
      </c>
      <c r="AE669" s="156"/>
      <c r="AF669" s="156"/>
      <c r="AG669" s="156"/>
      <c r="AH669" s="156"/>
      <c r="AI669" s="29"/>
      <c r="AJ669" s="29"/>
      <c r="AK669" s="29"/>
      <c r="AL669" s="29"/>
    </row>
    <row r="670" spans="1:38" ht="14.1" customHeight="1">
      <c r="A670" s="116" t="e">
        <f>+'Estimate Details'!#REF!</f>
        <v>#REF!</v>
      </c>
      <c r="B670" s="116"/>
      <c r="C670" s="116"/>
      <c r="D670" s="166"/>
      <c r="E670" s="158" t="e">
        <f>+'Estimate Details'!#REF!</f>
        <v>#REF!</v>
      </c>
      <c r="F670" s="41"/>
      <c r="G670" s="117" t="e">
        <f>+'Estimate Details'!#REF!</f>
        <v>#REF!</v>
      </c>
      <c r="H670" s="41" t="e">
        <f>+'Estimate Details'!#REF!</f>
        <v>#REF!</v>
      </c>
      <c r="I670" s="108" t="e">
        <f>+'Estimate Details'!#REF!</f>
        <v>#REF!</v>
      </c>
      <c r="J670" s="42" t="e">
        <f>+'Estimate Details'!#REF!</f>
        <v>#REF!</v>
      </c>
      <c r="K670" s="42" t="e">
        <f>+'Estimate Details'!#REF!</f>
        <v>#REF!</v>
      </c>
      <c r="L670" s="42" t="e">
        <f>+'Estimate Details'!#REF!</f>
        <v>#REF!</v>
      </c>
      <c r="M670" s="177" t="e">
        <f>+'Estimate Details'!#REF!</f>
        <v>#REF!</v>
      </c>
      <c r="N670" s="170" t="e">
        <f>+'Estimate Details'!#REF!</f>
        <v>#REF!</v>
      </c>
      <c r="O670" s="171" t="e">
        <f>+'Estimate Details'!#REF!</f>
        <v>#REF!</v>
      </c>
      <c r="P670" s="172" t="e">
        <f>+'Estimate Details'!#REF!</f>
        <v>#REF!</v>
      </c>
      <c r="Q670" s="173" t="e">
        <f>+'Estimate Details'!#REF!</f>
        <v>#REF!</v>
      </c>
      <c r="R670" s="174" t="e">
        <f>+'Estimate Details'!#REF!</f>
        <v>#REF!</v>
      </c>
      <c r="S670" s="507"/>
      <c r="T670" s="174" t="e">
        <f>+'Estimate Details'!#REF!</f>
        <v>#REF!</v>
      </c>
      <c r="U670" s="481" t="s">
        <v>1309</v>
      </c>
      <c r="V670" s="172" t="e">
        <f>+'Estimate Details'!#REF!</f>
        <v>#REF!</v>
      </c>
      <c r="W670" s="481" t="s">
        <v>1309</v>
      </c>
      <c r="X670" s="172" t="e">
        <f>+'Estimate Details'!#REF!</f>
        <v>#REF!</v>
      </c>
      <c r="Y670" s="172" t="e">
        <f>+'Estimate Details'!#REF!</f>
        <v>#REF!</v>
      </c>
      <c r="Z670" s="174" t="e">
        <f>+'Estimate Details'!#REF!</f>
        <v>#REF!</v>
      </c>
      <c r="AA670" s="481"/>
      <c r="AB670" s="175" t="e">
        <f>+'Estimate Details'!#REF!</f>
        <v>#REF!</v>
      </c>
      <c r="AC670" s="569"/>
      <c r="AD670" s="176" t="e">
        <f>+'Estimate Details'!#REF!</f>
        <v>#REF!</v>
      </c>
      <c r="AE670" s="156"/>
      <c r="AF670" s="156"/>
      <c r="AG670" s="156"/>
      <c r="AH670" s="156"/>
      <c r="AI670" s="29"/>
      <c r="AJ670" s="29"/>
      <c r="AK670" s="29"/>
      <c r="AL670" s="29"/>
    </row>
    <row r="671" spans="1:38" ht="14.1" customHeight="1">
      <c r="A671" s="116" t="e">
        <f>+'Estimate Details'!#REF!</f>
        <v>#REF!</v>
      </c>
      <c r="B671" s="116"/>
      <c r="C671" s="116"/>
      <c r="D671" s="166"/>
      <c r="E671" s="158" t="e">
        <f>+'Estimate Details'!#REF!</f>
        <v>#REF!</v>
      </c>
      <c r="F671" s="41"/>
      <c r="G671" s="117" t="e">
        <f>+'Estimate Details'!#REF!</f>
        <v>#REF!</v>
      </c>
      <c r="H671" s="41" t="e">
        <f>+'Estimate Details'!#REF!</f>
        <v>#REF!</v>
      </c>
      <c r="I671" s="108" t="e">
        <f>+'Estimate Details'!#REF!</f>
        <v>#REF!</v>
      </c>
      <c r="J671" s="42" t="e">
        <f>+'Estimate Details'!#REF!</f>
        <v>#REF!</v>
      </c>
      <c r="K671" s="42" t="e">
        <f>+'Estimate Details'!#REF!</f>
        <v>#REF!</v>
      </c>
      <c r="L671" s="42" t="e">
        <f>+'Estimate Details'!#REF!</f>
        <v>#REF!</v>
      </c>
      <c r="M671" s="177" t="e">
        <f>+'Estimate Details'!#REF!</f>
        <v>#REF!</v>
      </c>
      <c r="N671" s="170" t="e">
        <f>+'Estimate Details'!#REF!</f>
        <v>#REF!</v>
      </c>
      <c r="O671" s="171" t="e">
        <f>+'Estimate Details'!#REF!</f>
        <v>#REF!</v>
      </c>
      <c r="P671" s="172" t="e">
        <f>+'Estimate Details'!#REF!</f>
        <v>#REF!</v>
      </c>
      <c r="Q671" s="173" t="e">
        <f>+'Estimate Details'!#REF!</f>
        <v>#REF!</v>
      </c>
      <c r="R671" s="174" t="e">
        <f>+'Estimate Details'!#REF!</f>
        <v>#REF!</v>
      </c>
      <c r="S671" s="507"/>
      <c r="T671" s="174" t="e">
        <f>+'Estimate Details'!#REF!</f>
        <v>#REF!</v>
      </c>
      <c r="U671" s="481" t="s">
        <v>1309</v>
      </c>
      <c r="V671" s="172" t="e">
        <f>+'Estimate Details'!#REF!</f>
        <v>#REF!</v>
      </c>
      <c r="W671" s="481" t="s">
        <v>1309</v>
      </c>
      <c r="X671" s="172" t="e">
        <f>+'Estimate Details'!#REF!</f>
        <v>#REF!</v>
      </c>
      <c r="Y671" s="172" t="e">
        <f>+'Estimate Details'!#REF!</f>
        <v>#REF!</v>
      </c>
      <c r="Z671" s="174" t="e">
        <f>+'Estimate Details'!#REF!</f>
        <v>#REF!</v>
      </c>
      <c r="AA671" s="481"/>
      <c r="AB671" s="175" t="e">
        <f>+'Estimate Details'!#REF!</f>
        <v>#REF!</v>
      </c>
      <c r="AC671" s="569"/>
      <c r="AD671" s="176" t="e">
        <f>+'Estimate Details'!#REF!</f>
        <v>#REF!</v>
      </c>
      <c r="AE671" s="156"/>
      <c r="AF671" s="156"/>
      <c r="AG671" s="156"/>
      <c r="AH671" s="156"/>
      <c r="AI671" s="29"/>
      <c r="AJ671" s="29"/>
      <c r="AK671" s="29"/>
      <c r="AL671" s="29"/>
    </row>
    <row r="672" spans="1:38" ht="14.1" customHeight="1">
      <c r="A672" s="116" t="e">
        <f>+'Estimate Details'!#REF!</f>
        <v>#REF!</v>
      </c>
      <c r="B672" s="116"/>
      <c r="C672" s="116"/>
      <c r="D672" s="166"/>
      <c r="E672" s="158" t="e">
        <f>+'Estimate Details'!#REF!</f>
        <v>#REF!</v>
      </c>
      <c r="F672" s="41"/>
      <c r="G672" s="117" t="e">
        <f>+'Estimate Details'!#REF!</f>
        <v>#REF!</v>
      </c>
      <c r="H672" s="41" t="e">
        <f>+'Estimate Details'!#REF!</f>
        <v>#REF!</v>
      </c>
      <c r="I672" s="217" t="e">
        <f>+'Estimate Details'!#REF!</f>
        <v>#REF!</v>
      </c>
      <c r="J672" s="42" t="e">
        <f>+'Estimate Details'!#REF!</f>
        <v>#REF!</v>
      </c>
      <c r="K672" s="42" t="e">
        <f>+'Estimate Details'!#REF!</f>
        <v>#REF!</v>
      </c>
      <c r="L672" s="42" t="e">
        <f>+'Estimate Details'!#REF!</f>
        <v>#REF!</v>
      </c>
      <c r="M672" s="204" t="e">
        <f>+'Estimate Details'!#REF!</f>
        <v>#REF!</v>
      </c>
      <c r="N672" s="170" t="e">
        <f>+'Estimate Details'!#REF!</f>
        <v>#REF!</v>
      </c>
      <c r="O672" s="171" t="e">
        <f>+'Estimate Details'!#REF!</f>
        <v>#REF!</v>
      </c>
      <c r="P672" s="172" t="e">
        <f>+'Estimate Details'!#REF!</f>
        <v>#REF!</v>
      </c>
      <c r="Q672" s="173" t="e">
        <f>+'Estimate Details'!#REF!</f>
        <v>#REF!</v>
      </c>
      <c r="R672" s="174" t="e">
        <f>+'Estimate Details'!#REF!</f>
        <v>#REF!</v>
      </c>
      <c r="S672" s="507"/>
      <c r="T672" s="174" t="e">
        <f>+'Estimate Details'!#REF!</f>
        <v>#REF!</v>
      </c>
      <c r="U672" s="481" t="s">
        <v>1309</v>
      </c>
      <c r="V672" s="172" t="e">
        <f>+'Estimate Details'!#REF!</f>
        <v>#REF!</v>
      </c>
      <c r="W672" s="481" t="s">
        <v>1309</v>
      </c>
      <c r="X672" s="172" t="e">
        <f>+'Estimate Details'!#REF!</f>
        <v>#REF!</v>
      </c>
      <c r="Y672" s="172" t="e">
        <f>+'Estimate Details'!#REF!</f>
        <v>#REF!</v>
      </c>
      <c r="Z672" s="174" t="e">
        <f>+'Estimate Details'!#REF!</f>
        <v>#REF!</v>
      </c>
      <c r="AA672" s="481"/>
      <c r="AB672" s="175" t="e">
        <f>+'Estimate Details'!#REF!</f>
        <v>#REF!</v>
      </c>
      <c r="AC672" s="569"/>
      <c r="AD672" s="176" t="e">
        <f>+'Estimate Details'!#REF!</f>
        <v>#REF!</v>
      </c>
      <c r="AE672" s="156"/>
      <c r="AF672" s="372"/>
      <c r="AG672" s="156"/>
      <c r="AH672" s="156"/>
      <c r="AI672" s="29"/>
      <c r="AJ672" s="29"/>
      <c r="AK672" s="29"/>
      <c r="AL672" s="29"/>
    </row>
    <row r="673" spans="1:38" ht="14.1" customHeight="1">
      <c r="A673" s="116" t="e">
        <f>+'Estimate Details'!#REF!</f>
        <v>#REF!</v>
      </c>
      <c r="B673" s="116"/>
      <c r="C673" s="116"/>
      <c r="D673" s="166"/>
      <c r="E673" s="158" t="e">
        <f>+'Estimate Details'!#REF!</f>
        <v>#REF!</v>
      </c>
      <c r="F673" s="41"/>
      <c r="G673" s="117" t="e">
        <f>+'Estimate Details'!#REF!</f>
        <v>#REF!</v>
      </c>
      <c r="H673" s="41" t="e">
        <f>+'Estimate Details'!#REF!</f>
        <v>#REF!</v>
      </c>
      <c r="I673" s="217" t="e">
        <f>+'Estimate Details'!#REF!</f>
        <v>#REF!</v>
      </c>
      <c r="J673" s="42" t="e">
        <f>+'Estimate Details'!#REF!</f>
        <v>#REF!</v>
      </c>
      <c r="K673" s="42" t="e">
        <f>+'Estimate Details'!#REF!</f>
        <v>#REF!</v>
      </c>
      <c r="L673" s="42" t="e">
        <f>+'Estimate Details'!#REF!</f>
        <v>#REF!</v>
      </c>
      <c r="M673" s="204" t="e">
        <f>+'Estimate Details'!#REF!</f>
        <v>#REF!</v>
      </c>
      <c r="N673" s="170" t="e">
        <f>+'Estimate Details'!#REF!</f>
        <v>#REF!</v>
      </c>
      <c r="O673" s="171" t="e">
        <f>+'Estimate Details'!#REF!</f>
        <v>#REF!</v>
      </c>
      <c r="P673" s="172" t="e">
        <f>+'Estimate Details'!#REF!</f>
        <v>#REF!</v>
      </c>
      <c r="Q673" s="173" t="e">
        <f>+'Estimate Details'!#REF!</f>
        <v>#REF!</v>
      </c>
      <c r="R673" s="174" t="e">
        <f>+'Estimate Details'!#REF!</f>
        <v>#REF!</v>
      </c>
      <c r="S673" s="507"/>
      <c r="T673" s="174" t="e">
        <f>+'Estimate Details'!#REF!</f>
        <v>#REF!</v>
      </c>
      <c r="U673" s="481" t="s">
        <v>1309</v>
      </c>
      <c r="V673" s="172" t="e">
        <f>+'Estimate Details'!#REF!</f>
        <v>#REF!</v>
      </c>
      <c r="W673" s="481" t="s">
        <v>1309</v>
      </c>
      <c r="X673" s="172" t="e">
        <f>+'Estimate Details'!#REF!</f>
        <v>#REF!</v>
      </c>
      <c r="Y673" s="172" t="e">
        <f>+'Estimate Details'!#REF!</f>
        <v>#REF!</v>
      </c>
      <c r="Z673" s="174" t="e">
        <f>+'Estimate Details'!#REF!</f>
        <v>#REF!</v>
      </c>
      <c r="AA673" s="481"/>
      <c r="AB673" s="175" t="e">
        <f>+'Estimate Details'!#REF!</f>
        <v>#REF!</v>
      </c>
      <c r="AC673" s="569"/>
      <c r="AD673" s="176" t="e">
        <f>+'Estimate Details'!#REF!</f>
        <v>#REF!</v>
      </c>
      <c r="AE673" s="156"/>
      <c r="AF673" s="372"/>
      <c r="AG673" s="156"/>
      <c r="AH673" s="156"/>
      <c r="AI673" s="29"/>
      <c r="AJ673" s="29"/>
      <c r="AK673" s="29"/>
      <c r="AL673" s="29"/>
    </row>
    <row r="674" spans="1:38" ht="14.1" customHeight="1">
      <c r="A674" s="116" t="e">
        <f>+'Estimate Details'!#REF!</f>
        <v>#REF!</v>
      </c>
      <c r="B674" s="116"/>
      <c r="C674" s="116"/>
      <c r="D674" s="166"/>
      <c r="E674" s="158" t="e">
        <f>+'Estimate Details'!#REF!</f>
        <v>#REF!</v>
      </c>
      <c r="F674" s="41"/>
      <c r="G674" s="117" t="e">
        <f>+'Estimate Details'!#REF!</f>
        <v>#REF!</v>
      </c>
      <c r="H674" s="41" t="e">
        <f>+'Estimate Details'!#REF!</f>
        <v>#REF!</v>
      </c>
      <c r="I674" s="217" t="e">
        <f>+'Estimate Details'!#REF!</f>
        <v>#REF!</v>
      </c>
      <c r="J674" s="42" t="e">
        <f>+'Estimate Details'!#REF!</f>
        <v>#REF!</v>
      </c>
      <c r="K674" s="42" t="e">
        <f>+'Estimate Details'!#REF!</f>
        <v>#REF!</v>
      </c>
      <c r="L674" s="42" t="e">
        <f>+'Estimate Details'!#REF!</f>
        <v>#REF!</v>
      </c>
      <c r="M674" s="204" t="e">
        <f>+'Estimate Details'!#REF!</f>
        <v>#REF!</v>
      </c>
      <c r="N674" s="170" t="e">
        <f>+'Estimate Details'!#REF!</f>
        <v>#REF!</v>
      </c>
      <c r="O674" s="171" t="e">
        <f>+'Estimate Details'!#REF!</f>
        <v>#REF!</v>
      </c>
      <c r="P674" s="172" t="e">
        <f>+'Estimate Details'!#REF!</f>
        <v>#REF!</v>
      </c>
      <c r="Q674" s="173" t="e">
        <f>+'Estimate Details'!#REF!</f>
        <v>#REF!</v>
      </c>
      <c r="R674" s="174" t="e">
        <f>+'Estimate Details'!#REF!</f>
        <v>#REF!</v>
      </c>
      <c r="S674" s="507"/>
      <c r="T674" s="174" t="e">
        <f>+'Estimate Details'!#REF!</f>
        <v>#REF!</v>
      </c>
      <c r="U674" s="481" t="s">
        <v>1309</v>
      </c>
      <c r="V674" s="172" t="e">
        <f>+'Estimate Details'!#REF!</f>
        <v>#REF!</v>
      </c>
      <c r="W674" s="481" t="s">
        <v>1309</v>
      </c>
      <c r="X674" s="172" t="e">
        <f>+'Estimate Details'!#REF!</f>
        <v>#REF!</v>
      </c>
      <c r="Y674" s="172" t="e">
        <f>+'Estimate Details'!#REF!</f>
        <v>#REF!</v>
      </c>
      <c r="Z674" s="174" t="e">
        <f>+'Estimate Details'!#REF!</f>
        <v>#REF!</v>
      </c>
      <c r="AA674" s="481"/>
      <c r="AB674" s="175" t="e">
        <f>+'Estimate Details'!#REF!</f>
        <v>#REF!</v>
      </c>
      <c r="AC674" s="569"/>
      <c r="AD674" s="176" t="e">
        <f>+'Estimate Details'!#REF!</f>
        <v>#REF!</v>
      </c>
      <c r="AE674" s="156"/>
      <c r="AF674" s="372"/>
      <c r="AG674" s="156"/>
      <c r="AH674" s="156"/>
      <c r="AI674" s="29"/>
      <c r="AJ674" s="29"/>
      <c r="AK674" s="29"/>
      <c r="AL674" s="29"/>
    </row>
    <row r="675" spans="1:38" ht="14.1" customHeight="1">
      <c r="A675" s="116" t="e">
        <f>+'Estimate Details'!#REF!</f>
        <v>#REF!</v>
      </c>
      <c r="B675" s="116"/>
      <c r="C675" s="116"/>
      <c r="D675" s="166"/>
      <c r="E675" s="158" t="e">
        <f>+'Estimate Details'!#REF!</f>
        <v>#REF!</v>
      </c>
      <c r="F675" s="41"/>
      <c r="G675" s="117" t="e">
        <f>+'Estimate Details'!#REF!</f>
        <v>#REF!</v>
      </c>
      <c r="H675" s="41" t="e">
        <f>+'Estimate Details'!#REF!</f>
        <v>#REF!</v>
      </c>
      <c r="I675" s="108" t="e">
        <f>+'Estimate Details'!#REF!</f>
        <v>#REF!</v>
      </c>
      <c r="J675" s="42" t="e">
        <f>+'Estimate Details'!#REF!</f>
        <v>#REF!</v>
      </c>
      <c r="K675" s="42" t="e">
        <f>+'Estimate Details'!#REF!</f>
        <v>#REF!</v>
      </c>
      <c r="L675" s="42" t="e">
        <f>+'Estimate Details'!#REF!</f>
        <v>#REF!</v>
      </c>
      <c r="M675" s="177" t="e">
        <f>+'Estimate Details'!#REF!</f>
        <v>#REF!</v>
      </c>
      <c r="N675" s="170" t="e">
        <f>+'Estimate Details'!#REF!</f>
        <v>#REF!</v>
      </c>
      <c r="O675" s="171" t="e">
        <f>+'Estimate Details'!#REF!</f>
        <v>#REF!</v>
      </c>
      <c r="P675" s="172" t="e">
        <f>+'Estimate Details'!#REF!</f>
        <v>#REF!</v>
      </c>
      <c r="Q675" s="173" t="e">
        <f>+'Estimate Details'!#REF!</f>
        <v>#REF!</v>
      </c>
      <c r="R675" s="174" t="e">
        <f>+'Estimate Details'!#REF!</f>
        <v>#REF!</v>
      </c>
      <c r="S675" s="507"/>
      <c r="T675" s="174" t="e">
        <f>+'Estimate Details'!#REF!</f>
        <v>#REF!</v>
      </c>
      <c r="U675" s="481" t="s">
        <v>1309</v>
      </c>
      <c r="V675" s="172" t="e">
        <f>+'Estimate Details'!#REF!</f>
        <v>#REF!</v>
      </c>
      <c r="W675" s="481" t="s">
        <v>1309</v>
      </c>
      <c r="X675" s="172" t="e">
        <f>+'Estimate Details'!#REF!</f>
        <v>#REF!</v>
      </c>
      <c r="Y675" s="172" t="e">
        <f>+'Estimate Details'!#REF!</f>
        <v>#REF!</v>
      </c>
      <c r="Z675" s="174" t="e">
        <f>+'Estimate Details'!#REF!</f>
        <v>#REF!</v>
      </c>
      <c r="AA675" s="481"/>
      <c r="AB675" s="175" t="e">
        <f>+'Estimate Details'!#REF!</f>
        <v>#REF!</v>
      </c>
      <c r="AC675" s="569"/>
      <c r="AD675" s="176" t="e">
        <f>+'Estimate Details'!#REF!</f>
        <v>#REF!</v>
      </c>
      <c r="AE675" s="156"/>
      <c r="AF675" s="372"/>
      <c r="AG675" s="156"/>
      <c r="AH675" s="156"/>
      <c r="AI675" s="29"/>
      <c r="AJ675" s="29"/>
      <c r="AK675" s="29"/>
      <c r="AL675" s="29"/>
    </row>
    <row r="676" spans="1:38" ht="14.1" customHeight="1">
      <c r="A676" s="116" t="e">
        <f>+'Estimate Details'!#REF!</f>
        <v>#REF!</v>
      </c>
      <c r="B676" s="116"/>
      <c r="C676" s="116"/>
      <c r="D676" s="166"/>
      <c r="E676" s="158" t="e">
        <f>+'Estimate Details'!#REF!</f>
        <v>#REF!</v>
      </c>
      <c r="F676" s="41"/>
      <c r="G676" s="117" t="e">
        <f>+'Estimate Details'!#REF!</f>
        <v>#REF!</v>
      </c>
      <c r="H676" s="41" t="e">
        <f>+'Estimate Details'!#REF!</f>
        <v>#REF!</v>
      </c>
      <c r="I676" s="108" t="e">
        <f>+'Estimate Details'!#REF!</f>
        <v>#REF!</v>
      </c>
      <c r="J676" s="192" t="e">
        <f>+'Estimate Details'!#REF!</f>
        <v>#REF!</v>
      </c>
      <c r="K676" s="42" t="e">
        <f>+'Estimate Details'!#REF!</f>
        <v>#REF!</v>
      </c>
      <c r="L676" s="42" t="e">
        <f>+'Estimate Details'!#REF!</f>
        <v>#REF!</v>
      </c>
      <c r="M676" s="177" t="e">
        <f>+'Estimate Details'!#REF!</f>
        <v>#REF!</v>
      </c>
      <c r="N676" s="170" t="e">
        <f>+'Estimate Details'!#REF!</f>
        <v>#REF!</v>
      </c>
      <c r="O676" s="171" t="e">
        <f>+'Estimate Details'!#REF!</f>
        <v>#REF!</v>
      </c>
      <c r="P676" s="172" t="e">
        <f>+'Estimate Details'!#REF!</f>
        <v>#REF!</v>
      </c>
      <c r="Q676" s="173" t="e">
        <f>+'Estimate Details'!#REF!</f>
        <v>#REF!</v>
      </c>
      <c r="R676" s="174" t="e">
        <f>+'Estimate Details'!#REF!</f>
        <v>#REF!</v>
      </c>
      <c r="S676" s="507"/>
      <c r="T676" s="174" t="e">
        <f>+'Estimate Details'!#REF!</f>
        <v>#REF!</v>
      </c>
      <c r="U676" s="481" t="s">
        <v>1309</v>
      </c>
      <c r="V676" s="172" t="e">
        <f>+'Estimate Details'!#REF!</f>
        <v>#REF!</v>
      </c>
      <c r="W676" s="481" t="s">
        <v>1309</v>
      </c>
      <c r="X676" s="172" t="e">
        <f>+'Estimate Details'!#REF!</f>
        <v>#REF!</v>
      </c>
      <c r="Y676" s="172" t="e">
        <f>+'Estimate Details'!#REF!</f>
        <v>#REF!</v>
      </c>
      <c r="Z676" s="174" t="e">
        <f>+'Estimate Details'!#REF!</f>
        <v>#REF!</v>
      </c>
      <c r="AA676" s="481"/>
      <c r="AB676" s="175" t="e">
        <f>+'Estimate Details'!#REF!</f>
        <v>#REF!</v>
      </c>
      <c r="AC676" s="569"/>
      <c r="AD676" s="176" t="e">
        <f>+'Estimate Details'!#REF!</f>
        <v>#REF!</v>
      </c>
      <c r="AE676" s="156"/>
      <c r="AF676" s="156"/>
      <c r="AG676" s="156"/>
      <c r="AH676" s="156"/>
      <c r="AI676" s="29"/>
      <c r="AJ676" s="29"/>
      <c r="AK676" s="29"/>
      <c r="AL676" s="29"/>
    </row>
    <row r="677" spans="1:38" ht="14.1" customHeight="1">
      <c r="A677" s="116" t="e">
        <f>+'Estimate Details'!#REF!</f>
        <v>#REF!</v>
      </c>
      <c r="B677" s="116"/>
      <c r="C677" s="116"/>
      <c r="D677" s="166"/>
      <c r="E677" s="158" t="e">
        <f>+'Estimate Details'!#REF!</f>
        <v>#REF!</v>
      </c>
      <c r="F677" s="41"/>
      <c r="G677" s="117" t="e">
        <f>+'Estimate Details'!#REF!</f>
        <v>#REF!</v>
      </c>
      <c r="H677" s="41" t="e">
        <f>+'Estimate Details'!#REF!</f>
        <v>#REF!</v>
      </c>
      <c r="I677" s="108" t="e">
        <f>+'Estimate Details'!#REF!</f>
        <v>#REF!</v>
      </c>
      <c r="J677" s="192" t="e">
        <f>+'Estimate Details'!#REF!</f>
        <v>#REF!</v>
      </c>
      <c r="K677" s="42" t="e">
        <f>+'Estimate Details'!#REF!</f>
        <v>#REF!</v>
      </c>
      <c r="L677" s="42" t="e">
        <f>+'Estimate Details'!#REF!</f>
        <v>#REF!</v>
      </c>
      <c r="M677" s="177" t="e">
        <f>+'Estimate Details'!#REF!</f>
        <v>#REF!</v>
      </c>
      <c r="N677" s="170" t="e">
        <f>+'Estimate Details'!#REF!</f>
        <v>#REF!</v>
      </c>
      <c r="O677" s="171" t="e">
        <f>+'Estimate Details'!#REF!</f>
        <v>#REF!</v>
      </c>
      <c r="P677" s="172" t="e">
        <f>+'Estimate Details'!#REF!</f>
        <v>#REF!</v>
      </c>
      <c r="Q677" s="173" t="e">
        <f>+'Estimate Details'!#REF!</f>
        <v>#REF!</v>
      </c>
      <c r="R677" s="174" t="e">
        <f>+'Estimate Details'!#REF!</f>
        <v>#REF!</v>
      </c>
      <c r="S677" s="507"/>
      <c r="T677" s="174" t="e">
        <f>+'Estimate Details'!#REF!</f>
        <v>#REF!</v>
      </c>
      <c r="U677" s="481" t="s">
        <v>1309</v>
      </c>
      <c r="V677" s="172" t="e">
        <f>+'Estimate Details'!#REF!</f>
        <v>#REF!</v>
      </c>
      <c r="W677" s="481" t="s">
        <v>1309</v>
      </c>
      <c r="X677" s="172" t="e">
        <f>+'Estimate Details'!#REF!</f>
        <v>#REF!</v>
      </c>
      <c r="Y677" s="172" t="e">
        <f>+'Estimate Details'!#REF!</f>
        <v>#REF!</v>
      </c>
      <c r="Z677" s="174" t="e">
        <f>+'Estimate Details'!#REF!</f>
        <v>#REF!</v>
      </c>
      <c r="AA677" s="481"/>
      <c r="AB677" s="175" t="e">
        <f>+'Estimate Details'!#REF!</f>
        <v>#REF!</v>
      </c>
      <c r="AC677" s="569"/>
      <c r="AD677" s="176" t="e">
        <f>+'Estimate Details'!#REF!</f>
        <v>#REF!</v>
      </c>
      <c r="AE677" s="156"/>
      <c r="AF677" s="372"/>
      <c r="AG677" s="156"/>
      <c r="AH677" s="156"/>
      <c r="AI677" s="29"/>
      <c r="AJ677" s="29"/>
      <c r="AK677" s="29"/>
      <c r="AL677" s="29"/>
    </row>
    <row r="678" spans="1:38" ht="14.1" customHeight="1">
      <c r="A678" s="116" t="e">
        <f>+'Estimate Details'!#REF!</f>
        <v>#REF!</v>
      </c>
      <c r="B678" s="116"/>
      <c r="C678" s="116"/>
      <c r="D678" s="166"/>
      <c r="E678" s="158" t="e">
        <f>+'Estimate Details'!#REF!</f>
        <v>#REF!</v>
      </c>
      <c r="F678" s="41"/>
      <c r="G678" s="117" t="e">
        <f>+'Estimate Details'!#REF!</f>
        <v>#REF!</v>
      </c>
      <c r="H678" s="41" t="e">
        <f>+'Estimate Details'!#REF!</f>
        <v>#REF!</v>
      </c>
      <c r="I678" s="108" t="e">
        <f>+'Estimate Details'!#REF!</f>
        <v>#REF!</v>
      </c>
      <c r="J678" s="42" t="e">
        <f>+'Estimate Details'!#REF!</f>
        <v>#REF!</v>
      </c>
      <c r="K678" s="42" t="e">
        <f>+'Estimate Details'!#REF!</f>
        <v>#REF!</v>
      </c>
      <c r="L678" s="42" t="e">
        <f>+'Estimate Details'!#REF!</f>
        <v>#REF!</v>
      </c>
      <c r="M678" s="204" t="e">
        <f>+'Estimate Details'!#REF!</f>
        <v>#REF!</v>
      </c>
      <c r="N678" s="170" t="e">
        <f>+'Estimate Details'!#REF!</f>
        <v>#REF!</v>
      </c>
      <c r="O678" s="171" t="e">
        <f>+'Estimate Details'!#REF!</f>
        <v>#REF!</v>
      </c>
      <c r="P678" s="172" t="e">
        <f>+'Estimate Details'!#REF!</f>
        <v>#REF!</v>
      </c>
      <c r="Q678" s="173" t="e">
        <f>+'Estimate Details'!#REF!</f>
        <v>#REF!</v>
      </c>
      <c r="R678" s="174" t="e">
        <f>+'Estimate Details'!#REF!</f>
        <v>#REF!</v>
      </c>
      <c r="S678" s="507"/>
      <c r="T678" s="174" t="e">
        <f>+'Estimate Details'!#REF!</f>
        <v>#REF!</v>
      </c>
      <c r="U678" s="481" t="s">
        <v>1309</v>
      </c>
      <c r="V678" s="172" t="e">
        <f>+'Estimate Details'!#REF!</f>
        <v>#REF!</v>
      </c>
      <c r="W678" s="481" t="s">
        <v>1309</v>
      </c>
      <c r="X678" s="172" t="e">
        <f>+'Estimate Details'!#REF!</f>
        <v>#REF!</v>
      </c>
      <c r="Y678" s="172" t="e">
        <f>+'Estimate Details'!#REF!</f>
        <v>#REF!</v>
      </c>
      <c r="Z678" s="174" t="e">
        <f>+'Estimate Details'!#REF!</f>
        <v>#REF!</v>
      </c>
      <c r="AA678" s="481"/>
      <c r="AB678" s="175" t="e">
        <f>+'Estimate Details'!#REF!</f>
        <v>#REF!</v>
      </c>
      <c r="AC678" s="569"/>
      <c r="AD678" s="176" t="e">
        <f>+'Estimate Details'!#REF!</f>
        <v>#REF!</v>
      </c>
      <c r="AE678" s="156"/>
      <c r="AF678" s="372"/>
      <c r="AG678" s="156"/>
      <c r="AH678" s="156"/>
      <c r="AI678" s="29"/>
      <c r="AJ678" s="29"/>
      <c r="AK678" s="29"/>
      <c r="AL678" s="29"/>
    </row>
    <row r="679" spans="1:38">
      <c r="A679" s="116" t="e">
        <f>+'Estimate Details'!#REF!</f>
        <v>#REF!</v>
      </c>
      <c r="B679" s="116"/>
      <c r="C679" s="116"/>
      <c r="D679" s="166"/>
      <c r="E679" s="158" t="e">
        <f>+'Estimate Details'!#REF!</f>
        <v>#REF!</v>
      </c>
      <c r="F679" s="41"/>
      <c r="G679" s="117" t="e">
        <f>+'Estimate Details'!#REF!</f>
        <v>#REF!</v>
      </c>
      <c r="H679" s="118" t="e">
        <f>+'Estimate Details'!#REF!</f>
        <v>#REF!</v>
      </c>
      <c r="I679" s="108" t="e">
        <f>+'Estimate Details'!#REF!</f>
        <v>#REF!</v>
      </c>
      <c r="J679" s="168" t="e">
        <f>+'Estimate Details'!#REF!</f>
        <v>#REF!</v>
      </c>
      <c r="K679" s="42" t="e">
        <f>+'Estimate Details'!#REF!</f>
        <v>#REF!</v>
      </c>
      <c r="L679" s="42" t="e">
        <f>+'Estimate Details'!#REF!</f>
        <v>#REF!</v>
      </c>
      <c r="M679" s="204" t="e">
        <f>+'Estimate Details'!#REF!</f>
        <v>#REF!</v>
      </c>
      <c r="N679" s="170" t="e">
        <f>+'Estimate Details'!#REF!</f>
        <v>#REF!</v>
      </c>
      <c r="O679" s="171" t="e">
        <f>+'Estimate Details'!#REF!</f>
        <v>#REF!</v>
      </c>
      <c r="P679" s="172" t="e">
        <f>+'Estimate Details'!#REF!</f>
        <v>#REF!</v>
      </c>
      <c r="Q679" s="173" t="e">
        <f>+'Estimate Details'!#REF!</f>
        <v>#REF!</v>
      </c>
      <c r="R679" s="174" t="e">
        <f>+'Estimate Details'!#REF!</f>
        <v>#REF!</v>
      </c>
      <c r="S679" s="507"/>
      <c r="T679" s="174" t="e">
        <f>+'Estimate Details'!#REF!</f>
        <v>#REF!</v>
      </c>
      <c r="U679" s="481" t="s">
        <v>1309</v>
      </c>
      <c r="V679" s="172" t="e">
        <f>+'Estimate Details'!#REF!</f>
        <v>#REF!</v>
      </c>
      <c r="W679" s="481" t="s">
        <v>1309</v>
      </c>
      <c r="X679" s="172" t="e">
        <f>+'Estimate Details'!#REF!</f>
        <v>#REF!</v>
      </c>
      <c r="Y679" s="172" t="e">
        <f>+'Estimate Details'!#REF!</f>
        <v>#REF!</v>
      </c>
      <c r="Z679" s="174" t="e">
        <f>+'Estimate Details'!#REF!</f>
        <v>#REF!</v>
      </c>
      <c r="AA679" s="481"/>
      <c r="AB679" s="175" t="e">
        <f>+'Estimate Details'!#REF!</f>
        <v>#REF!</v>
      </c>
      <c r="AC679" s="569"/>
      <c r="AD679" s="176" t="e">
        <f>+'Estimate Details'!#REF!</f>
        <v>#REF!</v>
      </c>
      <c r="AE679" s="156"/>
      <c r="AF679" s="156"/>
      <c r="AG679" s="156"/>
      <c r="AH679" s="156"/>
      <c r="AI679" s="29"/>
      <c r="AJ679" s="29"/>
      <c r="AK679" s="29"/>
      <c r="AL679" s="29"/>
    </row>
    <row r="680" spans="1:38">
      <c r="A680" s="116" t="e">
        <f>+'Estimate Details'!#REF!</f>
        <v>#REF!</v>
      </c>
      <c r="B680" s="116"/>
      <c r="C680" s="116"/>
      <c r="D680" s="166"/>
      <c r="E680" s="158" t="e">
        <f>+'Estimate Details'!#REF!</f>
        <v>#REF!</v>
      </c>
      <c r="F680" s="160"/>
      <c r="G680" s="197" t="e">
        <f>+'Estimate Details'!#REF!</f>
        <v>#REF!</v>
      </c>
      <c r="H680" s="160" t="e">
        <f>+'Estimate Details'!#REF!</f>
        <v>#REF!</v>
      </c>
      <c r="I680" s="199" t="e">
        <f>+'Estimate Details'!#REF!</f>
        <v>#REF!</v>
      </c>
      <c r="J680" s="385" t="e">
        <f>+'Estimate Details'!#REF!</f>
        <v>#REF!</v>
      </c>
      <c r="K680" s="158" t="e">
        <f>+'Estimate Details'!#REF!</f>
        <v>#REF!</v>
      </c>
      <c r="L680" s="158" t="e">
        <f>+'Estimate Details'!#REF!</f>
        <v>#REF!</v>
      </c>
      <c r="M680" s="201" t="e">
        <f>+'Estimate Details'!#REF!</f>
        <v>#REF!</v>
      </c>
      <c r="N680" s="213" t="e">
        <f>+'Estimate Details'!#REF!</f>
        <v>#REF!</v>
      </c>
      <c r="O680" s="162" t="e">
        <f>+'Estimate Details'!#REF!</f>
        <v>#REF!</v>
      </c>
      <c r="P680" s="163" t="e">
        <f>+'Estimate Details'!#REF!</f>
        <v>#REF!</v>
      </c>
      <c r="Q680" s="203" t="e">
        <f>+'Estimate Details'!#REF!</f>
        <v>#REF!</v>
      </c>
      <c r="R680" s="164" t="e">
        <f>+'Estimate Details'!#REF!</f>
        <v>#REF!</v>
      </c>
      <c r="S680" s="506"/>
      <c r="T680" s="164" t="e">
        <f>+'Estimate Details'!#REF!</f>
        <v>#REF!</v>
      </c>
      <c r="U680" s="486" t="s">
        <v>1310</v>
      </c>
      <c r="V680" s="163" t="e">
        <f>+'Estimate Details'!#REF!</f>
        <v>#REF!</v>
      </c>
      <c r="W680" s="486" t="s">
        <v>1310</v>
      </c>
      <c r="X680" s="163" t="e">
        <f>+'Estimate Details'!#REF!</f>
        <v>#REF!</v>
      </c>
      <c r="Y680" s="163" t="e">
        <f>+'Estimate Details'!#REF!</f>
        <v>#REF!</v>
      </c>
      <c r="Z680" s="164" t="e">
        <f>+'Estimate Details'!#REF!</f>
        <v>#REF!</v>
      </c>
      <c r="AA680" s="486"/>
      <c r="AB680" s="165" t="e">
        <f>+'Estimate Details'!#REF!</f>
        <v>#REF!</v>
      </c>
      <c r="AC680" s="568"/>
      <c r="AD680" s="176" t="e">
        <f>+'Estimate Details'!#REF!</f>
        <v>#REF!</v>
      </c>
      <c r="AE680" s="244"/>
      <c r="AF680" s="156"/>
      <c r="AG680" s="156"/>
      <c r="AH680" s="156"/>
      <c r="AI680" s="29"/>
      <c r="AJ680" s="29"/>
      <c r="AK680" s="29"/>
      <c r="AL680" s="29"/>
    </row>
    <row r="681" spans="1:38" ht="13.5" customHeight="1">
      <c r="A681" s="116" t="e">
        <f>+'Estimate Details'!#REF!</f>
        <v>#REF!</v>
      </c>
      <c r="B681" s="116"/>
      <c r="C681" s="116"/>
      <c r="D681" s="166"/>
      <c r="E681" s="158" t="e">
        <f>+'Estimate Details'!#REF!</f>
        <v>#REF!</v>
      </c>
      <c r="F681" s="160"/>
      <c r="G681" s="197" t="e">
        <f>+'Estimate Details'!#REF!</f>
        <v>#REF!</v>
      </c>
      <c r="H681" s="160" t="e">
        <f>+'Estimate Details'!#REF!</f>
        <v>#REF!</v>
      </c>
      <c r="I681" s="199" t="e">
        <f>+'Estimate Details'!#REF!</f>
        <v>#REF!</v>
      </c>
      <c r="J681" s="385" t="e">
        <f>+'Estimate Details'!#REF!</f>
        <v>#REF!</v>
      </c>
      <c r="K681" s="158" t="e">
        <f>+'Estimate Details'!#REF!</f>
        <v>#REF!</v>
      </c>
      <c r="L681" s="158" t="e">
        <f>+'Estimate Details'!#REF!</f>
        <v>#REF!</v>
      </c>
      <c r="M681" s="201" t="e">
        <f>+'Estimate Details'!#REF!</f>
        <v>#REF!</v>
      </c>
      <c r="N681" s="213" t="e">
        <f>+'Estimate Details'!#REF!</f>
        <v>#REF!</v>
      </c>
      <c r="O681" s="162" t="e">
        <f>+'Estimate Details'!#REF!</f>
        <v>#REF!</v>
      </c>
      <c r="P681" s="163" t="e">
        <f>+'Estimate Details'!#REF!</f>
        <v>#REF!</v>
      </c>
      <c r="Q681" s="203" t="e">
        <f>+'Estimate Details'!#REF!</f>
        <v>#REF!</v>
      </c>
      <c r="R681" s="164" t="e">
        <f>+'Estimate Details'!#REF!</f>
        <v>#REF!</v>
      </c>
      <c r="S681" s="506"/>
      <c r="T681" s="164" t="e">
        <f>+'Estimate Details'!#REF!</f>
        <v>#REF!</v>
      </c>
      <c r="U681" s="486" t="s">
        <v>1310</v>
      </c>
      <c r="V681" s="163" t="e">
        <f>+'Estimate Details'!#REF!</f>
        <v>#REF!</v>
      </c>
      <c r="W681" s="486" t="s">
        <v>1310</v>
      </c>
      <c r="X681" s="172" t="e">
        <f>+'Estimate Details'!#REF!</f>
        <v>#REF!</v>
      </c>
      <c r="Y681" s="163" t="e">
        <f>+'Estimate Details'!#REF!</f>
        <v>#REF!</v>
      </c>
      <c r="Z681" s="164" t="e">
        <f>+'Estimate Details'!#REF!</f>
        <v>#REF!</v>
      </c>
      <c r="AA681" s="486"/>
      <c r="AB681" s="165" t="e">
        <f>+'Estimate Details'!#REF!</f>
        <v>#REF!</v>
      </c>
      <c r="AC681" s="568"/>
      <c r="AD681" s="176" t="e">
        <f>+'Estimate Details'!#REF!</f>
        <v>#REF!</v>
      </c>
      <c r="AE681" s="244"/>
      <c r="AF681" s="156"/>
      <c r="AG681" s="156"/>
      <c r="AH681" s="156"/>
      <c r="AI681" s="29"/>
      <c r="AJ681" s="29"/>
      <c r="AK681" s="29"/>
      <c r="AL681" s="29"/>
    </row>
    <row r="682" spans="1:38">
      <c r="A682" s="116" t="e">
        <f>+'Estimate Details'!#REF!</f>
        <v>#REF!</v>
      </c>
      <c r="B682" s="116"/>
      <c r="C682" s="116"/>
      <c r="D682" s="166"/>
      <c r="E682" s="158" t="e">
        <f>+'Estimate Details'!#REF!</f>
        <v>#REF!</v>
      </c>
      <c r="F682" s="41"/>
      <c r="G682" s="375" t="e">
        <f>+'Estimate Details'!#REF!</f>
        <v>#REF!</v>
      </c>
      <c r="H682" s="41" t="e">
        <f>+'Estimate Details'!#REF!</f>
        <v>#REF!</v>
      </c>
      <c r="I682" s="108" t="e">
        <f>+'Estimate Details'!#REF!</f>
        <v>#REF!</v>
      </c>
      <c r="J682" s="192" t="e">
        <f>+'Estimate Details'!#REF!</f>
        <v>#REF!</v>
      </c>
      <c r="K682" s="42" t="e">
        <f>+'Estimate Details'!#REF!</f>
        <v>#REF!</v>
      </c>
      <c r="L682" s="42" t="e">
        <f>+'Estimate Details'!#REF!</f>
        <v>#REF!</v>
      </c>
      <c r="M682" s="177" t="e">
        <f>+'Estimate Details'!#REF!</f>
        <v>#REF!</v>
      </c>
      <c r="N682" s="170" t="e">
        <f>+'Estimate Details'!#REF!</f>
        <v>#REF!</v>
      </c>
      <c r="O682" s="171" t="e">
        <f>+'Estimate Details'!#REF!</f>
        <v>#REF!</v>
      </c>
      <c r="P682" s="172" t="e">
        <f>+'Estimate Details'!#REF!</f>
        <v>#REF!</v>
      </c>
      <c r="Q682" s="173" t="e">
        <f>+'Estimate Details'!#REF!</f>
        <v>#REF!</v>
      </c>
      <c r="R682" s="174" t="e">
        <f>+'Estimate Details'!#REF!</f>
        <v>#REF!</v>
      </c>
      <c r="S682" s="507"/>
      <c r="T682" s="174" t="e">
        <f>+'Estimate Details'!#REF!</f>
        <v>#REF!</v>
      </c>
      <c r="U682" s="486" t="s">
        <v>1310</v>
      </c>
      <c r="V682" s="172" t="e">
        <f>+'Estimate Details'!#REF!</f>
        <v>#REF!</v>
      </c>
      <c r="W682" s="481" t="s">
        <v>1310</v>
      </c>
      <c r="X682" s="172" t="e">
        <f>+'Estimate Details'!#REF!</f>
        <v>#REF!</v>
      </c>
      <c r="Y682" s="172" t="e">
        <f>+'Estimate Details'!#REF!</f>
        <v>#REF!</v>
      </c>
      <c r="Z682" s="174" t="e">
        <f>+'Estimate Details'!#REF!</f>
        <v>#REF!</v>
      </c>
      <c r="AA682" s="481"/>
      <c r="AB682" s="175" t="e">
        <f>+'Estimate Details'!#REF!</f>
        <v>#REF!</v>
      </c>
      <c r="AC682" s="569"/>
      <c r="AD682" s="176" t="e">
        <f>+'Estimate Details'!#REF!</f>
        <v>#REF!</v>
      </c>
      <c r="AE682" s="156"/>
      <c r="AF682" s="156"/>
      <c r="AG682" s="156"/>
      <c r="AH682" s="156"/>
      <c r="AI682" s="29"/>
      <c r="AJ682" s="29"/>
      <c r="AK682" s="29"/>
      <c r="AL682" s="29"/>
    </row>
    <row r="683" spans="1:38" ht="14.1" customHeight="1">
      <c r="A683" s="116" t="e">
        <f>+'Estimate Details'!#REF!</f>
        <v>#REF!</v>
      </c>
      <c r="B683" s="116"/>
      <c r="C683" s="116"/>
      <c r="D683" s="166"/>
      <c r="E683" s="158" t="e">
        <f>+'Estimate Details'!#REF!</f>
        <v>#REF!</v>
      </c>
      <c r="F683" s="41"/>
      <c r="G683" s="117" t="e">
        <f>+'Estimate Details'!#REF!</f>
        <v>#REF!</v>
      </c>
      <c r="H683" s="41" t="e">
        <f>+'Estimate Details'!#REF!</f>
        <v>#REF!</v>
      </c>
      <c r="I683" s="108" t="e">
        <f>+'Estimate Details'!#REF!</f>
        <v>#REF!</v>
      </c>
      <c r="J683" s="42" t="e">
        <f>+'Estimate Details'!#REF!</f>
        <v>#REF!</v>
      </c>
      <c r="K683" s="42" t="e">
        <f>+'Estimate Details'!#REF!</f>
        <v>#REF!</v>
      </c>
      <c r="L683" s="42" t="e">
        <f>+'Estimate Details'!#REF!</f>
        <v>#REF!</v>
      </c>
      <c r="M683" s="177" t="e">
        <f>+'Estimate Details'!#REF!</f>
        <v>#REF!</v>
      </c>
      <c r="N683" s="170" t="e">
        <f>+'Estimate Details'!#REF!</f>
        <v>#REF!</v>
      </c>
      <c r="O683" s="171" t="e">
        <f>+'Estimate Details'!#REF!</f>
        <v>#REF!</v>
      </c>
      <c r="P683" s="172" t="e">
        <f>+'Estimate Details'!#REF!</f>
        <v>#REF!</v>
      </c>
      <c r="Q683" s="173" t="e">
        <f>+'Estimate Details'!#REF!</f>
        <v>#REF!</v>
      </c>
      <c r="R683" s="174" t="e">
        <f>+'Estimate Details'!#REF!</f>
        <v>#REF!</v>
      </c>
      <c r="S683" s="507"/>
      <c r="T683" s="174" t="e">
        <f>+'Estimate Details'!#REF!</f>
        <v>#REF!</v>
      </c>
      <c r="U683" s="481"/>
      <c r="V683" s="172" t="e">
        <f>+'Estimate Details'!#REF!</f>
        <v>#REF!</v>
      </c>
      <c r="W683" s="481"/>
      <c r="X683" s="172" t="e">
        <f>+'Estimate Details'!#REF!</f>
        <v>#REF!</v>
      </c>
      <c r="Y683" s="172" t="e">
        <f>+'Estimate Details'!#REF!</f>
        <v>#REF!</v>
      </c>
      <c r="Z683" s="174" t="e">
        <f>+'Estimate Details'!#REF!</f>
        <v>#REF!</v>
      </c>
      <c r="AA683" s="481" t="s">
        <v>1310</v>
      </c>
      <c r="AB683" s="175" t="e">
        <f>+'Estimate Details'!#REF!</f>
        <v>#REF!</v>
      </c>
      <c r="AC683" s="569"/>
      <c r="AD683" s="176" t="e">
        <f>+'Estimate Details'!#REF!</f>
        <v>#REF!</v>
      </c>
      <c r="AE683" s="156"/>
      <c r="AF683" s="156"/>
      <c r="AG683" s="156"/>
      <c r="AH683" s="156"/>
      <c r="AI683" s="29"/>
      <c r="AJ683" s="29"/>
      <c r="AK683" s="29"/>
      <c r="AL683" s="29"/>
    </row>
    <row r="684" spans="1:38" ht="14.1" customHeight="1">
      <c r="A684" s="116" t="e">
        <f>+'Estimate Details'!#REF!</f>
        <v>#REF!</v>
      </c>
      <c r="B684" s="116"/>
      <c r="C684" s="116"/>
      <c r="D684" s="166"/>
      <c r="E684" s="158" t="e">
        <f>+'Estimate Details'!#REF!</f>
        <v>#REF!</v>
      </c>
      <c r="F684" s="41"/>
      <c r="G684" s="117" t="e">
        <f>+'Estimate Details'!#REF!</f>
        <v>#REF!</v>
      </c>
      <c r="H684" s="41" t="e">
        <f>+'Estimate Details'!#REF!</f>
        <v>#REF!</v>
      </c>
      <c r="I684" s="108" t="e">
        <f>+'Estimate Details'!#REF!</f>
        <v>#REF!</v>
      </c>
      <c r="J684" s="42" t="e">
        <f>+'Estimate Details'!#REF!</f>
        <v>#REF!</v>
      </c>
      <c r="K684" s="42" t="e">
        <f>+'Estimate Details'!#REF!</f>
        <v>#REF!</v>
      </c>
      <c r="L684" s="42" t="e">
        <f>+'Estimate Details'!#REF!</f>
        <v>#REF!</v>
      </c>
      <c r="M684" s="177" t="e">
        <f>+'Estimate Details'!#REF!</f>
        <v>#REF!</v>
      </c>
      <c r="N684" s="170" t="e">
        <f>+'Estimate Details'!#REF!</f>
        <v>#REF!</v>
      </c>
      <c r="O684" s="171" t="e">
        <f>+'Estimate Details'!#REF!</f>
        <v>#REF!</v>
      </c>
      <c r="P684" s="172" t="e">
        <f>+'Estimate Details'!#REF!</f>
        <v>#REF!</v>
      </c>
      <c r="Q684" s="173" t="e">
        <f>+'Estimate Details'!#REF!</f>
        <v>#REF!</v>
      </c>
      <c r="R684" s="174" t="e">
        <f>+'Estimate Details'!#REF!</f>
        <v>#REF!</v>
      </c>
      <c r="S684" s="507"/>
      <c r="T684" s="174" t="e">
        <f>+'Estimate Details'!#REF!</f>
        <v>#REF!</v>
      </c>
      <c r="U684" s="481"/>
      <c r="V684" s="172" t="e">
        <f>+'Estimate Details'!#REF!</f>
        <v>#REF!</v>
      </c>
      <c r="W684" s="481"/>
      <c r="X684" s="172" t="e">
        <f>+'Estimate Details'!#REF!</f>
        <v>#REF!</v>
      </c>
      <c r="Y684" s="172" t="e">
        <f>+'Estimate Details'!#REF!</f>
        <v>#REF!</v>
      </c>
      <c r="Z684" s="174" t="e">
        <f>+'Estimate Details'!#REF!</f>
        <v>#REF!</v>
      </c>
      <c r="AA684" s="481" t="s">
        <v>1310</v>
      </c>
      <c r="AB684" s="175" t="e">
        <f>+'Estimate Details'!#REF!</f>
        <v>#REF!</v>
      </c>
      <c r="AC684" s="569"/>
      <c r="AD684" s="176" t="e">
        <f>+'Estimate Details'!#REF!</f>
        <v>#REF!</v>
      </c>
      <c r="AE684" s="156"/>
      <c r="AF684" s="372"/>
      <c r="AG684" s="398"/>
      <c r="AH684" s="156"/>
      <c r="AI684" s="29"/>
      <c r="AJ684" s="29"/>
      <c r="AK684" s="29"/>
      <c r="AL684" s="29"/>
    </row>
    <row r="685" spans="1:38" ht="13.5" customHeight="1">
      <c r="A685" s="116" t="e">
        <f>+'Estimate Details'!#REF!</f>
        <v>#REF!</v>
      </c>
      <c r="B685" s="116"/>
      <c r="C685" s="116"/>
      <c r="D685" s="166"/>
      <c r="E685" s="158" t="e">
        <f>+'Estimate Details'!#REF!</f>
        <v>#REF!</v>
      </c>
      <c r="F685" s="41"/>
      <c r="G685" s="117" t="e">
        <f>+'Estimate Details'!#REF!</f>
        <v>#REF!</v>
      </c>
      <c r="H685" s="41" t="e">
        <f>+'Estimate Details'!#REF!</f>
        <v>#REF!</v>
      </c>
      <c r="I685" s="108" t="e">
        <f>+'Estimate Details'!#REF!</f>
        <v>#REF!</v>
      </c>
      <c r="J685" s="42" t="e">
        <f>+'Estimate Details'!#REF!</f>
        <v>#REF!</v>
      </c>
      <c r="K685" s="42" t="e">
        <f>+'Estimate Details'!#REF!</f>
        <v>#REF!</v>
      </c>
      <c r="L685" s="42" t="e">
        <f>+'Estimate Details'!#REF!</f>
        <v>#REF!</v>
      </c>
      <c r="M685" s="177" t="e">
        <f>+'Estimate Details'!#REF!</f>
        <v>#REF!</v>
      </c>
      <c r="N685" s="170" t="e">
        <f>+'Estimate Details'!#REF!</f>
        <v>#REF!</v>
      </c>
      <c r="O685" s="171" t="e">
        <f>+'Estimate Details'!#REF!</f>
        <v>#REF!</v>
      </c>
      <c r="P685" s="172" t="e">
        <f>+'Estimate Details'!#REF!</f>
        <v>#REF!</v>
      </c>
      <c r="Q685" s="173" t="e">
        <f>+'Estimate Details'!#REF!</f>
        <v>#REF!</v>
      </c>
      <c r="R685" s="174" t="e">
        <f>+'Estimate Details'!#REF!</f>
        <v>#REF!</v>
      </c>
      <c r="S685" s="507"/>
      <c r="T685" s="174" t="e">
        <f>+'Estimate Details'!#REF!</f>
        <v>#REF!</v>
      </c>
      <c r="U685" s="481"/>
      <c r="V685" s="172" t="e">
        <f>+'Estimate Details'!#REF!</f>
        <v>#REF!</v>
      </c>
      <c r="W685" s="481"/>
      <c r="X685" s="172" t="e">
        <f>+'Estimate Details'!#REF!</f>
        <v>#REF!</v>
      </c>
      <c r="Y685" s="172" t="e">
        <f>+'Estimate Details'!#REF!</f>
        <v>#REF!</v>
      </c>
      <c r="Z685" s="174" t="e">
        <f>+'Estimate Details'!#REF!</f>
        <v>#REF!</v>
      </c>
      <c r="AA685" s="481" t="s">
        <v>1310</v>
      </c>
      <c r="AB685" s="175" t="e">
        <f>+'Estimate Details'!#REF!</f>
        <v>#REF!</v>
      </c>
      <c r="AC685" s="569"/>
      <c r="AD685" s="176" t="e">
        <f>+'Estimate Details'!#REF!</f>
        <v>#REF!</v>
      </c>
      <c r="AE685" s="156"/>
      <c r="AF685" s="372"/>
      <c r="AG685" s="398"/>
      <c r="AH685" s="156"/>
      <c r="AI685" s="29"/>
      <c r="AJ685" s="29"/>
      <c r="AK685" s="29"/>
      <c r="AL685" s="29"/>
    </row>
    <row r="686" spans="1:38" ht="14.1" customHeight="1">
      <c r="A686" s="116" t="e">
        <f>+'Estimate Details'!#REF!</f>
        <v>#REF!</v>
      </c>
      <c r="B686" s="116"/>
      <c r="C686" s="116"/>
      <c r="D686" s="166"/>
      <c r="E686" s="158" t="e">
        <f>+'Estimate Details'!#REF!</f>
        <v>#REF!</v>
      </c>
      <c r="F686" s="41"/>
      <c r="G686" s="117" t="e">
        <f>+'Estimate Details'!#REF!</f>
        <v>#REF!</v>
      </c>
      <c r="H686" s="41" t="e">
        <f>+'Estimate Details'!#REF!</f>
        <v>#REF!</v>
      </c>
      <c r="I686" s="108" t="e">
        <f>+'Estimate Details'!#REF!</f>
        <v>#REF!</v>
      </c>
      <c r="J686" s="42" t="e">
        <f>+'Estimate Details'!#REF!</f>
        <v>#REF!</v>
      </c>
      <c r="K686" s="42" t="e">
        <f>+'Estimate Details'!#REF!</f>
        <v>#REF!</v>
      </c>
      <c r="L686" s="42" t="e">
        <f>+'Estimate Details'!#REF!</f>
        <v>#REF!</v>
      </c>
      <c r="M686" s="177" t="e">
        <f>+'Estimate Details'!#REF!</f>
        <v>#REF!</v>
      </c>
      <c r="N686" s="170" t="e">
        <f>+'Estimate Details'!#REF!</f>
        <v>#REF!</v>
      </c>
      <c r="O686" s="171" t="e">
        <f>+'Estimate Details'!#REF!</f>
        <v>#REF!</v>
      </c>
      <c r="P686" s="172" t="e">
        <f>+'Estimate Details'!#REF!</f>
        <v>#REF!</v>
      </c>
      <c r="Q686" s="173" t="e">
        <f>+'Estimate Details'!#REF!</f>
        <v>#REF!</v>
      </c>
      <c r="R686" s="174" t="e">
        <f>+'Estimate Details'!#REF!</f>
        <v>#REF!</v>
      </c>
      <c r="S686" s="507"/>
      <c r="T686" s="174" t="e">
        <f>+'Estimate Details'!#REF!</f>
        <v>#REF!</v>
      </c>
      <c r="U686" s="481"/>
      <c r="V686" s="172" t="e">
        <f>+'Estimate Details'!#REF!</f>
        <v>#REF!</v>
      </c>
      <c r="W686" s="481"/>
      <c r="X686" s="172" t="e">
        <f>+'Estimate Details'!#REF!</f>
        <v>#REF!</v>
      </c>
      <c r="Y686" s="172" t="e">
        <f>+'Estimate Details'!#REF!</f>
        <v>#REF!</v>
      </c>
      <c r="Z686" s="174" t="e">
        <f>+'Estimate Details'!#REF!</f>
        <v>#REF!</v>
      </c>
      <c r="AA686" s="481" t="s">
        <v>1310</v>
      </c>
      <c r="AB686" s="175" t="e">
        <f>+'Estimate Details'!#REF!</f>
        <v>#REF!</v>
      </c>
      <c r="AC686" s="569"/>
      <c r="AD686" s="176" t="e">
        <f>+'Estimate Details'!#REF!</f>
        <v>#REF!</v>
      </c>
      <c r="AE686" s="156"/>
      <c r="AF686" s="372"/>
      <c r="AG686" s="156"/>
      <c r="AH686" s="156"/>
      <c r="AI686" s="29"/>
      <c r="AJ686" s="29"/>
      <c r="AK686" s="29"/>
      <c r="AL686" s="29"/>
    </row>
    <row r="687" spans="1:38" ht="14.1" customHeight="1">
      <c r="A687" s="116" t="e">
        <f>+'Estimate Details'!#REF!</f>
        <v>#REF!</v>
      </c>
      <c r="B687" s="116"/>
      <c r="C687" s="116"/>
      <c r="D687" s="166"/>
      <c r="E687" s="158" t="e">
        <f>+'Estimate Details'!#REF!</f>
        <v>#REF!</v>
      </c>
      <c r="F687" s="41"/>
      <c r="G687" s="117" t="e">
        <f>+'Estimate Details'!#REF!</f>
        <v>#REF!</v>
      </c>
      <c r="H687" s="41" t="e">
        <f>+'Estimate Details'!#REF!</f>
        <v>#REF!</v>
      </c>
      <c r="I687" s="108" t="e">
        <f>+'Estimate Details'!#REF!</f>
        <v>#REF!</v>
      </c>
      <c r="J687" s="42" t="e">
        <f>+'Estimate Details'!#REF!</f>
        <v>#REF!</v>
      </c>
      <c r="K687" s="42" t="e">
        <f>+'Estimate Details'!#REF!</f>
        <v>#REF!</v>
      </c>
      <c r="L687" s="42" t="e">
        <f>+'Estimate Details'!#REF!</f>
        <v>#REF!</v>
      </c>
      <c r="M687" s="177" t="e">
        <f>+'Estimate Details'!#REF!</f>
        <v>#REF!</v>
      </c>
      <c r="N687" s="170" t="e">
        <f>+'Estimate Details'!#REF!</f>
        <v>#REF!</v>
      </c>
      <c r="O687" s="171" t="e">
        <f>+'Estimate Details'!#REF!</f>
        <v>#REF!</v>
      </c>
      <c r="P687" s="172" t="e">
        <f>+'Estimate Details'!#REF!</f>
        <v>#REF!</v>
      </c>
      <c r="Q687" s="173" t="e">
        <f>+'Estimate Details'!#REF!</f>
        <v>#REF!</v>
      </c>
      <c r="R687" s="174" t="e">
        <f>+'Estimate Details'!#REF!</f>
        <v>#REF!</v>
      </c>
      <c r="S687" s="507"/>
      <c r="T687" s="174" t="e">
        <f>+'Estimate Details'!#REF!</f>
        <v>#REF!</v>
      </c>
      <c r="U687" s="481"/>
      <c r="V687" s="172" t="e">
        <f>+'Estimate Details'!#REF!</f>
        <v>#REF!</v>
      </c>
      <c r="W687" s="481"/>
      <c r="X687" s="172" t="e">
        <f>+'Estimate Details'!#REF!</f>
        <v>#REF!</v>
      </c>
      <c r="Y687" s="172" t="e">
        <f>+'Estimate Details'!#REF!</f>
        <v>#REF!</v>
      </c>
      <c r="Z687" s="174" t="e">
        <f>+'Estimate Details'!#REF!</f>
        <v>#REF!</v>
      </c>
      <c r="AA687" s="481" t="s">
        <v>1310</v>
      </c>
      <c r="AB687" s="175" t="e">
        <f>+'Estimate Details'!#REF!</f>
        <v>#REF!</v>
      </c>
      <c r="AC687" s="569"/>
      <c r="AD687" s="176" t="e">
        <f>+'Estimate Details'!#REF!</f>
        <v>#REF!</v>
      </c>
      <c r="AE687" s="156"/>
      <c r="AF687" s="372"/>
      <c r="AG687" s="156"/>
      <c r="AH687" s="156"/>
      <c r="AI687" s="29"/>
      <c r="AJ687" s="29"/>
      <c r="AK687" s="29"/>
      <c r="AL687" s="29"/>
    </row>
    <row r="688" spans="1:38" ht="13.5" customHeight="1">
      <c r="A688" s="116" t="e">
        <f>+'Estimate Details'!#REF!</f>
        <v>#REF!</v>
      </c>
      <c r="B688" s="116"/>
      <c r="C688" s="116"/>
      <c r="D688" s="166"/>
      <c r="E688" s="158" t="e">
        <f>+'Estimate Details'!#REF!</f>
        <v>#REF!</v>
      </c>
      <c r="F688" s="41"/>
      <c r="G688" s="117" t="e">
        <f>+'Estimate Details'!#REF!</f>
        <v>#REF!</v>
      </c>
      <c r="H688" s="41" t="e">
        <f>+'Estimate Details'!#REF!</f>
        <v>#REF!</v>
      </c>
      <c r="I688" s="217" t="e">
        <f>+'Estimate Details'!#REF!</f>
        <v>#REF!</v>
      </c>
      <c r="J688" s="42" t="e">
        <f>+'Estimate Details'!#REF!</f>
        <v>#REF!</v>
      </c>
      <c r="K688" s="42" t="e">
        <f>+'Estimate Details'!#REF!</f>
        <v>#REF!</v>
      </c>
      <c r="L688" s="42" t="e">
        <f>+'Estimate Details'!#REF!</f>
        <v>#REF!</v>
      </c>
      <c r="M688" s="177" t="e">
        <f>+'Estimate Details'!#REF!</f>
        <v>#REF!</v>
      </c>
      <c r="N688" s="170" t="e">
        <f>+'Estimate Details'!#REF!</f>
        <v>#REF!</v>
      </c>
      <c r="O688" s="171" t="e">
        <f>+'Estimate Details'!#REF!</f>
        <v>#REF!</v>
      </c>
      <c r="P688" s="172" t="e">
        <f>+'Estimate Details'!#REF!</f>
        <v>#REF!</v>
      </c>
      <c r="Q688" s="173" t="e">
        <f>+'Estimate Details'!#REF!</f>
        <v>#REF!</v>
      </c>
      <c r="R688" s="174" t="e">
        <f>+'Estimate Details'!#REF!</f>
        <v>#REF!</v>
      </c>
      <c r="S688" s="507"/>
      <c r="T688" s="174" t="e">
        <f>+'Estimate Details'!#REF!</f>
        <v>#REF!</v>
      </c>
      <c r="U688" s="481"/>
      <c r="V688" s="172" t="e">
        <f>+'Estimate Details'!#REF!</f>
        <v>#REF!</v>
      </c>
      <c r="W688" s="481"/>
      <c r="X688" s="172" t="e">
        <f>+'Estimate Details'!#REF!</f>
        <v>#REF!</v>
      </c>
      <c r="Y688" s="172" t="e">
        <f>+'Estimate Details'!#REF!</f>
        <v>#REF!</v>
      </c>
      <c r="Z688" s="174" t="e">
        <f>+'Estimate Details'!#REF!</f>
        <v>#REF!</v>
      </c>
      <c r="AA688" s="481" t="s">
        <v>1310</v>
      </c>
      <c r="AB688" s="175" t="e">
        <f>+'Estimate Details'!#REF!</f>
        <v>#REF!</v>
      </c>
      <c r="AC688" s="569"/>
      <c r="AD688" s="176" t="e">
        <f>+'Estimate Details'!#REF!</f>
        <v>#REF!</v>
      </c>
      <c r="AE688" s="156"/>
      <c r="AF688" s="372"/>
      <c r="AG688" s="398"/>
      <c r="AH688" s="156"/>
      <c r="AI688" s="29"/>
      <c r="AJ688" s="29"/>
      <c r="AK688" s="29"/>
      <c r="AL688" s="29"/>
    </row>
    <row r="689" spans="1:38" ht="13.5" customHeight="1">
      <c r="A689" s="116" t="e">
        <f>+'Estimate Details'!#REF!</f>
        <v>#REF!</v>
      </c>
      <c r="B689" s="116"/>
      <c r="C689" s="116"/>
      <c r="D689" s="166"/>
      <c r="E689" s="158" t="e">
        <f>+'Estimate Details'!#REF!</f>
        <v>#REF!</v>
      </c>
      <c r="F689" s="41"/>
      <c r="G689" s="117" t="e">
        <f>+'Estimate Details'!#REF!</f>
        <v>#REF!</v>
      </c>
      <c r="H689" s="41" t="e">
        <f>+'Estimate Details'!#REF!</f>
        <v>#REF!</v>
      </c>
      <c r="I689" s="217" t="e">
        <f>+'Estimate Details'!#REF!</f>
        <v>#REF!</v>
      </c>
      <c r="J689" s="42" t="e">
        <f>+'Estimate Details'!#REF!</f>
        <v>#REF!</v>
      </c>
      <c r="K689" s="42" t="e">
        <f>+'Estimate Details'!#REF!</f>
        <v>#REF!</v>
      </c>
      <c r="L689" s="42" t="e">
        <f>+'Estimate Details'!#REF!</f>
        <v>#REF!</v>
      </c>
      <c r="M689" s="177" t="e">
        <f>+'Estimate Details'!#REF!</f>
        <v>#REF!</v>
      </c>
      <c r="N689" s="170" t="e">
        <f>+'Estimate Details'!#REF!</f>
        <v>#REF!</v>
      </c>
      <c r="O689" s="171" t="e">
        <f>+'Estimate Details'!#REF!</f>
        <v>#REF!</v>
      </c>
      <c r="P689" s="172" t="e">
        <f>+'Estimate Details'!#REF!</f>
        <v>#REF!</v>
      </c>
      <c r="Q689" s="173" t="e">
        <f>+'Estimate Details'!#REF!</f>
        <v>#REF!</v>
      </c>
      <c r="R689" s="174" t="e">
        <f>+'Estimate Details'!#REF!</f>
        <v>#REF!</v>
      </c>
      <c r="S689" s="507"/>
      <c r="T689" s="174" t="e">
        <f>+'Estimate Details'!#REF!</f>
        <v>#REF!</v>
      </c>
      <c r="U689" s="481" t="s">
        <v>1309</v>
      </c>
      <c r="V689" s="172" t="e">
        <f>+'Estimate Details'!#REF!</f>
        <v>#REF!</v>
      </c>
      <c r="W689" s="481" t="s">
        <v>1309</v>
      </c>
      <c r="X689" s="172" t="e">
        <f>+'Estimate Details'!#REF!</f>
        <v>#REF!</v>
      </c>
      <c r="Y689" s="172" t="e">
        <f>+'Estimate Details'!#REF!</f>
        <v>#REF!</v>
      </c>
      <c r="Z689" s="174" t="e">
        <f>+'Estimate Details'!#REF!</f>
        <v>#REF!</v>
      </c>
      <c r="AA689" s="481"/>
      <c r="AB689" s="175" t="e">
        <f>+'Estimate Details'!#REF!</f>
        <v>#REF!</v>
      </c>
      <c r="AC689" s="569"/>
      <c r="AD689" s="176" t="e">
        <f>+'Estimate Details'!#REF!</f>
        <v>#REF!</v>
      </c>
      <c r="AE689" s="156"/>
      <c r="AF689" s="372"/>
      <c r="AG689" s="398"/>
      <c r="AH689" s="156"/>
      <c r="AI689" s="29"/>
      <c r="AJ689" s="29"/>
      <c r="AK689" s="29"/>
      <c r="AL689" s="29"/>
    </row>
    <row r="690" spans="1:38" ht="13.5" customHeight="1">
      <c r="A690" s="116" t="e">
        <f>+'Estimate Details'!#REF!</f>
        <v>#REF!</v>
      </c>
      <c r="B690" s="116"/>
      <c r="C690" s="116"/>
      <c r="D690" s="166"/>
      <c r="E690" s="158" t="e">
        <f>+'Estimate Details'!#REF!</f>
        <v>#REF!</v>
      </c>
      <c r="F690" s="41"/>
      <c r="G690" s="117" t="e">
        <f>+'Estimate Details'!#REF!</f>
        <v>#REF!</v>
      </c>
      <c r="H690" s="41" t="e">
        <f>+'Estimate Details'!#REF!</f>
        <v>#REF!</v>
      </c>
      <c r="I690" s="108" t="e">
        <f>+'Estimate Details'!#REF!</f>
        <v>#REF!</v>
      </c>
      <c r="J690" s="192" t="e">
        <f>+'Estimate Details'!#REF!</f>
        <v>#REF!</v>
      </c>
      <c r="K690" s="42" t="e">
        <f>+'Estimate Details'!#REF!</f>
        <v>#REF!</v>
      </c>
      <c r="L690" s="42" t="e">
        <f>+'Estimate Details'!#REF!</f>
        <v>#REF!</v>
      </c>
      <c r="M690" s="177" t="e">
        <f>+'Estimate Details'!#REF!</f>
        <v>#REF!</v>
      </c>
      <c r="N690" s="170" t="e">
        <f>+'Estimate Details'!#REF!</f>
        <v>#REF!</v>
      </c>
      <c r="O690" s="171" t="e">
        <f>+'Estimate Details'!#REF!</f>
        <v>#REF!</v>
      </c>
      <c r="P690" s="172" t="e">
        <f>+'Estimate Details'!#REF!</f>
        <v>#REF!</v>
      </c>
      <c r="Q690" s="173" t="e">
        <f>+'Estimate Details'!#REF!</f>
        <v>#REF!</v>
      </c>
      <c r="R690" s="174" t="e">
        <f>+'Estimate Details'!#REF!</f>
        <v>#REF!</v>
      </c>
      <c r="S690" s="507"/>
      <c r="T690" s="174" t="e">
        <f>+'Estimate Details'!#REF!</f>
        <v>#REF!</v>
      </c>
      <c r="U690" s="481" t="s">
        <v>1309</v>
      </c>
      <c r="V690" s="172" t="e">
        <f>+'Estimate Details'!#REF!</f>
        <v>#REF!</v>
      </c>
      <c r="W690" s="481" t="s">
        <v>1309</v>
      </c>
      <c r="X690" s="172" t="e">
        <f>+'Estimate Details'!#REF!</f>
        <v>#REF!</v>
      </c>
      <c r="Y690" s="172" t="e">
        <f>+'Estimate Details'!#REF!</f>
        <v>#REF!</v>
      </c>
      <c r="Z690" s="174" t="e">
        <f>+'Estimate Details'!#REF!</f>
        <v>#REF!</v>
      </c>
      <c r="AA690" s="481"/>
      <c r="AB690" s="175" t="e">
        <f>+'Estimate Details'!#REF!</f>
        <v>#REF!</v>
      </c>
      <c r="AC690" s="569"/>
      <c r="AD690" s="176" t="e">
        <f>+'Estimate Details'!#REF!</f>
        <v>#REF!</v>
      </c>
      <c r="AE690" s="156"/>
      <c r="AF690" s="372"/>
      <c r="AG690" s="398"/>
      <c r="AH690" s="156"/>
      <c r="AI690" s="29"/>
      <c r="AJ690" s="29"/>
      <c r="AK690" s="29"/>
      <c r="AL690" s="29"/>
    </row>
    <row r="691" spans="1:38" ht="14.1" customHeight="1">
      <c r="A691" s="116" t="e">
        <f>+'Estimate Details'!#REF!</f>
        <v>#REF!</v>
      </c>
      <c r="B691" s="116"/>
      <c r="C691" s="116"/>
      <c r="D691" s="166"/>
      <c r="E691" s="158" t="e">
        <f>+'Estimate Details'!#REF!</f>
        <v>#REF!</v>
      </c>
      <c r="F691" s="41"/>
      <c r="G691" s="117" t="e">
        <f>+'Estimate Details'!#REF!</f>
        <v>#REF!</v>
      </c>
      <c r="H691" s="41" t="e">
        <f>+'Estimate Details'!#REF!</f>
        <v>#REF!</v>
      </c>
      <c r="I691" s="217" t="e">
        <f>+'Estimate Details'!#REF!</f>
        <v>#REF!</v>
      </c>
      <c r="J691" s="42" t="e">
        <f>+'Estimate Details'!#REF!</f>
        <v>#REF!</v>
      </c>
      <c r="K691" s="42" t="e">
        <f>+'Estimate Details'!#REF!</f>
        <v>#REF!</v>
      </c>
      <c r="L691" s="42" t="e">
        <f>+'Estimate Details'!#REF!</f>
        <v>#REF!</v>
      </c>
      <c r="M691" s="177" t="e">
        <f>+'Estimate Details'!#REF!</f>
        <v>#REF!</v>
      </c>
      <c r="N691" s="170" t="e">
        <f>+'Estimate Details'!#REF!</f>
        <v>#REF!</v>
      </c>
      <c r="O691" s="171" t="e">
        <f>+'Estimate Details'!#REF!</f>
        <v>#REF!</v>
      </c>
      <c r="P691" s="172" t="e">
        <f>+'Estimate Details'!#REF!</f>
        <v>#REF!</v>
      </c>
      <c r="Q691" s="173" t="e">
        <f>+'Estimate Details'!#REF!</f>
        <v>#REF!</v>
      </c>
      <c r="R691" s="174" t="e">
        <f>+'Estimate Details'!#REF!</f>
        <v>#REF!</v>
      </c>
      <c r="S691" s="507"/>
      <c r="T691" s="174" t="e">
        <f>+'Estimate Details'!#REF!</f>
        <v>#REF!</v>
      </c>
      <c r="U691" s="481" t="s">
        <v>1309</v>
      </c>
      <c r="V691" s="172" t="e">
        <f>+'Estimate Details'!#REF!</f>
        <v>#REF!</v>
      </c>
      <c r="W691" s="481" t="s">
        <v>1309</v>
      </c>
      <c r="X691" s="172" t="e">
        <f>+'Estimate Details'!#REF!</f>
        <v>#REF!</v>
      </c>
      <c r="Y691" s="172" t="e">
        <f>+'Estimate Details'!#REF!</f>
        <v>#REF!</v>
      </c>
      <c r="Z691" s="174" t="e">
        <f>+'Estimate Details'!#REF!</f>
        <v>#REF!</v>
      </c>
      <c r="AA691" s="481"/>
      <c r="AB691" s="175" t="e">
        <f>+'Estimate Details'!#REF!</f>
        <v>#REF!</v>
      </c>
      <c r="AC691" s="569"/>
      <c r="AD691" s="176" t="e">
        <f>+'Estimate Details'!#REF!</f>
        <v>#REF!</v>
      </c>
      <c r="AE691" s="156"/>
      <c r="AF691" s="372"/>
      <c r="AG691" s="398"/>
      <c r="AH691" s="156"/>
      <c r="AI691" s="29"/>
      <c r="AJ691" s="29"/>
      <c r="AK691" s="29"/>
      <c r="AL691" s="29"/>
    </row>
    <row r="692" spans="1:38" ht="13.5" customHeight="1">
      <c r="A692" s="116" t="e">
        <f>+'Estimate Details'!#REF!</f>
        <v>#REF!</v>
      </c>
      <c r="B692" s="116"/>
      <c r="C692" s="116"/>
      <c r="D692" s="166"/>
      <c r="E692" s="158" t="e">
        <f>+'Estimate Details'!#REF!</f>
        <v>#REF!</v>
      </c>
      <c r="F692" s="41"/>
      <c r="G692" s="117" t="e">
        <f>+'Estimate Details'!#REF!</f>
        <v>#REF!</v>
      </c>
      <c r="H692" s="118" t="e">
        <f>+'Estimate Details'!#REF!</f>
        <v>#REF!</v>
      </c>
      <c r="I692" s="108" t="e">
        <f>+'Estimate Details'!#REF!</f>
        <v>#REF!</v>
      </c>
      <c r="J692" s="168" t="e">
        <f>+'Estimate Details'!#REF!</f>
        <v>#REF!</v>
      </c>
      <c r="K692" s="42" t="e">
        <f>+'Estimate Details'!#REF!</f>
        <v>#REF!</v>
      </c>
      <c r="L692" s="42" t="e">
        <f>+'Estimate Details'!#REF!</f>
        <v>#REF!</v>
      </c>
      <c r="M692" s="177" t="e">
        <f>+'Estimate Details'!#REF!</f>
        <v>#REF!</v>
      </c>
      <c r="N692" s="219" t="e">
        <f>+'Estimate Details'!#REF!</f>
        <v>#REF!</v>
      </c>
      <c r="O692" s="171" t="e">
        <f>+'Estimate Details'!#REF!</f>
        <v>#REF!</v>
      </c>
      <c r="P692" s="172" t="e">
        <f>+'Estimate Details'!#REF!</f>
        <v>#REF!</v>
      </c>
      <c r="Q692" s="173" t="e">
        <f>+'Estimate Details'!#REF!</f>
        <v>#REF!</v>
      </c>
      <c r="R692" s="174" t="e">
        <f>+'Estimate Details'!#REF!</f>
        <v>#REF!</v>
      </c>
      <c r="S692" s="507"/>
      <c r="T692" s="174" t="e">
        <f>+'Estimate Details'!#REF!</f>
        <v>#REF!</v>
      </c>
      <c r="U692" s="481" t="s">
        <v>1309</v>
      </c>
      <c r="V692" s="172" t="e">
        <f>+'Estimate Details'!#REF!</f>
        <v>#REF!</v>
      </c>
      <c r="W692" s="481" t="s">
        <v>1309</v>
      </c>
      <c r="X692" s="172" t="e">
        <f>+'Estimate Details'!#REF!</f>
        <v>#REF!</v>
      </c>
      <c r="Y692" s="172" t="e">
        <f>+'Estimate Details'!#REF!</f>
        <v>#REF!</v>
      </c>
      <c r="Z692" s="174" t="e">
        <f>+'Estimate Details'!#REF!</f>
        <v>#REF!</v>
      </c>
      <c r="AA692" s="481"/>
      <c r="AB692" s="175" t="e">
        <f>+'Estimate Details'!#REF!</f>
        <v>#REF!</v>
      </c>
      <c r="AC692" s="569"/>
      <c r="AD692" s="176" t="e">
        <f>+'Estimate Details'!#REF!</f>
        <v>#REF!</v>
      </c>
      <c r="AE692" s="156"/>
      <c r="AF692" s="372"/>
      <c r="AG692" s="398"/>
      <c r="AH692" s="156"/>
      <c r="AI692" s="29"/>
      <c r="AJ692" s="29"/>
      <c r="AK692" s="29"/>
      <c r="AL692" s="29"/>
    </row>
    <row r="693" spans="1:38" ht="14.1" customHeight="1">
      <c r="A693" s="116" t="e">
        <f>+'Estimate Details'!#REF!</f>
        <v>#REF!</v>
      </c>
      <c r="B693" s="116"/>
      <c r="C693" s="116"/>
      <c r="D693" s="166"/>
      <c r="E693" s="158" t="e">
        <f>+'Estimate Details'!#REF!</f>
        <v>#REF!</v>
      </c>
      <c r="F693" s="41"/>
      <c r="G693" s="117" t="e">
        <f>+'Estimate Details'!#REF!</f>
        <v>#REF!</v>
      </c>
      <c r="H693" s="118" t="e">
        <f>+'Estimate Details'!#REF!</f>
        <v>#REF!</v>
      </c>
      <c r="I693" s="108" t="e">
        <f>+'Estimate Details'!#REF!</f>
        <v>#REF!</v>
      </c>
      <c r="J693" s="168" t="e">
        <f>+'Estimate Details'!#REF!</f>
        <v>#REF!</v>
      </c>
      <c r="K693" s="42" t="e">
        <f>+'Estimate Details'!#REF!</f>
        <v>#REF!</v>
      </c>
      <c r="L693" s="42" t="e">
        <f>+'Estimate Details'!#REF!</f>
        <v>#REF!</v>
      </c>
      <c r="M693" s="177" t="e">
        <f>+'Estimate Details'!#REF!</f>
        <v>#REF!</v>
      </c>
      <c r="N693" s="182" t="e">
        <f>+'Estimate Details'!#REF!</f>
        <v>#REF!</v>
      </c>
      <c r="O693" s="171" t="e">
        <f>+'Estimate Details'!#REF!</f>
        <v>#REF!</v>
      </c>
      <c r="P693" s="172" t="e">
        <f>+'Estimate Details'!#REF!</f>
        <v>#REF!</v>
      </c>
      <c r="Q693" s="173" t="e">
        <f>+'Estimate Details'!#REF!</f>
        <v>#REF!</v>
      </c>
      <c r="R693" s="174" t="e">
        <f>+'Estimate Details'!#REF!</f>
        <v>#REF!</v>
      </c>
      <c r="S693" s="507"/>
      <c r="T693" s="174" t="e">
        <f>+'Estimate Details'!#REF!</f>
        <v>#REF!</v>
      </c>
      <c r="U693" s="481" t="s">
        <v>1309</v>
      </c>
      <c r="V693" s="172" t="e">
        <f>+'Estimate Details'!#REF!</f>
        <v>#REF!</v>
      </c>
      <c r="W693" s="481" t="s">
        <v>1309</v>
      </c>
      <c r="X693" s="172" t="e">
        <f>+'Estimate Details'!#REF!</f>
        <v>#REF!</v>
      </c>
      <c r="Y693" s="172" t="e">
        <f>+'Estimate Details'!#REF!</f>
        <v>#REF!</v>
      </c>
      <c r="Z693" s="174" t="e">
        <f>+'Estimate Details'!#REF!</f>
        <v>#REF!</v>
      </c>
      <c r="AA693" s="481"/>
      <c r="AB693" s="175" t="e">
        <f>+'Estimate Details'!#REF!</f>
        <v>#REF!</v>
      </c>
      <c r="AC693" s="569"/>
      <c r="AD693" s="176" t="e">
        <f>+'Estimate Details'!#REF!</f>
        <v>#REF!</v>
      </c>
      <c r="AE693" s="156"/>
      <c r="AF693" s="372"/>
      <c r="AG693" s="156"/>
      <c r="AH693" s="156"/>
      <c r="AI693" s="29"/>
      <c r="AJ693" s="29"/>
      <c r="AK693" s="29"/>
      <c r="AL693" s="29"/>
    </row>
    <row r="694" spans="1:38" ht="14.1" customHeight="1">
      <c r="A694" s="116" t="e">
        <f>+'Estimate Details'!#REF!</f>
        <v>#REF!</v>
      </c>
      <c r="B694" s="116"/>
      <c r="C694" s="116"/>
      <c r="D694" s="166"/>
      <c r="E694" s="158" t="e">
        <f>+'Estimate Details'!#REF!</f>
        <v>#REF!</v>
      </c>
      <c r="F694" s="41"/>
      <c r="G694" s="117" t="e">
        <f>+'Estimate Details'!#REF!</f>
        <v>#REF!</v>
      </c>
      <c r="H694" s="118" t="e">
        <f>+'Estimate Details'!#REF!</f>
        <v>#REF!</v>
      </c>
      <c r="I694" s="108" t="e">
        <f>+'Estimate Details'!#REF!</f>
        <v>#REF!</v>
      </c>
      <c r="J694" s="168" t="e">
        <f>+'Estimate Details'!#REF!</f>
        <v>#REF!</v>
      </c>
      <c r="K694" s="42" t="e">
        <f>+'Estimate Details'!#REF!</f>
        <v>#REF!</v>
      </c>
      <c r="L694" s="42" t="e">
        <f>+'Estimate Details'!#REF!</f>
        <v>#REF!</v>
      </c>
      <c r="M694" s="177" t="e">
        <f>+'Estimate Details'!#REF!</f>
        <v>#REF!</v>
      </c>
      <c r="N694" s="182" t="e">
        <f>+'Estimate Details'!#REF!</f>
        <v>#REF!</v>
      </c>
      <c r="O694" s="171" t="e">
        <f>+'Estimate Details'!#REF!</f>
        <v>#REF!</v>
      </c>
      <c r="P694" s="172" t="e">
        <f>+'Estimate Details'!#REF!</f>
        <v>#REF!</v>
      </c>
      <c r="Q694" s="173" t="e">
        <f>+'Estimate Details'!#REF!</f>
        <v>#REF!</v>
      </c>
      <c r="R694" s="174" t="e">
        <f>+'Estimate Details'!#REF!</f>
        <v>#REF!</v>
      </c>
      <c r="S694" s="507"/>
      <c r="T694" s="174" t="e">
        <f>+'Estimate Details'!#REF!</f>
        <v>#REF!</v>
      </c>
      <c r="U694" s="481" t="s">
        <v>1309</v>
      </c>
      <c r="V694" s="172" t="e">
        <f>+'Estimate Details'!#REF!</f>
        <v>#REF!</v>
      </c>
      <c r="W694" s="481" t="s">
        <v>1309</v>
      </c>
      <c r="X694" s="172" t="e">
        <f>+'Estimate Details'!#REF!</f>
        <v>#REF!</v>
      </c>
      <c r="Y694" s="172" t="e">
        <f>+'Estimate Details'!#REF!</f>
        <v>#REF!</v>
      </c>
      <c r="Z694" s="174" t="e">
        <f>+'Estimate Details'!#REF!</f>
        <v>#REF!</v>
      </c>
      <c r="AA694" s="481"/>
      <c r="AB694" s="175" t="e">
        <f>+'Estimate Details'!#REF!</f>
        <v>#REF!</v>
      </c>
      <c r="AC694" s="569"/>
      <c r="AD694" s="176" t="e">
        <f>+'Estimate Details'!#REF!</f>
        <v>#REF!</v>
      </c>
      <c r="AE694" s="156"/>
      <c r="AF694" s="372"/>
      <c r="AG694" s="156"/>
      <c r="AH694" s="156"/>
      <c r="AI694" s="29"/>
      <c r="AJ694" s="29"/>
      <c r="AK694" s="29"/>
      <c r="AL694" s="29"/>
    </row>
    <row r="695" spans="1:38" ht="13.5" customHeight="1">
      <c r="A695" s="116" t="e">
        <f>+'Estimate Details'!#REF!</f>
        <v>#REF!</v>
      </c>
      <c r="B695" s="116"/>
      <c r="C695" s="116"/>
      <c r="D695" s="166"/>
      <c r="E695" s="158" t="e">
        <f>+'Estimate Details'!#REF!</f>
        <v>#REF!</v>
      </c>
      <c r="F695" s="41"/>
      <c r="G695" s="117" t="e">
        <f>+'Estimate Details'!#REF!</f>
        <v>#REF!</v>
      </c>
      <c r="H695" s="41" t="e">
        <f>+'Estimate Details'!#REF!</f>
        <v>#REF!</v>
      </c>
      <c r="I695" s="108" t="e">
        <f>+'Estimate Details'!#REF!</f>
        <v>#REF!</v>
      </c>
      <c r="J695" s="192" t="e">
        <f>+'Estimate Details'!#REF!</f>
        <v>#REF!</v>
      </c>
      <c r="K695" s="42" t="e">
        <f>+'Estimate Details'!#REF!</f>
        <v>#REF!</v>
      </c>
      <c r="L695" s="42" t="e">
        <f>+'Estimate Details'!#REF!</f>
        <v>#REF!</v>
      </c>
      <c r="M695" s="177" t="e">
        <f>+'Estimate Details'!#REF!</f>
        <v>#REF!</v>
      </c>
      <c r="N695" s="170" t="e">
        <f>+'Estimate Details'!#REF!</f>
        <v>#REF!</v>
      </c>
      <c r="O695" s="171" t="e">
        <f>+'Estimate Details'!#REF!</f>
        <v>#REF!</v>
      </c>
      <c r="P695" s="172" t="e">
        <f>+'Estimate Details'!#REF!</f>
        <v>#REF!</v>
      </c>
      <c r="Q695" s="173" t="e">
        <f>+'Estimate Details'!#REF!</f>
        <v>#REF!</v>
      </c>
      <c r="R695" s="174" t="e">
        <f>+'Estimate Details'!#REF!</f>
        <v>#REF!</v>
      </c>
      <c r="S695" s="507"/>
      <c r="T695" s="174" t="e">
        <f>+'Estimate Details'!#REF!</f>
        <v>#REF!</v>
      </c>
      <c r="U695" s="481" t="s">
        <v>1302</v>
      </c>
      <c r="V695" s="172" t="e">
        <f>+'Estimate Details'!#REF!</f>
        <v>#REF!</v>
      </c>
      <c r="W695" s="481" t="s">
        <v>1302</v>
      </c>
      <c r="X695" s="172" t="e">
        <f>+'Estimate Details'!#REF!</f>
        <v>#REF!</v>
      </c>
      <c r="Y695" s="172" t="e">
        <f>+'Estimate Details'!#REF!</f>
        <v>#REF!</v>
      </c>
      <c r="Z695" s="174" t="e">
        <f>+'Estimate Details'!#REF!</f>
        <v>#REF!</v>
      </c>
      <c r="AA695" s="481"/>
      <c r="AB695" s="175" t="e">
        <f>+'Estimate Details'!#REF!</f>
        <v>#REF!</v>
      </c>
      <c r="AC695" s="569"/>
      <c r="AD695" s="176" t="e">
        <f>+'Estimate Details'!#REF!</f>
        <v>#REF!</v>
      </c>
      <c r="AE695" s="156"/>
      <c r="AF695" s="372"/>
      <c r="AG695" s="398"/>
      <c r="AH695" s="156"/>
      <c r="AI695" s="29"/>
      <c r="AJ695" s="29"/>
      <c r="AK695" s="29"/>
      <c r="AL695" s="29"/>
    </row>
    <row r="696" spans="1:38">
      <c r="A696" s="116" t="e">
        <f>+'Estimate Details'!#REF!</f>
        <v>#REF!</v>
      </c>
      <c r="B696" s="116"/>
      <c r="C696" s="116"/>
      <c r="D696" s="166"/>
      <c r="E696" s="158" t="e">
        <f>+'Estimate Details'!#REF!</f>
        <v>#REF!</v>
      </c>
      <c r="F696" s="41"/>
      <c r="G696" s="117" t="e">
        <f>+'Estimate Details'!#REF!</f>
        <v>#REF!</v>
      </c>
      <c r="H696" s="118" t="e">
        <f>+'Estimate Details'!#REF!</f>
        <v>#REF!</v>
      </c>
      <c r="I696" s="108" t="e">
        <f>+'Estimate Details'!#REF!</f>
        <v>#REF!</v>
      </c>
      <c r="J696" s="168" t="e">
        <f>+'Estimate Details'!#REF!</f>
        <v>#REF!</v>
      </c>
      <c r="K696" s="42" t="e">
        <f>+'Estimate Details'!#REF!</f>
        <v>#REF!</v>
      </c>
      <c r="L696" s="42" t="e">
        <f>+'Estimate Details'!#REF!</f>
        <v>#REF!</v>
      </c>
      <c r="M696" s="204" t="e">
        <f>+'Estimate Details'!#REF!</f>
        <v>#REF!</v>
      </c>
      <c r="N696" s="170" t="e">
        <f>+'Estimate Details'!#REF!</f>
        <v>#REF!</v>
      </c>
      <c r="O696" s="171" t="e">
        <f>+'Estimate Details'!#REF!</f>
        <v>#REF!</v>
      </c>
      <c r="P696" s="172" t="e">
        <f>+'Estimate Details'!#REF!</f>
        <v>#REF!</v>
      </c>
      <c r="Q696" s="173" t="e">
        <f>+'Estimate Details'!#REF!</f>
        <v>#REF!</v>
      </c>
      <c r="R696" s="174" t="e">
        <f>+'Estimate Details'!#REF!</f>
        <v>#REF!</v>
      </c>
      <c r="S696" s="507"/>
      <c r="T696" s="174" t="e">
        <f>+'Estimate Details'!#REF!</f>
        <v>#REF!</v>
      </c>
      <c r="U696" s="481" t="s">
        <v>1310</v>
      </c>
      <c r="V696" s="172" t="e">
        <f>+'Estimate Details'!#REF!</f>
        <v>#REF!</v>
      </c>
      <c r="W696" s="481" t="s">
        <v>1310</v>
      </c>
      <c r="X696" s="172" t="e">
        <f>+'Estimate Details'!#REF!</f>
        <v>#REF!</v>
      </c>
      <c r="Y696" s="172" t="e">
        <f>+'Estimate Details'!#REF!</f>
        <v>#REF!</v>
      </c>
      <c r="Z696" s="174" t="e">
        <f>+'Estimate Details'!#REF!</f>
        <v>#REF!</v>
      </c>
      <c r="AA696" s="481"/>
      <c r="AB696" s="175" t="e">
        <f>+'Estimate Details'!#REF!</f>
        <v>#REF!</v>
      </c>
      <c r="AC696" s="569"/>
      <c r="AD696" s="176" t="e">
        <f>+'Estimate Details'!#REF!</f>
        <v>#REF!</v>
      </c>
      <c r="AE696" s="156"/>
      <c r="AF696" s="156"/>
      <c r="AG696" s="156"/>
      <c r="AH696" s="156"/>
      <c r="AI696" s="29"/>
      <c r="AJ696" s="29"/>
      <c r="AK696" s="29"/>
      <c r="AL696" s="29"/>
    </row>
    <row r="697" spans="1:38">
      <c r="A697" s="116" t="e">
        <f>+'Estimate Details'!#REF!</f>
        <v>#REF!</v>
      </c>
      <c r="B697" s="116"/>
      <c r="C697" s="116"/>
      <c r="D697" s="166"/>
      <c r="E697" s="158" t="e">
        <f>+'Estimate Details'!#REF!</f>
        <v>#REF!</v>
      </c>
      <c r="F697" s="41"/>
      <c r="G697" s="117" t="e">
        <f>+'Estimate Details'!#REF!</f>
        <v>#REF!</v>
      </c>
      <c r="H697" s="118" t="e">
        <f>+'Estimate Details'!#REF!</f>
        <v>#REF!</v>
      </c>
      <c r="I697" s="108" t="e">
        <f>+'Estimate Details'!#REF!</f>
        <v>#REF!</v>
      </c>
      <c r="J697" s="168" t="e">
        <f>+'Estimate Details'!#REF!</f>
        <v>#REF!</v>
      </c>
      <c r="K697" s="42" t="e">
        <f>+'Estimate Details'!#REF!</f>
        <v>#REF!</v>
      </c>
      <c r="L697" s="42" t="e">
        <f>+'Estimate Details'!#REF!</f>
        <v>#REF!</v>
      </c>
      <c r="M697" s="204" t="e">
        <f>+'Estimate Details'!#REF!</f>
        <v>#REF!</v>
      </c>
      <c r="N697" s="170" t="e">
        <f>+'Estimate Details'!#REF!</f>
        <v>#REF!</v>
      </c>
      <c r="O697" s="171" t="e">
        <f>+'Estimate Details'!#REF!</f>
        <v>#REF!</v>
      </c>
      <c r="P697" s="172" t="e">
        <f>+'Estimate Details'!#REF!</f>
        <v>#REF!</v>
      </c>
      <c r="Q697" s="173" t="e">
        <f>+'Estimate Details'!#REF!</f>
        <v>#REF!</v>
      </c>
      <c r="R697" s="174" t="e">
        <f>+'Estimate Details'!#REF!</f>
        <v>#REF!</v>
      </c>
      <c r="S697" s="507"/>
      <c r="T697" s="174" t="e">
        <f>+'Estimate Details'!#REF!</f>
        <v>#REF!</v>
      </c>
      <c r="U697" s="481" t="s">
        <v>1310</v>
      </c>
      <c r="V697" s="172" t="e">
        <f>+'Estimate Details'!#REF!</f>
        <v>#REF!</v>
      </c>
      <c r="W697" s="481" t="s">
        <v>1310</v>
      </c>
      <c r="X697" s="172" t="e">
        <f>+'Estimate Details'!#REF!</f>
        <v>#REF!</v>
      </c>
      <c r="Y697" s="172" t="e">
        <f>+'Estimate Details'!#REF!</f>
        <v>#REF!</v>
      </c>
      <c r="Z697" s="174" t="e">
        <f>+'Estimate Details'!#REF!</f>
        <v>#REF!</v>
      </c>
      <c r="AA697" s="481"/>
      <c r="AB697" s="175" t="e">
        <f>+'Estimate Details'!#REF!</f>
        <v>#REF!</v>
      </c>
      <c r="AC697" s="569"/>
      <c r="AD697" s="176" t="e">
        <f>+'Estimate Details'!#REF!</f>
        <v>#REF!</v>
      </c>
      <c r="AE697" s="156"/>
      <c r="AF697" s="156"/>
      <c r="AG697" s="156"/>
      <c r="AH697" s="156"/>
      <c r="AI697" s="29"/>
      <c r="AJ697" s="29"/>
      <c r="AK697" s="29"/>
      <c r="AL697" s="29"/>
    </row>
    <row r="698" spans="1:38" ht="14.1" customHeight="1">
      <c r="A698" s="116" t="e">
        <f>+'Estimate Details'!#REF!</f>
        <v>#REF!</v>
      </c>
      <c r="B698" s="116"/>
      <c r="C698" s="116"/>
      <c r="D698" s="166"/>
      <c r="E698" s="158" t="e">
        <f>+'Estimate Details'!#REF!</f>
        <v>#REF!</v>
      </c>
      <c r="F698" s="159"/>
      <c r="G698" s="197" t="e">
        <f>+'Estimate Details'!#REF!</f>
        <v>#REF!</v>
      </c>
      <c r="H698" s="41" t="e">
        <f>+'Estimate Details'!#REF!</f>
        <v>#REF!</v>
      </c>
      <c r="I698" s="199" t="e">
        <f>+'Estimate Details'!#REF!</f>
        <v>#REF!</v>
      </c>
      <c r="J698" s="385" t="e">
        <f>+'Estimate Details'!#REF!</f>
        <v>#REF!</v>
      </c>
      <c r="K698" s="158" t="e">
        <f>+'Estimate Details'!#REF!</f>
        <v>#REF!</v>
      </c>
      <c r="L698" s="158" t="e">
        <f>+'Estimate Details'!#REF!</f>
        <v>#REF!</v>
      </c>
      <c r="M698" s="212" t="e">
        <f>+'Estimate Details'!#REF!</f>
        <v>#REF!</v>
      </c>
      <c r="N698" s="213" t="e">
        <f>+'Estimate Details'!#REF!</f>
        <v>#REF!</v>
      </c>
      <c r="O698" s="162" t="e">
        <f>+'Estimate Details'!#REF!</f>
        <v>#REF!</v>
      </c>
      <c r="P698" s="163" t="e">
        <f>+'Estimate Details'!#REF!</f>
        <v>#REF!</v>
      </c>
      <c r="Q698" s="203" t="e">
        <f>+'Estimate Details'!#REF!</f>
        <v>#REF!</v>
      </c>
      <c r="R698" s="164" t="e">
        <f>+'Estimate Details'!#REF!</f>
        <v>#REF!</v>
      </c>
      <c r="S698" s="506"/>
      <c r="T698" s="164" t="e">
        <f>+'Estimate Details'!#REF!</f>
        <v>#REF!</v>
      </c>
      <c r="U698" s="481" t="s">
        <v>1309</v>
      </c>
      <c r="V698" s="163" t="e">
        <f>+'Estimate Details'!#REF!</f>
        <v>#REF!</v>
      </c>
      <c r="W698" s="481" t="s">
        <v>1309</v>
      </c>
      <c r="X698" s="172" t="e">
        <f>+'Estimate Details'!#REF!</f>
        <v>#REF!</v>
      </c>
      <c r="Y698" s="163" t="e">
        <f>+'Estimate Details'!#REF!</f>
        <v>#REF!</v>
      </c>
      <c r="Z698" s="164" t="e">
        <f>+'Estimate Details'!#REF!</f>
        <v>#REF!</v>
      </c>
      <c r="AA698" s="486"/>
      <c r="AB698" s="165" t="e">
        <f>+'Estimate Details'!#REF!</f>
        <v>#REF!</v>
      </c>
      <c r="AC698" s="568"/>
      <c r="AD698" s="176" t="e">
        <f>+'Estimate Details'!#REF!</f>
        <v>#REF!</v>
      </c>
      <c r="AE698" s="156"/>
      <c r="AF698" s="156"/>
      <c r="AG698" s="156"/>
      <c r="AH698" s="156"/>
      <c r="AI698" s="29"/>
      <c r="AJ698" s="29"/>
      <c r="AK698" s="29"/>
      <c r="AL698" s="29"/>
    </row>
    <row r="699" spans="1:38">
      <c r="A699" s="116" t="e">
        <f>+'Estimate Details'!#REF!</f>
        <v>#REF!</v>
      </c>
      <c r="B699" s="116"/>
      <c r="C699" s="116"/>
      <c r="D699" s="166"/>
      <c r="E699" s="158" t="e">
        <f>+'Estimate Details'!#REF!</f>
        <v>#REF!</v>
      </c>
      <c r="F699" s="41"/>
      <c r="G699" s="375" t="e">
        <f>+'Estimate Details'!#REF!</f>
        <v>#REF!</v>
      </c>
      <c r="H699" s="41" t="e">
        <f>+'Estimate Details'!#REF!</f>
        <v>#REF!</v>
      </c>
      <c r="I699" s="217" t="e">
        <f>+'Estimate Details'!#REF!</f>
        <v>#REF!</v>
      </c>
      <c r="J699" s="42" t="e">
        <f>+'Estimate Details'!#REF!</f>
        <v>#REF!</v>
      </c>
      <c r="K699" s="42" t="e">
        <f>+'Estimate Details'!#REF!</f>
        <v>#REF!</v>
      </c>
      <c r="L699" s="42" t="e">
        <f>+'Estimate Details'!#REF!</f>
        <v>#REF!</v>
      </c>
      <c r="M699" s="204" t="e">
        <f>+'Estimate Details'!#REF!</f>
        <v>#REF!</v>
      </c>
      <c r="N699" s="170" t="e">
        <f>+'Estimate Details'!#REF!</f>
        <v>#REF!</v>
      </c>
      <c r="O699" s="171" t="e">
        <f>+'Estimate Details'!#REF!</f>
        <v>#REF!</v>
      </c>
      <c r="P699" s="172" t="e">
        <f>+'Estimate Details'!#REF!</f>
        <v>#REF!</v>
      </c>
      <c r="Q699" s="173" t="e">
        <f>+'Estimate Details'!#REF!</f>
        <v>#REF!</v>
      </c>
      <c r="R699" s="174" t="e">
        <f>+'Estimate Details'!#REF!</f>
        <v>#REF!</v>
      </c>
      <c r="S699" s="507"/>
      <c r="T699" s="174" t="e">
        <f>+'Estimate Details'!#REF!</f>
        <v>#REF!</v>
      </c>
      <c r="U699" s="481" t="s">
        <v>1309</v>
      </c>
      <c r="V699" s="172" t="e">
        <f>+'Estimate Details'!#REF!</f>
        <v>#REF!</v>
      </c>
      <c r="W699" s="481" t="s">
        <v>1309</v>
      </c>
      <c r="X699" s="172" t="e">
        <f>+'Estimate Details'!#REF!</f>
        <v>#REF!</v>
      </c>
      <c r="Y699" s="172" t="e">
        <f>+'Estimate Details'!#REF!</f>
        <v>#REF!</v>
      </c>
      <c r="Z699" s="174" t="e">
        <f>+'Estimate Details'!#REF!</f>
        <v>#REF!</v>
      </c>
      <c r="AA699" s="481"/>
      <c r="AB699" s="175" t="e">
        <f>+'Estimate Details'!#REF!</f>
        <v>#REF!</v>
      </c>
      <c r="AC699" s="569"/>
      <c r="AD699" s="176" t="e">
        <f>+'Estimate Details'!#REF!</f>
        <v>#REF!</v>
      </c>
      <c r="AE699" s="156"/>
      <c r="AF699" s="156"/>
      <c r="AG699" s="156"/>
      <c r="AH699" s="156"/>
      <c r="AI699" s="29"/>
      <c r="AJ699" s="29"/>
      <c r="AK699" s="29"/>
      <c r="AL699" s="29"/>
    </row>
    <row r="700" spans="1:38" ht="14.1" customHeight="1">
      <c r="A700" s="116" t="e">
        <f>+'Estimate Details'!#REF!</f>
        <v>#REF!</v>
      </c>
      <c r="B700" s="116"/>
      <c r="C700" s="116"/>
      <c r="D700" s="166"/>
      <c r="E700" s="158" t="e">
        <f>+'Estimate Details'!#REF!</f>
        <v>#REF!</v>
      </c>
      <c r="F700" s="41"/>
      <c r="G700" s="117" t="e">
        <f>+'Estimate Details'!#REF!</f>
        <v>#REF!</v>
      </c>
      <c r="H700" s="41" t="e">
        <f>+'Estimate Details'!#REF!</f>
        <v>#REF!</v>
      </c>
      <c r="I700" s="217" t="e">
        <f>+'Estimate Details'!#REF!</f>
        <v>#REF!</v>
      </c>
      <c r="J700" s="42" t="e">
        <f>+'Estimate Details'!#REF!</f>
        <v>#REF!</v>
      </c>
      <c r="K700" s="42" t="e">
        <f>+'Estimate Details'!#REF!</f>
        <v>#REF!</v>
      </c>
      <c r="L700" s="42" t="e">
        <f>+'Estimate Details'!#REF!</f>
        <v>#REF!</v>
      </c>
      <c r="M700" s="204" t="e">
        <f>+'Estimate Details'!#REF!</f>
        <v>#REF!</v>
      </c>
      <c r="N700" s="170" t="e">
        <f>+'Estimate Details'!#REF!</f>
        <v>#REF!</v>
      </c>
      <c r="O700" s="171" t="e">
        <f>+'Estimate Details'!#REF!</f>
        <v>#REF!</v>
      </c>
      <c r="P700" s="172" t="e">
        <f>+'Estimate Details'!#REF!</f>
        <v>#REF!</v>
      </c>
      <c r="Q700" s="173" t="e">
        <f>+'Estimate Details'!#REF!</f>
        <v>#REF!</v>
      </c>
      <c r="R700" s="174" t="e">
        <f>+'Estimate Details'!#REF!</f>
        <v>#REF!</v>
      </c>
      <c r="S700" s="507"/>
      <c r="T700" s="174" t="e">
        <f>+'Estimate Details'!#REF!</f>
        <v>#REF!</v>
      </c>
      <c r="U700" s="481" t="s">
        <v>1309</v>
      </c>
      <c r="V700" s="172" t="e">
        <f>+'Estimate Details'!#REF!</f>
        <v>#REF!</v>
      </c>
      <c r="W700" s="481" t="s">
        <v>1309</v>
      </c>
      <c r="X700" s="172" t="e">
        <f>+'Estimate Details'!#REF!</f>
        <v>#REF!</v>
      </c>
      <c r="Y700" s="172" t="e">
        <f>+'Estimate Details'!#REF!</f>
        <v>#REF!</v>
      </c>
      <c r="Z700" s="174" t="e">
        <f>+'Estimate Details'!#REF!</f>
        <v>#REF!</v>
      </c>
      <c r="AA700" s="481"/>
      <c r="AB700" s="175" t="e">
        <f>+'Estimate Details'!#REF!</f>
        <v>#REF!</v>
      </c>
      <c r="AC700" s="569"/>
      <c r="AD700" s="176" t="e">
        <f>+'Estimate Details'!#REF!</f>
        <v>#REF!</v>
      </c>
      <c r="AE700" s="156"/>
      <c r="AF700" s="156"/>
      <c r="AG700" s="156"/>
      <c r="AH700" s="156"/>
      <c r="AI700" s="29"/>
      <c r="AJ700" s="29"/>
      <c r="AK700" s="29"/>
      <c r="AL700" s="29"/>
    </row>
    <row r="701" spans="1:38" ht="14.1" customHeight="1">
      <c r="A701" s="116" t="e">
        <f>+'Estimate Details'!#REF!</f>
        <v>#REF!</v>
      </c>
      <c r="B701" s="116"/>
      <c r="C701" s="116"/>
      <c r="D701" s="166"/>
      <c r="E701" s="158" t="e">
        <f>+'Estimate Details'!#REF!</f>
        <v>#REF!</v>
      </c>
      <c r="F701" s="216"/>
      <c r="G701" s="117" t="e">
        <f>+'Estimate Details'!#REF!</f>
        <v>#REF!</v>
      </c>
      <c r="H701" s="41" t="e">
        <f>+'Estimate Details'!#REF!</f>
        <v>#REF!</v>
      </c>
      <c r="I701" s="108" t="e">
        <f>+'Estimate Details'!#REF!</f>
        <v>#REF!</v>
      </c>
      <c r="J701" s="42" t="e">
        <f>+'Estimate Details'!#REF!</f>
        <v>#REF!</v>
      </c>
      <c r="K701" s="42" t="e">
        <f>+'Estimate Details'!#REF!</f>
        <v>#REF!</v>
      </c>
      <c r="L701" s="42" t="e">
        <f>+'Estimate Details'!#REF!</f>
        <v>#REF!</v>
      </c>
      <c r="M701" s="204" t="e">
        <f>+'Estimate Details'!#REF!</f>
        <v>#REF!</v>
      </c>
      <c r="N701" s="170" t="e">
        <f>+'Estimate Details'!#REF!</f>
        <v>#REF!</v>
      </c>
      <c r="O701" s="171" t="e">
        <f>+'Estimate Details'!#REF!</f>
        <v>#REF!</v>
      </c>
      <c r="P701" s="172" t="e">
        <f>+'Estimate Details'!#REF!</f>
        <v>#REF!</v>
      </c>
      <c r="Q701" s="173" t="e">
        <f>+'Estimate Details'!#REF!</f>
        <v>#REF!</v>
      </c>
      <c r="R701" s="174" t="e">
        <f>+'Estimate Details'!#REF!</f>
        <v>#REF!</v>
      </c>
      <c r="S701" s="507"/>
      <c r="T701" s="174" t="e">
        <f>+'Estimate Details'!#REF!</f>
        <v>#REF!</v>
      </c>
      <c r="U701" s="481" t="s">
        <v>1309</v>
      </c>
      <c r="V701" s="172" t="e">
        <f>+'Estimate Details'!#REF!</f>
        <v>#REF!</v>
      </c>
      <c r="W701" s="481" t="s">
        <v>1309</v>
      </c>
      <c r="X701" s="172" t="e">
        <f>+'Estimate Details'!#REF!</f>
        <v>#REF!</v>
      </c>
      <c r="Y701" s="172" t="e">
        <f>+'Estimate Details'!#REF!</f>
        <v>#REF!</v>
      </c>
      <c r="Z701" s="174" t="e">
        <f>+'Estimate Details'!#REF!</f>
        <v>#REF!</v>
      </c>
      <c r="AA701" s="481"/>
      <c r="AB701" s="175" t="e">
        <f>+'Estimate Details'!#REF!</f>
        <v>#REF!</v>
      </c>
      <c r="AC701" s="569"/>
      <c r="AD701" s="176" t="e">
        <f>+'Estimate Details'!#REF!</f>
        <v>#REF!</v>
      </c>
      <c r="AE701" s="156"/>
      <c r="AF701" s="156"/>
      <c r="AG701" s="156"/>
      <c r="AH701" s="156"/>
      <c r="AI701" s="29"/>
      <c r="AJ701" s="29"/>
      <c r="AK701" s="29"/>
      <c r="AL701" s="29"/>
    </row>
    <row r="702" spans="1:38">
      <c r="A702" s="116" t="e">
        <f>+'Estimate Details'!#REF!</f>
        <v>#REF!</v>
      </c>
      <c r="B702" s="116"/>
      <c r="C702" s="116"/>
      <c r="D702" s="166"/>
      <c r="E702" s="158" t="e">
        <f>+'Estimate Details'!#REF!</f>
        <v>#REF!</v>
      </c>
      <c r="F702" s="41"/>
      <c r="G702" s="117" t="e">
        <f>+'Estimate Details'!#REF!</f>
        <v>#REF!</v>
      </c>
      <c r="H702" s="118" t="e">
        <f>+'Estimate Details'!#REF!</f>
        <v>#REF!</v>
      </c>
      <c r="I702" s="108" t="e">
        <f>+'Estimate Details'!#REF!</f>
        <v>#REF!</v>
      </c>
      <c r="J702" s="168" t="e">
        <f>+'Estimate Details'!#REF!</f>
        <v>#REF!</v>
      </c>
      <c r="K702" s="42" t="e">
        <f>+'Estimate Details'!#REF!</f>
        <v>#REF!</v>
      </c>
      <c r="L702" s="42" t="e">
        <f>+'Estimate Details'!#REF!</f>
        <v>#REF!</v>
      </c>
      <c r="M702" s="204" t="e">
        <f>+'Estimate Details'!#REF!</f>
        <v>#REF!</v>
      </c>
      <c r="N702" s="170" t="e">
        <f>+'Estimate Details'!#REF!</f>
        <v>#REF!</v>
      </c>
      <c r="O702" s="171" t="e">
        <f>+'Estimate Details'!#REF!</f>
        <v>#REF!</v>
      </c>
      <c r="P702" s="172" t="e">
        <f>+'Estimate Details'!#REF!</f>
        <v>#REF!</v>
      </c>
      <c r="Q702" s="173" t="e">
        <f>+'Estimate Details'!#REF!</f>
        <v>#REF!</v>
      </c>
      <c r="R702" s="174" t="e">
        <f>+'Estimate Details'!#REF!</f>
        <v>#REF!</v>
      </c>
      <c r="S702" s="507"/>
      <c r="T702" s="174" t="e">
        <f>+'Estimate Details'!#REF!</f>
        <v>#REF!</v>
      </c>
      <c r="U702" s="481" t="s">
        <v>1309</v>
      </c>
      <c r="V702" s="172" t="e">
        <f>+'Estimate Details'!#REF!</f>
        <v>#REF!</v>
      </c>
      <c r="W702" s="481" t="s">
        <v>1309</v>
      </c>
      <c r="X702" s="172" t="e">
        <f>+'Estimate Details'!#REF!</f>
        <v>#REF!</v>
      </c>
      <c r="Y702" s="172" t="e">
        <f>+'Estimate Details'!#REF!</f>
        <v>#REF!</v>
      </c>
      <c r="Z702" s="174" t="e">
        <f>+'Estimate Details'!#REF!</f>
        <v>#REF!</v>
      </c>
      <c r="AA702" s="481"/>
      <c r="AB702" s="175" t="e">
        <f>+'Estimate Details'!#REF!</f>
        <v>#REF!</v>
      </c>
      <c r="AC702" s="569"/>
      <c r="AD702" s="176" t="e">
        <f>+'Estimate Details'!#REF!</f>
        <v>#REF!</v>
      </c>
      <c r="AE702" s="156"/>
      <c r="AF702" s="156"/>
      <c r="AG702" s="156"/>
      <c r="AH702" s="156"/>
      <c r="AI702" s="29"/>
      <c r="AJ702" s="29"/>
      <c r="AK702" s="29"/>
      <c r="AL702" s="29"/>
    </row>
    <row r="703" spans="1:38">
      <c r="A703" s="116" t="e">
        <f>+'Estimate Details'!#REF!</f>
        <v>#REF!</v>
      </c>
      <c r="B703" s="116"/>
      <c r="C703" s="116"/>
      <c r="D703" s="166"/>
      <c r="E703" s="158" t="e">
        <f>+'Estimate Details'!#REF!</f>
        <v>#REF!</v>
      </c>
      <c r="F703" s="41"/>
      <c r="G703" s="117" t="e">
        <f>+'Estimate Details'!#REF!</f>
        <v>#REF!</v>
      </c>
      <c r="H703" s="118" t="e">
        <f>+'Estimate Details'!#REF!</f>
        <v>#REF!</v>
      </c>
      <c r="I703" s="108" t="e">
        <f>+'Estimate Details'!#REF!</f>
        <v>#REF!</v>
      </c>
      <c r="J703" s="168" t="e">
        <f>+'Estimate Details'!#REF!</f>
        <v>#REF!</v>
      </c>
      <c r="K703" s="42" t="e">
        <f>+'Estimate Details'!#REF!</f>
        <v>#REF!</v>
      </c>
      <c r="L703" s="42" t="e">
        <f>+'Estimate Details'!#REF!</f>
        <v>#REF!</v>
      </c>
      <c r="M703" s="204" t="e">
        <f>+'Estimate Details'!#REF!</f>
        <v>#REF!</v>
      </c>
      <c r="N703" s="170" t="e">
        <f>+'Estimate Details'!#REF!</f>
        <v>#REF!</v>
      </c>
      <c r="O703" s="171" t="e">
        <f>+'Estimate Details'!#REF!</f>
        <v>#REF!</v>
      </c>
      <c r="P703" s="172" t="e">
        <f>+'Estimate Details'!#REF!</f>
        <v>#REF!</v>
      </c>
      <c r="Q703" s="173" t="e">
        <f>+'Estimate Details'!#REF!</f>
        <v>#REF!</v>
      </c>
      <c r="R703" s="174" t="e">
        <f>+'Estimate Details'!#REF!</f>
        <v>#REF!</v>
      </c>
      <c r="S703" s="507"/>
      <c r="T703" s="174" t="e">
        <f>+'Estimate Details'!#REF!</f>
        <v>#REF!</v>
      </c>
      <c r="U703" s="481" t="s">
        <v>1309</v>
      </c>
      <c r="V703" s="172" t="e">
        <f>+'Estimate Details'!#REF!</f>
        <v>#REF!</v>
      </c>
      <c r="W703" s="481" t="s">
        <v>1309</v>
      </c>
      <c r="X703" s="172" t="e">
        <f>+'Estimate Details'!#REF!</f>
        <v>#REF!</v>
      </c>
      <c r="Y703" s="172" t="e">
        <f>+'Estimate Details'!#REF!</f>
        <v>#REF!</v>
      </c>
      <c r="Z703" s="174" t="e">
        <f>+'Estimate Details'!#REF!</f>
        <v>#REF!</v>
      </c>
      <c r="AA703" s="481"/>
      <c r="AB703" s="175" t="e">
        <f>+'Estimate Details'!#REF!</f>
        <v>#REF!</v>
      </c>
      <c r="AC703" s="569"/>
      <c r="AD703" s="176" t="e">
        <f>+'Estimate Details'!#REF!</f>
        <v>#REF!</v>
      </c>
      <c r="AE703" s="156"/>
      <c r="AF703" s="156"/>
      <c r="AG703" s="156"/>
      <c r="AH703" s="156"/>
      <c r="AI703" s="29"/>
      <c r="AJ703" s="29"/>
      <c r="AK703" s="29"/>
      <c r="AL703" s="29"/>
    </row>
    <row r="704" spans="1:38" ht="14.1" customHeight="1">
      <c r="A704" s="116" t="e">
        <f>+'Estimate Details'!#REF!</f>
        <v>#REF!</v>
      </c>
      <c r="B704" s="116"/>
      <c r="C704" s="116"/>
      <c r="D704" s="166"/>
      <c r="E704" s="158" t="e">
        <f>+'Estimate Details'!#REF!</f>
        <v>#REF!</v>
      </c>
      <c r="F704" s="160"/>
      <c r="G704" s="197" t="e">
        <f>+'Estimate Details'!#REF!</f>
        <v>#REF!</v>
      </c>
      <c r="H704" s="41" t="e">
        <f>+'Estimate Details'!#REF!</f>
        <v>#REF!</v>
      </c>
      <c r="I704" s="234" t="e">
        <f>+'Estimate Details'!#REF!</f>
        <v>#REF!</v>
      </c>
      <c r="J704" s="158" t="e">
        <f>+'Estimate Details'!#REF!</f>
        <v>#REF!</v>
      </c>
      <c r="K704" s="158" t="e">
        <f>+'Estimate Details'!#REF!</f>
        <v>#REF!</v>
      </c>
      <c r="L704" s="158" t="e">
        <f>+'Estimate Details'!#REF!</f>
        <v>#REF!</v>
      </c>
      <c r="M704" s="212" t="e">
        <f>+'Estimate Details'!#REF!</f>
        <v>#REF!</v>
      </c>
      <c r="N704" s="213" t="e">
        <f>+'Estimate Details'!#REF!</f>
        <v>#REF!</v>
      </c>
      <c r="O704" s="162" t="e">
        <f>+'Estimate Details'!#REF!</f>
        <v>#REF!</v>
      </c>
      <c r="P704" s="163" t="e">
        <f>+'Estimate Details'!#REF!</f>
        <v>#REF!</v>
      </c>
      <c r="Q704" s="203" t="e">
        <f>+'Estimate Details'!#REF!</f>
        <v>#REF!</v>
      </c>
      <c r="R704" s="164" t="e">
        <f>+'Estimate Details'!#REF!</f>
        <v>#REF!</v>
      </c>
      <c r="S704" s="506"/>
      <c r="T704" s="164" t="e">
        <f>+'Estimate Details'!#REF!</f>
        <v>#REF!</v>
      </c>
      <c r="U704" s="481" t="s">
        <v>1309</v>
      </c>
      <c r="V704" s="163" t="e">
        <f>+'Estimate Details'!#REF!</f>
        <v>#REF!</v>
      </c>
      <c r="W704" s="481" t="s">
        <v>1309</v>
      </c>
      <c r="X704" s="163" t="e">
        <f>+'Estimate Details'!#REF!</f>
        <v>#REF!</v>
      </c>
      <c r="Y704" s="163" t="e">
        <f>+'Estimate Details'!#REF!</f>
        <v>#REF!</v>
      </c>
      <c r="Z704" s="164" t="e">
        <f>+'Estimate Details'!#REF!</f>
        <v>#REF!</v>
      </c>
      <c r="AA704" s="486"/>
      <c r="AB704" s="165" t="e">
        <f>+'Estimate Details'!#REF!</f>
        <v>#REF!</v>
      </c>
      <c r="AC704" s="568"/>
      <c r="AD704" s="176" t="e">
        <f>+'Estimate Details'!#REF!</f>
        <v>#REF!</v>
      </c>
      <c r="AE704" s="156"/>
      <c r="AF704" s="156"/>
      <c r="AG704" s="156"/>
      <c r="AH704" s="156"/>
      <c r="AI704" s="29"/>
      <c r="AJ704" s="29"/>
      <c r="AK704" s="29"/>
      <c r="AL704" s="29"/>
    </row>
    <row r="705" spans="1:38" ht="14.1" customHeight="1">
      <c r="A705" s="116" t="e">
        <f>+'Estimate Details'!#REF!</f>
        <v>#REF!</v>
      </c>
      <c r="B705" s="116"/>
      <c r="C705" s="116"/>
      <c r="D705" s="166"/>
      <c r="E705" s="158" t="e">
        <f>+'Estimate Details'!#REF!</f>
        <v>#REF!</v>
      </c>
      <c r="F705" s="160"/>
      <c r="G705" s="197" t="e">
        <f>+'Estimate Details'!#REF!</f>
        <v>#REF!</v>
      </c>
      <c r="H705" s="41" t="e">
        <f>+'Estimate Details'!#REF!</f>
        <v>#REF!</v>
      </c>
      <c r="I705" s="234" t="e">
        <f>+'Estimate Details'!#REF!</f>
        <v>#REF!</v>
      </c>
      <c r="J705" s="158" t="e">
        <f>+'Estimate Details'!#REF!</f>
        <v>#REF!</v>
      </c>
      <c r="K705" s="158" t="e">
        <f>+'Estimate Details'!#REF!</f>
        <v>#REF!</v>
      </c>
      <c r="L705" s="158" t="e">
        <f>+'Estimate Details'!#REF!</f>
        <v>#REF!</v>
      </c>
      <c r="M705" s="212" t="e">
        <f>+'Estimate Details'!#REF!</f>
        <v>#REF!</v>
      </c>
      <c r="N705" s="213" t="e">
        <f>+'Estimate Details'!#REF!</f>
        <v>#REF!</v>
      </c>
      <c r="O705" s="162" t="e">
        <f>+'Estimate Details'!#REF!</f>
        <v>#REF!</v>
      </c>
      <c r="P705" s="163" t="e">
        <f>+'Estimate Details'!#REF!</f>
        <v>#REF!</v>
      </c>
      <c r="Q705" s="203" t="e">
        <f>+'Estimate Details'!#REF!</f>
        <v>#REF!</v>
      </c>
      <c r="R705" s="164" t="e">
        <f>+'Estimate Details'!#REF!</f>
        <v>#REF!</v>
      </c>
      <c r="S705" s="506"/>
      <c r="T705" s="164" t="e">
        <f>+'Estimate Details'!#REF!</f>
        <v>#REF!</v>
      </c>
      <c r="U705" s="481" t="s">
        <v>1309</v>
      </c>
      <c r="V705" s="163" t="e">
        <f>+'Estimate Details'!#REF!</f>
        <v>#REF!</v>
      </c>
      <c r="W705" s="481" t="s">
        <v>1309</v>
      </c>
      <c r="X705" s="163" t="e">
        <f>+'Estimate Details'!#REF!</f>
        <v>#REF!</v>
      </c>
      <c r="Y705" s="163" t="e">
        <f>+'Estimate Details'!#REF!</f>
        <v>#REF!</v>
      </c>
      <c r="Z705" s="164" t="e">
        <f>+'Estimate Details'!#REF!</f>
        <v>#REF!</v>
      </c>
      <c r="AA705" s="486"/>
      <c r="AB705" s="165" t="e">
        <f>+'Estimate Details'!#REF!</f>
        <v>#REF!</v>
      </c>
      <c r="AC705" s="568"/>
      <c r="AD705" s="176" t="e">
        <f>+'Estimate Details'!#REF!</f>
        <v>#REF!</v>
      </c>
      <c r="AE705" s="156"/>
      <c r="AF705" s="156"/>
      <c r="AG705" s="156"/>
      <c r="AH705" s="156"/>
      <c r="AI705" s="29"/>
      <c r="AJ705" s="29"/>
      <c r="AK705" s="29"/>
      <c r="AL705" s="29"/>
    </row>
    <row r="706" spans="1:38">
      <c r="A706" s="116" t="e">
        <f>+'Estimate Details'!#REF!</f>
        <v>#REF!</v>
      </c>
      <c r="B706" s="116"/>
      <c r="C706" s="116"/>
      <c r="D706" s="166"/>
      <c r="E706" s="158" t="e">
        <f>+'Estimate Details'!#REF!</f>
        <v>#REF!</v>
      </c>
      <c r="F706" s="41"/>
      <c r="G706" s="375" t="e">
        <f>+'Estimate Details'!#REF!</f>
        <v>#REF!</v>
      </c>
      <c r="H706" s="41" t="e">
        <f>+'Estimate Details'!#REF!</f>
        <v>#REF!</v>
      </c>
      <c r="I706" s="108" t="e">
        <f>+'Estimate Details'!#REF!</f>
        <v>#REF!</v>
      </c>
      <c r="J706" s="192" t="e">
        <f>+'Estimate Details'!#REF!</f>
        <v>#REF!</v>
      </c>
      <c r="K706" s="42" t="e">
        <f>+'Estimate Details'!#REF!</f>
        <v>#REF!</v>
      </c>
      <c r="L706" s="42" t="e">
        <f>+'Estimate Details'!#REF!</f>
        <v>#REF!</v>
      </c>
      <c r="M706" s="204" t="e">
        <f>+'Estimate Details'!#REF!</f>
        <v>#REF!</v>
      </c>
      <c r="N706" s="170" t="e">
        <f>+'Estimate Details'!#REF!</f>
        <v>#REF!</v>
      </c>
      <c r="O706" s="171" t="e">
        <f>+'Estimate Details'!#REF!</f>
        <v>#REF!</v>
      </c>
      <c r="P706" s="172" t="e">
        <f>+'Estimate Details'!#REF!</f>
        <v>#REF!</v>
      </c>
      <c r="Q706" s="173" t="e">
        <f>+'Estimate Details'!#REF!</f>
        <v>#REF!</v>
      </c>
      <c r="R706" s="174" t="e">
        <f>+'Estimate Details'!#REF!</f>
        <v>#REF!</v>
      </c>
      <c r="S706" s="507"/>
      <c r="T706" s="174" t="e">
        <f>+'Estimate Details'!#REF!</f>
        <v>#REF!</v>
      </c>
      <c r="U706" s="481" t="s">
        <v>1309</v>
      </c>
      <c r="V706" s="172" t="e">
        <f>+'Estimate Details'!#REF!</f>
        <v>#REF!</v>
      </c>
      <c r="W706" s="481" t="s">
        <v>1309</v>
      </c>
      <c r="X706" s="172" t="e">
        <f>+'Estimate Details'!#REF!</f>
        <v>#REF!</v>
      </c>
      <c r="Y706" s="172" t="e">
        <f>+'Estimate Details'!#REF!</f>
        <v>#REF!</v>
      </c>
      <c r="Z706" s="174" t="e">
        <f>+'Estimate Details'!#REF!</f>
        <v>#REF!</v>
      </c>
      <c r="AA706" s="481"/>
      <c r="AB706" s="175" t="e">
        <f>+'Estimate Details'!#REF!</f>
        <v>#REF!</v>
      </c>
      <c r="AC706" s="569"/>
      <c r="AD706" s="176" t="e">
        <f>+'Estimate Details'!#REF!</f>
        <v>#REF!</v>
      </c>
      <c r="AE706" s="156"/>
      <c r="AF706" s="156"/>
      <c r="AG706" s="156"/>
      <c r="AH706" s="156"/>
      <c r="AI706" s="29"/>
      <c r="AJ706" s="29"/>
      <c r="AK706" s="29"/>
      <c r="AL706" s="29"/>
    </row>
    <row r="707" spans="1:38" ht="14.1" customHeight="1">
      <c r="A707" s="116" t="e">
        <f>+'Estimate Details'!#REF!</f>
        <v>#REF!</v>
      </c>
      <c r="B707" s="116"/>
      <c r="C707" s="116"/>
      <c r="D707" s="166"/>
      <c r="E707" s="158" t="e">
        <f>+'Estimate Details'!#REF!</f>
        <v>#REF!</v>
      </c>
      <c r="F707" s="41"/>
      <c r="G707" s="117" t="e">
        <f>+'Estimate Details'!#REF!</f>
        <v>#REF!</v>
      </c>
      <c r="H707" s="41" t="e">
        <f>+'Estimate Details'!#REF!</f>
        <v>#REF!</v>
      </c>
      <c r="I707" s="217" t="e">
        <f>+'Estimate Details'!#REF!</f>
        <v>#REF!</v>
      </c>
      <c r="J707" s="42" t="e">
        <f>+'Estimate Details'!#REF!</f>
        <v>#REF!</v>
      </c>
      <c r="K707" s="42" t="e">
        <f>+'Estimate Details'!#REF!</f>
        <v>#REF!</v>
      </c>
      <c r="L707" s="42" t="e">
        <f>+'Estimate Details'!#REF!</f>
        <v>#REF!</v>
      </c>
      <c r="M707" s="204" t="e">
        <f>+'Estimate Details'!#REF!</f>
        <v>#REF!</v>
      </c>
      <c r="N707" s="170" t="e">
        <f>+'Estimate Details'!#REF!</f>
        <v>#REF!</v>
      </c>
      <c r="O707" s="171" t="e">
        <f>+'Estimate Details'!#REF!</f>
        <v>#REF!</v>
      </c>
      <c r="P707" s="172" t="e">
        <f>+'Estimate Details'!#REF!</f>
        <v>#REF!</v>
      </c>
      <c r="Q707" s="173" t="e">
        <f>+'Estimate Details'!#REF!</f>
        <v>#REF!</v>
      </c>
      <c r="R707" s="174" t="e">
        <f>+'Estimate Details'!#REF!</f>
        <v>#REF!</v>
      </c>
      <c r="S707" s="507"/>
      <c r="T707" s="174" t="e">
        <f>+'Estimate Details'!#REF!</f>
        <v>#REF!</v>
      </c>
      <c r="U707" s="481" t="s">
        <v>1309</v>
      </c>
      <c r="V707" s="172" t="e">
        <f>+'Estimate Details'!#REF!</f>
        <v>#REF!</v>
      </c>
      <c r="W707" s="481" t="s">
        <v>1309</v>
      </c>
      <c r="X707" s="172" t="e">
        <f>+'Estimate Details'!#REF!</f>
        <v>#REF!</v>
      </c>
      <c r="Y707" s="172" t="e">
        <f>+'Estimate Details'!#REF!</f>
        <v>#REF!</v>
      </c>
      <c r="Z707" s="174" t="e">
        <f>+'Estimate Details'!#REF!</f>
        <v>#REF!</v>
      </c>
      <c r="AA707" s="481"/>
      <c r="AB707" s="175" t="e">
        <f>+'Estimate Details'!#REF!</f>
        <v>#REF!</v>
      </c>
      <c r="AC707" s="569"/>
      <c r="AD707" s="176" t="e">
        <f>+'Estimate Details'!#REF!</f>
        <v>#REF!</v>
      </c>
      <c r="AE707" s="156"/>
      <c r="AF707" s="156"/>
      <c r="AG707" s="156"/>
      <c r="AH707" s="156"/>
      <c r="AI707" s="29"/>
      <c r="AJ707" s="29"/>
      <c r="AK707" s="29"/>
      <c r="AL707" s="29"/>
    </row>
    <row r="708" spans="1:38" ht="14.1" customHeight="1">
      <c r="A708" s="116" t="e">
        <f>+'Estimate Details'!#REF!</f>
        <v>#REF!</v>
      </c>
      <c r="B708" s="116"/>
      <c r="C708" s="116"/>
      <c r="D708" s="166"/>
      <c r="E708" s="158" t="e">
        <f>+'Estimate Details'!#REF!</f>
        <v>#REF!</v>
      </c>
      <c r="F708" s="41"/>
      <c r="G708" s="117" t="e">
        <f>+'Estimate Details'!#REF!</f>
        <v>#REF!</v>
      </c>
      <c r="H708" s="41" t="e">
        <f>+'Estimate Details'!#REF!</f>
        <v>#REF!</v>
      </c>
      <c r="I708" s="108" t="e">
        <f>+'Estimate Details'!#REF!</f>
        <v>#REF!</v>
      </c>
      <c r="J708" s="192" t="e">
        <f>+'Estimate Details'!#REF!</f>
        <v>#REF!</v>
      </c>
      <c r="K708" s="42" t="e">
        <f>+'Estimate Details'!#REF!</f>
        <v>#REF!</v>
      </c>
      <c r="L708" s="42" t="e">
        <f>+'Estimate Details'!#REF!</f>
        <v>#REF!</v>
      </c>
      <c r="M708" s="177" t="e">
        <f>+'Estimate Details'!#REF!</f>
        <v>#REF!</v>
      </c>
      <c r="N708" s="170" t="e">
        <f>+'Estimate Details'!#REF!</f>
        <v>#REF!</v>
      </c>
      <c r="O708" s="171" t="e">
        <f>+'Estimate Details'!#REF!</f>
        <v>#REF!</v>
      </c>
      <c r="P708" s="172" t="e">
        <f>+'Estimate Details'!#REF!</f>
        <v>#REF!</v>
      </c>
      <c r="Q708" s="173" t="e">
        <f>+'Estimate Details'!#REF!</f>
        <v>#REF!</v>
      </c>
      <c r="R708" s="174" t="e">
        <f>+'Estimate Details'!#REF!</f>
        <v>#REF!</v>
      </c>
      <c r="S708" s="507"/>
      <c r="T708" s="174" t="e">
        <f>+'Estimate Details'!#REF!</f>
        <v>#REF!</v>
      </c>
      <c r="U708" s="481" t="s">
        <v>1309</v>
      </c>
      <c r="V708" s="172" t="e">
        <f>+'Estimate Details'!#REF!</f>
        <v>#REF!</v>
      </c>
      <c r="W708" s="481" t="s">
        <v>1309</v>
      </c>
      <c r="X708" s="172" t="e">
        <f>+'Estimate Details'!#REF!</f>
        <v>#REF!</v>
      </c>
      <c r="Y708" s="172" t="e">
        <f>+'Estimate Details'!#REF!</f>
        <v>#REF!</v>
      </c>
      <c r="Z708" s="174" t="e">
        <f>+'Estimate Details'!#REF!</f>
        <v>#REF!</v>
      </c>
      <c r="AA708" s="481"/>
      <c r="AB708" s="175" t="e">
        <f>+'Estimate Details'!#REF!</f>
        <v>#REF!</v>
      </c>
      <c r="AC708" s="569"/>
      <c r="AD708" s="176" t="e">
        <f>+'Estimate Details'!#REF!</f>
        <v>#REF!</v>
      </c>
      <c r="AE708" s="156"/>
      <c r="AF708" s="372"/>
      <c r="AG708" s="156"/>
      <c r="AH708" s="156"/>
      <c r="AI708" s="29"/>
      <c r="AJ708" s="29"/>
      <c r="AK708" s="29"/>
      <c r="AL708" s="29"/>
    </row>
    <row r="709" spans="1:38" ht="14.1" customHeight="1">
      <c r="A709" s="116" t="e">
        <f>+'Estimate Details'!#REF!</f>
        <v>#REF!</v>
      </c>
      <c r="B709" s="116"/>
      <c r="C709" s="116"/>
      <c r="D709" s="166"/>
      <c r="E709" s="158" t="e">
        <f>+'Estimate Details'!#REF!</f>
        <v>#REF!</v>
      </c>
      <c r="F709" s="41"/>
      <c r="G709" s="117" t="e">
        <f>+'Estimate Details'!#REF!</f>
        <v>#REF!</v>
      </c>
      <c r="H709" s="41" t="e">
        <f>+'Estimate Details'!#REF!</f>
        <v>#REF!</v>
      </c>
      <c r="I709" s="108" t="e">
        <f>+'Estimate Details'!#REF!</f>
        <v>#REF!</v>
      </c>
      <c r="J709" s="42" t="e">
        <f>+'Estimate Details'!#REF!</f>
        <v>#REF!</v>
      </c>
      <c r="K709" s="42" t="e">
        <f>+'Estimate Details'!#REF!</f>
        <v>#REF!</v>
      </c>
      <c r="L709" s="42" t="e">
        <f>+'Estimate Details'!#REF!</f>
        <v>#REF!</v>
      </c>
      <c r="M709" s="204" t="e">
        <f>+'Estimate Details'!#REF!</f>
        <v>#REF!</v>
      </c>
      <c r="N709" s="170" t="e">
        <f>+'Estimate Details'!#REF!</f>
        <v>#REF!</v>
      </c>
      <c r="O709" s="171" t="e">
        <f>+'Estimate Details'!#REF!</f>
        <v>#REF!</v>
      </c>
      <c r="P709" s="172" t="e">
        <f>+'Estimate Details'!#REF!</f>
        <v>#REF!</v>
      </c>
      <c r="Q709" s="173" t="e">
        <f>+'Estimate Details'!#REF!</f>
        <v>#REF!</v>
      </c>
      <c r="R709" s="174" t="e">
        <f>+'Estimate Details'!#REF!</f>
        <v>#REF!</v>
      </c>
      <c r="S709" s="507"/>
      <c r="T709" s="174" t="e">
        <f>+'Estimate Details'!#REF!</f>
        <v>#REF!</v>
      </c>
      <c r="U709" s="481" t="s">
        <v>1309</v>
      </c>
      <c r="V709" s="172" t="e">
        <f>+'Estimate Details'!#REF!</f>
        <v>#REF!</v>
      </c>
      <c r="W709" s="481" t="s">
        <v>1309</v>
      </c>
      <c r="X709" s="172" t="e">
        <f>+'Estimate Details'!#REF!</f>
        <v>#REF!</v>
      </c>
      <c r="Y709" s="172" t="e">
        <f>+'Estimate Details'!#REF!</f>
        <v>#REF!</v>
      </c>
      <c r="Z709" s="174" t="e">
        <f>+'Estimate Details'!#REF!</f>
        <v>#REF!</v>
      </c>
      <c r="AA709" s="481"/>
      <c r="AB709" s="175" t="e">
        <f>+'Estimate Details'!#REF!</f>
        <v>#REF!</v>
      </c>
      <c r="AC709" s="569"/>
      <c r="AD709" s="176" t="e">
        <f>+'Estimate Details'!#REF!</f>
        <v>#REF!</v>
      </c>
      <c r="AE709" s="156"/>
      <c r="AF709" s="373"/>
      <c r="AG709" s="156"/>
      <c r="AH709" s="156"/>
      <c r="AI709" s="29"/>
      <c r="AJ709" s="29"/>
      <c r="AK709" s="29"/>
      <c r="AL709" s="29"/>
    </row>
    <row r="710" spans="1:38" ht="14.1" customHeight="1">
      <c r="A710" s="116" t="e">
        <f>+'Estimate Details'!#REF!</f>
        <v>#REF!</v>
      </c>
      <c r="B710" s="116"/>
      <c r="C710" s="116"/>
      <c r="D710" s="166"/>
      <c r="E710" s="158" t="e">
        <f>+'Estimate Details'!#REF!</f>
        <v>#REF!</v>
      </c>
      <c r="F710" s="41"/>
      <c r="G710" s="117" t="e">
        <f>+'Estimate Details'!#REF!</f>
        <v>#REF!</v>
      </c>
      <c r="H710" s="41" t="e">
        <f>+'Estimate Details'!#REF!</f>
        <v>#REF!</v>
      </c>
      <c r="I710" s="217" t="e">
        <f>+'Estimate Details'!#REF!</f>
        <v>#REF!</v>
      </c>
      <c r="J710" s="42" t="e">
        <f>+'Estimate Details'!#REF!</f>
        <v>#REF!</v>
      </c>
      <c r="K710" s="42" t="e">
        <f>+'Estimate Details'!#REF!</f>
        <v>#REF!</v>
      </c>
      <c r="L710" s="42" t="e">
        <f>+'Estimate Details'!#REF!</f>
        <v>#REF!</v>
      </c>
      <c r="M710" s="227" t="e">
        <f>+'Estimate Details'!#REF!</f>
        <v>#REF!</v>
      </c>
      <c r="N710" s="43" t="e">
        <f>+'Estimate Details'!#REF!</f>
        <v>#REF!</v>
      </c>
      <c r="O710" s="171" t="e">
        <f>+'Estimate Details'!#REF!</f>
        <v>#REF!</v>
      </c>
      <c r="P710" s="172" t="e">
        <f>+'Estimate Details'!#REF!</f>
        <v>#REF!</v>
      </c>
      <c r="Q710" s="173" t="e">
        <f>+'Estimate Details'!#REF!</f>
        <v>#REF!</v>
      </c>
      <c r="R710" s="174" t="e">
        <f>+'Estimate Details'!#REF!</f>
        <v>#REF!</v>
      </c>
      <c r="S710" s="507"/>
      <c r="T710" s="174" t="e">
        <f>+'Estimate Details'!#REF!</f>
        <v>#REF!</v>
      </c>
      <c r="U710" s="481" t="s">
        <v>1310</v>
      </c>
      <c r="V710" s="172" t="e">
        <f>+'Estimate Details'!#REF!</f>
        <v>#REF!</v>
      </c>
      <c r="W710" s="481" t="s">
        <v>1310</v>
      </c>
      <c r="X710" s="172" t="e">
        <f>+'Estimate Details'!#REF!</f>
        <v>#REF!</v>
      </c>
      <c r="Y710" s="172" t="e">
        <f>+'Estimate Details'!#REF!</f>
        <v>#REF!</v>
      </c>
      <c r="Z710" s="174" t="e">
        <f>+'Estimate Details'!#REF!</f>
        <v>#REF!</v>
      </c>
      <c r="AA710" s="481"/>
      <c r="AB710" s="175" t="e">
        <f>+'Estimate Details'!#REF!</f>
        <v>#REF!</v>
      </c>
      <c r="AC710" s="569"/>
      <c r="AD710" s="176" t="e">
        <f>+'Estimate Details'!#REF!</f>
        <v>#REF!</v>
      </c>
      <c r="AE710" s="156"/>
      <c r="AF710" s="372"/>
      <c r="AG710" s="156"/>
      <c r="AH710" s="156"/>
      <c r="AI710" s="29"/>
      <c r="AJ710" s="29"/>
      <c r="AK710" s="29"/>
      <c r="AL710" s="29"/>
    </row>
    <row r="711" spans="1:38" ht="14.1" customHeight="1">
      <c r="A711" s="116" t="e">
        <f>+'Estimate Details'!#REF!</f>
        <v>#REF!</v>
      </c>
      <c r="B711" s="116"/>
      <c r="C711" s="116"/>
      <c r="D711" s="166"/>
      <c r="E711" s="158" t="e">
        <f>+'Estimate Details'!#REF!</f>
        <v>#REF!</v>
      </c>
      <c r="F711" s="41"/>
      <c r="G711" s="117" t="e">
        <f>+'Estimate Details'!#REF!</f>
        <v>#REF!</v>
      </c>
      <c r="H711" s="41" t="e">
        <f>+'Estimate Details'!#REF!</f>
        <v>#REF!</v>
      </c>
      <c r="I711" s="217" t="e">
        <f>+'Estimate Details'!#REF!</f>
        <v>#REF!</v>
      </c>
      <c r="J711" s="42" t="e">
        <f>+'Estimate Details'!#REF!</f>
        <v>#REF!</v>
      </c>
      <c r="K711" s="42" t="e">
        <f>+'Estimate Details'!#REF!</f>
        <v>#REF!</v>
      </c>
      <c r="L711" s="42" t="e">
        <f>+'Estimate Details'!#REF!</f>
        <v>#REF!</v>
      </c>
      <c r="M711" s="227" t="e">
        <f>+'Estimate Details'!#REF!</f>
        <v>#REF!</v>
      </c>
      <c r="N711" s="43" t="e">
        <f>+'Estimate Details'!#REF!</f>
        <v>#REF!</v>
      </c>
      <c r="O711" s="171" t="e">
        <f>+'Estimate Details'!#REF!</f>
        <v>#REF!</v>
      </c>
      <c r="P711" s="172" t="e">
        <f>+'Estimate Details'!#REF!</f>
        <v>#REF!</v>
      </c>
      <c r="Q711" s="173" t="e">
        <f>+'Estimate Details'!#REF!</f>
        <v>#REF!</v>
      </c>
      <c r="R711" s="174" t="e">
        <f>+'Estimate Details'!#REF!</f>
        <v>#REF!</v>
      </c>
      <c r="S711" s="507"/>
      <c r="T711" s="174" t="e">
        <f>+'Estimate Details'!#REF!</f>
        <v>#REF!</v>
      </c>
      <c r="U711" s="481" t="s">
        <v>1310</v>
      </c>
      <c r="V711" s="172" t="e">
        <f>+'Estimate Details'!#REF!</f>
        <v>#REF!</v>
      </c>
      <c r="W711" s="481" t="s">
        <v>1310</v>
      </c>
      <c r="X711" s="172" t="e">
        <f>+'Estimate Details'!#REF!</f>
        <v>#REF!</v>
      </c>
      <c r="Y711" s="172" t="e">
        <f>+'Estimate Details'!#REF!</f>
        <v>#REF!</v>
      </c>
      <c r="Z711" s="174" t="e">
        <f>+'Estimate Details'!#REF!</f>
        <v>#REF!</v>
      </c>
      <c r="AA711" s="481"/>
      <c r="AB711" s="175" t="e">
        <f>+'Estimate Details'!#REF!</f>
        <v>#REF!</v>
      </c>
      <c r="AC711" s="569"/>
      <c r="AD711" s="176" t="e">
        <f>+'Estimate Details'!#REF!</f>
        <v>#REF!</v>
      </c>
      <c r="AE711" s="156"/>
      <c r="AF711" s="372"/>
      <c r="AG711" s="156"/>
      <c r="AH711" s="156"/>
      <c r="AI711" s="29"/>
      <c r="AJ711" s="29"/>
      <c r="AK711" s="29"/>
      <c r="AL711" s="29"/>
    </row>
    <row r="712" spans="1:38" ht="14.1" customHeight="1">
      <c r="A712" s="116" t="e">
        <f>+'Estimate Details'!#REF!</f>
        <v>#REF!</v>
      </c>
      <c r="B712" s="116"/>
      <c r="C712" s="116"/>
      <c r="D712" s="166"/>
      <c r="E712" s="158" t="e">
        <f>+'Estimate Details'!#REF!</f>
        <v>#REF!</v>
      </c>
      <c r="F712" s="41"/>
      <c r="G712" s="117" t="e">
        <f>+'Estimate Details'!#REF!</f>
        <v>#REF!</v>
      </c>
      <c r="H712" s="41" t="e">
        <f>+'Estimate Details'!#REF!</f>
        <v>#REF!</v>
      </c>
      <c r="I712" s="217" t="e">
        <f>+'Estimate Details'!#REF!</f>
        <v>#REF!</v>
      </c>
      <c r="J712" s="42" t="e">
        <f>+'Estimate Details'!#REF!</f>
        <v>#REF!</v>
      </c>
      <c r="K712" s="42" t="e">
        <f>+'Estimate Details'!#REF!</f>
        <v>#REF!</v>
      </c>
      <c r="L712" s="42" t="e">
        <f>+'Estimate Details'!#REF!</f>
        <v>#REF!</v>
      </c>
      <c r="M712" s="227" t="e">
        <f>+'Estimate Details'!#REF!</f>
        <v>#REF!</v>
      </c>
      <c r="N712" s="43" t="e">
        <f>+'Estimate Details'!#REF!</f>
        <v>#REF!</v>
      </c>
      <c r="O712" s="171" t="e">
        <f>+'Estimate Details'!#REF!</f>
        <v>#REF!</v>
      </c>
      <c r="P712" s="172" t="e">
        <f>+'Estimate Details'!#REF!</f>
        <v>#REF!</v>
      </c>
      <c r="Q712" s="173" t="e">
        <f>+'Estimate Details'!#REF!</f>
        <v>#REF!</v>
      </c>
      <c r="R712" s="174" t="e">
        <f>+'Estimate Details'!#REF!</f>
        <v>#REF!</v>
      </c>
      <c r="S712" s="507"/>
      <c r="T712" s="174" t="e">
        <f>+'Estimate Details'!#REF!</f>
        <v>#REF!</v>
      </c>
      <c r="U712" s="481" t="s">
        <v>1310</v>
      </c>
      <c r="V712" s="172" t="e">
        <f>+'Estimate Details'!#REF!</f>
        <v>#REF!</v>
      </c>
      <c r="W712" s="481" t="s">
        <v>1310</v>
      </c>
      <c r="X712" s="172" t="e">
        <f>+'Estimate Details'!#REF!</f>
        <v>#REF!</v>
      </c>
      <c r="Y712" s="172" t="e">
        <f>+'Estimate Details'!#REF!</f>
        <v>#REF!</v>
      </c>
      <c r="Z712" s="174" t="e">
        <f>+'Estimate Details'!#REF!</f>
        <v>#REF!</v>
      </c>
      <c r="AA712" s="481"/>
      <c r="AB712" s="175" t="e">
        <f>+'Estimate Details'!#REF!</f>
        <v>#REF!</v>
      </c>
      <c r="AC712" s="569"/>
      <c r="AD712" s="176" t="e">
        <f>+'Estimate Details'!#REF!</f>
        <v>#REF!</v>
      </c>
      <c r="AE712" s="156"/>
      <c r="AF712" s="372"/>
      <c r="AG712" s="156"/>
      <c r="AH712" s="156"/>
      <c r="AI712" s="29"/>
      <c r="AJ712" s="29"/>
      <c r="AK712" s="29"/>
      <c r="AL712" s="29"/>
    </row>
    <row r="713" spans="1:38" ht="14.1" customHeight="1">
      <c r="A713" s="116" t="e">
        <f>+'Estimate Details'!#REF!</f>
        <v>#REF!</v>
      </c>
      <c r="B713" s="116"/>
      <c r="C713" s="116"/>
      <c r="D713" s="166"/>
      <c r="E713" s="158" t="e">
        <f>+'Estimate Details'!#REF!</f>
        <v>#REF!</v>
      </c>
      <c r="F713" s="41"/>
      <c r="G713" s="117" t="e">
        <f>+'Estimate Details'!#REF!</f>
        <v>#REF!</v>
      </c>
      <c r="H713" s="41" t="e">
        <f>+'Estimate Details'!#REF!</f>
        <v>#REF!</v>
      </c>
      <c r="I713" s="217" t="e">
        <f>+'Estimate Details'!#REF!</f>
        <v>#REF!</v>
      </c>
      <c r="J713" s="42" t="e">
        <f>+'Estimate Details'!#REF!</f>
        <v>#REF!</v>
      </c>
      <c r="K713" s="42" t="e">
        <f>+'Estimate Details'!#REF!</f>
        <v>#REF!</v>
      </c>
      <c r="L713" s="42" t="e">
        <f>+'Estimate Details'!#REF!</f>
        <v>#REF!</v>
      </c>
      <c r="M713" s="227" t="e">
        <f>+'Estimate Details'!#REF!</f>
        <v>#REF!</v>
      </c>
      <c r="N713" s="43" t="e">
        <f>+'Estimate Details'!#REF!</f>
        <v>#REF!</v>
      </c>
      <c r="O713" s="171" t="e">
        <f>+'Estimate Details'!#REF!</f>
        <v>#REF!</v>
      </c>
      <c r="P713" s="172" t="e">
        <f>+'Estimate Details'!#REF!</f>
        <v>#REF!</v>
      </c>
      <c r="Q713" s="173" t="e">
        <f>+'Estimate Details'!#REF!</f>
        <v>#REF!</v>
      </c>
      <c r="R713" s="174" t="e">
        <f>+'Estimate Details'!#REF!</f>
        <v>#REF!</v>
      </c>
      <c r="S713" s="507"/>
      <c r="T713" s="174" t="e">
        <f>+'Estimate Details'!#REF!</f>
        <v>#REF!</v>
      </c>
      <c r="U713" s="481" t="s">
        <v>1310</v>
      </c>
      <c r="V713" s="172" t="e">
        <f>+'Estimate Details'!#REF!</f>
        <v>#REF!</v>
      </c>
      <c r="W713" s="481" t="s">
        <v>1310</v>
      </c>
      <c r="X713" s="172" t="e">
        <f>+'Estimate Details'!#REF!</f>
        <v>#REF!</v>
      </c>
      <c r="Y713" s="172" t="e">
        <f>+'Estimate Details'!#REF!</f>
        <v>#REF!</v>
      </c>
      <c r="Z713" s="174" t="e">
        <f>+'Estimate Details'!#REF!</f>
        <v>#REF!</v>
      </c>
      <c r="AA713" s="481"/>
      <c r="AB713" s="175" t="e">
        <f>+'Estimate Details'!#REF!</f>
        <v>#REF!</v>
      </c>
      <c r="AC713" s="569"/>
      <c r="AD713" s="176" t="e">
        <f>+'Estimate Details'!#REF!</f>
        <v>#REF!</v>
      </c>
      <c r="AE713" s="156"/>
      <c r="AF713" s="372"/>
      <c r="AG713" s="156"/>
      <c r="AH713" s="156"/>
      <c r="AI713" s="29"/>
      <c r="AJ713" s="29"/>
      <c r="AK713" s="29"/>
      <c r="AL713" s="29"/>
    </row>
    <row r="714" spans="1:38" ht="14.1" customHeight="1">
      <c r="A714" s="116" t="e">
        <f>+'Estimate Details'!#REF!</f>
        <v>#REF!</v>
      </c>
      <c r="B714" s="116"/>
      <c r="C714" s="116"/>
      <c r="D714" s="166"/>
      <c r="E714" s="158" t="e">
        <f>+'Estimate Details'!#REF!</f>
        <v>#REF!</v>
      </c>
      <c r="F714" s="41"/>
      <c r="G714" s="117" t="e">
        <f>+'Estimate Details'!#REF!</f>
        <v>#REF!</v>
      </c>
      <c r="H714" s="41" t="e">
        <f>+'Estimate Details'!#REF!</f>
        <v>#REF!</v>
      </c>
      <c r="I714" s="217" t="e">
        <f>+'Estimate Details'!#REF!</f>
        <v>#REF!</v>
      </c>
      <c r="J714" s="42" t="e">
        <f>+'Estimate Details'!#REF!</f>
        <v>#REF!</v>
      </c>
      <c r="K714" s="42" t="e">
        <f>+'Estimate Details'!#REF!</f>
        <v>#REF!</v>
      </c>
      <c r="L714" s="42" t="e">
        <f>+'Estimate Details'!#REF!</f>
        <v>#REF!</v>
      </c>
      <c r="M714" s="227" t="e">
        <f>+'Estimate Details'!#REF!</f>
        <v>#REF!</v>
      </c>
      <c r="N714" s="43" t="e">
        <f>+'Estimate Details'!#REF!</f>
        <v>#REF!</v>
      </c>
      <c r="O714" s="171" t="e">
        <f>+'Estimate Details'!#REF!</f>
        <v>#REF!</v>
      </c>
      <c r="P714" s="172" t="e">
        <f>+'Estimate Details'!#REF!</f>
        <v>#REF!</v>
      </c>
      <c r="Q714" s="173" t="e">
        <f>+'Estimate Details'!#REF!</f>
        <v>#REF!</v>
      </c>
      <c r="R714" s="174" t="e">
        <f>+'Estimate Details'!#REF!</f>
        <v>#REF!</v>
      </c>
      <c r="S714" s="507"/>
      <c r="T714" s="174" t="e">
        <f>+'Estimate Details'!#REF!</f>
        <v>#REF!</v>
      </c>
      <c r="U714" s="481" t="s">
        <v>1310</v>
      </c>
      <c r="V714" s="172" t="e">
        <f>+'Estimate Details'!#REF!</f>
        <v>#REF!</v>
      </c>
      <c r="W714" s="481" t="s">
        <v>1310</v>
      </c>
      <c r="X714" s="172" t="e">
        <f>+'Estimate Details'!#REF!</f>
        <v>#REF!</v>
      </c>
      <c r="Y714" s="172" t="e">
        <f>+'Estimate Details'!#REF!</f>
        <v>#REF!</v>
      </c>
      <c r="Z714" s="174" t="e">
        <f>+'Estimate Details'!#REF!</f>
        <v>#REF!</v>
      </c>
      <c r="AA714" s="481"/>
      <c r="AB714" s="175" t="e">
        <f>+'Estimate Details'!#REF!</f>
        <v>#REF!</v>
      </c>
      <c r="AC714" s="569"/>
      <c r="AD714" s="176" t="e">
        <f>+'Estimate Details'!#REF!</f>
        <v>#REF!</v>
      </c>
      <c r="AE714" s="244"/>
      <c r="AF714" s="372"/>
      <c r="AG714" s="156"/>
      <c r="AH714" s="156"/>
      <c r="AI714" s="29"/>
      <c r="AJ714" s="29"/>
      <c r="AK714" s="29"/>
      <c r="AL714" s="29"/>
    </row>
    <row r="715" spans="1:38" ht="14.1" customHeight="1">
      <c r="A715" s="116" t="e">
        <f>+'Estimate Details'!#REF!</f>
        <v>#REF!</v>
      </c>
      <c r="B715" s="116"/>
      <c r="C715" s="116"/>
      <c r="D715" s="166"/>
      <c r="E715" s="158" t="e">
        <f>+'Estimate Details'!#REF!</f>
        <v>#REF!</v>
      </c>
      <c r="F715" s="41"/>
      <c r="G715" s="117" t="e">
        <f>+'Estimate Details'!#REF!</f>
        <v>#REF!</v>
      </c>
      <c r="H715" s="41" t="e">
        <f>+'Estimate Details'!#REF!</f>
        <v>#REF!</v>
      </c>
      <c r="I715" s="217" t="e">
        <f>+'Estimate Details'!#REF!</f>
        <v>#REF!</v>
      </c>
      <c r="J715" s="42" t="e">
        <f>+'Estimate Details'!#REF!</f>
        <v>#REF!</v>
      </c>
      <c r="K715" s="42" t="e">
        <f>+'Estimate Details'!#REF!</f>
        <v>#REF!</v>
      </c>
      <c r="L715" s="42" t="e">
        <f>+'Estimate Details'!#REF!</f>
        <v>#REF!</v>
      </c>
      <c r="M715" s="227" t="e">
        <f>+'Estimate Details'!#REF!</f>
        <v>#REF!</v>
      </c>
      <c r="N715" s="228" t="e">
        <f>+'Estimate Details'!#REF!</f>
        <v>#REF!</v>
      </c>
      <c r="O715" s="171" t="e">
        <f>+'Estimate Details'!#REF!</f>
        <v>#REF!</v>
      </c>
      <c r="P715" s="172" t="e">
        <f>+'Estimate Details'!#REF!</f>
        <v>#REF!</v>
      </c>
      <c r="Q715" s="173" t="e">
        <f>+'Estimate Details'!#REF!</f>
        <v>#REF!</v>
      </c>
      <c r="R715" s="174" t="e">
        <f>+'Estimate Details'!#REF!</f>
        <v>#REF!</v>
      </c>
      <c r="S715" s="507"/>
      <c r="T715" s="174" t="e">
        <f>+'Estimate Details'!#REF!</f>
        <v>#REF!</v>
      </c>
      <c r="U715" s="481" t="s">
        <v>1310</v>
      </c>
      <c r="V715" s="172" t="e">
        <f>+'Estimate Details'!#REF!</f>
        <v>#REF!</v>
      </c>
      <c r="W715" s="481" t="s">
        <v>1310</v>
      </c>
      <c r="X715" s="172" t="e">
        <f>+'Estimate Details'!#REF!</f>
        <v>#REF!</v>
      </c>
      <c r="Y715" s="172" t="e">
        <f>+'Estimate Details'!#REF!</f>
        <v>#REF!</v>
      </c>
      <c r="Z715" s="174" t="e">
        <f>+'Estimate Details'!#REF!</f>
        <v>#REF!</v>
      </c>
      <c r="AA715" s="481"/>
      <c r="AB715" s="175" t="e">
        <f>+'Estimate Details'!#REF!</f>
        <v>#REF!</v>
      </c>
      <c r="AC715" s="569"/>
      <c r="AD715" s="176" t="e">
        <f>+'Estimate Details'!#REF!</f>
        <v>#REF!</v>
      </c>
      <c r="AE715" s="244"/>
      <c r="AF715" s="372"/>
      <c r="AG715" s="156"/>
      <c r="AH715" s="156"/>
      <c r="AI715" s="29"/>
      <c r="AJ715" s="29"/>
      <c r="AK715" s="29"/>
      <c r="AL715" s="29"/>
    </row>
    <row r="716" spans="1:38" ht="14.1" customHeight="1">
      <c r="A716" s="116" t="e">
        <f>+'Estimate Details'!#REF!</f>
        <v>#REF!</v>
      </c>
      <c r="B716" s="116"/>
      <c r="C716" s="116"/>
      <c r="D716" s="166"/>
      <c r="E716" s="158" t="e">
        <f>+'Estimate Details'!#REF!</f>
        <v>#REF!</v>
      </c>
      <c r="F716" s="41"/>
      <c r="G716" s="117" t="e">
        <f>+'Estimate Details'!#REF!</f>
        <v>#REF!</v>
      </c>
      <c r="H716" s="41" t="e">
        <f>+'Estimate Details'!#REF!</f>
        <v>#REF!</v>
      </c>
      <c r="I716" s="217" t="e">
        <f>+'Estimate Details'!#REF!</f>
        <v>#REF!</v>
      </c>
      <c r="J716" s="42" t="e">
        <f>+'Estimate Details'!#REF!</f>
        <v>#REF!</v>
      </c>
      <c r="K716" s="42" t="e">
        <f>+'Estimate Details'!#REF!</f>
        <v>#REF!</v>
      </c>
      <c r="L716" s="42" t="e">
        <f>+'Estimate Details'!#REF!</f>
        <v>#REF!</v>
      </c>
      <c r="M716" s="227" t="e">
        <f>+'Estimate Details'!#REF!</f>
        <v>#REF!</v>
      </c>
      <c r="N716" s="228" t="e">
        <f>+'Estimate Details'!#REF!</f>
        <v>#REF!</v>
      </c>
      <c r="O716" s="171" t="e">
        <f>+'Estimate Details'!#REF!</f>
        <v>#REF!</v>
      </c>
      <c r="P716" s="172" t="e">
        <f>+'Estimate Details'!#REF!</f>
        <v>#REF!</v>
      </c>
      <c r="Q716" s="173" t="e">
        <f>+'Estimate Details'!#REF!</f>
        <v>#REF!</v>
      </c>
      <c r="R716" s="174" t="e">
        <f>+'Estimate Details'!#REF!</f>
        <v>#REF!</v>
      </c>
      <c r="S716" s="507"/>
      <c r="T716" s="174" t="e">
        <f>+'Estimate Details'!#REF!</f>
        <v>#REF!</v>
      </c>
      <c r="U716" s="481" t="s">
        <v>1310</v>
      </c>
      <c r="V716" s="172" t="e">
        <f>+'Estimate Details'!#REF!</f>
        <v>#REF!</v>
      </c>
      <c r="W716" s="481" t="s">
        <v>1310</v>
      </c>
      <c r="X716" s="172" t="e">
        <f>+'Estimate Details'!#REF!</f>
        <v>#REF!</v>
      </c>
      <c r="Y716" s="172" t="e">
        <f>+'Estimate Details'!#REF!</f>
        <v>#REF!</v>
      </c>
      <c r="Z716" s="174" t="e">
        <f>+'Estimate Details'!#REF!</f>
        <v>#REF!</v>
      </c>
      <c r="AA716" s="481"/>
      <c r="AB716" s="175" t="e">
        <f>+'Estimate Details'!#REF!</f>
        <v>#REF!</v>
      </c>
      <c r="AC716" s="569"/>
      <c r="AD716" s="176" t="e">
        <f>+'Estimate Details'!#REF!</f>
        <v>#REF!</v>
      </c>
      <c r="AE716" s="156"/>
      <c r="AF716" s="372"/>
      <c r="AG716" s="156"/>
      <c r="AH716" s="156"/>
      <c r="AI716" s="29"/>
      <c r="AJ716" s="29"/>
      <c r="AK716" s="29"/>
      <c r="AL716" s="29"/>
    </row>
    <row r="717" spans="1:38" ht="14.1" customHeight="1">
      <c r="A717" s="116" t="e">
        <f>+'Estimate Details'!#REF!</f>
        <v>#REF!</v>
      </c>
      <c r="B717" s="116"/>
      <c r="C717" s="116"/>
      <c r="D717" s="166"/>
      <c r="E717" s="158" t="e">
        <f>+'Estimate Details'!#REF!</f>
        <v>#REF!</v>
      </c>
      <c r="F717" s="41"/>
      <c r="G717" s="117" t="e">
        <f>+'Estimate Details'!#REF!</f>
        <v>#REF!</v>
      </c>
      <c r="H717" s="41" t="e">
        <f>+'Estimate Details'!#REF!</f>
        <v>#REF!</v>
      </c>
      <c r="I717" s="217" t="e">
        <f>+'Estimate Details'!#REF!</f>
        <v>#REF!</v>
      </c>
      <c r="J717" s="42" t="e">
        <f>+'Estimate Details'!#REF!</f>
        <v>#REF!</v>
      </c>
      <c r="K717" s="42" t="e">
        <f>+'Estimate Details'!#REF!</f>
        <v>#REF!</v>
      </c>
      <c r="L717" s="42" t="e">
        <f>+'Estimate Details'!#REF!</f>
        <v>#REF!</v>
      </c>
      <c r="M717" s="227" t="e">
        <f>+'Estimate Details'!#REF!</f>
        <v>#REF!</v>
      </c>
      <c r="N717" s="228" t="e">
        <f>+'Estimate Details'!#REF!</f>
        <v>#REF!</v>
      </c>
      <c r="O717" s="171" t="e">
        <f>+'Estimate Details'!#REF!</f>
        <v>#REF!</v>
      </c>
      <c r="P717" s="172" t="e">
        <f>+'Estimate Details'!#REF!</f>
        <v>#REF!</v>
      </c>
      <c r="Q717" s="173" t="e">
        <f>+'Estimate Details'!#REF!</f>
        <v>#REF!</v>
      </c>
      <c r="R717" s="174" t="e">
        <f>+'Estimate Details'!#REF!</f>
        <v>#REF!</v>
      </c>
      <c r="S717" s="507"/>
      <c r="T717" s="174" t="e">
        <f>+'Estimate Details'!#REF!</f>
        <v>#REF!</v>
      </c>
      <c r="U717" s="481" t="s">
        <v>1310</v>
      </c>
      <c r="V717" s="172" t="e">
        <f>+'Estimate Details'!#REF!</f>
        <v>#REF!</v>
      </c>
      <c r="W717" s="481" t="s">
        <v>1310</v>
      </c>
      <c r="X717" s="172" t="e">
        <f>+'Estimate Details'!#REF!</f>
        <v>#REF!</v>
      </c>
      <c r="Y717" s="172" t="e">
        <f>+'Estimate Details'!#REF!</f>
        <v>#REF!</v>
      </c>
      <c r="Z717" s="174" t="e">
        <f>+'Estimate Details'!#REF!</f>
        <v>#REF!</v>
      </c>
      <c r="AA717" s="481"/>
      <c r="AB717" s="175" t="e">
        <f>+'Estimate Details'!#REF!</f>
        <v>#REF!</v>
      </c>
      <c r="AC717" s="569"/>
      <c r="AD717" s="176" t="e">
        <f>+'Estimate Details'!#REF!</f>
        <v>#REF!</v>
      </c>
      <c r="AE717" s="156"/>
      <c r="AF717" s="372"/>
      <c r="AG717" s="156"/>
      <c r="AH717" s="156"/>
      <c r="AI717" s="29"/>
      <c r="AJ717" s="29"/>
      <c r="AK717" s="29"/>
      <c r="AL717" s="29"/>
    </row>
    <row r="718" spans="1:38" ht="14.1" customHeight="1">
      <c r="A718" s="116" t="e">
        <f>+'Estimate Details'!#REF!</f>
        <v>#REF!</v>
      </c>
      <c r="B718" s="116"/>
      <c r="C718" s="116"/>
      <c r="D718" s="166"/>
      <c r="E718" s="158" t="e">
        <f>+'Estimate Details'!#REF!</f>
        <v>#REF!</v>
      </c>
      <c r="F718" s="41"/>
      <c r="G718" s="117" t="e">
        <f>+'Estimate Details'!#REF!</f>
        <v>#REF!</v>
      </c>
      <c r="H718" s="41" t="e">
        <f>+'Estimate Details'!#REF!</f>
        <v>#REF!</v>
      </c>
      <c r="I718" s="217" t="e">
        <f>+'Estimate Details'!#REF!</f>
        <v>#REF!</v>
      </c>
      <c r="J718" s="42" t="e">
        <f>+'Estimate Details'!#REF!</f>
        <v>#REF!</v>
      </c>
      <c r="K718" s="42" t="e">
        <f>+'Estimate Details'!#REF!</f>
        <v>#REF!</v>
      </c>
      <c r="L718" s="42" t="e">
        <f>+'Estimate Details'!#REF!</f>
        <v>#REF!</v>
      </c>
      <c r="M718" s="227" t="e">
        <f>+'Estimate Details'!#REF!</f>
        <v>#REF!</v>
      </c>
      <c r="N718" s="228" t="e">
        <f>+'Estimate Details'!#REF!</f>
        <v>#REF!</v>
      </c>
      <c r="O718" s="171" t="e">
        <f>+'Estimate Details'!#REF!</f>
        <v>#REF!</v>
      </c>
      <c r="P718" s="172" t="e">
        <f>+'Estimate Details'!#REF!</f>
        <v>#REF!</v>
      </c>
      <c r="Q718" s="173" t="e">
        <f>+'Estimate Details'!#REF!</f>
        <v>#REF!</v>
      </c>
      <c r="R718" s="174" t="e">
        <f>+'Estimate Details'!#REF!</f>
        <v>#REF!</v>
      </c>
      <c r="S718" s="507"/>
      <c r="T718" s="174" t="e">
        <f>+'Estimate Details'!#REF!</f>
        <v>#REF!</v>
      </c>
      <c r="U718" s="481" t="s">
        <v>1310</v>
      </c>
      <c r="V718" s="172" t="e">
        <f>+'Estimate Details'!#REF!</f>
        <v>#REF!</v>
      </c>
      <c r="W718" s="481" t="s">
        <v>1310</v>
      </c>
      <c r="X718" s="172" t="e">
        <f>+'Estimate Details'!#REF!</f>
        <v>#REF!</v>
      </c>
      <c r="Y718" s="172" t="e">
        <f>+'Estimate Details'!#REF!</f>
        <v>#REF!</v>
      </c>
      <c r="Z718" s="174" t="e">
        <f>+'Estimate Details'!#REF!</f>
        <v>#REF!</v>
      </c>
      <c r="AA718" s="481"/>
      <c r="AB718" s="175" t="e">
        <f>+'Estimate Details'!#REF!</f>
        <v>#REF!</v>
      </c>
      <c r="AC718" s="569"/>
      <c r="AD718" s="176" t="e">
        <f>+'Estimate Details'!#REF!</f>
        <v>#REF!</v>
      </c>
      <c r="AE718" s="156"/>
      <c r="AF718" s="372"/>
      <c r="AG718" s="156"/>
      <c r="AH718" s="156"/>
      <c r="AI718" s="29"/>
      <c r="AJ718" s="29"/>
      <c r="AK718" s="29"/>
      <c r="AL718" s="29"/>
    </row>
    <row r="719" spans="1:38" ht="14.1" customHeight="1">
      <c r="A719" s="116" t="e">
        <f>+'Estimate Details'!#REF!</f>
        <v>#REF!</v>
      </c>
      <c r="B719" s="116"/>
      <c r="C719" s="116"/>
      <c r="D719" s="166"/>
      <c r="E719" s="158" t="e">
        <f>+'Estimate Details'!#REF!</f>
        <v>#REF!</v>
      </c>
      <c r="F719" s="41"/>
      <c r="G719" s="117" t="e">
        <f>+'Estimate Details'!#REF!</f>
        <v>#REF!</v>
      </c>
      <c r="H719" s="41" t="e">
        <f>+'Estimate Details'!#REF!</f>
        <v>#REF!</v>
      </c>
      <c r="I719" s="217" t="e">
        <f>+'Estimate Details'!#REF!</f>
        <v>#REF!</v>
      </c>
      <c r="J719" s="42" t="e">
        <f>+'Estimate Details'!#REF!</f>
        <v>#REF!</v>
      </c>
      <c r="K719" s="42" t="e">
        <f>+'Estimate Details'!#REF!</f>
        <v>#REF!</v>
      </c>
      <c r="L719" s="42" t="e">
        <f>+'Estimate Details'!#REF!</f>
        <v>#REF!</v>
      </c>
      <c r="M719" s="227" t="e">
        <f>+'Estimate Details'!#REF!</f>
        <v>#REF!</v>
      </c>
      <c r="N719" s="228" t="e">
        <f>+'Estimate Details'!#REF!</f>
        <v>#REF!</v>
      </c>
      <c r="O719" s="171" t="e">
        <f>+'Estimate Details'!#REF!</f>
        <v>#REF!</v>
      </c>
      <c r="P719" s="172" t="e">
        <f>+'Estimate Details'!#REF!</f>
        <v>#REF!</v>
      </c>
      <c r="Q719" s="173" t="e">
        <f>+'Estimate Details'!#REF!</f>
        <v>#REF!</v>
      </c>
      <c r="R719" s="174" t="e">
        <f>+'Estimate Details'!#REF!</f>
        <v>#REF!</v>
      </c>
      <c r="S719" s="507"/>
      <c r="T719" s="174" t="e">
        <f>+'Estimate Details'!#REF!</f>
        <v>#REF!</v>
      </c>
      <c r="U719" s="481" t="s">
        <v>1310</v>
      </c>
      <c r="V719" s="172" t="e">
        <f>+'Estimate Details'!#REF!</f>
        <v>#REF!</v>
      </c>
      <c r="W719" s="481" t="s">
        <v>1310</v>
      </c>
      <c r="X719" s="172" t="e">
        <f>+'Estimate Details'!#REF!</f>
        <v>#REF!</v>
      </c>
      <c r="Y719" s="172" t="e">
        <f>+'Estimate Details'!#REF!</f>
        <v>#REF!</v>
      </c>
      <c r="Z719" s="174" t="e">
        <f>+'Estimate Details'!#REF!</f>
        <v>#REF!</v>
      </c>
      <c r="AA719" s="481"/>
      <c r="AB719" s="175" t="e">
        <f>+'Estimate Details'!#REF!</f>
        <v>#REF!</v>
      </c>
      <c r="AC719" s="569"/>
      <c r="AD719" s="176" t="e">
        <f>+'Estimate Details'!#REF!</f>
        <v>#REF!</v>
      </c>
      <c r="AE719" s="156"/>
      <c r="AF719" s="373"/>
      <c r="AG719" s="156"/>
      <c r="AH719" s="156"/>
      <c r="AI719" s="29"/>
      <c r="AJ719" s="29"/>
      <c r="AK719" s="29"/>
      <c r="AL719" s="29"/>
    </row>
    <row r="720" spans="1:38" ht="14.1" customHeight="1">
      <c r="A720" s="116" t="e">
        <f>+'Estimate Details'!#REF!</f>
        <v>#REF!</v>
      </c>
      <c r="B720" s="116"/>
      <c r="C720" s="116"/>
      <c r="D720" s="166"/>
      <c r="E720" s="158" t="e">
        <f>+'Estimate Details'!#REF!</f>
        <v>#REF!</v>
      </c>
      <c r="F720" s="41"/>
      <c r="G720" s="117" t="e">
        <f>+'Estimate Details'!#REF!</f>
        <v>#REF!</v>
      </c>
      <c r="H720" s="41" t="e">
        <f>+'Estimate Details'!#REF!</f>
        <v>#REF!</v>
      </c>
      <c r="I720" s="217" t="e">
        <f>+'Estimate Details'!#REF!</f>
        <v>#REF!</v>
      </c>
      <c r="J720" s="42" t="e">
        <f>+'Estimate Details'!#REF!</f>
        <v>#REF!</v>
      </c>
      <c r="K720" s="42" t="e">
        <f>+'Estimate Details'!#REF!</f>
        <v>#REF!</v>
      </c>
      <c r="L720" s="42" t="e">
        <f>+'Estimate Details'!#REF!</f>
        <v>#REF!</v>
      </c>
      <c r="M720" s="227" t="e">
        <f>+'Estimate Details'!#REF!</f>
        <v>#REF!</v>
      </c>
      <c r="N720" s="228" t="e">
        <f>+'Estimate Details'!#REF!</f>
        <v>#REF!</v>
      </c>
      <c r="O720" s="171" t="e">
        <f>+'Estimate Details'!#REF!</f>
        <v>#REF!</v>
      </c>
      <c r="P720" s="172" t="e">
        <f>+'Estimate Details'!#REF!</f>
        <v>#REF!</v>
      </c>
      <c r="Q720" s="173" t="e">
        <f>+'Estimate Details'!#REF!</f>
        <v>#REF!</v>
      </c>
      <c r="R720" s="174" t="e">
        <f>+'Estimate Details'!#REF!</f>
        <v>#REF!</v>
      </c>
      <c r="S720" s="507"/>
      <c r="T720" s="174" t="e">
        <f>+'Estimate Details'!#REF!</f>
        <v>#REF!</v>
      </c>
      <c r="U720" s="481" t="s">
        <v>1310</v>
      </c>
      <c r="V720" s="172" t="e">
        <f>+'Estimate Details'!#REF!</f>
        <v>#REF!</v>
      </c>
      <c r="W720" s="481" t="s">
        <v>1310</v>
      </c>
      <c r="X720" s="172" t="e">
        <f>+'Estimate Details'!#REF!</f>
        <v>#REF!</v>
      </c>
      <c r="Y720" s="172" t="e">
        <f>+'Estimate Details'!#REF!</f>
        <v>#REF!</v>
      </c>
      <c r="Z720" s="174" t="e">
        <f>+'Estimate Details'!#REF!</f>
        <v>#REF!</v>
      </c>
      <c r="AA720" s="481"/>
      <c r="AB720" s="175" t="e">
        <f>+'Estimate Details'!#REF!</f>
        <v>#REF!</v>
      </c>
      <c r="AC720" s="569"/>
      <c r="AD720" s="176" t="e">
        <f>+'Estimate Details'!#REF!</f>
        <v>#REF!</v>
      </c>
      <c r="AE720" s="156"/>
      <c r="AF720" s="372"/>
      <c r="AG720" s="156"/>
      <c r="AH720" s="156"/>
      <c r="AI720" s="29"/>
      <c r="AJ720" s="29"/>
      <c r="AK720" s="29"/>
      <c r="AL720" s="29"/>
    </row>
    <row r="721" spans="1:44" ht="14.1" customHeight="1">
      <c r="A721" s="116" t="e">
        <f>+'Estimate Details'!#REF!</f>
        <v>#REF!</v>
      </c>
      <c r="B721" s="116"/>
      <c r="C721" s="116"/>
      <c r="D721" s="166"/>
      <c r="E721" s="158" t="e">
        <f>+'Estimate Details'!#REF!</f>
        <v>#REF!</v>
      </c>
      <c r="F721" s="41"/>
      <c r="G721" s="117" t="e">
        <f>+'Estimate Details'!#REF!</f>
        <v>#REF!</v>
      </c>
      <c r="H721" s="41" t="e">
        <f>+'Estimate Details'!#REF!</f>
        <v>#REF!</v>
      </c>
      <c r="I721" s="217" t="e">
        <f>+'Estimate Details'!#REF!</f>
        <v>#REF!</v>
      </c>
      <c r="J721" s="42" t="e">
        <f>+'Estimate Details'!#REF!</f>
        <v>#REF!</v>
      </c>
      <c r="K721" s="42" t="e">
        <f>+'Estimate Details'!#REF!</f>
        <v>#REF!</v>
      </c>
      <c r="L721" s="42" t="e">
        <f>+'Estimate Details'!#REF!</f>
        <v>#REF!</v>
      </c>
      <c r="M721" s="227" t="e">
        <f>+'Estimate Details'!#REF!</f>
        <v>#REF!</v>
      </c>
      <c r="N721" s="228" t="e">
        <f>+'Estimate Details'!#REF!</f>
        <v>#REF!</v>
      </c>
      <c r="O721" s="171" t="e">
        <f>+'Estimate Details'!#REF!</f>
        <v>#REF!</v>
      </c>
      <c r="P721" s="172" t="e">
        <f>+'Estimate Details'!#REF!</f>
        <v>#REF!</v>
      </c>
      <c r="Q721" s="173" t="e">
        <f>+'Estimate Details'!#REF!</f>
        <v>#REF!</v>
      </c>
      <c r="R721" s="174" t="e">
        <f>+'Estimate Details'!#REF!</f>
        <v>#REF!</v>
      </c>
      <c r="S721" s="507"/>
      <c r="T721" s="174" t="e">
        <f>+'Estimate Details'!#REF!</f>
        <v>#REF!</v>
      </c>
      <c r="U721" s="481" t="s">
        <v>1310</v>
      </c>
      <c r="V721" s="172" t="e">
        <f>+'Estimate Details'!#REF!</f>
        <v>#REF!</v>
      </c>
      <c r="W721" s="481" t="s">
        <v>1310</v>
      </c>
      <c r="X721" s="172" t="e">
        <f>+'Estimate Details'!#REF!</f>
        <v>#REF!</v>
      </c>
      <c r="Y721" s="172" t="e">
        <f>+'Estimate Details'!#REF!</f>
        <v>#REF!</v>
      </c>
      <c r="Z721" s="174" t="e">
        <f>+'Estimate Details'!#REF!</f>
        <v>#REF!</v>
      </c>
      <c r="AA721" s="481"/>
      <c r="AB721" s="175" t="e">
        <f>+'Estimate Details'!#REF!</f>
        <v>#REF!</v>
      </c>
      <c r="AC721" s="569"/>
      <c r="AD721" s="176" t="e">
        <f>+'Estimate Details'!#REF!</f>
        <v>#REF!</v>
      </c>
      <c r="AE721" s="156"/>
      <c r="AF721" s="372"/>
      <c r="AG721" s="156"/>
      <c r="AH721" s="156"/>
      <c r="AI721" s="29"/>
      <c r="AJ721" s="29"/>
      <c r="AK721" s="29"/>
      <c r="AL721" s="29"/>
    </row>
    <row r="722" spans="1:44" ht="14.1" customHeight="1">
      <c r="A722" s="116" t="e">
        <f>+'Estimate Details'!#REF!</f>
        <v>#REF!</v>
      </c>
      <c r="B722" s="116"/>
      <c r="C722" s="116"/>
      <c r="D722" s="166"/>
      <c r="E722" s="158" t="e">
        <f>+'Estimate Details'!#REF!</f>
        <v>#REF!</v>
      </c>
      <c r="F722" s="41"/>
      <c r="G722" s="117" t="e">
        <f>+'Estimate Details'!#REF!</f>
        <v>#REF!</v>
      </c>
      <c r="H722" s="41" t="e">
        <f>+'Estimate Details'!#REF!</f>
        <v>#REF!</v>
      </c>
      <c r="I722" s="217" t="e">
        <f>+'Estimate Details'!#REF!</f>
        <v>#REF!</v>
      </c>
      <c r="J722" s="42" t="e">
        <f>+'Estimate Details'!#REF!</f>
        <v>#REF!</v>
      </c>
      <c r="K722" s="42" t="e">
        <f>+'Estimate Details'!#REF!</f>
        <v>#REF!</v>
      </c>
      <c r="L722" s="42" t="e">
        <f>+'Estimate Details'!#REF!</f>
        <v>#REF!</v>
      </c>
      <c r="M722" s="227" t="e">
        <f>+'Estimate Details'!#REF!</f>
        <v>#REF!</v>
      </c>
      <c r="N722" s="228" t="e">
        <f>+'Estimate Details'!#REF!</f>
        <v>#REF!</v>
      </c>
      <c r="O722" s="171" t="e">
        <f>+'Estimate Details'!#REF!</f>
        <v>#REF!</v>
      </c>
      <c r="P722" s="172" t="e">
        <f>+'Estimate Details'!#REF!</f>
        <v>#REF!</v>
      </c>
      <c r="Q722" s="173" t="e">
        <f>+'Estimate Details'!#REF!</f>
        <v>#REF!</v>
      </c>
      <c r="R722" s="174" t="e">
        <f>+'Estimate Details'!#REF!</f>
        <v>#REF!</v>
      </c>
      <c r="S722" s="507"/>
      <c r="T722" s="174" t="e">
        <f>+'Estimate Details'!#REF!</f>
        <v>#REF!</v>
      </c>
      <c r="U722" s="481" t="s">
        <v>1310</v>
      </c>
      <c r="V722" s="172" t="e">
        <f>+'Estimate Details'!#REF!</f>
        <v>#REF!</v>
      </c>
      <c r="W722" s="481" t="s">
        <v>1310</v>
      </c>
      <c r="X722" s="172" t="e">
        <f>+'Estimate Details'!#REF!</f>
        <v>#REF!</v>
      </c>
      <c r="Y722" s="172" t="e">
        <f>+'Estimate Details'!#REF!</f>
        <v>#REF!</v>
      </c>
      <c r="Z722" s="174" t="e">
        <f>+'Estimate Details'!#REF!</f>
        <v>#REF!</v>
      </c>
      <c r="AA722" s="481"/>
      <c r="AB722" s="175" t="e">
        <f>+'Estimate Details'!#REF!</f>
        <v>#REF!</v>
      </c>
      <c r="AC722" s="569"/>
      <c r="AD722" s="176" t="e">
        <f>+'Estimate Details'!#REF!</f>
        <v>#REF!</v>
      </c>
      <c r="AE722" s="156"/>
      <c r="AF722" s="372"/>
      <c r="AG722" s="156"/>
      <c r="AH722" s="156"/>
      <c r="AI722" s="29"/>
      <c r="AJ722" s="29"/>
      <c r="AK722" s="29"/>
      <c r="AL722" s="29"/>
    </row>
    <row r="723" spans="1:44" ht="14.1" customHeight="1">
      <c r="A723" s="116" t="e">
        <f>+'Estimate Details'!#REF!</f>
        <v>#REF!</v>
      </c>
      <c r="B723" s="116"/>
      <c r="C723" s="116"/>
      <c r="D723" s="166"/>
      <c r="E723" s="158" t="e">
        <f>+'Estimate Details'!#REF!</f>
        <v>#REF!</v>
      </c>
      <c r="F723" s="41"/>
      <c r="G723" s="117" t="e">
        <f>+'Estimate Details'!#REF!</f>
        <v>#REF!</v>
      </c>
      <c r="H723" s="41" t="e">
        <f>+'Estimate Details'!#REF!</f>
        <v>#REF!</v>
      </c>
      <c r="I723" s="217" t="e">
        <f>+'Estimate Details'!#REF!</f>
        <v>#REF!</v>
      </c>
      <c r="J723" s="42" t="e">
        <f>+'Estimate Details'!#REF!</f>
        <v>#REF!</v>
      </c>
      <c r="K723" s="42" t="e">
        <f>+'Estimate Details'!#REF!</f>
        <v>#REF!</v>
      </c>
      <c r="L723" s="42" t="e">
        <f>+'Estimate Details'!#REF!</f>
        <v>#REF!</v>
      </c>
      <c r="M723" s="227" t="e">
        <f>+'Estimate Details'!#REF!</f>
        <v>#REF!</v>
      </c>
      <c r="N723" s="228" t="e">
        <f>+'Estimate Details'!#REF!</f>
        <v>#REF!</v>
      </c>
      <c r="O723" s="171" t="e">
        <f>+'Estimate Details'!#REF!</f>
        <v>#REF!</v>
      </c>
      <c r="P723" s="172" t="e">
        <f>+'Estimate Details'!#REF!</f>
        <v>#REF!</v>
      </c>
      <c r="Q723" s="173" t="e">
        <f>+'Estimate Details'!#REF!</f>
        <v>#REF!</v>
      </c>
      <c r="R723" s="174" t="e">
        <f>+'Estimate Details'!#REF!</f>
        <v>#REF!</v>
      </c>
      <c r="S723" s="507"/>
      <c r="T723" s="174" t="e">
        <f>+'Estimate Details'!#REF!</f>
        <v>#REF!</v>
      </c>
      <c r="U723" s="481" t="s">
        <v>1310</v>
      </c>
      <c r="V723" s="172" t="e">
        <f>+'Estimate Details'!#REF!</f>
        <v>#REF!</v>
      </c>
      <c r="W723" s="481" t="s">
        <v>1310</v>
      </c>
      <c r="X723" s="172" t="e">
        <f>+'Estimate Details'!#REF!</f>
        <v>#REF!</v>
      </c>
      <c r="Y723" s="172" t="e">
        <f>+'Estimate Details'!#REF!</f>
        <v>#REF!</v>
      </c>
      <c r="Z723" s="174" t="e">
        <f>+'Estimate Details'!#REF!</f>
        <v>#REF!</v>
      </c>
      <c r="AA723" s="481"/>
      <c r="AB723" s="175" t="e">
        <f>+'Estimate Details'!#REF!</f>
        <v>#REF!</v>
      </c>
      <c r="AC723" s="569"/>
      <c r="AD723" s="176" t="e">
        <f>+'Estimate Details'!#REF!</f>
        <v>#REF!</v>
      </c>
      <c r="AE723" s="156"/>
      <c r="AF723" s="372"/>
      <c r="AG723" s="156"/>
      <c r="AH723" s="156"/>
      <c r="AI723" s="29"/>
      <c r="AJ723" s="29"/>
      <c r="AK723" s="29"/>
      <c r="AL723" s="29"/>
    </row>
    <row r="724" spans="1:44" ht="14.1" customHeight="1">
      <c r="A724" s="116" t="e">
        <f>+'Estimate Details'!#REF!</f>
        <v>#REF!</v>
      </c>
      <c r="B724" s="116"/>
      <c r="C724" s="116"/>
      <c r="D724" s="166"/>
      <c r="E724" s="158" t="e">
        <f>+'Estimate Details'!#REF!</f>
        <v>#REF!</v>
      </c>
      <c r="F724" s="41"/>
      <c r="G724" s="117" t="e">
        <f>+'Estimate Details'!#REF!</f>
        <v>#REF!</v>
      </c>
      <c r="H724" s="41" t="e">
        <f>+'Estimate Details'!#REF!</f>
        <v>#REF!</v>
      </c>
      <c r="I724" s="217" t="e">
        <f>+'Estimate Details'!#REF!</f>
        <v>#REF!</v>
      </c>
      <c r="J724" s="42" t="e">
        <f>+'Estimate Details'!#REF!</f>
        <v>#REF!</v>
      </c>
      <c r="K724" s="42" t="e">
        <f>+'Estimate Details'!#REF!</f>
        <v>#REF!</v>
      </c>
      <c r="L724" s="42" t="e">
        <f>+'Estimate Details'!#REF!</f>
        <v>#REF!</v>
      </c>
      <c r="M724" s="227" t="e">
        <f>+'Estimate Details'!#REF!</f>
        <v>#REF!</v>
      </c>
      <c r="N724" s="228" t="e">
        <f>+'Estimate Details'!#REF!</f>
        <v>#REF!</v>
      </c>
      <c r="O724" s="171" t="e">
        <f>+'Estimate Details'!#REF!</f>
        <v>#REF!</v>
      </c>
      <c r="P724" s="172" t="e">
        <f>+'Estimate Details'!#REF!</f>
        <v>#REF!</v>
      </c>
      <c r="Q724" s="173" t="e">
        <f>+'Estimate Details'!#REF!</f>
        <v>#REF!</v>
      </c>
      <c r="R724" s="174" t="e">
        <f>+'Estimate Details'!#REF!</f>
        <v>#REF!</v>
      </c>
      <c r="S724" s="507"/>
      <c r="T724" s="174" t="e">
        <f>+'Estimate Details'!#REF!</f>
        <v>#REF!</v>
      </c>
      <c r="U724" s="481" t="s">
        <v>1310</v>
      </c>
      <c r="V724" s="172" t="e">
        <f>+'Estimate Details'!#REF!</f>
        <v>#REF!</v>
      </c>
      <c r="W724" s="481" t="s">
        <v>1310</v>
      </c>
      <c r="X724" s="172" t="e">
        <f>+'Estimate Details'!#REF!</f>
        <v>#REF!</v>
      </c>
      <c r="Y724" s="172" t="e">
        <f>+'Estimate Details'!#REF!</f>
        <v>#REF!</v>
      </c>
      <c r="Z724" s="174" t="e">
        <f>+'Estimate Details'!#REF!</f>
        <v>#REF!</v>
      </c>
      <c r="AA724" s="481"/>
      <c r="AB724" s="175" t="e">
        <f>+'Estimate Details'!#REF!</f>
        <v>#REF!</v>
      </c>
      <c r="AC724" s="569"/>
      <c r="AD724" s="176" t="e">
        <f>+'Estimate Details'!#REF!</f>
        <v>#REF!</v>
      </c>
      <c r="AE724" s="244"/>
      <c r="AF724" s="372"/>
      <c r="AG724" s="156"/>
      <c r="AH724" s="156"/>
      <c r="AI724" s="29"/>
      <c r="AJ724" s="29"/>
      <c r="AK724" s="29"/>
      <c r="AL724" s="29"/>
    </row>
    <row r="725" spans="1:44" ht="14.1" customHeight="1">
      <c r="A725" s="116" t="e">
        <f>+'Estimate Details'!#REF!</f>
        <v>#REF!</v>
      </c>
      <c r="B725" s="116"/>
      <c r="C725" s="116"/>
      <c r="D725" s="166"/>
      <c r="E725" s="158" t="e">
        <f>+'Estimate Details'!#REF!</f>
        <v>#REF!</v>
      </c>
      <c r="F725" s="41"/>
      <c r="G725" s="117" t="e">
        <f>+'Estimate Details'!#REF!</f>
        <v>#REF!</v>
      </c>
      <c r="H725" s="41" t="e">
        <f>+'Estimate Details'!#REF!</f>
        <v>#REF!</v>
      </c>
      <c r="I725" s="217" t="e">
        <f>+'Estimate Details'!#REF!</f>
        <v>#REF!</v>
      </c>
      <c r="J725" s="42" t="e">
        <f>+'Estimate Details'!#REF!</f>
        <v>#REF!</v>
      </c>
      <c r="K725" s="42" t="e">
        <f>+'Estimate Details'!#REF!</f>
        <v>#REF!</v>
      </c>
      <c r="L725" s="42" t="e">
        <f>+'Estimate Details'!#REF!</f>
        <v>#REF!</v>
      </c>
      <c r="M725" s="227" t="e">
        <f>+'Estimate Details'!#REF!</f>
        <v>#REF!</v>
      </c>
      <c r="N725" s="228" t="e">
        <f>+'Estimate Details'!#REF!</f>
        <v>#REF!</v>
      </c>
      <c r="O725" s="171" t="e">
        <f>+'Estimate Details'!#REF!</f>
        <v>#REF!</v>
      </c>
      <c r="P725" s="172" t="e">
        <f>+'Estimate Details'!#REF!</f>
        <v>#REF!</v>
      </c>
      <c r="Q725" s="173" t="e">
        <f>+'Estimate Details'!#REF!</f>
        <v>#REF!</v>
      </c>
      <c r="R725" s="174" t="e">
        <f>+'Estimate Details'!#REF!</f>
        <v>#REF!</v>
      </c>
      <c r="S725" s="507"/>
      <c r="T725" s="174" t="e">
        <f>+'Estimate Details'!#REF!</f>
        <v>#REF!</v>
      </c>
      <c r="U725" s="481" t="s">
        <v>1310</v>
      </c>
      <c r="V725" s="172" t="e">
        <f>+'Estimate Details'!#REF!</f>
        <v>#REF!</v>
      </c>
      <c r="W725" s="481" t="s">
        <v>1310</v>
      </c>
      <c r="X725" s="172" t="e">
        <f>+'Estimate Details'!#REF!</f>
        <v>#REF!</v>
      </c>
      <c r="Y725" s="172" t="e">
        <f>+'Estimate Details'!#REF!</f>
        <v>#REF!</v>
      </c>
      <c r="Z725" s="174" t="e">
        <f>+'Estimate Details'!#REF!</f>
        <v>#REF!</v>
      </c>
      <c r="AA725" s="481"/>
      <c r="AB725" s="175" t="e">
        <f>+'Estimate Details'!#REF!</f>
        <v>#REF!</v>
      </c>
      <c r="AC725" s="569"/>
      <c r="AD725" s="176" t="e">
        <f>+'Estimate Details'!#REF!</f>
        <v>#REF!</v>
      </c>
      <c r="AE725" s="244"/>
      <c r="AF725" s="372"/>
      <c r="AG725" s="156"/>
      <c r="AH725" s="156"/>
      <c r="AI725" s="29"/>
      <c r="AJ725" s="29"/>
      <c r="AK725" s="29"/>
      <c r="AL725" s="29"/>
    </row>
    <row r="726" spans="1:44" ht="14.1" customHeight="1">
      <c r="A726" s="116" t="e">
        <f>+'Estimate Details'!#REF!</f>
        <v>#REF!</v>
      </c>
      <c r="B726" s="116"/>
      <c r="C726" s="116"/>
      <c r="D726" s="166"/>
      <c r="E726" s="158" t="e">
        <f>+'Estimate Details'!#REF!</f>
        <v>#REF!</v>
      </c>
      <c r="F726" s="41"/>
      <c r="G726" s="117" t="e">
        <f>+'Estimate Details'!#REF!</f>
        <v>#REF!</v>
      </c>
      <c r="H726" s="41" t="e">
        <f>+'Estimate Details'!#REF!</f>
        <v>#REF!</v>
      </c>
      <c r="I726" s="217" t="e">
        <f>+'Estimate Details'!#REF!</f>
        <v>#REF!</v>
      </c>
      <c r="J726" s="42" t="e">
        <f>+'Estimate Details'!#REF!</f>
        <v>#REF!</v>
      </c>
      <c r="K726" s="42" t="e">
        <f>+'Estimate Details'!#REF!</f>
        <v>#REF!</v>
      </c>
      <c r="L726" s="42" t="e">
        <f>+'Estimate Details'!#REF!</f>
        <v>#REF!</v>
      </c>
      <c r="M726" s="227" t="e">
        <f>+'Estimate Details'!#REF!</f>
        <v>#REF!</v>
      </c>
      <c r="N726" s="228" t="e">
        <f>+'Estimate Details'!#REF!</f>
        <v>#REF!</v>
      </c>
      <c r="O726" s="171" t="e">
        <f>+'Estimate Details'!#REF!</f>
        <v>#REF!</v>
      </c>
      <c r="P726" s="172" t="e">
        <f>+'Estimate Details'!#REF!</f>
        <v>#REF!</v>
      </c>
      <c r="Q726" s="173" t="e">
        <f>+'Estimate Details'!#REF!</f>
        <v>#REF!</v>
      </c>
      <c r="R726" s="174" t="e">
        <f>+'Estimate Details'!#REF!</f>
        <v>#REF!</v>
      </c>
      <c r="S726" s="507"/>
      <c r="T726" s="174" t="e">
        <f>+'Estimate Details'!#REF!</f>
        <v>#REF!</v>
      </c>
      <c r="U726" s="481" t="s">
        <v>1310</v>
      </c>
      <c r="V726" s="172" t="e">
        <f>+'Estimate Details'!#REF!</f>
        <v>#REF!</v>
      </c>
      <c r="W726" s="481" t="s">
        <v>1310</v>
      </c>
      <c r="X726" s="172" t="e">
        <f>+'Estimate Details'!#REF!</f>
        <v>#REF!</v>
      </c>
      <c r="Y726" s="172" t="e">
        <f>+'Estimate Details'!#REF!</f>
        <v>#REF!</v>
      </c>
      <c r="Z726" s="174" t="e">
        <f>+'Estimate Details'!#REF!</f>
        <v>#REF!</v>
      </c>
      <c r="AA726" s="481"/>
      <c r="AB726" s="175" t="e">
        <f>+'Estimate Details'!#REF!</f>
        <v>#REF!</v>
      </c>
      <c r="AC726" s="569"/>
      <c r="AD726" s="176" t="e">
        <f>+'Estimate Details'!#REF!</f>
        <v>#REF!</v>
      </c>
      <c r="AE726" s="156"/>
      <c r="AF726" s="372"/>
      <c r="AG726" s="156"/>
      <c r="AH726" s="156"/>
      <c r="AI726" s="29"/>
      <c r="AJ726" s="29"/>
      <c r="AK726" s="29"/>
      <c r="AL726" s="29"/>
    </row>
    <row r="727" spans="1:44" ht="13.5" customHeight="1">
      <c r="A727" s="116" t="e">
        <f>+'Estimate Details'!#REF!</f>
        <v>#REF!</v>
      </c>
      <c r="B727" s="116"/>
      <c r="C727" s="116"/>
      <c r="D727" s="166"/>
      <c r="E727" s="158" t="e">
        <f>+'Estimate Details'!#REF!</f>
        <v>#REF!</v>
      </c>
      <c r="F727" s="41"/>
      <c r="G727" s="117" t="e">
        <f>+'Estimate Details'!#REF!</f>
        <v>#REF!</v>
      </c>
      <c r="H727" s="41" t="e">
        <f>+'Estimate Details'!#REF!</f>
        <v>#REF!</v>
      </c>
      <c r="I727" s="217" t="e">
        <f>+'Estimate Details'!#REF!</f>
        <v>#REF!</v>
      </c>
      <c r="J727" s="42" t="e">
        <f>+'Estimate Details'!#REF!</f>
        <v>#REF!</v>
      </c>
      <c r="K727" s="42" t="e">
        <f>+'Estimate Details'!#REF!</f>
        <v>#REF!</v>
      </c>
      <c r="L727" s="42" t="e">
        <f>+'Estimate Details'!#REF!</f>
        <v>#REF!</v>
      </c>
      <c r="M727" s="227" t="e">
        <f>+'Estimate Details'!#REF!</f>
        <v>#REF!</v>
      </c>
      <c r="N727" s="228" t="e">
        <f>+'Estimate Details'!#REF!</f>
        <v>#REF!</v>
      </c>
      <c r="O727" s="171" t="e">
        <f>+'Estimate Details'!#REF!</f>
        <v>#REF!</v>
      </c>
      <c r="P727" s="172" t="e">
        <f>+'Estimate Details'!#REF!</f>
        <v>#REF!</v>
      </c>
      <c r="Q727" s="173" t="e">
        <f>+'Estimate Details'!#REF!</f>
        <v>#REF!</v>
      </c>
      <c r="R727" s="174" t="e">
        <f>+'Estimate Details'!#REF!</f>
        <v>#REF!</v>
      </c>
      <c r="S727" s="507"/>
      <c r="T727" s="174" t="e">
        <f>+'Estimate Details'!#REF!</f>
        <v>#REF!</v>
      </c>
      <c r="U727" s="481" t="s">
        <v>1310</v>
      </c>
      <c r="V727" s="172" t="e">
        <f>+'Estimate Details'!#REF!</f>
        <v>#REF!</v>
      </c>
      <c r="W727" s="481" t="s">
        <v>1310</v>
      </c>
      <c r="X727" s="172" t="e">
        <f>+'Estimate Details'!#REF!</f>
        <v>#REF!</v>
      </c>
      <c r="Y727" s="172" t="e">
        <f>+'Estimate Details'!#REF!</f>
        <v>#REF!</v>
      </c>
      <c r="Z727" s="174" t="e">
        <f>+'Estimate Details'!#REF!</f>
        <v>#REF!</v>
      </c>
      <c r="AA727" s="481"/>
      <c r="AB727" s="175" t="e">
        <f>+'Estimate Details'!#REF!</f>
        <v>#REF!</v>
      </c>
      <c r="AC727" s="569"/>
      <c r="AD727" s="176" t="e">
        <f>+'Estimate Details'!#REF!</f>
        <v>#REF!</v>
      </c>
      <c r="AE727" s="156"/>
      <c r="AF727" s="372"/>
      <c r="AG727" s="156"/>
      <c r="AH727" s="156"/>
      <c r="AI727" s="29"/>
      <c r="AJ727" s="29"/>
      <c r="AK727" s="29"/>
      <c r="AL727" s="29"/>
    </row>
    <row r="728" spans="1:44" ht="13.5" customHeight="1">
      <c r="A728" s="116" t="e">
        <f>+'Estimate Details'!#REF!</f>
        <v>#REF!</v>
      </c>
      <c r="B728" s="116"/>
      <c r="C728" s="116"/>
      <c r="D728" s="166"/>
      <c r="E728" s="158" t="e">
        <f>+'Estimate Details'!#REF!</f>
        <v>#REF!</v>
      </c>
      <c r="F728" s="41"/>
      <c r="G728" s="117" t="e">
        <f>+'Estimate Details'!#REF!</f>
        <v>#REF!</v>
      </c>
      <c r="H728" s="41" t="e">
        <f>+'Estimate Details'!#REF!</f>
        <v>#REF!</v>
      </c>
      <c r="I728" s="217" t="e">
        <f>+'Estimate Details'!#REF!</f>
        <v>#REF!</v>
      </c>
      <c r="J728" s="42" t="e">
        <f>+'Estimate Details'!#REF!</f>
        <v>#REF!</v>
      </c>
      <c r="K728" s="42" t="e">
        <f>+'Estimate Details'!#REF!</f>
        <v>#REF!</v>
      </c>
      <c r="L728" s="42" t="e">
        <f>+'Estimate Details'!#REF!</f>
        <v>#REF!</v>
      </c>
      <c r="M728" s="227" t="e">
        <f>+'Estimate Details'!#REF!</f>
        <v>#REF!</v>
      </c>
      <c r="N728" s="228" t="e">
        <f>+'Estimate Details'!#REF!</f>
        <v>#REF!</v>
      </c>
      <c r="O728" s="171" t="e">
        <f>+'Estimate Details'!#REF!</f>
        <v>#REF!</v>
      </c>
      <c r="P728" s="172" t="e">
        <f>+'Estimate Details'!#REF!</f>
        <v>#REF!</v>
      </c>
      <c r="Q728" s="173" t="e">
        <f>+'Estimate Details'!#REF!</f>
        <v>#REF!</v>
      </c>
      <c r="R728" s="174" t="e">
        <f>+'Estimate Details'!#REF!</f>
        <v>#REF!</v>
      </c>
      <c r="S728" s="507"/>
      <c r="T728" s="174" t="e">
        <f>+'Estimate Details'!#REF!</f>
        <v>#REF!</v>
      </c>
      <c r="U728" s="481" t="s">
        <v>1310</v>
      </c>
      <c r="V728" s="172" t="e">
        <f>+'Estimate Details'!#REF!</f>
        <v>#REF!</v>
      </c>
      <c r="W728" s="481" t="s">
        <v>1310</v>
      </c>
      <c r="X728" s="172" t="e">
        <f>+'Estimate Details'!#REF!</f>
        <v>#REF!</v>
      </c>
      <c r="Y728" s="172" t="e">
        <f>+'Estimate Details'!#REF!</f>
        <v>#REF!</v>
      </c>
      <c r="Z728" s="174" t="e">
        <f>+'Estimate Details'!#REF!</f>
        <v>#REF!</v>
      </c>
      <c r="AA728" s="481"/>
      <c r="AB728" s="175" t="e">
        <f>+'Estimate Details'!#REF!</f>
        <v>#REF!</v>
      </c>
      <c r="AC728" s="569"/>
      <c r="AD728" s="176" t="e">
        <f>+'Estimate Details'!#REF!</f>
        <v>#REF!</v>
      </c>
      <c r="AE728" s="156"/>
      <c r="AF728" s="372"/>
      <c r="AG728" s="156"/>
      <c r="AH728" s="156"/>
      <c r="AI728" s="29"/>
      <c r="AJ728" s="29"/>
      <c r="AK728" s="29"/>
      <c r="AL728" s="29"/>
    </row>
    <row r="729" spans="1:44">
      <c r="A729" s="116" t="e">
        <f>+'Estimate Details'!#REF!</f>
        <v>#REF!</v>
      </c>
      <c r="B729" s="116"/>
      <c r="C729" s="116"/>
      <c r="D729" s="166"/>
      <c r="E729" s="158" t="e">
        <f>+'Estimate Details'!#REF!</f>
        <v>#REF!</v>
      </c>
      <c r="F729" s="41"/>
      <c r="G729" s="117" t="e">
        <f>+'Estimate Details'!#REF!</f>
        <v>#REF!</v>
      </c>
      <c r="H729" s="118" t="e">
        <f>+'Estimate Details'!#REF!</f>
        <v>#REF!</v>
      </c>
      <c r="I729" s="108" t="e">
        <f>+'Estimate Details'!#REF!</f>
        <v>#REF!</v>
      </c>
      <c r="J729" s="168" t="e">
        <f>+'Estimate Details'!#REF!</f>
        <v>#REF!</v>
      </c>
      <c r="K729" s="42" t="e">
        <f>+'Estimate Details'!#REF!</f>
        <v>#REF!</v>
      </c>
      <c r="L729" s="42" t="e">
        <f>+'Estimate Details'!#REF!</f>
        <v>#REF!</v>
      </c>
      <c r="M729" s="204" t="e">
        <f>+'Estimate Details'!#REF!</f>
        <v>#REF!</v>
      </c>
      <c r="N729" s="170" t="e">
        <f>+'Estimate Details'!#REF!</f>
        <v>#REF!</v>
      </c>
      <c r="O729" s="171" t="e">
        <f>+'Estimate Details'!#REF!</f>
        <v>#REF!</v>
      </c>
      <c r="P729" s="172" t="e">
        <f>+'Estimate Details'!#REF!</f>
        <v>#REF!</v>
      </c>
      <c r="Q729" s="173" t="e">
        <f>+'Estimate Details'!#REF!</f>
        <v>#REF!</v>
      </c>
      <c r="R729" s="174" t="e">
        <f>+'Estimate Details'!#REF!</f>
        <v>#REF!</v>
      </c>
      <c r="S729" s="507"/>
      <c r="T729" s="174" t="e">
        <f>+'Estimate Details'!#REF!</f>
        <v>#REF!</v>
      </c>
      <c r="U729" s="481" t="s">
        <v>1310</v>
      </c>
      <c r="V729" s="172" t="e">
        <f>+'Estimate Details'!#REF!</f>
        <v>#REF!</v>
      </c>
      <c r="W729" s="481" t="s">
        <v>1310</v>
      </c>
      <c r="X729" s="172" t="e">
        <f>+'Estimate Details'!#REF!</f>
        <v>#REF!</v>
      </c>
      <c r="Y729" s="172" t="e">
        <f>+'Estimate Details'!#REF!</f>
        <v>#REF!</v>
      </c>
      <c r="Z729" s="174" t="e">
        <f>+'Estimate Details'!#REF!</f>
        <v>#REF!</v>
      </c>
      <c r="AA729" s="481"/>
      <c r="AB729" s="175" t="e">
        <f>+'Estimate Details'!#REF!</f>
        <v>#REF!</v>
      </c>
      <c r="AC729" s="569"/>
      <c r="AD729" s="176" t="e">
        <f>+'Estimate Details'!#REF!</f>
        <v>#REF!</v>
      </c>
      <c r="AE729" s="156"/>
      <c r="AF729" s="156"/>
      <c r="AG729" s="156"/>
      <c r="AH729" s="156"/>
      <c r="AI729" s="29"/>
      <c r="AJ729" s="29"/>
      <c r="AK729" s="29"/>
      <c r="AL729" s="29"/>
    </row>
    <row r="730" spans="1:44">
      <c r="A730" s="116" t="e">
        <f>+'Estimate Details'!#REF!</f>
        <v>#REF!</v>
      </c>
      <c r="B730" s="116"/>
      <c r="C730" s="116"/>
      <c r="D730" s="166"/>
      <c r="E730" s="158" t="e">
        <f>+'Estimate Details'!#REF!</f>
        <v>#REF!</v>
      </c>
      <c r="F730" s="41"/>
      <c r="G730" s="117" t="e">
        <f>+'Estimate Details'!#REF!</f>
        <v>#REF!</v>
      </c>
      <c r="H730" s="118" t="e">
        <f>+'Estimate Details'!#REF!</f>
        <v>#REF!</v>
      </c>
      <c r="I730" s="108" t="e">
        <f>+'Estimate Details'!#REF!</f>
        <v>#REF!</v>
      </c>
      <c r="J730" s="168" t="e">
        <f>+'Estimate Details'!#REF!</f>
        <v>#REF!</v>
      </c>
      <c r="K730" s="42" t="e">
        <f>+'Estimate Details'!#REF!</f>
        <v>#REF!</v>
      </c>
      <c r="L730" s="42" t="e">
        <f>+'Estimate Details'!#REF!</f>
        <v>#REF!</v>
      </c>
      <c r="M730" s="204" t="e">
        <f>+'Estimate Details'!#REF!</f>
        <v>#REF!</v>
      </c>
      <c r="N730" s="170" t="e">
        <f>+'Estimate Details'!#REF!</f>
        <v>#REF!</v>
      </c>
      <c r="O730" s="171" t="e">
        <f>+'Estimate Details'!#REF!</f>
        <v>#REF!</v>
      </c>
      <c r="P730" s="172" t="e">
        <f>+'Estimate Details'!#REF!</f>
        <v>#REF!</v>
      </c>
      <c r="Q730" s="173" t="e">
        <f>+'Estimate Details'!#REF!</f>
        <v>#REF!</v>
      </c>
      <c r="R730" s="174" t="e">
        <f>+'Estimate Details'!#REF!</f>
        <v>#REF!</v>
      </c>
      <c r="S730" s="507"/>
      <c r="T730" s="174" t="e">
        <f>+'Estimate Details'!#REF!</f>
        <v>#REF!</v>
      </c>
      <c r="U730" s="481" t="s">
        <v>1310</v>
      </c>
      <c r="V730" s="172" t="e">
        <f>+'Estimate Details'!#REF!</f>
        <v>#REF!</v>
      </c>
      <c r="W730" s="481" t="s">
        <v>1310</v>
      </c>
      <c r="X730" s="172" t="e">
        <f>+'Estimate Details'!#REF!</f>
        <v>#REF!</v>
      </c>
      <c r="Y730" s="172" t="e">
        <f>+'Estimate Details'!#REF!</f>
        <v>#REF!</v>
      </c>
      <c r="Z730" s="174" t="e">
        <f>+'Estimate Details'!#REF!</f>
        <v>#REF!</v>
      </c>
      <c r="AA730" s="481"/>
      <c r="AB730" s="175" t="e">
        <f>+'Estimate Details'!#REF!</f>
        <v>#REF!</v>
      </c>
      <c r="AC730" s="569"/>
      <c r="AD730" s="176" t="e">
        <f>+'Estimate Details'!#REF!</f>
        <v>#REF!</v>
      </c>
      <c r="AE730" s="156"/>
      <c r="AF730" s="156"/>
      <c r="AG730" s="156"/>
      <c r="AH730" s="156"/>
      <c r="AI730" s="29"/>
      <c r="AJ730" s="29"/>
      <c r="AK730" s="29"/>
      <c r="AL730" s="29"/>
    </row>
    <row r="731" spans="1:44" ht="13.5" customHeight="1">
      <c r="A731" s="116" t="e">
        <f>+'Estimate Details'!#REF!</f>
        <v>#REF!</v>
      </c>
      <c r="B731" s="116"/>
      <c r="C731" s="116"/>
      <c r="D731" s="166"/>
      <c r="E731" s="158" t="e">
        <f>+'Estimate Details'!#REF!</f>
        <v>#REF!</v>
      </c>
      <c r="F731" s="160"/>
      <c r="G731" s="197" t="e">
        <f>+'Estimate Details'!#REF!</f>
        <v>#REF!</v>
      </c>
      <c r="H731" s="160" t="e">
        <f>+'Estimate Details'!#REF!</f>
        <v>#REF!</v>
      </c>
      <c r="I731" s="234" t="e">
        <f>+'Estimate Details'!#REF!</f>
        <v>#REF!</v>
      </c>
      <c r="J731" s="158" t="e">
        <f>+'Estimate Details'!#REF!</f>
        <v>#REF!</v>
      </c>
      <c r="K731" s="158" t="e">
        <f>+'Estimate Details'!#REF!</f>
        <v>#REF!</v>
      </c>
      <c r="L731" s="158" t="e">
        <f>+'Estimate Details'!#REF!</f>
        <v>#REF!</v>
      </c>
      <c r="M731" s="380" t="e">
        <f>+'Estimate Details'!#REF!</f>
        <v>#REF!</v>
      </c>
      <c r="N731" s="382" t="e">
        <f>+'Estimate Details'!#REF!</f>
        <v>#REF!</v>
      </c>
      <c r="O731" s="162" t="e">
        <f>+'Estimate Details'!#REF!</f>
        <v>#REF!</v>
      </c>
      <c r="P731" s="163" t="e">
        <f>+'Estimate Details'!#REF!</f>
        <v>#REF!</v>
      </c>
      <c r="Q731" s="203" t="e">
        <f>+'Estimate Details'!#REF!</f>
        <v>#REF!</v>
      </c>
      <c r="R731" s="164" t="e">
        <f>+'Estimate Details'!#REF!</f>
        <v>#REF!</v>
      </c>
      <c r="S731" s="506"/>
      <c r="T731" s="164" t="e">
        <f>+'Estimate Details'!#REF!</f>
        <v>#REF!</v>
      </c>
      <c r="U731" s="481" t="s">
        <v>1310</v>
      </c>
      <c r="V731" s="163" t="e">
        <f>+'Estimate Details'!#REF!</f>
        <v>#REF!</v>
      </c>
      <c r="W731" s="481" t="s">
        <v>1310</v>
      </c>
      <c r="X731" s="163" t="e">
        <f>+'Estimate Details'!#REF!</f>
        <v>#REF!</v>
      </c>
      <c r="Y731" s="163" t="e">
        <f>+'Estimate Details'!#REF!</f>
        <v>#REF!</v>
      </c>
      <c r="Z731" s="164" t="e">
        <f>+'Estimate Details'!#REF!</f>
        <v>#REF!</v>
      </c>
      <c r="AA731" s="486"/>
      <c r="AB731" s="165" t="e">
        <f>+'Estimate Details'!#REF!</f>
        <v>#REF!</v>
      </c>
      <c r="AC731" s="568"/>
      <c r="AD731" s="176" t="e">
        <f>+'Estimate Details'!#REF!</f>
        <v>#REF!</v>
      </c>
      <c r="AE731" s="244"/>
      <c r="AF731" s="156"/>
      <c r="AG731" s="156"/>
      <c r="AH731" s="156"/>
      <c r="AI731" s="29"/>
      <c r="AJ731" s="29"/>
      <c r="AK731" s="29"/>
      <c r="AL731" s="29"/>
    </row>
    <row r="732" spans="1:44">
      <c r="A732" s="116" t="e">
        <f>+'Estimate Details'!#REF!</f>
        <v>#REF!</v>
      </c>
      <c r="B732" s="116"/>
      <c r="C732" s="116"/>
      <c r="D732" s="166"/>
      <c r="E732" s="158" t="e">
        <f>+'Estimate Details'!#REF!</f>
        <v>#REF!</v>
      </c>
      <c r="F732" s="41"/>
      <c r="G732" s="375" t="e">
        <f>+'Estimate Details'!#REF!</f>
        <v>#REF!</v>
      </c>
      <c r="H732" s="41" t="e">
        <f>+'Estimate Details'!#REF!</f>
        <v>#REF!</v>
      </c>
      <c r="I732" s="217" t="e">
        <f>+'Estimate Details'!#REF!</f>
        <v>#REF!</v>
      </c>
      <c r="J732" s="42" t="e">
        <f>+'Estimate Details'!#REF!</f>
        <v>#REF!</v>
      </c>
      <c r="K732" s="42" t="e">
        <f>+'Estimate Details'!#REF!</f>
        <v>#REF!</v>
      </c>
      <c r="L732" s="42" t="e">
        <f>+'Estimate Details'!#REF!</f>
        <v>#REF!</v>
      </c>
      <c r="M732" s="227" t="e">
        <f>+'Estimate Details'!#REF!</f>
        <v>#REF!</v>
      </c>
      <c r="N732" s="228" t="e">
        <f>+'Estimate Details'!#REF!</f>
        <v>#REF!</v>
      </c>
      <c r="O732" s="171" t="e">
        <f>+'Estimate Details'!#REF!</f>
        <v>#REF!</v>
      </c>
      <c r="P732" s="172" t="e">
        <f>+'Estimate Details'!#REF!</f>
        <v>#REF!</v>
      </c>
      <c r="Q732" s="173" t="e">
        <f>+'Estimate Details'!#REF!</f>
        <v>#REF!</v>
      </c>
      <c r="R732" s="174" t="e">
        <f>+'Estimate Details'!#REF!</f>
        <v>#REF!</v>
      </c>
      <c r="S732" s="507"/>
      <c r="T732" s="174" t="e">
        <f>+'Estimate Details'!#REF!</f>
        <v>#REF!</v>
      </c>
      <c r="U732" s="481" t="s">
        <v>1310</v>
      </c>
      <c r="V732" s="172" t="e">
        <f>+'Estimate Details'!#REF!</f>
        <v>#REF!</v>
      </c>
      <c r="W732" s="481" t="s">
        <v>1310</v>
      </c>
      <c r="X732" s="172" t="e">
        <f>+'Estimate Details'!#REF!</f>
        <v>#REF!</v>
      </c>
      <c r="Y732" s="172" t="e">
        <f>+'Estimate Details'!#REF!</f>
        <v>#REF!</v>
      </c>
      <c r="Z732" s="174" t="e">
        <f>+'Estimate Details'!#REF!</f>
        <v>#REF!</v>
      </c>
      <c r="AA732" s="481"/>
      <c r="AB732" s="175" t="e">
        <f>+'Estimate Details'!#REF!</f>
        <v>#REF!</v>
      </c>
      <c r="AC732" s="569"/>
      <c r="AD732" s="176" t="e">
        <f>+'Estimate Details'!#REF!</f>
        <v>#REF!</v>
      </c>
      <c r="AE732" s="156"/>
      <c r="AF732" s="156"/>
      <c r="AG732" s="156"/>
      <c r="AH732" s="156"/>
      <c r="AI732" s="29"/>
      <c r="AJ732" s="29"/>
      <c r="AK732" s="29"/>
      <c r="AL732" s="29"/>
    </row>
    <row r="733" spans="1:44" ht="14.1" customHeight="1">
      <c r="A733" s="116" t="e">
        <f>+'Estimate Details'!#REF!</f>
        <v>#REF!</v>
      </c>
      <c r="B733" s="116"/>
      <c r="C733" s="116"/>
      <c r="D733" s="166"/>
      <c r="E733" s="158" t="e">
        <f>+'Estimate Details'!#REF!</f>
        <v>#REF!</v>
      </c>
      <c r="F733" s="41"/>
      <c r="G733" s="117" t="e">
        <f>+'Estimate Details'!#REF!</f>
        <v>#REF!</v>
      </c>
      <c r="H733" s="41" t="e">
        <f>+'Estimate Details'!#REF!</f>
        <v>#REF!</v>
      </c>
      <c r="I733" s="217" t="e">
        <f>+'Estimate Details'!#REF!</f>
        <v>#REF!</v>
      </c>
      <c r="J733" s="42" t="e">
        <f>+'Estimate Details'!#REF!</f>
        <v>#REF!</v>
      </c>
      <c r="K733" s="42" t="e">
        <f>+'Estimate Details'!#REF!</f>
        <v>#REF!</v>
      </c>
      <c r="L733" s="42" t="e">
        <f>+'Estimate Details'!#REF!</f>
        <v>#REF!</v>
      </c>
      <c r="M733" s="227" t="e">
        <f>+'Estimate Details'!#REF!</f>
        <v>#REF!</v>
      </c>
      <c r="N733" s="228" t="e">
        <f>+'Estimate Details'!#REF!</f>
        <v>#REF!</v>
      </c>
      <c r="O733" s="171" t="e">
        <f>+'Estimate Details'!#REF!</f>
        <v>#REF!</v>
      </c>
      <c r="P733" s="172" t="e">
        <f>+'Estimate Details'!#REF!</f>
        <v>#REF!</v>
      </c>
      <c r="Q733" s="173" t="e">
        <f>+'Estimate Details'!#REF!</f>
        <v>#REF!</v>
      </c>
      <c r="R733" s="174" t="e">
        <f>+'Estimate Details'!#REF!</f>
        <v>#REF!</v>
      </c>
      <c r="S733" s="507"/>
      <c r="T733" s="174" t="e">
        <f>+'Estimate Details'!#REF!</f>
        <v>#REF!</v>
      </c>
      <c r="U733" s="481" t="s">
        <v>1310</v>
      </c>
      <c r="V733" s="172" t="e">
        <f>+'Estimate Details'!#REF!</f>
        <v>#REF!</v>
      </c>
      <c r="W733" s="481" t="s">
        <v>1310</v>
      </c>
      <c r="X733" s="172" t="e">
        <f>+'Estimate Details'!#REF!</f>
        <v>#REF!</v>
      </c>
      <c r="Y733" s="172" t="e">
        <f>+'Estimate Details'!#REF!</f>
        <v>#REF!</v>
      </c>
      <c r="Z733" s="174" t="e">
        <f>+'Estimate Details'!#REF!</f>
        <v>#REF!</v>
      </c>
      <c r="AA733" s="481"/>
      <c r="AB733" s="175" t="e">
        <f>+'Estimate Details'!#REF!</f>
        <v>#REF!</v>
      </c>
      <c r="AC733" s="569"/>
      <c r="AD733" s="176" t="e">
        <f>+'Estimate Details'!#REF!</f>
        <v>#REF!</v>
      </c>
      <c r="AE733" s="156"/>
      <c r="AF733" s="156"/>
      <c r="AG733" s="156"/>
      <c r="AH733" s="156"/>
      <c r="AI733" s="29"/>
      <c r="AJ733" s="29"/>
      <c r="AK733" s="29"/>
      <c r="AL733" s="29"/>
    </row>
    <row r="734" spans="1:44" s="30" customFormat="1" ht="14.1" customHeight="1">
      <c r="A734" s="116" t="e">
        <f>+'Estimate Details'!#REF!</f>
        <v>#REF!</v>
      </c>
      <c r="B734" s="116"/>
      <c r="C734" s="116"/>
      <c r="D734" s="166"/>
      <c r="E734" s="158" t="e">
        <f>+'Estimate Details'!#REF!</f>
        <v>#REF!</v>
      </c>
      <c r="F734" s="41"/>
      <c r="G734" s="117" t="e">
        <f>+'Estimate Details'!#REF!</f>
        <v>#REF!</v>
      </c>
      <c r="H734" s="41" t="e">
        <f>+'Estimate Details'!#REF!</f>
        <v>#REF!</v>
      </c>
      <c r="I734" s="217" t="e">
        <f>+'Estimate Details'!#REF!</f>
        <v>#REF!</v>
      </c>
      <c r="J734" s="42" t="e">
        <f>+'Estimate Details'!#REF!</f>
        <v>#REF!</v>
      </c>
      <c r="K734" s="42" t="e">
        <f>+'Estimate Details'!#REF!</f>
        <v>#REF!</v>
      </c>
      <c r="L734" s="42" t="e">
        <f>+'Estimate Details'!#REF!</f>
        <v>#REF!</v>
      </c>
      <c r="M734" s="227" t="e">
        <f>+'Estimate Details'!#REF!</f>
        <v>#REF!</v>
      </c>
      <c r="N734" s="228" t="e">
        <f>+'Estimate Details'!#REF!</f>
        <v>#REF!</v>
      </c>
      <c r="O734" s="171" t="e">
        <f>+'Estimate Details'!#REF!</f>
        <v>#REF!</v>
      </c>
      <c r="P734" s="172" t="e">
        <f>+'Estimate Details'!#REF!</f>
        <v>#REF!</v>
      </c>
      <c r="Q734" s="173" t="e">
        <f>+'Estimate Details'!#REF!</f>
        <v>#REF!</v>
      </c>
      <c r="R734" s="174" t="e">
        <f>+'Estimate Details'!#REF!</f>
        <v>#REF!</v>
      </c>
      <c r="S734" s="507"/>
      <c r="T734" s="174" t="e">
        <f>+'Estimate Details'!#REF!</f>
        <v>#REF!</v>
      </c>
      <c r="U734" s="481" t="s">
        <v>1310</v>
      </c>
      <c r="V734" s="172" t="e">
        <f>+'Estimate Details'!#REF!</f>
        <v>#REF!</v>
      </c>
      <c r="W734" s="481" t="s">
        <v>1310</v>
      </c>
      <c r="X734" s="172" t="e">
        <f>+'Estimate Details'!#REF!</f>
        <v>#REF!</v>
      </c>
      <c r="Y734" s="172" t="e">
        <f>+'Estimate Details'!#REF!</f>
        <v>#REF!</v>
      </c>
      <c r="Z734" s="174" t="e">
        <f>+'Estimate Details'!#REF!</f>
        <v>#REF!</v>
      </c>
      <c r="AA734" s="481"/>
      <c r="AB734" s="175" t="e">
        <f>+'Estimate Details'!#REF!</f>
        <v>#REF!</v>
      </c>
      <c r="AC734" s="569"/>
      <c r="AD734" s="176" t="e">
        <f>+'Estimate Details'!#REF!</f>
        <v>#REF!</v>
      </c>
      <c r="AE734" s="156"/>
      <c r="AF734" s="372"/>
      <c r="AG734" s="156"/>
      <c r="AH734" s="156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</row>
    <row r="735" spans="1:44" ht="14.1" customHeight="1">
      <c r="A735" s="116" t="e">
        <f>+'Estimate Details'!#REF!</f>
        <v>#REF!</v>
      </c>
      <c r="B735" s="116"/>
      <c r="C735" s="116"/>
      <c r="D735" s="166"/>
      <c r="E735" s="158" t="e">
        <f>+'Estimate Details'!#REF!</f>
        <v>#REF!</v>
      </c>
      <c r="F735" s="41"/>
      <c r="G735" s="117" t="e">
        <f>+'Estimate Details'!#REF!</f>
        <v>#REF!</v>
      </c>
      <c r="H735" s="41" t="e">
        <f>+'Estimate Details'!#REF!</f>
        <v>#REF!</v>
      </c>
      <c r="I735" s="217" t="e">
        <f>+'Estimate Details'!#REF!</f>
        <v>#REF!</v>
      </c>
      <c r="J735" s="42" t="e">
        <f>+'Estimate Details'!#REF!</f>
        <v>#REF!</v>
      </c>
      <c r="K735" s="42" t="e">
        <f>+'Estimate Details'!#REF!</f>
        <v>#REF!</v>
      </c>
      <c r="L735" s="42" t="e">
        <f>+'Estimate Details'!#REF!</f>
        <v>#REF!</v>
      </c>
      <c r="M735" s="227" t="e">
        <f>+'Estimate Details'!#REF!</f>
        <v>#REF!</v>
      </c>
      <c r="N735" s="228" t="e">
        <f>+'Estimate Details'!#REF!</f>
        <v>#REF!</v>
      </c>
      <c r="O735" s="171" t="e">
        <f>+'Estimate Details'!#REF!</f>
        <v>#REF!</v>
      </c>
      <c r="P735" s="172" t="e">
        <f>+'Estimate Details'!#REF!</f>
        <v>#REF!</v>
      </c>
      <c r="Q735" s="173" t="e">
        <f>+'Estimate Details'!#REF!</f>
        <v>#REF!</v>
      </c>
      <c r="R735" s="174" t="e">
        <f>+'Estimate Details'!#REF!</f>
        <v>#REF!</v>
      </c>
      <c r="S735" s="507"/>
      <c r="T735" s="174" t="e">
        <f>+'Estimate Details'!#REF!</f>
        <v>#REF!</v>
      </c>
      <c r="U735" s="481" t="s">
        <v>1310</v>
      </c>
      <c r="V735" s="172" t="e">
        <f>+'Estimate Details'!#REF!</f>
        <v>#REF!</v>
      </c>
      <c r="W735" s="481" t="s">
        <v>1310</v>
      </c>
      <c r="X735" s="172" t="e">
        <f>+'Estimate Details'!#REF!</f>
        <v>#REF!</v>
      </c>
      <c r="Y735" s="172" t="e">
        <f>+'Estimate Details'!#REF!</f>
        <v>#REF!</v>
      </c>
      <c r="Z735" s="174" t="e">
        <f>+'Estimate Details'!#REF!</f>
        <v>#REF!</v>
      </c>
      <c r="AA735" s="481"/>
      <c r="AB735" s="175" t="e">
        <f>+'Estimate Details'!#REF!</f>
        <v>#REF!</v>
      </c>
      <c r="AC735" s="569"/>
      <c r="AD735" s="176" t="e">
        <f>+'Estimate Details'!#REF!</f>
        <v>#REF!</v>
      </c>
      <c r="AE735" s="156"/>
      <c r="AF735" s="372"/>
      <c r="AG735" s="156"/>
      <c r="AH735" s="156"/>
      <c r="AI735" s="29"/>
      <c r="AJ735" s="29"/>
      <c r="AK735" s="29"/>
      <c r="AL735" s="29"/>
    </row>
    <row r="736" spans="1:44" ht="14.1" customHeight="1">
      <c r="A736" s="116" t="e">
        <f>+'Estimate Details'!#REF!</f>
        <v>#REF!</v>
      </c>
      <c r="B736" s="116"/>
      <c r="C736" s="116"/>
      <c r="D736" s="166"/>
      <c r="E736" s="158" t="e">
        <f>+'Estimate Details'!#REF!</f>
        <v>#REF!</v>
      </c>
      <c r="F736" s="41"/>
      <c r="G736" s="117" t="e">
        <f>+'Estimate Details'!#REF!</f>
        <v>#REF!</v>
      </c>
      <c r="H736" s="41" t="e">
        <f>+'Estimate Details'!#REF!</f>
        <v>#REF!</v>
      </c>
      <c r="I736" s="217" t="e">
        <f>+'Estimate Details'!#REF!</f>
        <v>#REF!</v>
      </c>
      <c r="J736" s="42" t="e">
        <f>+'Estimate Details'!#REF!</f>
        <v>#REF!</v>
      </c>
      <c r="K736" s="42" t="e">
        <f>+'Estimate Details'!#REF!</f>
        <v>#REF!</v>
      </c>
      <c r="L736" s="42" t="e">
        <f>+'Estimate Details'!#REF!</f>
        <v>#REF!</v>
      </c>
      <c r="M736" s="227" t="e">
        <f>+'Estimate Details'!#REF!</f>
        <v>#REF!</v>
      </c>
      <c r="N736" s="228" t="e">
        <f>+'Estimate Details'!#REF!</f>
        <v>#REF!</v>
      </c>
      <c r="O736" s="171" t="e">
        <f>+'Estimate Details'!#REF!</f>
        <v>#REF!</v>
      </c>
      <c r="P736" s="172" t="e">
        <f>+'Estimate Details'!#REF!</f>
        <v>#REF!</v>
      </c>
      <c r="Q736" s="173" t="e">
        <f>+'Estimate Details'!#REF!</f>
        <v>#REF!</v>
      </c>
      <c r="R736" s="174" t="e">
        <f>+'Estimate Details'!#REF!</f>
        <v>#REF!</v>
      </c>
      <c r="S736" s="507"/>
      <c r="T736" s="174" t="e">
        <f>+'Estimate Details'!#REF!</f>
        <v>#REF!</v>
      </c>
      <c r="U736" s="481" t="s">
        <v>1310</v>
      </c>
      <c r="V736" s="172" t="e">
        <f>+'Estimate Details'!#REF!</f>
        <v>#REF!</v>
      </c>
      <c r="W736" s="481" t="s">
        <v>1310</v>
      </c>
      <c r="X736" s="172" t="e">
        <f>+'Estimate Details'!#REF!</f>
        <v>#REF!</v>
      </c>
      <c r="Y736" s="172" t="e">
        <f>+'Estimate Details'!#REF!</f>
        <v>#REF!</v>
      </c>
      <c r="Z736" s="174" t="e">
        <f>+'Estimate Details'!#REF!</f>
        <v>#REF!</v>
      </c>
      <c r="AA736" s="481"/>
      <c r="AB736" s="175" t="e">
        <f>+'Estimate Details'!#REF!</f>
        <v>#REF!</v>
      </c>
      <c r="AC736" s="569"/>
      <c r="AD736" s="176" t="e">
        <f>+'Estimate Details'!#REF!</f>
        <v>#REF!</v>
      </c>
      <c r="AE736" s="156"/>
      <c r="AF736" s="372"/>
      <c r="AG736" s="156"/>
      <c r="AH736" s="156"/>
      <c r="AI736" s="29"/>
      <c r="AJ736" s="29"/>
      <c r="AK736" s="29"/>
      <c r="AL736" s="29"/>
    </row>
    <row r="737" spans="1:38" ht="13.5" customHeight="1">
      <c r="A737" s="116" t="e">
        <f>+'Estimate Details'!#REF!</f>
        <v>#REF!</v>
      </c>
      <c r="B737" s="116"/>
      <c r="C737" s="116"/>
      <c r="D737" s="166"/>
      <c r="E737" s="158" t="e">
        <f>+'Estimate Details'!#REF!</f>
        <v>#REF!</v>
      </c>
      <c r="F737" s="41"/>
      <c r="G737" s="117" t="e">
        <f>+'Estimate Details'!#REF!</f>
        <v>#REF!</v>
      </c>
      <c r="H737" s="41" t="e">
        <f>+'Estimate Details'!#REF!</f>
        <v>#REF!</v>
      </c>
      <c r="I737" s="217" t="e">
        <f>+'Estimate Details'!#REF!</f>
        <v>#REF!</v>
      </c>
      <c r="J737" s="225" t="e">
        <f>+'Estimate Details'!#REF!</f>
        <v>#REF!</v>
      </c>
      <c r="K737" s="42" t="e">
        <f>+'Estimate Details'!#REF!</f>
        <v>#REF!</v>
      </c>
      <c r="L737" s="42" t="e">
        <f>+'Estimate Details'!#REF!</f>
        <v>#REF!</v>
      </c>
      <c r="M737" s="227" t="e">
        <f>+'Estimate Details'!#REF!</f>
        <v>#REF!</v>
      </c>
      <c r="N737" s="228" t="e">
        <f>+'Estimate Details'!#REF!</f>
        <v>#REF!</v>
      </c>
      <c r="O737" s="171" t="e">
        <f>+'Estimate Details'!#REF!</f>
        <v>#REF!</v>
      </c>
      <c r="P737" s="172" t="e">
        <f>+'Estimate Details'!#REF!</f>
        <v>#REF!</v>
      </c>
      <c r="Q737" s="173" t="e">
        <f>+'Estimate Details'!#REF!</f>
        <v>#REF!</v>
      </c>
      <c r="R737" s="174" t="e">
        <f>+'Estimate Details'!#REF!</f>
        <v>#REF!</v>
      </c>
      <c r="S737" s="507"/>
      <c r="T737" s="174" t="e">
        <f>+'Estimate Details'!#REF!</f>
        <v>#REF!</v>
      </c>
      <c r="U737" s="481" t="s">
        <v>1310</v>
      </c>
      <c r="V737" s="172" t="e">
        <f>+'Estimate Details'!#REF!</f>
        <v>#REF!</v>
      </c>
      <c r="W737" s="481" t="s">
        <v>1310</v>
      </c>
      <c r="X737" s="172" t="e">
        <f>+'Estimate Details'!#REF!</f>
        <v>#REF!</v>
      </c>
      <c r="Y737" s="172" t="e">
        <f>+'Estimate Details'!#REF!</f>
        <v>#REF!</v>
      </c>
      <c r="Z737" s="174" t="e">
        <f>+'Estimate Details'!#REF!</f>
        <v>#REF!</v>
      </c>
      <c r="AA737" s="481"/>
      <c r="AB737" s="175" t="e">
        <f>+'Estimate Details'!#REF!</f>
        <v>#REF!</v>
      </c>
      <c r="AC737" s="569"/>
      <c r="AD737" s="176" t="e">
        <f>+'Estimate Details'!#REF!</f>
        <v>#REF!</v>
      </c>
      <c r="AE737" s="156"/>
      <c r="AF737" s="372"/>
      <c r="AG737" s="156"/>
      <c r="AH737" s="156"/>
      <c r="AI737" s="29"/>
      <c r="AJ737" s="29"/>
      <c r="AK737" s="29"/>
      <c r="AL737" s="29"/>
    </row>
    <row r="738" spans="1:38" ht="13.5" customHeight="1">
      <c r="A738" s="116" t="e">
        <f>+'Estimate Details'!#REF!</f>
        <v>#REF!</v>
      </c>
      <c r="B738" s="116"/>
      <c r="C738" s="116"/>
      <c r="D738" s="166"/>
      <c r="E738" s="158" t="e">
        <f>+'Estimate Details'!#REF!</f>
        <v>#REF!</v>
      </c>
      <c r="F738" s="41"/>
      <c r="G738" s="117" t="e">
        <f>+'Estimate Details'!#REF!</f>
        <v>#REF!</v>
      </c>
      <c r="H738" s="41" t="e">
        <f>+'Estimate Details'!#REF!</f>
        <v>#REF!</v>
      </c>
      <c r="I738" s="217" t="e">
        <f>+'Estimate Details'!#REF!</f>
        <v>#REF!</v>
      </c>
      <c r="J738" s="42" t="e">
        <f>+'Estimate Details'!#REF!</f>
        <v>#REF!</v>
      </c>
      <c r="K738" s="42" t="e">
        <f>+'Estimate Details'!#REF!</f>
        <v>#REF!</v>
      </c>
      <c r="L738" s="42" t="e">
        <f>+'Estimate Details'!#REF!</f>
        <v>#REF!</v>
      </c>
      <c r="M738" s="227" t="e">
        <f>+'Estimate Details'!#REF!</f>
        <v>#REF!</v>
      </c>
      <c r="N738" s="228" t="e">
        <f>+'Estimate Details'!#REF!</f>
        <v>#REF!</v>
      </c>
      <c r="O738" s="171" t="e">
        <f>+'Estimate Details'!#REF!</f>
        <v>#REF!</v>
      </c>
      <c r="P738" s="172" t="e">
        <f>+'Estimate Details'!#REF!</f>
        <v>#REF!</v>
      </c>
      <c r="Q738" s="173" t="e">
        <f>+'Estimate Details'!#REF!</f>
        <v>#REF!</v>
      </c>
      <c r="R738" s="174" t="e">
        <f>+'Estimate Details'!#REF!</f>
        <v>#REF!</v>
      </c>
      <c r="S738" s="507"/>
      <c r="T738" s="174" t="e">
        <f>+'Estimate Details'!#REF!</f>
        <v>#REF!</v>
      </c>
      <c r="U738" s="481" t="s">
        <v>1310</v>
      </c>
      <c r="V738" s="172" t="e">
        <f>+'Estimate Details'!#REF!</f>
        <v>#REF!</v>
      </c>
      <c r="W738" s="481" t="s">
        <v>1310</v>
      </c>
      <c r="X738" s="172" t="e">
        <f>+'Estimate Details'!#REF!</f>
        <v>#REF!</v>
      </c>
      <c r="Y738" s="172" t="e">
        <f>+'Estimate Details'!#REF!</f>
        <v>#REF!</v>
      </c>
      <c r="Z738" s="174" t="e">
        <f>+'Estimate Details'!#REF!</f>
        <v>#REF!</v>
      </c>
      <c r="AA738" s="481"/>
      <c r="AB738" s="175" t="e">
        <f>+'Estimate Details'!#REF!</f>
        <v>#REF!</v>
      </c>
      <c r="AC738" s="569"/>
      <c r="AD738" s="176" t="e">
        <f>+'Estimate Details'!#REF!</f>
        <v>#REF!</v>
      </c>
      <c r="AE738" s="156"/>
      <c r="AF738" s="372"/>
      <c r="AG738" s="156"/>
      <c r="AH738" s="156"/>
      <c r="AI738" s="29"/>
      <c r="AJ738" s="29"/>
      <c r="AK738" s="29"/>
      <c r="AL738" s="29"/>
    </row>
    <row r="739" spans="1:38" ht="13.5" customHeight="1">
      <c r="A739" s="116" t="e">
        <f>+'Estimate Details'!#REF!</f>
        <v>#REF!</v>
      </c>
      <c r="B739" s="116"/>
      <c r="C739" s="116"/>
      <c r="D739" s="166"/>
      <c r="E739" s="158" t="e">
        <f>+'Estimate Details'!#REF!</f>
        <v>#REF!</v>
      </c>
      <c r="F739" s="41"/>
      <c r="G739" s="117" t="e">
        <f>+'Estimate Details'!#REF!</f>
        <v>#REF!</v>
      </c>
      <c r="H739" s="41" t="e">
        <f>+'Estimate Details'!#REF!</f>
        <v>#REF!</v>
      </c>
      <c r="I739" s="217" t="e">
        <f>+'Estimate Details'!#REF!</f>
        <v>#REF!</v>
      </c>
      <c r="J739" s="42" t="e">
        <f>+'Estimate Details'!#REF!</f>
        <v>#REF!</v>
      </c>
      <c r="K739" s="42" t="e">
        <f>+'Estimate Details'!#REF!</f>
        <v>#REF!</v>
      </c>
      <c r="L739" s="42" t="e">
        <f>+'Estimate Details'!#REF!</f>
        <v>#REF!</v>
      </c>
      <c r="M739" s="227" t="e">
        <f>+'Estimate Details'!#REF!</f>
        <v>#REF!</v>
      </c>
      <c r="N739" s="228" t="e">
        <f>+'Estimate Details'!#REF!</f>
        <v>#REF!</v>
      </c>
      <c r="O739" s="171" t="e">
        <f>+'Estimate Details'!#REF!</f>
        <v>#REF!</v>
      </c>
      <c r="P739" s="172" t="e">
        <f>+'Estimate Details'!#REF!</f>
        <v>#REF!</v>
      </c>
      <c r="Q739" s="173" t="e">
        <f>+'Estimate Details'!#REF!</f>
        <v>#REF!</v>
      </c>
      <c r="R739" s="174" t="e">
        <f>+'Estimate Details'!#REF!</f>
        <v>#REF!</v>
      </c>
      <c r="S739" s="507"/>
      <c r="T739" s="174" t="e">
        <f>+'Estimate Details'!#REF!</f>
        <v>#REF!</v>
      </c>
      <c r="U739" s="481" t="s">
        <v>1310</v>
      </c>
      <c r="V739" s="172" t="e">
        <f>+'Estimate Details'!#REF!</f>
        <v>#REF!</v>
      </c>
      <c r="W739" s="481" t="s">
        <v>1310</v>
      </c>
      <c r="X739" s="172" t="e">
        <f>+'Estimate Details'!#REF!</f>
        <v>#REF!</v>
      </c>
      <c r="Y739" s="172" t="e">
        <f>+'Estimate Details'!#REF!</f>
        <v>#REF!</v>
      </c>
      <c r="Z739" s="174" t="e">
        <f>+'Estimate Details'!#REF!</f>
        <v>#REF!</v>
      </c>
      <c r="AA739" s="481"/>
      <c r="AB739" s="175" t="e">
        <f>+'Estimate Details'!#REF!</f>
        <v>#REF!</v>
      </c>
      <c r="AC739" s="569"/>
      <c r="AD739" s="176" t="e">
        <f>+'Estimate Details'!#REF!</f>
        <v>#REF!</v>
      </c>
      <c r="AE739" s="156"/>
      <c r="AF739" s="372"/>
      <c r="AG739" s="156"/>
      <c r="AH739" s="156"/>
      <c r="AI739" s="29"/>
      <c r="AJ739" s="29"/>
      <c r="AK739" s="29"/>
      <c r="AL739" s="29"/>
    </row>
    <row r="740" spans="1:38" ht="14.1" customHeight="1">
      <c r="A740" s="116" t="e">
        <f>+'Estimate Details'!#REF!</f>
        <v>#REF!</v>
      </c>
      <c r="B740" s="116"/>
      <c r="C740" s="116"/>
      <c r="D740" s="166"/>
      <c r="E740" s="158" t="e">
        <f>+'Estimate Details'!#REF!</f>
        <v>#REF!</v>
      </c>
      <c r="F740" s="41"/>
      <c r="G740" s="117" t="e">
        <f>+'Estimate Details'!#REF!</f>
        <v>#REF!</v>
      </c>
      <c r="H740" s="41" t="e">
        <f>+'Estimate Details'!#REF!</f>
        <v>#REF!</v>
      </c>
      <c r="I740" s="217" t="e">
        <f>+'Estimate Details'!#REF!</f>
        <v>#REF!</v>
      </c>
      <c r="J740" s="42" t="e">
        <f>+'Estimate Details'!#REF!</f>
        <v>#REF!</v>
      </c>
      <c r="K740" s="42" t="e">
        <f>+'Estimate Details'!#REF!</f>
        <v>#REF!</v>
      </c>
      <c r="L740" s="42" t="e">
        <f>+'Estimate Details'!#REF!</f>
        <v>#REF!</v>
      </c>
      <c r="M740" s="227" t="e">
        <f>+'Estimate Details'!#REF!</f>
        <v>#REF!</v>
      </c>
      <c r="N740" s="228" t="e">
        <f>+'Estimate Details'!#REF!</f>
        <v>#REF!</v>
      </c>
      <c r="O740" s="171" t="e">
        <f>+'Estimate Details'!#REF!</f>
        <v>#REF!</v>
      </c>
      <c r="P740" s="172" t="e">
        <f>+'Estimate Details'!#REF!</f>
        <v>#REF!</v>
      </c>
      <c r="Q740" s="173" t="e">
        <f>+'Estimate Details'!#REF!</f>
        <v>#REF!</v>
      </c>
      <c r="R740" s="174" t="e">
        <f>+'Estimate Details'!#REF!</f>
        <v>#REF!</v>
      </c>
      <c r="S740" s="507"/>
      <c r="T740" s="174" t="e">
        <f>+'Estimate Details'!#REF!</f>
        <v>#REF!</v>
      </c>
      <c r="U740" s="481" t="s">
        <v>1310</v>
      </c>
      <c r="V740" s="172" t="e">
        <f>+'Estimate Details'!#REF!</f>
        <v>#REF!</v>
      </c>
      <c r="W740" s="481" t="s">
        <v>1310</v>
      </c>
      <c r="X740" s="172" t="e">
        <f>+'Estimate Details'!#REF!</f>
        <v>#REF!</v>
      </c>
      <c r="Y740" s="172" t="e">
        <f>+'Estimate Details'!#REF!</f>
        <v>#REF!</v>
      </c>
      <c r="Z740" s="174" t="e">
        <f>+'Estimate Details'!#REF!</f>
        <v>#REF!</v>
      </c>
      <c r="AA740" s="481"/>
      <c r="AB740" s="175" t="e">
        <f>+'Estimate Details'!#REF!</f>
        <v>#REF!</v>
      </c>
      <c r="AC740" s="569"/>
      <c r="AD740" s="176" t="e">
        <f>+'Estimate Details'!#REF!</f>
        <v>#REF!</v>
      </c>
      <c r="AE740" s="156"/>
      <c r="AF740" s="374"/>
      <c r="AG740" s="156"/>
      <c r="AH740" s="156"/>
      <c r="AI740" s="29"/>
      <c r="AJ740" s="29"/>
      <c r="AK740" s="29"/>
      <c r="AL740" s="29"/>
    </row>
    <row r="741" spans="1:38" ht="14.1" customHeight="1">
      <c r="A741" s="116" t="e">
        <f>+'Estimate Details'!#REF!</f>
        <v>#REF!</v>
      </c>
      <c r="B741" s="116"/>
      <c r="C741" s="116"/>
      <c r="D741" s="166"/>
      <c r="E741" s="158" t="e">
        <f>+'Estimate Details'!#REF!</f>
        <v>#REF!</v>
      </c>
      <c r="F741" s="41"/>
      <c r="G741" s="117" t="e">
        <f>+'Estimate Details'!#REF!</f>
        <v>#REF!</v>
      </c>
      <c r="H741" s="41" t="e">
        <f>+'Estimate Details'!#REF!</f>
        <v>#REF!</v>
      </c>
      <c r="I741" s="217" t="e">
        <f>+'Estimate Details'!#REF!</f>
        <v>#REF!</v>
      </c>
      <c r="J741" s="42" t="e">
        <f>+'Estimate Details'!#REF!</f>
        <v>#REF!</v>
      </c>
      <c r="K741" s="42" t="e">
        <f>+'Estimate Details'!#REF!</f>
        <v>#REF!</v>
      </c>
      <c r="L741" s="42" t="e">
        <f>+'Estimate Details'!#REF!</f>
        <v>#REF!</v>
      </c>
      <c r="M741" s="227" t="e">
        <f>+'Estimate Details'!#REF!</f>
        <v>#REF!</v>
      </c>
      <c r="N741" s="228" t="e">
        <f>+'Estimate Details'!#REF!</f>
        <v>#REF!</v>
      </c>
      <c r="O741" s="171" t="e">
        <f>+'Estimate Details'!#REF!</f>
        <v>#REF!</v>
      </c>
      <c r="P741" s="172" t="e">
        <f>+'Estimate Details'!#REF!</f>
        <v>#REF!</v>
      </c>
      <c r="Q741" s="173" t="e">
        <f>+'Estimate Details'!#REF!</f>
        <v>#REF!</v>
      </c>
      <c r="R741" s="174" t="e">
        <f>+'Estimate Details'!#REF!</f>
        <v>#REF!</v>
      </c>
      <c r="S741" s="507"/>
      <c r="T741" s="174" t="e">
        <f>+'Estimate Details'!#REF!</f>
        <v>#REF!</v>
      </c>
      <c r="U741" s="481" t="s">
        <v>1310</v>
      </c>
      <c r="V741" s="172" t="e">
        <f>+'Estimate Details'!#REF!</f>
        <v>#REF!</v>
      </c>
      <c r="W741" s="481" t="s">
        <v>1310</v>
      </c>
      <c r="X741" s="172" t="e">
        <f>+'Estimate Details'!#REF!</f>
        <v>#REF!</v>
      </c>
      <c r="Y741" s="172" t="e">
        <f>+'Estimate Details'!#REF!</f>
        <v>#REF!</v>
      </c>
      <c r="Z741" s="174" t="e">
        <f>+'Estimate Details'!#REF!</f>
        <v>#REF!</v>
      </c>
      <c r="AA741" s="481"/>
      <c r="AB741" s="175" t="e">
        <f>+'Estimate Details'!#REF!</f>
        <v>#REF!</v>
      </c>
      <c r="AC741" s="569"/>
      <c r="AD741" s="176" t="e">
        <f>+'Estimate Details'!#REF!</f>
        <v>#REF!</v>
      </c>
      <c r="AE741" s="156"/>
      <c r="AF741" s="372"/>
      <c r="AG741" s="156"/>
      <c r="AH741" s="156"/>
      <c r="AI741" s="29"/>
      <c r="AJ741" s="29"/>
      <c r="AK741" s="29"/>
      <c r="AL741" s="29"/>
    </row>
    <row r="742" spans="1:38" ht="14.1" customHeight="1">
      <c r="A742" s="116" t="e">
        <f>+'Estimate Details'!#REF!</f>
        <v>#REF!</v>
      </c>
      <c r="B742" s="116"/>
      <c r="C742" s="116"/>
      <c r="D742" s="166"/>
      <c r="E742" s="158" t="e">
        <f>+'Estimate Details'!#REF!</f>
        <v>#REF!</v>
      </c>
      <c r="F742" s="41"/>
      <c r="G742" s="117" t="e">
        <f>+'Estimate Details'!#REF!</f>
        <v>#REF!</v>
      </c>
      <c r="H742" s="41" t="e">
        <f>+'Estimate Details'!#REF!</f>
        <v>#REF!</v>
      </c>
      <c r="I742" s="217" t="e">
        <f>+'Estimate Details'!#REF!</f>
        <v>#REF!</v>
      </c>
      <c r="J742" s="42" t="e">
        <f>+'Estimate Details'!#REF!</f>
        <v>#REF!</v>
      </c>
      <c r="K742" s="42" t="e">
        <f>+'Estimate Details'!#REF!</f>
        <v>#REF!</v>
      </c>
      <c r="L742" s="42" t="e">
        <f>+'Estimate Details'!#REF!</f>
        <v>#REF!</v>
      </c>
      <c r="M742" s="227" t="e">
        <f>+'Estimate Details'!#REF!</f>
        <v>#REF!</v>
      </c>
      <c r="N742" s="228" t="e">
        <f>+'Estimate Details'!#REF!</f>
        <v>#REF!</v>
      </c>
      <c r="O742" s="171" t="e">
        <f>+'Estimate Details'!#REF!</f>
        <v>#REF!</v>
      </c>
      <c r="P742" s="172" t="e">
        <f>+'Estimate Details'!#REF!</f>
        <v>#REF!</v>
      </c>
      <c r="Q742" s="173" t="e">
        <f>+'Estimate Details'!#REF!</f>
        <v>#REF!</v>
      </c>
      <c r="R742" s="174" t="e">
        <f>+'Estimate Details'!#REF!</f>
        <v>#REF!</v>
      </c>
      <c r="S742" s="507"/>
      <c r="T742" s="174" t="e">
        <f>+'Estimate Details'!#REF!</f>
        <v>#REF!</v>
      </c>
      <c r="U742" s="481" t="s">
        <v>1310</v>
      </c>
      <c r="V742" s="172" t="e">
        <f>+'Estimate Details'!#REF!</f>
        <v>#REF!</v>
      </c>
      <c r="W742" s="481" t="s">
        <v>1310</v>
      </c>
      <c r="X742" s="172" t="e">
        <f>+'Estimate Details'!#REF!</f>
        <v>#REF!</v>
      </c>
      <c r="Y742" s="172" t="e">
        <f>+'Estimate Details'!#REF!</f>
        <v>#REF!</v>
      </c>
      <c r="Z742" s="174" t="e">
        <f>+'Estimate Details'!#REF!</f>
        <v>#REF!</v>
      </c>
      <c r="AA742" s="481"/>
      <c r="AB742" s="175" t="e">
        <f>+'Estimate Details'!#REF!</f>
        <v>#REF!</v>
      </c>
      <c r="AC742" s="569"/>
      <c r="AD742" s="176" t="e">
        <f>+'Estimate Details'!#REF!</f>
        <v>#REF!</v>
      </c>
      <c r="AE742" s="156"/>
      <c r="AF742" s="372"/>
      <c r="AG742" s="156"/>
      <c r="AH742" s="156"/>
      <c r="AI742" s="29"/>
      <c r="AJ742" s="29"/>
      <c r="AK742" s="29"/>
      <c r="AL742" s="29"/>
    </row>
    <row r="743" spans="1:38" ht="14.1" customHeight="1">
      <c r="A743" s="116" t="e">
        <f>+'Estimate Details'!#REF!</f>
        <v>#REF!</v>
      </c>
      <c r="B743" s="116"/>
      <c r="C743" s="116"/>
      <c r="D743" s="166"/>
      <c r="E743" s="158" t="e">
        <f>+'Estimate Details'!#REF!</f>
        <v>#REF!</v>
      </c>
      <c r="F743" s="41"/>
      <c r="G743" s="117" t="e">
        <f>+'Estimate Details'!#REF!</f>
        <v>#REF!</v>
      </c>
      <c r="H743" s="41" t="e">
        <f>+'Estimate Details'!#REF!</f>
        <v>#REF!</v>
      </c>
      <c r="I743" s="217" t="e">
        <f>+'Estimate Details'!#REF!</f>
        <v>#REF!</v>
      </c>
      <c r="J743" s="42" t="e">
        <f>+'Estimate Details'!#REF!</f>
        <v>#REF!</v>
      </c>
      <c r="K743" s="42" t="e">
        <f>+'Estimate Details'!#REF!</f>
        <v>#REF!</v>
      </c>
      <c r="L743" s="42" t="e">
        <f>+'Estimate Details'!#REF!</f>
        <v>#REF!</v>
      </c>
      <c r="M743" s="227" t="e">
        <f>+'Estimate Details'!#REF!</f>
        <v>#REF!</v>
      </c>
      <c r="N743" s="228" t="e">
        <f>+'Estimate Details'!#REF!</f>
        <v>#REF!</v>
      </c>
      <c r="O743" s="171" t="e">
        <f>+'Estimate Details'!#REF!</f>
        <v>#REF!</v>
      </c>
      <c r="P743" s="172" t="e">
        <f>+'Estimate Details'!#REF!</f>
        <v>#REF!</v>
      </c>
      <c r="Q743" s="173" t="e">
        <f>+'Estimate Details'!#REF!</f>
        <v>#REF!</v>
      </c>
      <c r="R743" s="174" t="e">
        <f>+'Estimate Details'!#REF!</f>
        <v>#REF!</v>
      </c>
      <c r="S743" s="507"/>
      <c r="T743" s="174" t="e">
        <f>+'Estimate Details'!#REF!</f>
        <v>#REF!</v>
      </c>
      <c r="U743" s="481" t="s">
        <v>1310</v>
      </c>
      <c r="V743" s="172" t="e">
        <f>+'Estimate Details'!#REF!</f>
        <v>#REF!</v>
      </c>
      <c r="W743" s="481" t="s">
        <v>1310</v>
      </c>
      <c r="X743" s="172" t="e">
        <f>+'Estimate Details'!#REF!</f>
        <v>#REF!</v>
      </c>
      <c r="Y743" s="172" t="e">
        <f>+'Estimate Details'!#REF!</f>
        <v>#REF!</v>
      </c>
      <c r="Z743" s="174" t="e">
        <f>+'Estimate Details'!#REF!</f>
        <v>#REF!</v>
      </c>
      <c r="AA743" s="481"/>
      <c r="AB743" s="175" t="e">
        <f>+'Estimate Details'!#REF!</f>
        <v>#REF!</v>
      </c>
      <c r="AC743" s="569"/>
      <c r="AD743" s="176" t="e">
        <f>+'Estimate Details'!#REF!</f>
        <v>#REF!</v>
      </c>
      <c r="AE743" s="156"/>
      <c r="AF743" s="374"/>
      <c r="AG743" s="156"/>
      <c r="AH743" s="156"/>
      <c r="AI743" s="29"/>
      <c r="AJ743" s="29"/>
      <c r="AK743" s="29"/>
      <c r="AL743" s="29"/>
    </row>
    <row r="744" spans="1:38" ht="14.1" customHeight="1">
      <c r="A744" s="116" t="e">
        <f>+'Estimate Details'!#REF!</f>
        <v>#REF!</v>
      </c>
      <c r="B744" s="116"/>
      <c r="C744" s="116"/>
      <c r="D744" s="166"/>
      <c r="E744" s="158" t="e">
        <f>+'Estimate Details'!#REF!</f>
        <v>#REF!</v>
      </c>
      <c r="F744" s="41"/>
      <c r="G744" s="117" t="e">
        <f>+'Estimate Details'!#REF!</f>
        <v>#REF!</v>
      </c>
      <c r="H744" s="41" t="e">
        <f>+'Estimate Details'!#REF!</f>
        <v>#REF!</v>
      </c>
      <c r="I744" s="217" t="e">
        <f>+'Estimate Details'!#REF!</f>
        <v>#REF!</v>
      </c>
      <c r="J744" s="42" t="e">
        <f>+'Estimate Details'!#REF!</f>
        <v>#REF!</v>
      </c>
      <c r="K744" s="42" t="e">
        <f>+'Estimate Details'!#REF!</f>
        <v>#REF!</v>
      </c>
      <c r="L744" s="42" t="e">
        <f>+'Estimate Details'!#REF!</f>
        <v>#REF!</v>
      </c>
      <c r="M744" s="227" t="e">
        <f>+'Estimate Details'!#REF!</f>
        <v>#REF!</v>
      </c>
      <c r="N744" s="228" t="e">
        <f>+'Estimate Details'!#REF!</f>
        <v>#REF!</v>
      </c>
      <c r="O744" s="171" t="e">
        <f>+'Estimate Details'!#REF!</f>
        <v>#REF!</v>
      </c>
      <c r="P744" s="172" t="e">
        <f>+'Estimate Details'!#REF!</f>
        <v>#REF!</v>
      </c>
      <c r="Q744" s="173" t="e">
        <f>+'Estimate Details'!#REF!</f>
        <v>#REF!</v>
      </c>
      <c r="R744" s="174" t="e">
        <f>+'Estimate Details'!#REF!</f>
        <v>#REF!</v>
      </c>
      <c r="S744" s="507"/>
      <c r="T744" s="174" t="e">
        <f>+'Estimate Details'!#REF!</f>
        <v>#REF!</v>
      </c>
      <c r="U744" s="481" t="s">
        <v>1310</v>
      </c>
      <c r="V744" s="172" t="e">
        <f>+'Estimate Details'!#REF!</f>
        <v>#REF!</v>
      </c>
      <c r="W744" s="481" t="s">
        <v>1310</v>
      </c>
      <c r="X744" s="172" t="e">
        <f>+'Estimate Details'!#REF!</f>
        <v>#REF!</v>
      </c>
      <c r="Y744" s="172" t="e">
        <f>+'Estimate Details'!#REF!</f>
        <v>#REF!</v>
      </c>
      <c r="Z744" s="174" t="e">
        <f>+'Estimate Details'!#REF!</f>
        <v>#REF!</v>
      </c>
      <c r="AA744" s="481"/>
      <c r="AB744" s="175" t="e">
        <f>+'Estimate Details'!#REF!</f>
        <v>#REF!</v>
      </c>
      <c r="AC744" s="569"/>
      <c r="AD744" s="176" t="e">
        <f>+'Estimate Details'!#REF!</f>
        <v>#REF!</v>
      </c>
      <c r="AE744" s="156"/>
      <c r="AF744" s="374"/>
      <c r="AG744" s="156"/>
      <c r="AH744" s="156"/>
      <c r="AI744" s="29"/>
      <c r="AJ744" s="29"/>
      <c r="AK744" s="29"/>
      <c r="AL744" s="29"/>
    </row>
    <row r="745" spans="1:38" ht="14.1" customHeight="1">
      <c r="A745" s="116" t="e">
        <f>+'Estimate Details'!#REF!</f>
        <v>#REF!</v>
      </c>
      <c r="B745" s="116"/>
      <c r="C745" s="116"/>
      <c r="D745" s="166"/>
      <c r="E745" s="158" t="e">
        <f>+'Estimate Details'!#REF!</f>
        <v>#REF!</v>
      </c>
      <c r="F745" s="41"/>
      <c r="G745" s="117" t="e">
        <f>+'Estimate Details'!#REF!</f>
        <v>#REF!</v>
      </c>
      <c r="H745" s="41" t="e">
        <f>+'Estimate Details'!#REF!</f>
        <v>#REF!</v>
      </c>
      <c r="I745" s="217" t="e">
        <f>+'Estimate Details'!#REF!</f>
        <v>#REF!</v>
      </c>
      <c r="J745" s="42" t="e">
        <f>+'Estimate Details'!#REF!</f>
        <v>#REF!</v>
      </c>
      <c r="K745" s="42" t="e">
        <f>+'Estimate Details'!#REF!</f>
        <v>#REF!</v>
      </c>
      <c r="L745" s="42" t="e">
        <f>+'Estimate Details'!#REF!</f>
        <v>#REF!</v>
      </c>
      <c r="M745" s="227" t="e">
        <f>+'Estimate Details'!#REF!</f>
        <v>#REF!</v>
      </c>
      <c r="N745" s="228" t="e">
        <f>+'Estimate Details'!#REF!</f>
        <v>#REF!</v>
      </c>
      <c r="O745" s="171" t="e">
        <f>+'Estimate Details'!#REF!</f>
        <v>#REF!</v>
      </c>
      <c r="P745" s="172" t="e">
        <f>+'Estimate Details'!#REF!</f>
        <v>#REF!</v>
      </c>
      <c r="Q745" s="173" t="e">
        <f>+'Estimate Details'!#REF!</f>
        <v>#REF!</v>
      </c>
      <c r="R745" s="174" t="e">
        <f>+'Estimate Details'!#REF!</f>
        <v>#REF!</v>
      </c>
      <c r="S745" s="507"/>
      <c r="T745" s="174" t="e">
        <f>+'Estimate Details'!#REF!</f>
        <v>#REF!</v>
      </c>
      <c r="U745" s="481" t="s">
        <v>1304</v>
      </c>
      <c r="V745" s="172" t="e">
        <f>+'Estimate Details'!#REF!</f>
        <v>#REF!</v>
      </c>
      <c r="W745" s="481" t="s">
        <v>1310</v>
      </c>
      <c r="X745" s="172" t="e">
        <f>+'Estimate Details'!#REF!</f>
        <v>#REF!</v>
      </c>
      <c r="Y745" s="172" t="e">
        <f>+'Estimate Details'!#REF!</f>
        <v>#REF!</v>
      </c>
      <c r="Z745" s="174" t="e">
        <f>+'Estimate Details'!#REF!</f>
        <v>#REF!</v>
      </c>
      <c r="AA745" s="481"/>
      <c r="AB745" s="175" t="e">
        <f>+'Estimate Details'!#REF!</f>
        <v>#REF!</v>
      </c>
      <c r="AC745" s="569"/>
      <c r="AD745" s="176" t="e">
        <f>+'Estimate Details'!#REF!</f>
        <v>#REF!</v>
      </c>
      <c r="AE745" s="156"/>
      <c r="AF745" s="374"/>
      <c r="AG745" s="156"/>
      <c r="AH745" s="156"/>
      <c r="AI745" s="29"/>
      <c r="AJ745" s="29"/>
      <c r="AK745" s="29"/>
      <c r="AL745" s="29"/>
    </row>
    <row r="746" spans="1:38" ht="13.5" customHeight="1">
      <c r="A746" s="116" t="e">
        <f>+'Estimate Details'!#REF!</f>
        <v>#REF!</v>
      </c>
      <c r="B746" s="116"/>
      <c r="C746" s="116"/>
      <c r="D746" s="166"/>
      <c r="E746" s="158" t="e">
        <f>+'Estimate Details'!#REF!</f>
        <v>#REF!</v>
      </c>
      <c r="F746" s="41"/>
      <c r="G746" s="117" t="e">
        <f>+'Estimate Details'!#REF!</f>
        <v>#REF!</v>
      </c>
      <c r="H746" s="41" t="e">
        <f>+'Estimate Details'!#REF!</f>
        <v>#REF!</v>
      </c>
      <c r="I746" s="217" t="e">
        <f>+'Estimate Details'!#REF!</f>
        <v>#REF!</v>
      </c>
      <c r="J746" s="42" t="e">
        <f>+'Estimate Details'!#REF!</f>
        <v>#REF!</v>
      </c>
      <c r="K746" s="42" t="e">
        <f>+'Estimate Details'!#REF!</f>
        <v>#REF!</v>
      </c>
      <c r="L746" s="42" t="e">
        <f>+'Estimate Details'!#REF!</f>
        <v>#REF!</v>
      </c>
      <c r="M746" s="227" t="e">
        <f>+'Estimate Details'!#REF!</f>
        <v>#REF!</v>
      </c>
      <c r="N746" s="228" t="e">
        <f>+'Estimate Details'!#REF!</f>
        <v>#REF!</v>
      </c>
      <c r="O746" s="171" t="e">
        <f>+'Estimate Details'!#REF!</f>
        <v>#REF!</v>
      </c>
      <c r="P746" s="172" t="e">
        <f>+'Estimate Details'!#REF!</f>
        <v>#REF!</v>
      </c>
      <c r="Q746" s="173" t="e">
        <f>+'Estimate Details'!#REF!</f>
        <v>#REF!</v>
      </c>
      <c r="R746" s="174" t="e">
        <f>+'Estimate Details'!#REF!</f>
        <v>#REF!</v>
      </c>
      <c r="S746" s="507"/>
      <c r="T746" s="174" t="e">
        <f>+'Estimate Details'!#REF!</f>
        <v>#REF!</v>
      </c>
      <c r="U746" s="481" t="s">
        <v>1310</v>
      </c>
      <c r="V746" s="172" t="e">
        <f>+'Estimate Details'!#REF!</f>
        <v>#REF!</v>
      </c>
      <c r="W746" s="481" t="s">
        <v>1310</v>
      </c>
      <c r="X746" s="172" t="e">
        <f>+'Estimate Details'!#REF!</f>
        <v>#REF!</v>
      </c>
      <c r="Y746" s="172" t="e">
        <f>+'Estimate Details'!#REF!</f>
        <v>#REF!</v>
      </c>
      <c r="Z746" s="174" t="e">
        <f>+'Estimate Details'!#REF!</f>
        <v>#REF!</v>
      </c>
      <c r="AA746" s="481"/>
      <c r="AB746" s="175" t="e">
        <f>+'Estimate Details'!#REF!</f>
        <v>#REF!</v>
      </c>
      <c r="AC746" s="569"/>
      <c r="AD746" s="176" t="e">
        <f>+'Estimate Details'!#REF!</f>
        <v>#REF!</v>
      </c>
      <c r="AE746" s="156"/>
      <c r="AF746" s="372"/>
      <c r="AG746" s="156"/>
      <c r="AH746" s="156"/>
      <c r="AI746" s="29"/>
      <c r="AJ746" s="29"/>
      <c r="AK746" s="29"/>
      <c r="AL746" s="29"/>
    </row>
    <row r="747" spans="1:38" ht="14.1" customHeight="1">
      <c r="A747" s="116" t="e">
        <f>+'Estimate Details'!#REF!</f>
        <v>#REF!</v>
      </c>
      <c r="B747" s="116"/>
      <c r="C747" s="116"/>
      <c r="D747" s="166"/>
      <c r="E747" s="158" t="e">
        <f>+'Estimate Details'!#REF!</f>
        <v>#REF!</v>
      </c>
      <c r="F747" s="41"/>
      <c r="G747" s="117" t="e">
        <f>+'Estimate Details'!#REF!</f>
        <v>#REF!</v>
      </c>
      <c r="H747" s="41" t="e">
        <f>+'Estimate Details'!#REF!</f>
        <v>#REF!</v>
      </c>
      <c r="I747" s="217" t="e">
        <f>+'Estimate Details'!#REF!</f>
        <v>#REF!</v>
      </c>
      <c r="J747" s="42" t="e">
        <f>+'Estimate Details'!#REF!</f>
        <v>#REF!</v>
      </c>
      <c r="K747" s="42" t="e">
        <f>+'Estimate Details'!#REF!</f>
        <v>#REF!</v>
      </c>
      <c r="L747" s="42" t="e">
        <f>+'Estimate Details'!#REF!</f>
        <v>#REF!</v>
      </c>
      <c r="M747" s="227" t="e">
        <f>+'Estimate Details'!#REF!</f>
        <v>#REF!</v>
      </c>
      <c r="N747" s="228" t="e">
        <f>+'Estimate Details'!#REF!</f>
        <v>#REF!</v>
      </c>
      <c r="O747" s="171" t="e">
        <f>+'Estimate Details'!#REF!</f>
        <v>#REF!</v>
      </c>
      <c r="P747" s="172" t="e">
        <f>+'Estimate Details'!#REF!</f>
        <v>#REF!</v>
      </c>
      <c r="Q747" s="173" t="e">
        <f>+'Estimate Details'!#REF!</f>
        <v>#REF!</v>
      </c>
      <c r="R747" s="174" t="e">
        <f>+'Estimate Details'!#REF!</f>
        <v>#REF!</v>
      </c>
      <c r="S747" s="507"/>
      <c r="T747" s="174" t="e">
        <f>+'Estimate Details'!#REF!</f>
        <v>#REF!</v>
      </c>
      <c r="U747" s="481" t="s">
        <v>1310</v>
      </c>
      <c r="V747" s="172" t="e">
        <f>+'Estimate Details'!#REF!</f>
        <v>#REF!</v>
      </c>
      <c r="W747" s="481" t="s">
        <v>1310</v>
      </c>
      <c r="X747" s="172" t="e">
        <f>+'Estimate Details'!#REF!</f>
        <v>#REF!</v>
      </c>
      <c r="Y747" s="172" t="e">
        <f>+'Estimate Details'!#REF!</f>
        <v>#REF!</v>
      </c>
      <c r="Z747" s="174" t="e">
        <f>+'Estimate Details'!#REF!</f>
        <v>#REF!</v>
      </c>
      <c r="AA747" s="481"/>
      <c r="AB747" s="175" t="e">
        <f>+'Estimate Details'!#REF!</f>
        <v>#REF!</v>
      </c>
      <c r="AC747" s="569"/>
      <c r="AD747" s="176" t="e">
        <f>+'Estimate Details'!#REF!</f>
        <v>#REF!</v>
      </c>
      <c r="AE747" s="156"/>
      <c r="AF747" s="374"/>
      <c r="AG747" s="156"/>
      <c r="AH747" s="156"/>
      <c r="AI747" s="29"/>
      <c r="AJ747" s="29"/>
      <c r="AK747" s="29"/>
      <c r="AL747" s="29"/>
    </row>
    <row r="748" spans="1:38" ht="14.1" customHeight="1">
      <c r="A748" s="116" t="e">
        <f>+'Estimate Details'!#REF!</f>
        <v>#REF!</v>
      </c>
      <c r="B748" s="116"/>
      <c r="C748" s="116"/>
      <c r="D748" s="166"/>
      <c r="E748" s="158" t="e">
        <f>+'Estimate Details'!#REF!</f>
        <v>#REF!</v>
      </c>
      <c r="F748" s="41"/>
      <c r="G748" s="117" t="e">
        <f>+'Estimate Details'!#REF!</f>
        <v>#REF!</v>
      </c>
      <c r="H748" s="41" t="e">
        <f>+'Estimate Details'!#REF!</f>
        <v>#REF!</v>
      </c>
      <c r="I748" s="217" t="e">
        <f>+'Estimate Details'!#REF!</f>
        <v>#REF!</v>
      </c>
      <c r="J748" s="42" t="e">
        <f>+'Estimate Details'!#REF!</f>
        <v>#REF!</v>
      </c>
      <c r="K748" s="42" t="e">
        <f>+'Estimate Details'!#REF!</f>
        <v>#REF!</v>
      </c>
      <c r="L748" s="42" t="e">
        <f>+'Estimate Details'!#REF!</f>
        <v>#REF!</v>
      </c>
      <c r="M748" s="227" t="e">
        <f>+'Estimate Details'!#REF!</f>
        <v>#REF!</v>
      </c>
      <c r="N748" s="228" t="e">
        <f>+'Estimate Details'!#REF!</f>
        <v>#REF!</v>
      </c>
      <c r="O748" s="171" t="e">
        <f>+'Estimate Details'!#REF!</f>
        <v>#REF!</v>
      </c>
      <c r="P748" s="172" t="e">
        <f>+'Estimate Details'!#REF!</f>
        <v>#REF!</v>
      </c>
      <c r="Q748" s="173" t="e">
        <f>+'Estimate Details'!#REF!</f>
        <v>#REF!</v>
      </c>
      <c r="R748" s="174" t="e">
        <f>+'Estimate Details'!#REF!</f>
        <v>#REF!</v>
      </c>
      <c r="S748" s="507"/>
      <c r="T748" s="174" t="e">
        <f>+'Estimate Details'!#REF!</f>
        <v>#REF!</v>
      </c>
      <c r="U748" s="481" t="s">
        <v>1310</v>
      </c>
      <c r="V748" s="172" t="e">
        <f>+'Estimate Details'!#REF!</f>
        <v>#REF!</v>
      </c>
      <c r="W748" s="481" t="s">
        <v>1310</v>
      </c>
      <c r="X748" s="172" t="e">
        <f>+'Estimate Details'!#REF!</f>
        <v>#REF!</v>
      </c>
      <c r="Y748" s="172" t="e">
        <f>+'Estimate Details'!#REF!</f>
        <v>#REF!</v>
      </c>
      <c r="Z748" s="174" t="e">
        <f>+'Estimate Details'!#REF!</f>
        <v>#REF!</v>
      </c>
      <c r="AA748" s="481"/>
      <c r="AB748" s="175" t="e">
        <f>+'Estimate Details'!#REF!</f>
        <v>#REF!</v>
      </c>
      <c r="AC748" s="569"/>
      <c r="AD748" s="176" t="e">
        <f>+'Estimate Details'!#REF!</f>
        <v>#REF!</v>
      </c>
      <c r="AE748" s="156"/>
      <c r="AF748" s="374"/>
      <c r="AG748" s="156"/>
      <c r="AH748" s="156"/>
      <c r="AI748" s="29"/>
      <c r="AJ748" s="29"/>
      <c r="AK748" s="29"/>
      <c r="AL748" s="29"/>
    </row>
    <row r="749" spans="1:38" ht="14.1" customHeight="1">
      <c r="A749" s="116" t="e">
        <f>+'Estimate Details'!#REF!</f>
        <v>#REF!</v>
      </c>
      <c r="B749" s="116"/>
      <c r="C749" s="116"/>
      <c r="D749" s="166"/>
      <c r="E749" s="158" t="e">
        <f>+'Estimate Details'!#REF!</f>
        <v>#REF!</v>
      </c>
      <c r="F749" s="41"/>
      <c r="G749" s="117" t="e">
        <f>+'Estimate Details'!#REF!</f>
        <v>#REF!</v>
      </c>
      <c r="H749" s="41" t="e">
        <f>+'Estimate Details'!#REF!</f>
        <v>#REF!</v>
      </c>
      <c r="I749" s="217" t="e">
        <f>+'Estimate Details'!#REF!</f>
        <v>#REF!</v>
      </c>
      <c r="J749" s="42" t="e">
        <f>+'Estimate Details'!#REF!</f>
        <v>#REF!</v>
      </c>
      <c r="K749" s="42" t="e">
        <f>+'Estimate Details'!#REF!</f>
        <v>#REF!</v>
      </c>
      <c r="L749" s="42" t="e">
        <f>+'Estimate Details'!#REF!</f>
        <v>#REF!</v>
      </c>
      <c r="M749" s="227" t="e">
        <f>+'Estimate Details'!#REF!</f>
        <v>#REF!</v>
      </c>
      <c r="N749" s="228" t="e">
        <f>+'Estimate Details'!#REF!</f>
        <v>#REF!</v>
      </c>
      <c r="O749" s="171" t="e">
        <f>+'Estimate Details'!#REF!</f>
        <v>#REF!</v>
      </c>
      <c r="P749" s="172" t="e">
        <f>+'Estimate Details'!#REF!</f>
        <v>#REF!</v>
      </c>
      <c r="Q749" s="173" t="e">
        <f>+'Estimate Details'!#REF!</f>
        <v>#REF!</v>
      </c>
      <c r="R749" s="174" t="e">
        <f>+'Estimate Details'!#REF!</f>
        <v>#REF!</v>
      </c>
      <c r="S749" s="507"/>
      <c r="T749" s="174" t="e">
        <f>+'Estimate Details'!#REF!</f>
        <v>#REF!</v>
      </c>
      <c r="U749" s="481" t="s">
        <v>1310</v>
      </c>
      <c r="V749" s="172" t="e">
        <f>+'Estimate Details'!#REF!</f>
        <v>#REF!</v>
      </c>
      <c r="W749" s="481" t="s">
        <v>1310</v>
      </c>
      <c r="X749" s="172" t="e">
        <f>+'Estimate Details'!#REF!</f>
        <v>#REF!</v>
      </c>
      <c r="Y749" s="172" t="e">
        <f>+'Estimate Details'!#REF!</f>
        <v>#REF!</v>
      </c>
      <c r="Z749" s="174" t="e">
        <f>+'Estimate Details'!#REF!</f>
        <v>#REF!</v>
      </c>
      <c r="AA749" s="481"/>
      <c r="AB749" s="175" t="e">
        <f>+'Estimate Details'!#REF!</f>
        <v>#REF!</v>
      </c>
      <c r="AC749" s="569"/>
      <c r="AD749" s="176" t="e">
        <f>+'Estimate Details'!#REF!</f>
        <v>#REF!</v>
      </c>
      <c r="AE749" s="156"/>
      <c r="AF749" s="374"/>
      <c r="AG749" s="156"/>
      <c r="AH749" s="156"/>
      <c r="AI749" s="29"/>
      <c r="AJ749" s="29"/>
      <c r="AK749" s="29"/>
      <c r="AL749" s="29"/>
    </row>
    <row r="750" spans="1:38" ht="13.5" customHeight="1">
      <c r="A750" s="116" t="e">
        <f>+'Estimate Details'!#REF!</f>
        <v>#REF!</v>
      </c>
      <c r="B750" s="116"/>
      <c r="C750" s="116"/>
      <c r="D750" s="166"/>
      <c r="E750" s="158" t="e">
        <f>+'Estimate Details'!#REF!</f>
        <v>#REF!</v>
      </c>
      <c r="F750" s="41"/>
      <c r="G750" s="117" t="e">
        <f>+'Estimate Details'!#REF!</f>
        <v>#REF!</v>
      </c>
      <c r="H750" s="41" t="e">
        <f>+'Estimate Details'!#REF!</f>
        <v>#REF!</v>
      </c>
      <c r="I750" s="217" t="e">
        <f>+'Estimate Details'!#REF!</f>
        <v>#REF!</v>
      </c>
      <c r="J750" s="42" t="e">
        <f>+'Estimate Details'!#REF!</f>
        <v>#REF!</v>
      </c>
      <c r="K750" s="42" t="e">
        <f>+'Estimate Details'!#REF!</f>
        <v>#REF!</v>
      </c>
      <c r="L750" s="42" t="e">
        <f>+'Estimate Details'!#REF!</f>
        <v>#REF!</v>
      </c>
      <c r="M750" s="227" t="e">
        <f>+'Estimate Details'!#REF!</f>
        <v>#REF!</v>
      </c>
      <c r="N750" s="228" t="e">
        <f>+'Estimate Details'!#REF!</f>
        <v>#REF!</v>
      </c>
      <c r="O750" s="171" t="e">
        <f>+'Estimate Details'!#REF!</f>
        <v>#REF!</v>
      </c>
      <c r="P750" s="172" t="e">
        <f>+'Estimate Details'!#REF!</f>
        <v>#REF!</v>
      </c>
      <c r="Q750" s="173" t="e">
        <f>+'Estimate Details'!#REF!</f>
        <v>#REF!</v>
      </c>
      <c r="R750" s="174" t="e">
        <f>+'Estimate Details'!#REF!</f>
        <v>#REF!</v>
      </c>
      <c r="S750" s="507"/>
      <c r="T750" s="174" t="e">
        <f>+'Estimate Details'!#REF!</f>
        <v>#REF!</v>
      </c>
      <c r="U750" s="481" t="s">
        <v>1310</v>
      </c>
      <c r="V750" s="172" t="e">
        <f>+'Estimate Details'!#REF!</f>
        <v>#REF!</v>
      </c>
      <c r="W750" s="481" t="s">
        <v>1310</v>
      </c>
      <c r="X750" s="172" t="e">
        <f>+'Estimate Details'!#REF!</f>
        <v>#REF!</v>
      </c>
      <c r="Y750" s="172" t="e">
        <f>+'Estimate Details'!#REF!</f>
        <v>#REF!</v>
      </c>
      <c r="Z750" s="174" t="e">
        <f>+'Estimate Details'!#REF!</f>
        <v>#REF!</v>
      </c>
      <c r="AA750" s="481"/>
      <c r="AB750" s="175" t="e">
        <f>+'Estimate Details'!#REF!</f>
        <v>#REF!</v>
      </c>
      <c r="AC750" s="569"/>
      <c r="AD750" s="176" t="e">
        <f>+'Estimate Details'!#REF!</f>
        <v>#REF!</v>
      </c>
      <c r="AE750" s="156"/>
      <c r="AF750" s="374"/>
      <c r="AG750" s="156"/>
      <c r="AH750" s="156"/>
      <c r="AI750" s="29"/>
      <c r="AJ750" s="29"/>
      <c r="AK750" s="29"/>
      <c r="AL750" s="29"/>
    </row>
    <row r="751" spans="1:38" ht="14.1" customHeight="1">
      <c r="A751" s="116" t="e">
        <f>+'Estimate Details'!#REF!</f>
        <v>#REF!</v>
      </c>
      <c r="B751" s="116"/>
      <c r="C751" s="116"/>
      <c r="D751" s="166"/>
      <c r="E751" s="158" t="e">
        <f>+'Estimate Details'!#REF!</f>
        <v>#REF!</v>
      </c>
      <c r="F751" s="41"/>
      <c r="G751" s="117" t="e">
        <f>+'Estimate Details'!#REF!</f>
        <v>#REF!</v>
      </c>
      <c r="H751" s="41" t="e">
        <f>+'Estimate Details'!#REF!</f>
        <v>#REF!</v>
      </c>
      <c r="I751" s="217" t="e">
        <f>+'Estimate Details'!#REF!</f>
        <v>#REF!</v>
      </c>
      <c r="J751" s="42" t="e">
        <f>+'Estimate Details'!#REF!</f>
        <v>#REF!</v>
      </c>
      <c r="K751" s="42" t="e">
        <f>+'Estimate Details'!#REF!</f>
        <v>#REF!</v>
      </c>
      <c r="L751" s="42" t="e">
        <f>+'Estimate Details'!#REF!</f>
        <v>#REF!</v>
      </c>
      <c r="M751" s="227" t="e">
        <f>+'Estimate Details'!#REF!</f>
        <v>#REF!</v>
      </c>
      <c r="N751" s="228" t="e">
        <f>+'Estimate Details'!#REF!</f>
        <v>#REF!</v>
      </c>
      <c r="O751" s="171" t="e">
        <f>+'Estimate Details'!#REF!</f>
        <v>#REF!</v>
      </c>
      <c r="P751" s="172" t="e">
        <f>+'Estimate Details'!#REF!</f>
        <v>#REF!</v>
      </c>
      <c r="Q751" s="173" t="e">
        <f>+'Estimate Details'!#REF!</f>
        <v>#REF!</v>
      </c>
      <c r="R751" s="174" t="e">
        <f>+'Estimate Details'!#REF!</f>
        <v>#REF!</v>
      </c>
      <c r="S751" s="507"/>
      <c r="T751" s="174" t="e">
        <f>+'Estimate Details'!#REF!</f>
        <v>#REF!</v>
      </c>
      <c r="U751" s="481" t="s">
        <v>1310</v>
      </c>
      <c r="V751" s="172" t="e">
        <f>+'Estimate Details'!#REF!</f>
        <v>#REF!</v>
      </c>
      <c r="W751" s="481" t="s">
        <v>1310</v>
      </c>
      <c r="X751" s="172" t="e">
        <f>+'Estimate Details'!#REF!</f>
        <v>#REF!</v>
      </c>
      <c r="Y751" s="172" t="e">
        <f>+'Estimate Details'!#REF!</f>
        <v>#REF!</v>
      </c>
      <c r="Z751" s="174" t="e">
        <f>+'Estimate Details'!#REF!</f>
        <v>#REF!</v>
      </c>
      <c r="AA751" s="481"/>
      <c r="AB751" s="175" t="e">
        <f>+'Estimate Details'!#REF!</f>
        <v>#REF!</v>
      </c>
      <c r="AC751" s="569"/>
      <c r="AD751" s="176" t="e">
        <f>+'Estimate Details'!#REF!</f>
        <v>#REF!</v>
      </c>
      <c r="AE751" s="156"/>
      <c r="AF751" s="372"/>
      <c r="AG751" s="398"/>
      <c r="AH751" s="156"/>
      <c r="AI751" s="29"/>
      <c r="AJ751" s="29"/>
      <c r="AK751" s="29"/>
      <c r="AL751" s="29"/>
    </row>
    <row r="752" spans="1:38" ht="14.1" customHeight="1">
      <c r="A752" s="116" t="e">
        <f>+'Estimate Details'!#REF!</f>
        <v>#REF!</v>
      </c>
      <c r="B752" s="116"/>
      <c r="C752" s="116"/>
      <c r="D752" s="166"/>
      <c r="E752" s="158" t="e">
        <f>+'Estimate Details'!#REF!</f>
        <v>#REF!</v>
      </c>
      <c r="F752" s="41"/>
      <c r="G752" s="117" t="e">
        <f>+'Estimate Details'!#REF!</f>
        <v>#REF!</v>
      </c>
      <c r="H752" s="41" t="e">
        <f>+'Estimate Details'!#REF!</f>
        <v>#REF!</v>
      </c>
      <c r="I752" s="217" t="e">
        <f>+'Estimate Details'!#REF!</f>
        <v>#REF!</v>
      </c>
      <c r="J752" s="42" t="e">
        <f>+'Estimate Details'!#REF!</f>
        <v>#REF!</v>
      </c>
      <c r="K752" s="42" t="e">
        <f>+'Estimate Details'!#REF!</f>
        <v>#REF!</v>
      </c>
      <c r="L752" s="42" t="e">
        <f>+'Estimate Details'!#REF!</f>
        <v>#REF!</v>
      </c>
      <c r="M752" s="227" t="e">
        <f>+'Estimate Details'!#REF!</f>
        <v>#REF!</v>
      </c>
      <c r="N752" s="228" t="e">
        <f>+'Estimate Details'!#REF!</f>
        <v>#REF!</v>
      </c>
      <c r="O752" s="171" t="e">
        <f>+'Estimate Details'!#REF!</f>
        <v>#REF!</v>
      </c>
      <c r="P752" s="172" t="e">
        <f>+'Estimate Details'!#REF!</f>
        <v>#REF!</v>
      </c>
      <c r="Q752" s="173" t="e">
        <f>+'Estimate Details'!#REF!</f>
        <v>#REF!</v>
      </c>
      <c r="R752" s="174" t="e">
        <f>+'Estimate Details'!#REF!</f>
        <v>#REF!</v>
      </c>
      <c r="S752" s="507"/>
      <c r="T752" s="174" t="e">
        <f>+'Estimate Details'!#REF!</f>
        <v>#REF!</v>
      </c>
      <c r="U752" s="481" t="s">
        <v>1310</v>
      </c>
      <c r="V752" s="172" t="e">
        <f>+'Estimate Details'!#REF!</f>
        <v>#REF!</v>
      </c>
      <c r="W752" s="481" t="s">
        <v>1310</v>
      </c>
      <c r="X752" s="172" t="e">
        <f>+'Estimate Details'!#REF!</f>
        <v>#REF!</v>
      </c>
      <c r="Y752" s="172" t="e">
        <f>+'Estimate Details'!#REF!</f>
        <v>#REF!</v>
      </c>
      <c r="Z752" s="174" t="e">
        <f>+'Estimate Details'!#REF!</f>
        <v>#REF!</v>
      </c>
      <c r="AA752" s="481"/>
      <c r="AB752" s="175" t="e">
        <f>+'Estimate Details'!#REF!</f>
        <v>#REF!</v>
      </c>
      <c r="AC752" s="569"/>
      <c r="AD752" s="176" t="e">
        <f>+'Estimate Details'!#REF!</f>
        <v>#REF!</v>
      </c>
      <c r="AE752" s="156"/>
      <c r="AF752" s="156"/>
      <c r="AG752" s="156"/>
      <c r="AH752" s="156"/>
      <c r="AI752" s="29"/>
      <c r="AJ752" s="29"/>
      <c r="AK752" s="29"/>
      <c r="AL752" s="29"/>
    </row>
    <row r="753" spans="1:38" ht="14.1" customHeight="1">
      <c r="A753" s="116" t="e">
        <f>+'Estimate Details'!#REF!</f>
        <v>#REF!</v>
      </c>
      <c r="B753" s="116"/>
      <c r="C753" s="116"/>
      <c r="D753" s="166"/>
      <c r="E753" s="158" t="e">
        <f>+'Estimate Details'!#REF!</f>
        <v>#REF!</v>
      </c>
      <c r="F753" s="41"/>
      <c r="G753" s="117" t="e">
        <f>+'Estimate Details'!#REF!</f>
        <v>#REF!</v>
      </c>
      <c r="H753" s="41" t="e">
        <f>+'Estimate Details'!#REF!</f>
        <v>#REF!</v>
      </c>
      <c r="I753" s="217" t="e">
        <f>+'Estimate Details'!#REF!</f>
        <v>#REF!</v>
      </c>
      <c r="J753" s="42" t="e">
        <f>+'Estimate Details'!#REF!</f>
        <v>#REF!</v>
      </c>
      <c r="K753" s="42" t="e">
        <f>+'Estimate Details'!#REF!</f>
        <v>#REF!</v>
      </c>
      <c r="L753" s="42" t="e">
        <f>+'Estimate Details'!#REF!</f>
        <v>#REF!</v>
      </c>
      <c r="M753" s="227" t="e">
        <f>+'Estimate Details'!#REF!</f>
        <v>#REF!</v>
      </c>
      <c r="N753" s="228" t="e">
        <f>+'Estimate Details'!#REF!</f>
        <v>#REF!</v>
      </c>
      <c r="O753" s="171" t="e">
        <f>+'Estimate Details'!#REF!</f>
        <v>#REF!</v>
      </c>
      <c r="P753" s="172" t="e">
        <f>+'Estimate Details'!#REF!</f>
        <v>#REF!</v>
      </c>
      <c r="Q753" s="173" t="e">
        <f>+'Estimate Details'!#REF!</f>
        <v>#REF!</v>
      </c>
      <c r="R753" s="174" t="e">
        <f>+'Estimate Details'!#REF!</f>
        <v>#REF!</v>
      </c>
      <c r="S753" s="507"/>
      <c r="T753" s="174" t="e">
        <f>+'Estimate Details'!#REF!</f>
        <v>#REF!</v>
      </c>
      <c r="U753" s="481" t="s">
        <v>1310</v>
      </c>
      <c r="V753" s="172" t="e">
        <f>+'Estimate Details'!#REF!</f>
        <v>#REF!</v>
      </c>
      <c r="W753" s="481" t="s">
        <v>1310</v>
      </c>
      <c r="X753" s="172" t="e">
        <f>+'Estimate Details'!#REF!</f>
        <v>#REF!</v>
      </c>
      <c r="Y753" s="172" t="e">
        <f>+'Estimate Details'!#REF!</f>
        <v>#REF!</v>
      </c>
      <c r="Z753" s="174" t="e">
        <f>+'Estimate Details'!#REF!</f>
        <v>#REF!</v>
      </c>
      <c r="AA753" s="481"/>
      <c r="AB753" s="175" t="e">
        <f>+'Estimate Details'!#REF!</f>
        <v>#REF!</v>
      </c>
      <c r="AC753" s="569"/>
      <c r="AD753" s="176" t="e">
        <f>+'Estimate Details'!#REF!</f>
        <v>#REF!</v>
      </c>
      <c r="AE753" s="156"/>
      <c r="AF753" s="372"/>
      <c r="AG753" s="156"/>
      <c r="AH753" s="156"/>
      <c r="AI753" s="29"/>
      <c r="AJ753" s="29"/>
      <c r="AK753" s="29"/>
      <c r="AL753" s="29"/>
    </row>
    <row r="754" spans="1:38" ht="14.1" customHeight="1">
      <c r="A754" s="116" t="e">
        <f>+'Estimate Details'!#REF!</f>
        <v>#REF!</v>
      </c>
      <c r="B754" s="116"/>
      <c r="C754" s="116"/>
      <c r="D754" s="166"/>
      <c r="E754" s="158" t="e">
        <f>+'Estimate Details'!#REF!</f>
        <v>#REF!</v>
      </c>
      <c r="F754" s="41"/>
      <c r="G754" s="117" t="e">
        <f>+'Estimate Details'!#REF!</f>
        <v>#REF!</v>
      </c>
      <c r="H754" s="41" t="e">
        <f>+'Estimate Details'!#REF!</f>
        <v>#REF!</v>
      </c>
      <c r="I754" s="217" t="e">
        <f>+'Estimate Details'!#REF!</f>
        <v>#REF!</v>
      </c>
      <c r="J754" s="42" t="e">
        <f>+'Estimate Details'!#REF!</f>
        <v>#REF!</v>
      </c>
      <c r="K754" s="42" t="e">
        <f>+'Estimate Details'!#REF!</f>
        <v>#REF!</v>
      </c>
      <c r="L754" s="42" t="e">
        <f>+'Estimate Details'!#REF!</f>
        <v>#REF!</v>
      </c>
      <c r="M754" s="227" t="e">
        <f>+'Estimate Details'!#REF!</f>
        <v>#REF!</v>
      </c>
      <c r="N754" s="228" t="e">
        <f>+'Estimate Details'!#REF!</f>
        <v>#REF!</v>
      </c>
      <c r="O754" s="171" t="e">
        <f>+'Estimate Details'!#REF!</f>
        <v>#REF!</v>
      </c>
      <c r="P754" s="172" t="e">
        <f>+'Estimate Details'!#REF!</f>
        <v>#REF!</v>
      </c>
      <c r="Q754" s="173" t="e">
        <f>+'Estimate Details'!#REF!</f>
        <v>#REF!</v>
      </c>
      <c r="R754" s="174" t="e">
        <f>+'Estimate Details'!#REF!</f>
        <v>#REF!</v>
      </c>
      <c r="S754" s="507"/>
      <c r="T754" s="174" t="e">
        <f>+'Estimate Details'!#REF!</f>
        <v>#REF!</v>
      </c>
      <c r="U754" s="481" t="s">
        <v>1310</v>
      </c>
      <c r="V754" s="172" t="e">
        <f>+'Estimate Details'!#REF!</f>
        <v>#REF!</v>
      </c>
      <c r="W754" s="481" t="s">
        <v>1310</v>
      </c>
      <c r="X754" s="172" t="e">
        <f>+'Estimate Details'!#REF!</f>
        <v>#REF!</v>
      </c>
      <c r="Y754" s="172" t="e">
        <f>+'Estimate Details'!#REF!</f>
        <v>#REF!</v>
      </c>
      <c r="Z754" s="174" t="e">
        <f>+'Estimate Details'!#REF!</f>
        <v>#REF!</v>
      </c>
      <c r="AA754" s="481"/>
      <c r="AB754" s="175" t="e">
        <f>+'Estimate Details'!#REF!</f>
        <v>#REF!</v>
      </c>
      <c r="AC754" s="569"/>
      <c r="AD754" s="176" t="e">
        <f>+'Estimate Details'!#REF!</f>
        <v>#REF!</v>
      </c>
      <c r="AE754" s="156"/>
      <c r="AF754" s="372"/>
      <c r="AG754" s="156"/>
      <c r="AH754" s="156"/>
      <c r="AI754" s="29"/>
      <c r="AJ754" s="29"/>
      <c r="AK754" s="29"/>
      <c r="AL754" s="29"/>
    </row>
    <row r="755" spans="1:38" ht="14.1" customHeight="1">
      <c r="A755" s="116" t="e">
        <f>+'Estimate Details'!#REF!</f>
        <v>#REF!</v>
      </c>
      <c r="B755" s="116"/>
      <c r="C755" s="116"/>
      <c r="D755" s="166"/>
      <c r="E755" s="158" t="e">
        <f>+'Estimate Details'!#REF!</f>
        <v>#REF!</v>
      </c>
      <c r="F755" s="41"/>
      <c r="G755" s="117" t="e">
        <f>+'Estimate Details'!#REF!</f>
        <v>#REF!</v>
      </c>
      <c r="H755" s="41" t="e">
        <f>+'Estimate Details'!#REF!</f>
        <v>#REF!</v>
      </c>
      <c r="I755" s="217" t="e">
        <f>+'Estimate Details'!#REF!</f>
        <v>#REF!</v>
      </c>
      <c r="J755" s="42" t="e">
        <f>+'Estimate Details'!#REF!</f>
        <v>#REF!</v>
      </c>
      <c r="K755" s="42" t="e">
        <f>+'Estimate Details'!#REF!</f>
        <v>#REF!</v>
      </c>
      <c r="L755" s="42" t="e">
        <f>+'Estimate Details'!#REF!</f>
        <v>#REF!</v>
      </c>
      <c r="M755" s="227" t="e">
        <f>+'Estimate Details'!#REF!</f>
        <v>#REF!</v>
      </c>
      <c r="N755" s="228" t="e">
        <f>+'Estimate Details'!#REF!</f>
        <v>#REF!</v>
      </c>
      <c r="O755" s="171" t="e">
        <f>+'Estimate Details'!#REF!</f>
        <v>#REF!</v>
      </c>
      <c r="P755" s="172" t="e">
        <f>+'Estimate Details'!#REF!</f>
        <v>#REF!</v>
      </c>
      <c r="Q755" s="173" t="e">
        <f>+'Estimate Details'!#REF!</f>
        <v>#REF!</v>
      </c>
      <c r="R755" s="174" t="e">
        <f>+'Estimate Details'!#REF!</f>
        <v>#REF!</v>
      </c>
      <c r="S755" s="507"/>
      <c r="T755" s="174" t="e">
        <f>+'Estimate Details'!#REF!</f>
        <v>#REF!</v>
      </c>
      <c r="U755" s="481"/>
      <c r="V755" s="172" t="e">
        <f>+'Estimate Details'!#REF!</f>
        <v>#REF!</v>
      </c>
      <c r="W755" s="481" t="s">
        <v>1310</v>
      </c>
      <c r="X755" s="172" t="e">
        <f>+'Estimate Details'!#REF!</f>
        <v>#REF!</v>
      </c>
      <c r="Y755" s="172" t="e">
        <f>+'Estimate Details'!#REF!</f>
        <v>#REF!</v>
      </c>
      <c r="Z755" s="174" t="e">
        <f>+'Estimate Details'!#REF!</f>
        <v>#REF!</v>
      </c>
      <c r="AA755" s="481"/>
      <c r="AB755" s="175" t="e">
        <f>+'Estimate Details'!#REF!</f>
        <v>#REF!</v>
      </c>
      <c r="AC755" s="569"/>
      <c r="AD755" s="176" t="e">
        <f>+'Estimate Details'!#REF!</f>
        <v>#REF!</v>
      </c>
      <c r="AE755" s="156"/>
      <c r="AF755" s="372"/>
      <c r="AG755" s="156"/>
      <c r="AH755" s="156"/>
      <c r="AI755" s="29"/>
      <c r="AJ755" s="29"/>
      <c r="AK755" s="29"/>
      <c r="AL755" s="29"/>
    </row>
    <row r="756" spans="1:38" ht="14.1" customHeight="1">
      <c r="A756" s="116" t="e">
        <f>+'Estimate Details'!#REF!</f>
        <v>#REF!</v>
      </c>
      <c r="B756" s="116"/>
      <c r="C756" s="116"/>
      <c r="D756" s="166"/>
      <c r="E756" s="158" t="e">
        <f>+'Estimate Details'!#REF!</f>
        <v>#REF!</v>
      </c>
      <c r="F756" s="41"/>
      <c r="G756" s="117" t="e">
        <f>+'Estimate Details'!#REF!</f>
        <v>#REF!</v>
      </c>
      <c r="H756" s="41" t="e">
        <f>+'Estimate Details'!#REF!</f>
        <v>#REF!</v>
      </c>
      <c r="I756" s="217" t="e">
        <f>+'Estimate Details'!#REF!</f>
        <v>#REF!</v>
      </c>
      <c r="J756" s="42" t="e">
        <f>+'Estimate Details'!#REF!</f>
        <v>#REF!</v>
      </c>
      <c r="K756" s="42" t="e">
        <f>+'Estimate Details'!#REF!</f>
        <v>#REF!</v>
      </c>
      <c r="L756" s="42" t="e">
        <f>+'Estimate Details'!#REF!</f>
        <v>#REF!</v>
      </c>
      <c r="M756" s="227" t="e">
        <f>+'Estimate Details'!#REF!</f>
        <v>#REF!</v>
      </c>
      <c r="N756" s="228" t="e">
        <f>+'Estimate Details'!#REF!</f>
        <v>#REF!</v>
      </c>
      <c r="O756" s="171" t="e">
        <f>+'Estimate Details'!#REF!</f>
        <v>#REF!</v>
      </c>
      <c r="P756" s="172" t="e">
        <f>+'Estimate Details'!#REF!</f>
        <v>#REF!</v>
      </c>
      <c r="Q756" s="173" t="e">
        <f>+'Estimate Details'!#REF!</f>
        <v>#REF!</v>
      </c>
      <c r="R756" s="174" t="e">
        <f>+'Estimate Details'!#REF!</f>
        <v>#REF!</v>
      </c>
      <c r="S756" s="507"/>
      <c r="T756" s="174" t="e">
        <f>+'Estimate Details'!#REF!</f>
        <v>#REF!</v>
      </c>
      <c r="U756" s="481"/>
      <c r="V756" s="172" t="e">
        <f>+'Estimate Details'!#REF!</f>
        <v>#REF!</v>
      </c>
      <c r="W756" s="481" t="s">
        <v>1310</v>
      </c>
      <c r="X756" s="172" t="e">
        <f>+'Estimate Details'!#REF!</f>
        <v>#REF!</v>
      </c>
      <c r="Y756" s="172" t="e">
        <f>+'Estimate Details'!#REF!</f>
        <v>#REF!</v>
      </c>
      <c r="Z756" s="174" t="e">
        <f>+'Estimate Details'!#REF!</f>
        <v>#REF!</v>
      </c>
      <c r="AA756" s="481"/>
      <c r="AB756" s="175" t="e">
        <f>+'Estimate Details'!#REF!</f>
        <v>#REF!</v>
      </c>
      <c r="AC756" s="569"/>
      <c r="AD756" s="176" t="e">
        <f>+'Estimate Details'!#REF!</f>
        <v>#REF!</v>
      </c>
      <c r="AE756" s="156"/>
      <c r="AF756" s="372"/>
      <c r="AG756" s="156"/>
      <c r="AH756" s="156"/>
      <c r="AI756" s="29"/>
      <c r="AJ756" s="29"/>
      <c r="AK756" s="29"/>
      <c r="AL756" s="29"/>
    </row>
    <row r="757" spans="1:38" ht="14.1" customHeight="1">
      <c r="A757" s="116" t="e">
        <f>+'Estimate Details'!#REF!</f>
        <v>#REF!</v>
      </c>
      <c r="B757" s="116"/>
      <c r="C757" s="116"/>
      <c r="D757" s="166"/>
      <c r="E757" s="158" t="e">
        <f>+'Estimate Details'!#REF!</f>
        <v>#REF!</v>
      </c>
      <c r="F757" s="41"/>
      <c r="G757" s="117" t="e">
        <f>+'Estimate Details'!#REF!</f>
        <v>#REF!</v>
      </c>
      <c r="H757" s="41" t="e">
        <f>+'Estimate Details'!#REF!</f>
        <v>#REF!</v>
      </c>
      <c r="I757" s="217" t="e">
        <f>+'Estimate Details'!#REF!</f>
        <v>#REF!</v>
      </c>
      <c r="J757" s="42" t="e">
        <f>+'Estimate Details'!#REF!</f>
        <v>#REF!</v>
      </c>
      <c r="K757" s="42" t="e">
        <f>+'Estimate Details'!#REF!</f>
        <v>#REF!</v>
      </c>
      <c r="L757" s="42" t="e">
        <f>+'Estimate Details'!#REF!</f>
        <v>#REF!</v>
      </c>
      <c r="M757" s="227" t="e">
        <f>+'Estimate Details'!#REF!</f>
        <v>#REF!</v>
      </c>
      <c r="N757" s="228" t="e">
        <f>+'Estimate Details'!#REF!</f>
        <v>#REF!</v>
      </c>
      <c r="O757" s="171" t="e">
        <f>+'Estimate Details'!#REF!</f>
        <v>#REF!</v>
      </c>
      <c r="P757" s="172" t="e">
        <f>+'Estimate Details'!#REF!</f>
        <v>#REF!</v>
      </c>
      <c r="Q757" s="173" t="e">
        <f>+'Estimate Details'!#REF!</f>
        <v>#REF!</v>
      </c>
      <c r="R757" s="174" t="e">
        <f>+'Estimate Details'!#REF!</f>
        <v>#REF!</v>
      </c>
      <c r="S757" s="507"/>
      <c r="T757" s="174" t="e">
        <f>+'Estimate Details'!#REF!</f>
        <v>#REF!</v>
      </c>
      <c r="U757" s="481"/>
      <c r="V757" s="172" t="e">
        <f>+'Estimate Details'!#REF!</f>
        <v>#REF!</v>
      </c>
      <c r="W757" s="481" t="s">
        <v>1310</v>
      </c>
      <c r="X757" s="172" t="e">
        <f>+'Estimate Details'!#REF!</f>
        <v>#REF!</v>
      </c>
      <c r="Y757" s="172" t="e">
        <f>+'Estimate Details'!#REF!</f>
        <v>#REF!</v>
      </c>
      <c r="Z757" s="174" t="e">
        <f>+'Estimate Details'!#REF!</f>
        <v>#REF!</v>
      </c>
      <c r="AA757" s="481"/>
      <c r="AB757" s="175" t="e">
        <f>+'Estimate Details'!#REF!</f>
        <v>#REF!</v>
      </c>
      <c r="AC757" s="569"/>
      <c r="AD757" s="176" t="e">
        <f>+'Estimate Details'!#REF!</f>
        <v>#REF!</v>
      </c>
      <c r="AE757" s="156"/>
      <c r="AF757" s="372"/>
      <c r="AG757" s="156"/>
      <c r="AH757" s="156"/>
      <c r="AI757" s="29"/>
      <c r="AJ757" s="29"/>
      <c r="AK757" s="29"/>
      <c r="AL757" s="29"/>
    </row>
    <row r="758" spans="1:38" ht="14.1" customHeight="1">
      <c r="A758" s="116" t="e">
        <f>+'Estimate Details'!#REF!</f>
        <v>#REF!</v>
      </c>
      <c r="B758" s="116"/>
      <c r="C758" s="116"/>
      <c r="D758" s="166"/>
      <c r="E758" s="158" t="e">
        <f>+'Estimate Details'!#REF!</f>
        <v>#REF!</v>
      </c>
      <c r="F758" s="41"/>
      <c r="G758" s="117" t="e">
        <f>+'Estimate Details'!#REF!</f>
        <v>#REF!</v>
      </c>
      <c r="H758" s="41" t="e">
        <f>+'Estimate Details'!#REF!</f>
        <v>#REF!</v>
      </c>
      <c r="I758" s="217" t="e">
        <f>+'Estimate Details'!#REF!</f>
        <v>#REF!</v>
      </c>
      <c r="J758" s="42" t="e">
        <f>+'Estimate Details'!#REF!</f>
        <v>#REF!</v>
      </c>
      <c r="K758" s="42" t="e">
        <f>+'Estimate Details'!#REF!</f>
        <v>#REF!</v>
      </c>
      <c r="L758" s="42" t="e">
        <f>+'Estimate Details'!#REF!</f>
        <v>#REF!</v>
      </c>
      <c r="M758" s="227" t="e">
        <f>+'Estimate Details'!#REF!</f>
        <v>#REF!</v>
      </c>
      <c r="N758" s="228" t="e">
        <f>+'Estimate Details'!#REF!</f>
        <v>#REF!</v>
      </c>
      <c r="O758" s="171" t="e">
        <f>+'Estimate Details'!#REF!</f>
        <v>#REF!</v>
      </c>
      <c r="P758" s="172" t="e">
        <f>+'Estimate Details'!#REF!</f>
        <v>#REF!</v>
      </c>
      <c r="Q758" s="173" t="e">
        <f>+'Estimate Details'!#REF!</f>
        <v>#REF!</v>
      </c>
      <c r="R758" s="174" t="e">
        <f>+'Estimate Details'!#REF!</f>
        <v>#REF!</v>
      </c>
      <c r="S758" s="507"/>
      <c r="T758" s="174" t="e">
        <f>+'Estimate Details'!#REF!</f>
        <v>#REF!</v>
      </c>
      <c r="U758" s="481"/>
      <c r="V758" s="172" t="e">
        <f>+'Estimate Details'!#REF!</f>
        <v>#REF!</v>
      </c>
      <c r="W758" s="481" t="s">
        <v>1310</v>
      </c>
      <c r="X758" s="172" t="e">
        <f>+'Estimate Details'!#REF!</f>
        <v>#REF!</v>
      </c>
      <c r="Y758" s="172" t="e">
        <f>+'Estimate Details'!#REF!</f>
        <v>#REF!</v>
      </c>
      <c r="Z758" s="174" t="e">
        <f>+'Estimate Details'!#REF!</f>
        <v>#REF!</v>
      </c>
      <c r="AA758" s="481"/>
      <c r="AB758" s="175" t="e">
        <f>+'Estimate Details'!#REF!</f>
        <v>#REF!</v>
      </c>
      <c r="AC758" s="569"/>
      <c r="AD758" s="176" t="e">
        <f>+'Estimate Details'!#REF!</f>
        <v>#REF!</v>
      </c>
      <c r="AE758" s="156"/>
      <c r="AF758" s="372"/>
      <c r="AG758" s="156"/>
      <c r="AH758" s="156"/>
      <c r="AI758" s="29"/>
      <c r="AJ758" s="29"/>
      <c r="AK758" s="29"/>
      <c r="AL758" s="29"/>
    </row>
    <row r="759" spans="1:38" ht="14.1" customHeight="1">
      <c r="A759" s="116" t="e">
        <f>+'Estimate Details'!#REF!</f>
        <v>#REF!</v>
      </c>
      <c r="B759" s="116"/>
      <c r="C759" s="116"/>
      <c r="D759" s="166"/>
      <c r="E759" s="158" t="e">
        <f>+'Estimate Details'!#REF!</f>
        <v>#REF!</v>
      </c>
      <c r="F759" s="41"/>
      <c r="G759" s="117" t="e">
        <f>+'Estimate Details'!#REF!</f>
        <v>#REF!</v>
      </c>
      <c r="H759" s="41" t="e">
        <f>+'Estimate Details'!#REF!</f>
        <v>#REF!</v>
      </c>
      <c r="I759" s="217" t="e">
        <f>+'Estimate Details'!#REF!</f>
        <v>#REF!</v>
      </c>
      <c r="J759" s="42" t="e">
        <f>+'Estimate Details'!#REF!</f>
        <v>#REF!</v>
      </c>
      <c r="K759" s="42" t="e">
        <f>+'Estimate Details'!#REF!</f>
        <v>#REF!</v>
      </c>
      <c r="L759" s="42" t="e">
        <f>+'Estimate Details'!#REF!</f>
        <v>#REF!</v>
      </c>
      <c r="M759" s="227" t="e">
        <f>+'Estimate Details'!#REF!</f>
        <v>#REF!</v>
      </c>
      <c r="N759" s="195" t="e">
        <f>+'Estimate Details'!#REF!</f>
        <v>#REF!</v>
      </c>
      <c r="O759" s="171" t="e">
        <f>+'Estimate Details'!#REF!</f>
        <v>#REF!</v>
      </c>
      <c r="P759" s="172" t="e">
        <f>+'Estimate Details'!#REF!</f>
        <v>#REF!</v>
      </c>
      <c r="Q759" s="173" t="e">
        <f>+'Estimate Details'!#REF!</f>
        <v>#REF!</v>
      </c>
      <c r="R759" s="174" t="e">
        <f>+'Estimate Details'!#REF!</f>
        <v>#REF!</v>
      </c>
      <c r="S759" s="507"/>
      <c r="T759" s="174" t="e">
        <f>+'Estimate Details'!#REF!</f>
        <v>#REF!</v>
      </c>
      <c r="U759" s="481"/>
      <c r="V759" s="172" t="e">
        <f>+'Estimate Details'!#REF!</f>
        <v>#REF!</v>
      </c>
      <c r="W759" s="481" t="s">
        <v>1310</v>
      </c>
      <c r="X759" s="172" t="e">
        <f>+'Estimate Details'!#REF!</f>
        <v>#REF!</v>
      </c>
      <c r="Y759" s="172" t="e">
        <f>+'Estimate Details'!#REF!</f>
        <v>#REF!</v>
      </c>
      <c r="Z759" s="174" t="e">
        <f>+'Estimate Details'!#REF!</f>
        <v>#REF!</v>
      </c>
      <c r="AA759" s="481"/>
      <c r="AB759" s="175" t="e">
        <f>+'Estimate Details'!#REF!</f>
        <v>#REF!</v>
      </c>
      <c r="AC759" s="569"/>
      <c r="AD759" s="176" t="e">
        <f>+'Estimate Details'!#REF!</f>
        <v>#REF!</v>
      </c>
      <c r="AE759" s="156"/>
      <c r="AF759" s="372"/>
      <c r="AG759" s="156"/>
      <c r="AH759" s="156"/>
      <c r="AI759" s="29"/>
      <c r="AJ759" s="29"/>
      <c r="AK759" s="29"/>
      <c r="AL759" s="29"/>
    </row>
    <row r="760" spans="1:38" ht="14.1" customHeight="1">
      <c r="A760" s="116" t="e">
        <f>+'Estimate Details'!#REF!</f>
        <v>#REF!</v>
      </c>
      <c r="B760" s="116"/>
      <c r="C760" s="116"/>
      <c r="D760" s="166"/>
      <c r="E760" s="158" t="e">
        <f>+'Estimate Details'!#REF!</f>
        <v>#REF!</v>
      </c>
      <c r="F760" s="41"/>
      <c r="G760" s="117" t="e">
        <f>+'Estimate Details'!#REF!</f>
        <v>#REF!</v>
      </c>
      <c r="H760" s="41" t="e">
        <f>+'Estimate Details'!#REF!</f>
        <v>#REF!</v>
      </c>
      <c r="I760" s="217" t="e">
        <f>+'Estimate Details'!#REF!</f>
        <v>#REF!</v>
      </c>
      <c r="J760" s="42" t="e">
        <f>+'Estimate Details'!#REF!</f>
        <v>#REF!</v>
      </c>
      <c r="K760" s="42" t="e">
        <f>+'Estimate Details'!#REF!</f>
        <v>#REF!</v>
      </c>
      <c r="L760" s="42" t="e">
        <f>+'Estimate Details'!#REF!</f>
        <v>#REF!</v>
      </c>
      <c r="M760" s="227" t="e">
        <f>+'Estimate Details'!#REF!</f>
        <v>#REF!</v>
      </c>
      <c r="N760" s="228" t="e">
        <f>+'Estimate Details'!#REF!</f>
        <v>#REF!</v>
      </c>
      <c r="O760" s="171" t="e">
        <f>+'Estimate Details'!#REF!</f>
        <v>#REF!</v>
      </c>
      <c r="P760" s="172" t="e">
        <f>+'Estimate Details'!#REF!</f>
        <v>#REF!</v>
      </c>
      <c r="Q760" s="173" t="e">
        <f>+'Estimate Details'!#REF!</f>
        <v>#REF!</v>
      </c>
      <c r="R760" s="174" t="e">
        <f>+'Estimate Details'!#REF!</f>
        <v>#REF!</v>
      </c>
      <c r="S760" s="507"/>
      <c r="T760" s="174" t="e">
        <f>+'Estimate Details'!#REF!</f>
        <v>#REF!</v>
      </c>
      <c r="U760" s="481" t="s">
        <v>1310</v>
      </c>
      <c r="V760" s="172" t="e">
        <f>+'Estimate Details'!#REF!</f>
        <v>#REF!</v>
      </c>
      <c r="W760" s="481" t="s">
        <v>1310</v>
      </c>
      <c r="X760" s="172" t="e">
        <f>+'Estimate Details'!#REF!</f>
        <v>#REF!</v>
      </c>
      <c r="Y760" s="172" t="e">
        <f>+'Estimate Details'!#REF!</f>
        <v>#REF!</v>
      </c>
      <c r="Z760" s="174" t="e">
        <f>+'Estimate Details'!#REF!</f>
        <v>#REF!</v>
      </c>
      <c r="AA760" s="481"/>
      <c r="AB760" s="175" t="e">
        <f>+'Estimate Details'!#REF!</f>
        <v>#REF!</v>
      </c>
      <c r="AC760" s="569"/>
      <c r="AD760" s="176" t="e">
        <f>+'Estimate Details'!#REF!</f>
        <v>#REF!</v>
      </c>
      <c r="AE760" s="156"/>
      <c r="AF760" s="372"/>
      <c r="AG760" s="156"/>
      <c r="AH760" s="156"/>
      <c r="AI760" s="29"/>
      <c r="AJ760" s="29"/>
      <c r="AK760" s="29"/>
      <c r="AL760" s="29"/>
    </row>
    <row r="761" spans="1:38" ht="13.5" customHeight="1">
      <c r="A761" s="116" t="e">
        <f>+'Estimate Details'!#REF!</f>
        <v>#REF!</v>
      </c>
      <c r="B761" s="116"/>
      <c r="C761" s="116"/>
      <c r="D761" s="166"/>
      <c r="E761" s="158" t="e">
        <f>+'Estimate Details'!#REF!</f>
        <v>#REF!</v>
      </c>
      <c r="F761" s="41"/>
      <c r="G761" s="117" t="e">
        <f>+'Estimate Details'!#REF!</f>
        <v>#REF!</v>
      </c>
      <c r="H761" s="41" t="e">
        <f>+'Estimate Details'!#REF!</f>
        <v>#REF!</v>
      </c>
      <c r="I761" s="217" t="e">
        <f>+'Estimate Details'!#REF!</f>
        <v>#REF!</v>
      </c>
      <c r="J761" s="42" t="e">
        <f>+'Estimate Details'!#REF!</f>
        <v>#REF!</v>
      </c>
      <c r="K761" s="42" t="e">
        <f>+'Estimate Details'!#REF!</f>
        <v>#REF!</v>
      </c>
      <c r="L761" s="42" t="e">
        <f>+'Estimate Details'!#REF!</f>
        <v>#REF!</v>
      </c>
      <c r="M761" s="227" t="e">
        <f>+'Estimate Details'!#REF!</f>
        <v>#REF!</v>
      </c>
      <c r="N761" s="228" t="e">
        <f>+'Estimate Details'!#REF!</f>
        <v>#REF!</v>
      </c>
      <c r="O761" s="171" t="e">
        <f>+'Estimate Details'!#REF!</f>
        <v>#REF!</v>
      </c>
      <c r="P761" s="172" t="e">
        <f>+'Estimate Details'!#REF!</f>
        <v>#REF!</v>
      </c>
      <c r="Q761" s="173" t="e">
        <f>+'Estimate Details'!#REF!</f>
        <v>#REF!</v>
      </c>
      <c r="R761" s="174" t="e">
        <f>+'Estimate Details'!#REF!</f>
        <v>#REF!</v>
      </c>
      <c r="S761" s="507"/>
      <c r="T761" s="174" t="e">
        <f>+'Estimate Details'!#REF!</f>
        <v>#REF!</v>
      </c>
      <c r="U761" s="481" t="s">
        <v>1310</v>
      </c>
      <c r="V761" s="172" t="e">
        <f>+'Estimate Details'!#REF!</f>
        <v>#REF!</v>
      </c>
      <c r="W761" s="481" t="s">
        <v>1310</v>
      </c>
      <c r="X761" s="172" t="e">
        <f>+'Estimate Details'!#REF!</f>
        <v>#REF!</v>
      </c>
      <c r="Y761" s="172" t="e">
        <f>+'Estimate Details'!#REF!</f>
        <v>#REF!</v>
      </c>
      <c r="Z761" s="174" t="e">
        <f>+'Estimate Details'!#REF!</f>
        <v>#REF!</v>
      </c>
      <c r="AA761" s="481"/>
      <c r="AB761" s="175" t="e">
        <f>+'Estimate Details'!#REF!</f>
        <v>#REF!</v>
      </c>
      <c r="AC761" s="569"/>
      <c r="AD761" s="176" t="e">
        <f>+'Estimate Details'!#REF!</f>
        <v>#REF!</v>
      </c>
      <c r="AE761" s="156"/>
      <c r="AF761" s="372"/>
      <c r="AG761" s="156"/>
      <c r="AH761" s="156"/>
      <c r="AI761" s="29"/>
      <c r="AJ761" s="29"/>
      <c r="AK761" s="29"/>
      <c r="AL761" s="29"/>
    </row>
    <row r="762" spans="1:38" ht="14.1" customHeight="1">
      <c r="A762" s="116" t="e">
        <f>+'Estimate Details'!#REF!</f>
        <v>#REF!</v>
      </c>
      <c r="B762" s="116"/>
      <c r="C762" s="116"/>
      <c r="D762" s="166"/>
      <c r="E762" s="158" t="e">
        <f>+'Estimate Details'!#REF!</f>
        <v>#REF!</v>
      </c>
      <c r="F762" s="41"/>
      <c r="G762" s="117" t="e">
        <f>+'Estimate Details'!#REF!</f>
        <v>#REF!</v>
      </c>
      <c r="H762" s="41" t="e">
        <f>+'Estimate Details'!#REF!</f>
        <v>#REF!</v>
      </c>
      <c r="I762" s="217" t="e">
        <f>+'Estimate Details'!#REF!</f>
        <v>#REF!</v>
      </c>
      <c r="J762" s="42" t="e">
        <f>+'Estimate Details'!#REF!</f>
        <v>#REF!</v>
      </c>
      <c r="K762" s="42" t="e">
        <f>+'Estimate Details'!#REF!</f>
        <v>#REF!</v>
      </c>
      <c r="L762" s="42" t="e">
        <f>+'Estimate Details'!#REF!</f>
        <v>#REF!</v>
      </c>
      <c r="M762" s="227" t="e">
        <f>+'Estimate Details'!#REF!</f>
        <v>#REF!</v>
      </c>
      <c r="N762" s="228" t="e">
        <f>+'Estimate Details'!#REF!</f>
        <v>#REF!</v>
      </c>
      <c r="O762" s="171" t="e">
        <f>+'Estimate Details'!#REF!</f>
        <v>#REF!</v>
      </c>
      <c r="P762" s="172" t="e">
        <f>+'Estimate Details'!#REF!</f>
        <v>#REF!</v>
      </c>
      <c r="Q762" s="173" t="e">
        <f>+'Estimate Details'!#REF!</f>
        <v>#REF!</v>
      </c>
      <c r="R762" s="174" t="e">
        <f>+'Estimate Details'!#REF!</f>
        <v>#REF!</v>
      </c>
      <c r="S762" s="507"/>
      <c r="T762" s="174" t="e">
        <f>+'Estimate Details'!#REF!</f>
        <v>#REF!</v>
      </c>
      <c r="U762" s="481" t="s">
        <v>1310</v>
      </c>
      <c r="V762" s="172" t="e">
        <f>+'Estimate Details'!#REF!</f>
        <v>#REF!</v>
      </c>
      <c r="W762" s="481" t="s">
        <v>1310</v>
      </c>
      <c r="X762" s="172" t="e">
        <f>+'Estimate Details'!#REF!</f>
        <v>#REF!</v>
      </c>
      <c r="Y762" s="172" t="e">
        <f>+'Estimate Details'!#REF!</f>
        <v>#REF!</v>
      </c>
      <c r="Z762" s="174" t="e">
        <f>+'Estimate Details'!#REF!</f>
        <v>#REF!</v>
      </c>
      <c r="AA762" s="481"/>
      <c r="AB762" s="175" t="e">
        <f>+'Estimate Details'!#REF!</f>
        <v>#REF!</v>
      </c>
      <c r="AC762" s="569"/>
      <c r="AD762" s="176" t="e">
        <f>+'Estimate Details'!#REF!</f>
        <v>#REF!</v>
      </c>
      <c r="AE762" s="156"/>
      <c r="AF762" s="372"/>
      <c r="AG762" s="156"/>
      <c r="AH762" s="156"/>
      <c r="AI762" s="29"/>
      <c r="AJ762" s="29"/>
      <c r="AK762" s="29"/>
      <c r="AL762" s="29"/>
    </row>
    <row r="763" spans="1:38" ht="14.1" customHeight="1">
      <c r="A763" s="116" t="e">
        <f>+'Estimate Details'!#REF!</f>
        <v>#REF!</v>
      </c>
      <c r="B763" s="116"/>
      <c r="C763" s="116"/>
      <c r="D763" s="166"/>
      <c r="E763" s="158" t="e">
        <f>+'Estimate Details'!#REF!</f>
        <v>#REF!</v>
      </c>
      <c r="F763" s="41"/>
      <c r="G763" s="117" t="e">
        <f>+'Estimate Details'!#REF!</f>
        <v>#REF!</v>
      </c>
      <c r="H763" s="41" t="e">
        <f>+'Estimate Details'!#REF!</f>
        <v>#REF!</v>
      </c>
      <c r="I763" s="217" t="e">
        <f>+'Estimate Details'!#REF!</f>
        <v>#REF!</v>
      </c>
      <c r="J763" s="42" t="e">
        <f>+'Estimate Details'!#REF!</f>
        <v>#REF!</v>
      </c>
      <c r="K763" s="42" t="e">
        <f>+'Estimate Details'!#REF!</f>
        <v>#REF!</v>
      </c>
      <c r="L763" s="42" t="e">
        <f>+'Estimate Details'!#REF!</f>
        <v>#REF!</v>
      </c>
      <c r="M763" s="227" t="e">
        <f>+'Estimate Details'!#REF!</f>
        <v>#REF!</v>
      </c>
      <c r="N763" s="228" t="e">
        <f>+'Estimate Details'!#REF!</f>
        <v>#REF!</v>
      </c>
      <c r="O763" s="171" t="e">
        <f>+'Estimate Details'!#REF!</f>
        <v>#REF!</v>
      </c>
      <c r="P763" s="172" t="e">
        <f>+'Estimate Details'!#REF!</f>
        <v>#REF!</v>
      </c>
      <c r="Q763" s="173" t="e">
        <f>+'Estimate Details'!#REF!</f>
        <v>#REF!</v>
      </c>
      <c r="R763" s="174" t="e">
        <f>+'Estimate Details'!#REF!</f>
        <v>#REF!</v>
      </c>
      <c r="S763" s="507"/>
      <c r="T763" s="174" t="e">
        <f>+'Estimate Details'!#REF!</f>
        <v>#REF!</v>
      </c>
      <c r="U763" s="481" t="s">
        <v>1310</v>
      </c>
      <c r="V763" s="172" t="e">
        <f>+'Estimate Details'!#REF!</f>
        <v>#REF!</v>
      </c>
      <c r="W763" s="481" t="s">
        <v>1310</v>
      </c>
      <c r="X763" s="172" t="e">
        <f>+'Estimate Details'!#REF!</f>
        <v>#REF!</v>
      </c>
      <c r="Y763" s="172" t="e">
        <f>+'Estimate Details'!#REF!</f>
        <v>#REF!</v>
      </c>
      <c r="Z763" s="174" t="e">
        <f>+'Estimate Details'!#REF!</f>
        <v>#REF!</v>
      </c>
      <c r="AA763" s="481"/>
      <c r="AB763" s="175" t="e">
        <f>+'Estimate Details'!#REF!</f>
        <v>#REF!</v>
      </c>
      <c r="AC763" s="569"/>
      <c r="AD763" s="176" t="e">
        <f>+'Estimate Details'!#REF!</f>
        <v>#REF!</v>
      </c>
      <c r="AE763" s="156"/>
      <c r="AF763" s="372"/>
      <c r="AG763" s="156"/>
      <c r="AH763" s="156"/>
      <c r="AI763" s="29"/>
      <c r="AJ763" s="29"/>
      <c r="AK763" s="29"/>
      <c r="AL763" s="29"/>
    </row>
    <row r="764" spans="1:38" ht="14.1" customHeight="1">
      <c r="A764" s="116" t="e">
        <f>+'Estimate Details'!#REF!</f>
        <v>#REF!</v>
      </c>
      <c r="B764" s="116"/>
      <c r="C764" s="116"/>
      <c r="D764" s="166"/>
      <c r="E764" s="158" t="e">
        <f>+'Estimate Details'!#REF!</f>
        <v>#REF!</v>
      </c>
      <c r="F764" s="41"/>
      <c r="G764" s="117" t="e">
        <f>+'Estimate Details'!#REF!</f>
        <v>#REF!</v>
      </c>
      <c r="H764" s="41" t="e">
        <f>+'Estimate Details'!#REF!</f>
        <v>#REF!</v>
      </c>
      <c r="I764" s="217" t="e">
        <f>+'Estimate Details'!#REF!</f>
        <v>#REF!</v>
      </c>
      <c r="J764" s="42" t="e">
        <f>+'Estimate Details'!#REF!</f>
        <v>#REF!</v>
      </c>
      <c r="K764" s="42" t="e">
        <f>+'Estimate Details'!#REF!</f>
        <v>#REF!</v>
      </c>
      <c r="L764" s="42" t="e">
        <f>+'Estimate Details'!#REF!</f>
        <v>#REF!</v>
      </c>
      <c r="M764" s="227" t="e">
        <f>+'Estimate Details'!#REF!</f>
        <v>#REF!</v>
      </c>
      <c r="N764" s="228" t="e">
        <f>+'Estimate Details'!#REF!</f>
        <v>#REF!</v>
      </c>
      <c r="O764" s="171" t="e">
        <f>+'Estimate Details'!#REF!</f>
        <v>#REF!</v>
      </c>
      <c r="P764" s="172" t="e">
        <f>+'Estimate Details'!#REF!</f>
        <v>#REF!</v>
      </c>
      <c r="Q764" s="173" t="e">
        <f>+'Estimate Details'!#REF!</f>
        <v>#REF!</v>
      </c>
      <c r="R764" s="174" t="e">
        <f>+'Estimate Details'!#REF!</f>
        <v>#REF!</v>
      </c>
      <c r="S764" s="507"/>
      <c r="T764" s="174" t="e">
        <f>+'Estimate Details'!#REF!</f>
        <v>#REF!</v>
      </c>
      <c r="U764" s="481" t="s">
        <v>1310</v>
      </c>
      <c r="V764" s="172" t="e">
        <f>+'Estimate Details'!#REF!</f>
        <v>#REF!</v>
      </c>
      <c r="W764" s="481" t="s">
        <v>1310</v>
      </c>
      <c r="X764" s="172" t="e">
        <f>+'Estimate Details'!#REF!</f>
        <v>#REF!</v>
      </c>
      <c r="Y764" s="172" t="e">
        <f>+'Estimate Details'!#REF!</f>
        <v>#REF!</v>
      </c>
      <c r="Z764" s="174" t="e">
        <f>+'Estimate Details'!#REF!</f>
        <v>#REF!</v>
      </c>
      <c r="AA764" s="481"/>
      <c r="AB764" s="175" t="e">
        <f>+'Estimate Details'!#REF!</f>
        <v>#REF!</v>
      </c>
      <c r="AC764" s="569"/>
      <c r="AD764" s="176" t="e">
        <f>+'Estimate Details'!#REF!</f>
        <v>#REF!</v>
      </c>
      <c r="AE764" s="156"/>
      <c r="AF764" s="372"/>
      <c r="AG764" s="156"/>
      <c r="AH764" s="156"/>
      <c r="AI764" s="29"/>
      <c r="AJ764" s="29"/>
      <c r="AK764" s="29"/>
      <c r="AL764" s="29"/>
    </row>
    <row r="765" spans="1:38" ht="14.1" customHeight="1">
      <c r="A765" s="116" t="e">
        <f>+'Estimate Details'!#REF!</f>
        <v>#REF!</v>
      </c>
      <c r="B765" s="116"/>
      <c r="C765" s="116"/>
      <c r="D765" s="166"/>
      <c r="E765" s="158" t="e">
        <f>+'Estimate Details'!#REF!</f>
        <v>#REF!</v>
      </c>
      <c r="F765" s="41"/>
      <c r="G765" s="117" t="e">
        <f>+'Estimate Details'!#REF!</f>
        <v>#REF!</v>
      </c>
      <c r="H765" s="41" t="e">
        <f>+'Estimate Details'!#REF!</f>
        <v>#REF!</v>
      </c>
      <c r="I765" s="217" t="e">
        <f>+'Estimate Details'!#REF!</f>
        <v>#REF!</v>
      </c>
      <c r="J765" s="42" t="e">
        <f>+'Estimate Details'!#REF!</f>
        <v>#REF!</v>
      </c>
      <c r="K765" s="42" t="e">
        <f>+'Estimate Details'!#REF!</f>
        <v>#REF!</v>
      </c>
      <c r="L765" s="42" t="e">
        <f>+'Estimate Details'!#REF!</f>
        <v>#REF!</v>
      </c>
      <c r="M765" s="227" t="e">
        <f>+'Estimate Details'!#REF!</f>
        <v>#REF!</v>
      </c>
      <c r="N765" s="228" t="e">
        <f>+'Estimate Details'!#REF!</f>
        <v>#REF!</v>
      </c>
      <c r="O765" s="171" t="e">
        <f>+'Estimate Details'!#REF!</f>
        <v>#REF!</v>
      </c>
      <c r="P765" s="172" t="e">
        <f>+'Estimate Details'!#REF!</f>
        <v>#REF!</v>
      </c>
      <c r="Q765" s="173" t="e">
        <f>+'Estimate Details'!#REF!</f>
        <v>#REF!</v>
      </c>
      <c r="R765" s="174" t="e">
        <f>+'Estimate Details'!#REF!</f>
        <v>#REF!</v>
      </c>
      <c r="S765" s="507"/>
      <c r="T765" s="174" t="e">
        <f>+'Estimate Details'!#REF!</f>
        <v>#REF!</v>
      </c>
      <c r="U765" s="481" t="s">
        <v>1310</v>
      </c>
      <c r="V765" s="172" t="e">
        <f>+'Estimate Details'!#REF!</f>
        <v>#REF!</v>
      </c>
      <c r="W765" s="481" t="s">
        <v>1310</v>
      </c>
      <c r="X765" s="172" t="e">
        <f>+'Estimate Details'!#REF!</f>
        <v>#REF!</v>
      </c>
      <c r="Y765" s="172" t="e">
        <f>+'Estimate Details'!#REF!</f>
        <v>#REF!</v>
      </c>
      <c r="Z765" s="174" t="e">
        <f>+'Estimate Details'!#REF!</f>
        <v>#REF!</v>
      </c>
      <c r="AA765" s="481"/>
      <c r="AB765" s="175" t="e">
        <f>+'Estimate Details'!#REF!</f>
        <v>#REF!</v>
      </c>
      <c r="AC765" s="569"/>
      <c r="AD765" s="176" t="e">
        <f>+'Estimate Details'!#REF!</f>
        <v>#REF!</v>
      </c>
      <c r="AE765" s="156"/>
      <c r="AF765" s="372"/>
      <c r="AG765" s="156"/>
      <c r="AH765" s="156"/>
      <c r="AI765" s="29"/>
      <c r="AJ765" s="29"/>
      <c r="AK765" s="29"/>
      <c r="AL765" s="29"/>
    </row>
    <row r="766" spans="1:38" ht="14.1" customHeight="1">
      <c r="A766" s="116" t="e">
        <f>+'Estimate Details'!#REF!</f>
        <v>#REF!</v>
      </c>
      <c r="B766" s="116"/>
      <c r="C766" s="116"/>
      <c r="D766" s="166"/>
      <c r="E766" s="158" t="e">
        <f>+'Estimate Details'!#REF!</f>
        <v>#REF!</v>
      </c>
      <c r="F766" s="41"/>
      <c r="G766" s="117" t="e">
        <f>+'Estimate Details'!#REF!</f>
        <v>#REF!</v>
      </c>
      <c r="H766" s="41" t="e">
        <f>+'Estimate Details'!#REF!</f>
        <v>#REF!</v>
      </c>
      <c r="I766" s="217" t="e">
        <f>+'Estimate Details'!#REF!</f>
        <v>#REF!</v>
      </c>
      <c r="J766" s="42" t="e">
        <f>+'Estimate Details'!#REF!</f>
        <v>#REF!</v>
      </c>
      <c r="K766" s="42" t="e">
        <f>+'Estimate Details'!#REF!</f>
        <v>#REF!</v>
      </c>
      <c r="L766" s="42" t="e">
        <f>+'Estimate Details'!#REF!</f>
        <v>#REF!</v>
      </c>
      <c r="M766" s="227" t="e">
        <f>+'Estimate Details'!#REF!</f>
        <v>#REF!</v>
      </c>
      <c r="N766" s="228" t="e">
        <f>+'Estimate Details'!#REF!</f>
        <v>#REF!</v>
      </c>
      <c r="O766" s="171" t="e">
        <f>+'Estimate Details'!#REF!</f>
        <v>#REF!</v>
      </c>
      <c r="P766" s="172" t="e">
        <f>+'Estimate Details'!#REF!</f>
        <v>#REF!</v>
      </c>
      <c r="Q766" s="173" t="e">
        <f>+'Estimate Details'!#REF!</f>
        <v>#REF!</v>
      </c>
      <c r="R766" s="174" t="e">
        <f>+'Estimate Details'!#REF!</f>
        <v>#REF!</v>
      </c>
      <c r="S766" s="507"/>
      <c r="T766" s="174" t="e">
        <f>+'Estimate Details'!#REF!</f>
        <v>#REF!</v>
      </c>
      <c r="U766" s="481" t="s">
        <v>1310</v>
      </c>
      <c r="V766" s="172" t="e">
        <f>+'Estimate Details'!#REF!</f>
        <v>#REF!</v>
      </c>
      <c r="W766" s="481" t="s">
        <v>1310</v>
      </c>
      <c r="X766" s="172" t="e">
        <f>+'Estimate Details'!#REF!</f>
        <v>#REF!</v>
      </c>
      <c r="Y766" s="172" t="e">
        <f>+'Estimate Details'!#REF!</f>
        <v>#REF!</v>
      </c>
      <c r="Z766" s="174" t="e">
        <f>+'Estimate Details'!#REF!</f>
        <v>#REF!</v>
      </c>
      <c r="AA766" s="481"/>
      <c r="AB766" s="175" t="e">
        <f>+'Estimate Details'!#REF!</f>
        <v>#REF!</v>
      </c>
      <c r="AC766" s="569"/>
      <c r="AD766" s="176" t="e">
        <f>+'Estimate Details'!#REF!</f>
        <v>#REF!</v>
      </c>
      <c r="AE766" s="156"/>
      <c r="AF766" s="372"/>
      <c r="AG766" s="398"/>
      <c r="AH766" s="156"/>
      <c r="AI766" s="29"/>
      <c r="AJ766" s="29"/>
      <c r="AK766" s="29"/>
      <c r="AL766" s="29"/>
    </row>
    <row r="767" spans="1:38" ht="14.1" customHeight="1">
      <c r="A767" s="116" t="e">
        <f>+'Estimate Details'!#REF!</f>
        <v>#REF!</v>
      </c>
      <c r="B767" s="116"/>
      <c r="C767" s="116"/>
      <c r="D767" s="166"/>
      <c r="E767" s="158" t="e">
        <f>+'Estimate Details'!#REF!</f>
        <v>#REF!</v>
      </c>
      <c r="F767" s="41"/>
      <c r="G767" s="117" t="e">
        <f>+'Estimate Details'!#REF!</f>
        <v>#REF!</v>
      </c>
      <c r="H767" s="41" t="e">
        <f>+'Estimate Details'!#REF!</f>
        <v>#REF!</v>
      </c>
      <c r="I767" s="217" t="e">
        <f>+'Estimate Details'!#REF!</f>
        <v>#REF!</v>
      </c>
      <c r="J767" s="42" t="e">
        <f>+'Estimate Details'!#REF!</f>
        <v>#REF!</v>
      </c>
      <c r="K767" s="42" t="e">
        <f>+'Estimate Details'!#REF!</f>
        <v>#REF!</v>
      </c>
      <c r="L767" s="42" t="e">
        <f>+'Estimate Details'!#REF!</f>
        <v>#REF!</v>
      </c>
      <c r="M767" s="227" t="e">
        <f>+'Estimate Details'!#REF!</f>
        <v>#REF!</v>
      </c>
      <c r="N767" s="228" t="e">
        <f>+'Estimate Details'!#REF!</f>
        <v>#REF!</v>
      </c>
      <c r="O767" s="171" t="e">
        <f>+'Estimate Details'!#REF!</f>
        <v>#REF!</v>
      </c>
      <c r="P767" s="172" t="e">
        <f>+'Estimate Details'!#REF!</f>
        <v>#REF!</v>
      </c>
      <c r="Q767" s="173" t="e">
        <f>+'Estimate Details'!#REF!</f>
        <v>#REF!</v>
      </c>
      <c r="R767" s="174" t="e">
        <f>+'Estimate Details'!#REF!</f>
        <v>#REF!</v>
      </c>
      <c r="S767" s="507"/>
      <c r="T767" s="174" t="e">
        <f>+'Estimate Details'!#REF!</f>
        <v>#REF!</v>
      </c>
      <c r="U767" s="481" t="s">
        <v>1310</v>
      </c>
      <c r="V767" s="172" t="e">
        <f>+'Estimate Details'!#REF!</f>
        <v>#REF!</v>
      </c>
      <c r="W767" s="481" t="s">
        <v>1310</v>
      </c>
      <c r="X767" s="172" t="e">
        <f>+'Estimate Details'!#REF!</f>
        <v>#REF!</v>
      </c>
      <c r="Y767" s="172" t="e">
        <f>+'Estimate Details'!#REF!</f>
        <v>#REF!</v>
      </c>
      <c r="Z767" s="174" t="e">
        <f>+'Estimate Details'!#REF!</f>
        <v>#REF!</v>
      </c>
      <c r="AA767" s="481"/>
      <c r="AB767" s="175" t="e">
        <f>+'Estimate Details'!#REF!</f>
        <v>#REF!</v>
      </c>
      <c r="AC767" s="569"/>
      <c r="AD767" s="176" t="e">
        <f>+'Estimate Details'!#REF!</f>
        <v>#REF!</v>
      </c>
      <c r="AE767" s="156"/>
      <c r="AF767" s="372"/>
      <c r="AG767" s="398"/>
      <c r="AH767" s="156"/>
      <c r="AI767" s="29"/>
      <c r="AJ767" s="29"/>
      <c r="AK767" s="29"/>
      <c r="AL767" s="29"/>
    </row>
    <row r="768" spans="1:38" ht="14.1" customHeight="1">
      <c r="A768" s="116" t="e">
        <f>+'Estimate Details'!#REF!</f>
        <v>#REF!</v>
      </c>
      <c r="B768" s="116"/>
      <c r="C768" s="116"/>
      <c r="D768" s="166"/>
      <c r="E768" s="158" t="e">
        <f>+'Estimate Details'!#REF!</f>
        <v>#REF!</v>
      </c>
      <c r="F768" s="41"/>
      <c r="G768" s="117" t="e">
        <f>+'Estimate Details'!#REF!</f>
        <v>#REF!</v>
      </c>
      <c r="H768" s="41" t="e">
        <f>+'Estimate Details'!#REF!</f>
        <v>#REF!</v>
      </c>
      <c r="I768" s="217" t="e">
        <f>+'Estimate Details'!#REF!</f>
        <v>#REF!</v>
      </c>
      <c r="J768" s="42" t="e">
        <f>+'Estimate Details'!#REF!</f>
        <v>#REF!</v>
      </c>
      <c r="K768" s="42" t="e">
        <f>+'Estimate Details'!#REF!</f>
        <v>#REF!</v>
      </c>
      <c r="L768" s="42" t="e">
        <f>+'Estimate Details'!#REF!</f>
        <v>#REF!</v>
      </c>
      <c r="M768" s="227" t="e">
        <f>+'Estimate Details'!#REF!</f>
        <v>#REF!</v>
      </c>
      <c r="N768" s="228" t="e">
        <f>+'Estimate Details'!#REF!</f>
        <v>#REF!</v>
      </c>
      <c r="O768" s="171" t="e">
        <f>+'Estimate Details'!#REF!</f>
        <v>#REF!</v>
      </c>
      <c r="P768" s="172" t="e">
        <f>+'Estimate Details'!#REF!</f>
        <v>#REF!</v>
      </c>
      <c r="Q768" s="173" t="e">
        <f>+'Estimate Details'!#REF!</f>
        <v>#REF!</v>
      </c>
      <c r="R768" s="174" t="e">
        <f>+'Estimate Details'!#REF!</f>
        <v>#REF!</v>
      </c>
      <c r="S768" s="507"/>
      <c r="T768" s="174" t="e">
        <f>+'Estimate Details'!#REF!</f>
        <v>#REF!</v>
      </c>
      <c r="U768" s="481" t="s">
        <v>1310</v>
      </c>
      <c r="V768" s="172" t="e">
        <f>+'Estimate Details'!#REF!</f>
        <v>#REF!</v>
      </c>
      <c r="W768" s="481" t="s">
        <v>1310</v>
      </c>
      <c r="X768" s="172" t="e">
        <f>+'Estimate Details'!#REF!</f>
        <v>#REF!</v>
      </c>
      <c r="Y768" s="172" t="e">
        <f>+'Estimate Details'!#REF!</f>
        <v>#REF!</v>
      </c>
      <c r="Z768" s="174" t="e">
        <f>+'Estimate Details'!#REF!</f>
        <v>#REF!</v>
      </c>
      <c r="AA768" s="481"/>
      <c r="AB768" s="175" t="e">
        <f>+'Estimate Details'!#REF!</f>
        <v>#REF!</v>
      </c>
      <c r="AC768" s="569"/>
      <c r="AD768" s="176" t="e">
        <f>+'Estimate Details'!#REF!</f>
        <v>#REF!</v>
      </c>
      <c r="AE768" s="156"/>
      <c r="AF768" s="372"/>
      <c r="AG768" s="398"/>
      <c r="AH768" s="156"/>
      <c r="AI768" s="29"/>
      <c r="AJ768" s="29"/>
      <c r="AK768" s="29"/>
      <c r="AL768" s="29"/>
    </row>
    <row r="769" spans="1:44" ht="14.1" customHeight="1">
      <c r="A769" s="116" t="e">
        <f>+'Estimate Details'!#REF!</f>
        <v>#REF!</v>
      </c>
      <c r="B769" s="116"/>
      <c r="C769" s="116"/>
      <c r="D769" s="166"/>
      <c r="E769" s="158" t="e">
        <f>+'Estimate Details'!#REF!</f>
        <v>#REF!</v>
      </c>
      <c r="F769" s="41"/>
      <c r="G769" s="117" t="e">
        <f>+'Estimate Details'!#REF!</f>
        <v>#REF!</v>
      </c>
      <c r="H769" s="41" t="e">
        <f>+'Estimate Details'!#REF!</f>
        <v>#REF!</v>
      </c>
      <c r="I769" s="217" t="e">
        <f>+'Estimate Details'!#REF!</f>
        <v>#REF!</v>
      </c>
      <c r="J769" s="42" t="e">
        <f>+'Estimate Details'!#REF!</f>
        <v>#REF!</v>
      </c>
      <c r="K769" s="42" t="e">
        <f>+'Estimate Details'!#REF!</f>
        <v>#REF!</v>
      </c>
      <c r="L769" s="42" t="e">
        <f>+'Estimate Details'!#REF!</f>
        <v>#REF!</v>
      </c>
      <c r="M769" s="227" t="e">
        <f>+'Estimate Details'!#REF!</f>
        <v>#REF!</v>
      </c>
      <c r="N769" s="228" t="e">
        <f>+'Estimate Details'!#REF!</f>
        <v>#REF!</v>
      </c>
      <c r="O769" s="171" t="e">
        <f>+'Estimate Details'!#REF!</f>
        <v>#REF!</v>
      </c>
      <c r="P769" s="172" t="e">
        <f>+'Estimate Details'!#REF!</f>
        <v>#REF!</v>
      </c>
      <c r="Q769" s="173" t="e">
        <f>+'Estimate Details'!#REF!</f>
        <v>#REF!</v>
      </c>
      <c r="R769" s="174" t="e">
        <f>+'Estimate Details'!#REF!</f>
        <v>#REF!</v>
      </c>
      <c r="S769" s="507"/>
      <c r="T769" s="174" t="e">
        <f>+'Estimate Details'!#REF!</f>
        <v>#REF!</v>
      </c>
      <c r="U769" s="481" t="s">
        <v>1310</v>
      </c>
      <c r="V769" s="172" t="e">
        <f>+'Estimate Details'!#REF!</f>
        <v>#REF!</v>
      </c>
      <c r="W769" s="481" t="s">
        <v>1310</v>
      </c>
      <c r="X769" s="172" t="e">
        <f>+'Estimate Details'!#REF!</f>
        <v>#REF!</v>
      </c>
      <c r="Y769" s="172" t="e">
        <f>+'Estimate Details'!#REF!</f>
        <v>#REF!</v>
      </c>
      <c r="Z769" s="174" t="e">
        <f>+'Estimate Details'!#REF!</f>
        <v>#REF!</v>
      </c>
      <c r="AA769" s="481"/>
      <c r="AB769" s="175" t="e">
        <f>+'Estimate Details'!#REF!</f>
        <v>#REF!</v>
      </c>
      <c r="AC769" s="569"/>
      <c r="AD769" s="176" t="e">
        <f>+'Estimate Details'!#REF!</f>
        <v>#REF!</v>
      </c>
      <c r="AE769" s="156"/>
      <c r="AF769" s="372"/>
      <c r="AG769" s="156"/>
      <c r="AH769" s="156"/>
      <c r="AI769" s="29"/>
      <c r="AJ769" s="29"/>
      <c r="AK769" s="29"/>
      <c r="AL769" s="29"/>
    </row>
    <row r="770" spans="1:44" ht="14.1" customHeight="1">
      <c r="A770" s="116" t="e">
        <f>+'Estimate Details'!#REF!</f>
        <v>#REF!</v>
      </c>
      <c r="B770" s="116"/>
      <c r="C770" s="116"/>
      <c r="D770" s="166"/>
      <c r="E770" s="158" t="e">
        <f>+'Estimate Details'!#REF!</f>
        <v>#REF!</v>
      </c>
      <c r="F770" s="41"/>
      <c r="G770" s="117" t="e">
        <f>+'Estimate Details'!#REF!</f>
        <v>#REF!</v>
      </c>
      <c r="H770" s="41" t="e">
        <f>+'Estimate Details'!#REF!</f>
        <v>#REF!</v>
      </c>
      <c r="I770" s="217" t="e">
        <f>+'Estimate Details'!#REF!</f>
        <v>#REF!</v>
      </c>
      <c r="J770" s="42" t="e">
        <f>+'Estimate Details'!#REF!</f>
        <v>#REF!</v>
      </c>
      <c r="K770" s="42" t="e">
        <f>+'Estimate Details'!#REF!</f>
        <v>#REF!</v>
      </c>
      <c r="L770" s="42" t="e">
        <f>+'Estimate Details'!#REF!</f>
        <v>#REF!</v>
      </c>
      <c r="M770" s="227" t="e">
        <f>+'Estimate Details'!#REF!</f>
        <v>#REF!</v>
      </c>
      <c r="N770" s="228" t="e">
        <f>+'Estimate Details'!#REF!</f>
        <v>#REF!</v>
      </c>
      <c r="O770" s="171" t="e">
        <f>+'Estimate Details'!#REF!</f>
        <v>#REF!</v>
      </c>
      <c r="P770" s="172" t="e">
        <f>+'Estimate Details'!#REF!</f>
        <v>#REF!</v>
      </c>
      <c r="Q770" s="173" t="e">
        <f>+'Estimate Details'!#REF!</f>
        <v>#REF!</v>
      </c>
      <c r="R770" s="174" t="e">
        <f>+'Estimate Details'!#REF!</f>
        <v>#REF!</v>
      </c>
      <c r="S770" s="507"/>
      <c r="T770" s="174" t="e">
        <f>+'Estimate Details'!#REF!</f>
        <v>#REF!</v>
      </c>
      <c r="U770" s="481" t="s">
        <v>1310</v>
      </c>
      <c r="V770" s="172" t="e">
        <f>+'Estimate Details'!#REF!</f>
        <v>#REF!</v>
      </c>
      <c r="W770" s="481" t="s">
        <v>1310</v>
      </c>
      <c r="X770" s="172" t="e">
        <f>+'Estimate Details'!#REF!</f>
        <v>#REF!</v>
      </c>
      <c r="Y770" s="172" t="e">
        <f>+'Estimate Details'!#REF!</f>
        <v>#REF!</v>
      </c>
      <c r="Z770" s="174" t="e">
        <f>+'Estimate Details'!#REF!</f>
        <v>#REF!</v>
      </c>
      <c r="AA770" s="481"/>
      <c r="AB770" s="175" t="e">
        <f>+'Estimate Details'!#REF!</f>
        <v>#REF!</v>
      </c>
      <c r="AC770" s="569"/>
      <c r="AD770" s="176" t="e">
        <f>+'Estimate Details'!#REF!</f>
        <v>#REF!</v>
      </c>
      <c r="AE770" s="156"/>
      <c r="AF770" s="372"/>
      <c r="AG770" s="156"/>
      <c r="AH770" s="156"/>
      <c r="AI770" s="29"/>
      <c r="AJ770" s="29"/>
      <c r="AK770" s="29"/>
      <c r="AL770" s="29"/>
    </row>
    <row r="771" spans="1:44" ht="14.1" customHeight="1">
      <c r="A771" s="116" t="e">
        <f>+'Estimate Details'!#REF!</f>
        <v>#REF!</v>
      </c>
      <c r="B771" s="116"/>
      <c r="C771" s="116"/>
      <c r="D771" s="166"/>
      <c r="E771" s="158" t="e">
        <f>+'Estimate Details'!#REF!</f>
        <v>#REF!</v>
      </c>
      <c r="F771" s="41"/>
      <c r="G771" s="117" t="e">
        <f>+'Estimate Details'!#REF!</f>
        <v>#REF!</v>
      </c>
      <c r="H771" s="41" t="e">
        <f>+'Estimate Details'!#REF!</f>
        <v>#REF!</v>
      </c>
      <c r="I771" s="217" t="e">
        <f>+'Estimate Details'!#REF!</f>
        <v>#REF!</v>
      </c>
      <c r="J771" s="42" t="e">
        <f>+'Estimate Details'!#REF!</f>
        <v>#REF!</v>
      </c>
      <c r="K771" s="42" t="e">
        <f>+'Estimate Details'!#REF!</f>
        <v>#REF!</v>
      </c>
      <c r="L771" s="42" t="e">
        <f>+'Estimate Details'!#REF!</f>
        <v>#REF!</v>
      </c>
      <c r="M771" s="227" t="e">
        <f>+'Estimate Details'!#REF!</f>
        <v>#REF!</v>
      </c>
      <c r="N771" s="228" t="e">
        <f>+'Estimate Details'!#REF!</f>
        <v>#REF!</v>
      </c>
      <c r="O771" s="171" t="e">
        <f>+'Estimate Details'!#REF!</f>
        <v>#REF!</v>
      </c>
      <c r="P771" s="172" t="e">
        <f>+'Estimate Details'!#REF!</f>
        <v>#REF!</v>
      </c>
      <c r="Q771" s="173" t="e">
        <f>+'Estimate Details'!#REF!</f>
        <v>#REF!</v>
      </c>
      <c r="R771" s="174" t="e">
        <f>+'Estimate Details'!#REF!</f>
        <v>#REF!</v>
      </c>
      <c r="S771" s="507"/>
      <c r="T771" s="174" t="e">
        <f>+'Estimate Details'!#REF!</f>
        <v>#REF!</v>
      </c>
      <c r="U771" s="481" t="s">
        <v>1310</v>
      </c>
      <c r="V771" s="172" t="e">
        <f>+'Estimate Details'!#REF!</f>
        <v>#REF!</v>
      </c>
      <c r="W771" s="481" t="s">
        <v>1310</v>
      </c>
      <c r="X771" s="172" t="e">
        <f>+'Estimate Details'!#REF!</f>
        <v>#REF!</v>
      </c>
      <c r="Y771" s="172" t="e">
        <f>+'Estimate Details'!#REF!</f>
        <v>#REF!</v>
      </c>
      <c r="Z771" s="174" t="e">
        <f>+'Estimate Details'!#REF!</f>
        <v>#REF!</v>
      </c>
      <c r="AA771" s="481"/>
      <c r="AB771" s="175" t="e">
        <f>+'Estimate Details'!#REF!</f>
        <v>#REF!</v>
      </c>
      <c r="AC771" s="569"/>
      <c r="AD771" s="176" t="e">
        <f>+'Estimate Details'!#REF!</f>
        <v>#REF!</v>
      </c>
      <c r="AE771" s="156"/>
      <c r="AF771" s="372"/>
      <c r="AG771" s="156"/>
      <c r="AH771" s="156"/>
      <c r="AI771" s="29"/>
      <c r="AJ771" s="29"/>
      <c r="AK771" s="29"/>
      <c r="AL771" s="29"/>
    </row>
    <row r="772" spans="1:44" ht="14.1" customHeight="1">
      <c r="A772" s="116" t="e">
        <f>+'Estimate Details'!#REF!</f>
        <v>#REF!</v>
      </c>
      <c r="B772" s="116"/>
      <c r="C772" s="116"/>
      <c r="D772" s="166"/>
      <c r="E772" s="158" t="e">
        <f>+'Estimate Details'!#REF!</f>
        <v>#REF!</v>
      </c>
      <c r="F772" s="41"/>
      <c r="G772" s="117" t="e">
        <f>+'Estimate Details'!#REF!</f>
        <v>#REF!</v>
      </c>
      <c r="H772" s="41" t="e">
        <f>+'Estimate Details'!#REF!</f>
        <v>#REF!</v>
      </c>
      <c r="I772" s="217" t="e">
        <f>+'Estimate Details'!#REF!</f>
        <v>#REF!</v>
      </c>
      <c r="J772" s="42" t="e">
        <f>+'Estimate Details'!#REF!</f>
        <v>#REF!</v>
      </c>
      <c r="K772" s="42" t="e">
        <f>+'Estimate Details'!#REF!</f>
        <v>#REF!</v>
      </c>
      <c r="L772" s="42" t="e">
        <f>+'Estimate Details'!#REF!</f>
        <v>#REF!</v>
      </c>
      <c r="M772" s="227" t="e">
        <f>+'Estimate Details'!#REF!</f>
        <v>#REF!</v>
      </c>
      <c r="N772" s="228" t="e">
        <f>+'Estimate Details'!#REF!</f>
        <v>#REF!</v>
      </c>
      <c r="O772" s="171" t="e">
        <f>+'Estimate Details'!#REF!</f>
        <v>#REF!</v>
      </c>
      <c r="P772" s="172" t="e">
        <f>+'Estimate Details'!#REF!</f>
        <v>#REF!</v>
      </c>
      <c r="Q772" s="173" t="e">
        <f>+'Estimate Details'!#REF!</f>
        <v>#REF!</v>
      </c>
      <c r="R772" s="174" t="e">
        <f>+'Estimate Details'!#REF!</f>
        <v>#REF!</v>
      </c>
      <c r="S772" s="507"/>
      <c r="T772" s="174" t="e">
        <f>+'Estimate Details'!#REF!</f>
        <v>#REF!</v>
      </c>
      <c r="U772" s="481" t="s">
        <v>1310</v>
      </c>
      <c r="V772" s="172" t="e">
        <f>+'Estimate Details'!#REF!</f>
        <v>#REF!</v>
      </c>
      <c r="W772" s="481" t="s">
        <v>1310</v>
      </c>
      <c r="X772" s="172" t="e">
        <f>+'Estimate Details'!#REF!</f>
        <v>#REF!</v>
      </c>
      <c r="Y772" s="172" t="e">
        <f>+'Estimate Details'!#REF!</f>
        <v>#REF!</v>
      </c>
      <c r="Z772" s="174" t="e">
        <f>+'Estimate Details'!#REF!</f>
        <v>#REF!</v>
      </c>
      <c r="AA772" s="481"/>
      <c r="AB772" s="175" t="e">
        <f>+'Estimate Details'!#REF!</f>
        <v>#REF!</v>
      </c>
      <c r="AC772" s="569"/>
      <c r="AD772" s="176" t="e">
        <f>+'Estimate Details'!#REF!</f>
        <v>#REF!</v>
      </c>
      <c r="AE772" s="156"/>
      <c r="AF772" s="372"/>
      <c r="AG772" s="156"/>
      <c r="AH772" s="156"/>
      <c r="AI772" s="29"/>
      <c r="AJ772" s="29"/>
      <c r="AK772" s="29"/>
      <c r="AL772" s="29"/>
    </row>
    <row r="773" spans="1:44" ht="14.1" customHeight="1">
      <c r="A773" s="116" t="e">
        <f>+'Estimate Details'!#REF!</f>
        <v>#REF!</v>
      </c>
      <c r="B773" s="116"/>
      <c r="C773" s="116"/>
      <c r="D773" s="166"/>
      <c r="E773" s="158" t="e">
        <f>+'Estimate Details'!#REF!</f>
        <v>#REF!</v>
      </c>
      <c r="F773" s="41"/>
      <c r="G773" s="117" t="e">
        <f>+'Estimate Details'!#REF!</f>
        <v>#REF!</v>
      </c>
      <c r="H773" s="41" t="e">
        <f>+'Estimate Details'!#REF!</f>
        <v>#REF!</v>
      </c>
      <c r="I773" s="217" t="e">
        <f>+'Estimate Details'!#REF!</f>
        <v>#REF!</v>
      </c>
      <c r="J773" s="42" t="e">
        <f>+'Estimate Details'!#REF!</f>
        <v>#REF!</v>
      </c>
      <c r="K773" s="42" t="e">
        <f>+'Estimate Details'!#REF!</f>
        <v>#REF!</v>
      </c>
      <c r="L773" s="42" t="e">
        <f>+'Estimate Details'!#REF!</f>
        <v>#REF!</v>
      </c>
      <c r="M773" s="227" t="e">
        <f>+'Estimate Details'!#REF!</f>
        <v>#REF!</v>
      </c>
      <c r="N773" s="228" t="e">
        <f>+'Estimate Details'!#REF!</f>
        <v>#REF!</v>
      </c>
      <c r="O773" s="171" t="e">
        <f>+'Estimate Details'!#REF!</f>
        <v>#REF!</v>
      </c>
      <c r="P773" s="172" t="e">
        <f>+'Estimate Details'!#REF!</f>
        <v>#REF!</v>
      </c>
      <c r="Q773" s="173" t="e">
        <f>+'Estimate Details'!#REF!</f>
        <v>#REF!</v>
      </c>
      <c r="R773" s="174" t="e">
        <f>+'Estimate Details'!#REF!</f>
        <v>#REF!</v>
      </c>
      <c r="S773" s="507"/>
      <c r="T773" s="174" t="e">
        <f>+'Estimate Details'!#REF!</f>
        <v>#REF!</v>
      </c>
      <c r="U773" s="481" t="s">
        <v>1310</v>
      </c>
      <c r="V773" s="172" t="e">
        <f>+'Estimate Details'!#REF!</f>
        <v>#REF!</v>
      </c>
      <c r="W773" s="481" t="s">
        <v>1310</v>
      </c>
      <c r="X773" s="172" t="e">
        <f>+'Estimate Details'!#REF!</f>
        <v>#REF!</v>
      </c>
      <c r="Y773" s="172" t="e">
        <f>+'Estimate Details'!#REF!</f>
        <v>#REF!</v>
      </c>
      <c r="Z773" s="174" t="e">
        <f>+'Estimate Details'!#REF!</f>
        <v>#REF!</v>
      </c>
      <c r="AA773" s="481"/>
      <c r="AB773" s="175" t="e">
        <f>+'Estimate Details'!#REF!</f>
        <v>#REF!</v>
      </c>
      <c r="AC773" s="569"/>
      <c r="AD773" s="176" t="e">
        <f>+'Estimate Details'!#REF!</f>
        <v>#REF!</v>
      </c>
      <c r="AE773" s="156"/>
      <c r="AF773" s="372"/>
      <c r="AG773" s="156"/>
      <c r="AH773" s="156"/>
      <c r="AI773" s="29"/>
      <c r="AJ773" s="29"/>
      <c r="AK773" s="29"/>
      <c r="AL773" s="29"/>
    </row>
    <row r="774" spans="1:44" ht="14.1" customHeight="1">
      <c r="A774" s="116" t="e">
        <f>+'Estimate Details'!#REF!</f>
        <v>#REF!</v>
      </c>
      <c r="B774" s="116"/>
      <c r="C774" s="116"/>
      <c r="D774" s="166"/>
      <c r="E774" s="158" t="e">
        <f>+'Estimate Details'!#REF!</f>
        <v>#REF!</v>
      </c>
      <c r="F774" s="41"/>
      <c r="G774" s="117" t="e">
        <f>+'Estimate Details'!#REF!</f>
        <v>#REF!</v>
      </c>
      <c r="H774" s="41" t="e">
        <f>+'Estimate Details'!#REF!</f>
        <v>#REF!</v>
      </c>
      <c r="I774" s="217" t="e">
        <f>+'Estimate Details'!#REF!</f>
        <v>#REF!</v>
      </c>
      <c r="J774" s="42" t="e">
        <f>+'Estimate Details'!#REF!</f>
        <v>#REF!</v>
      </c>
      <c r="K774" s="42" t="e">
        <f>+'Estimate Details'!#REF!</f>
        <v>#REF!</v>
      </c>
      <c r="L774" s="42" t="e">
        <f>+'Estimate Details'!#REF!</f>
        <v>#REF!</v>
      </c>
      <c r="M774" s="227" t="e">
        <f>+'Estimate Details'!#REF!</f>
        <v>#REF!</v>
      </c>
      <c r="N774" s="228" t="e">
        <f>+'Estimate Details'!#REF!</f>
        <v>#REF!</v>
      </c>
      <c r="O774" s="171" t="e">
        <f>+'Estimate Details'!#REF!</f>
        <v>#REF!</v>
      </c>
      <c r="P774" s="172" t="e">
        <f>+'Estimate Details'!#REF!</f>
        <v>#REF!</v>
      </c>
      <c r="Q774" s="173" t="e">
        <f>+'Estimate Details'!#REF!</f>
        <v>#REF!</v>
      </c>
      <c r="R774" s="174" t="e">
        <f>+'Estimate Details'!#REF!</f>
        <v>#REF!</v>
      </c>
      <c r="S774" s="507"/>
      <c r="T774" s="174" t="e">
        <f>+'Estimate Details'!#REF!</f>
        <v>#REF!</v>
      </c>
      <c r="U774" s="481" t="s">
        <v>1310</v>
      </c>
      <c r="V774" s="172" t="e">
        <f>+'Estimate Details'!#REF!</f>
        <v>#REF!</v>
      </c>
      <c r="W774" s="481" t="s">
        <v>1310</v>
      </c>
      <c r="X774" s="172" t="e">
        <f>+'Estimate Details'!#REF!</f>
        <v>#REF!</v>
      </c>
      <c r="Y774" s="172" t="e">
        <f>+'Estimate Details'!#REF!</f>
        <v>#REF!</v>
      </c>
      <c r="Z774" s="174" t="e">
        <f>+'Estimate Details'!#REF!</f>
        <v>#REF!</v>
      </c>
      <c r="AA774" s="481"/>
      <c r="AB774" s="175" t="e">
        <f>+'Estimate Details'!#REF!</f>
        <v>#REF!</v>
      </c>
      <c r="AC774" s="569"/>
      <c r="AD774" s="176" t="e">
        <f>+'Estimate Details'!#REF!</f>
        <v>#REF!</v>
      </c>
      <c r="AE774" s="156"/>
      <c r="AF774" s="372"/>
      <c r="AG774" s="156"/>
      <c r="AH774" s="156"/>
      <c r="AI774" s="29"/>
      <c r="AJ774" s="29"/>
      <c r="AK774" s="29"/>
      <c r="AL774" s="29"/>
    </row>
    <row r="775" spans="1:44" ht="14.1" customHeight="1">
      <c r="A775" s="116" t="e">
        <f>+'Estimate Details'!#REF!</f>
        <v>#REF!</v>
      </c>
      <c r="B775" s="116"/>
      <c r="C775" s="116"/>
      <c r="D775" s="166"/>
      <c r="E775" s="158" t="e">
        <f>+'Estimate Details'!#REF!</f>
        <v>#REF!</v>
      </c>
      <c r="F775" s="41"/>
      <c r="G775" s="117" t="e">
        <f>+'Estimate Details'!#REF!</f>
        <v>#REF!</v>
      </c>
      <c r="H775" s="41" t="e">
        <f>+'Estimate Details'!#REF!</f>
        <v>#REF!</v>
      </c>
      <c r="I775" s="217" t="e">
        <f>+'Estimate Details'!#REF!</f>
        <v>#REF!</v>
      </c>
      <c r="J775" s="42" t="e">
        <f>+'Estimate Details'!#REF!</f>
        <v>#REF!</v>
      </c>
      <c r="K775" s="42" t="e">
        <f>+'Estimate Details'!#REF!</f>
        <v>#REF!</v>
      </c>
      <c r="L775" s="42" t="e">
        <f>+'Estimate Details'!#REF!</f>
        <v>#REF!</v>
      </c>
      <c r="M775" s="227" t="e">
        <f>+'Estimate Details'!#REF!</f>
        <v>#REF!</v>
      </c>
      <c r="N775" s="228" t="e">
        <f>+'Estimate Details'!#REF!</f>
        <v>#REF!</v>
      </c>
      <c r="O775" s="171" t="e">
        <f>+'Estimate Details'!#REF!</f>
        <v>#REF!</v>
      </c>
      <c r="P775" s="172" t="e">
        <f>+'Estimate Details'!#REF!</f>
        <v>#REF!</v>
      </c>
      <c r="Q775" s="173" t="e">
        <f>+'Estimate Details'!#REF!</f>
        <v>#REF!</v>
      </c>
      <c r="R775" s="174" t="e">
        <f>+'Estimate Details'!#REF!</f>
        <v>#REF!</v>
      </c>
      <c r="S775" s="507"/>
      <c r="T775" s="174" t="e">
        <f>+'Estimate Details'!#REF!</f>
        <v>#REF!</v>
      </c>
      <c r="U775" s="481" t="s">
        <v>1298</v>
      </c>
      <c r="V775" s="172" t="e">
        <f>+'Estimate Details'!#REF!</f>
        <v>#REF!</v>
      </c>
      <c r="W775" s="481" t="s">
        <v>1310</v>
      </c>
      <c r="X775" s="172" t="e">
        <f>+'Estimate Details'!#REF!</f>
        <v>#REF!</v>
      </c>
      <c r="Y775" s="172" t="e">
        <f>+'Estimate Details'!#REF!</f>
        <v>#REF!</v>
      </c>
      <c r="Z775" s="174" t="e">
        <f>+'Estimate Details'!#REF!</f>
        <v>#REF!</v>
      </c>
      <c r="AA775" s="481"/>
      <c r="AB775" s="175" t="e">
        <f>+'Estimate Details'!#REF!</f>
        <v>#REF!</v>
      </c>
      <c r="AC775" s="569"/>
      <c r="AD775" s="176" t="e">
        <f>+'Estimate Details'!#REF!</f>
        <v>#REF!</v>
      </c>
      <c r="AE775" s="156"/>
      <c r="AF775" s="372"/>
      <c r="AG775" s="156"/>
      <c r="AH775" s="156"/>
      <c r="AI775" s="29"/>
      <c r="AJ775" s="29"/>
      <c r="AK775" s="29"/>
      <c r="AL775" s="29"/>
    </row>
    <row r="776" spans="1:44" ht="14.1" customHeight="1">
      <c r="A776" s="116" t="e">
        <f>+'Estimate Details'!#REF!</f>
        <v>#REF!</v>
      </c>
      <c r="B776" s="116"/>
      <c r="C776" s="116"/>
      <c r="D776" s="166"/>
      <c r="E776" s="158" t="e">
        <f>+'Estimate Details'!#REF!</f>
        <v>#REF!</v>
      </c>
      <c r="F776" s="41"/>
      <c r="G776" s="117" t="e">
        <f>+'Estimate Details'!#REF!</f>
        <v>#REF!</v>
      </c>
      <c r="H776" s="41" t="e">
        <f>+'Estimate Details'!#REF!</f>
        <v>#REF!</v>
      </c>
      <c r="I776" s="217" t="e">
        <f>+'Estimate Details'!#REF!</f>
        <v>#REF!</v>
      </c>
      <c r="J776" s="42" t="e">
        <f>+'Estimate Details'!#REF!</f>
        <v>#REF!</v>
      </c>
      <c r="K776" s="42" t="e">
        <f>+'Estimate Details'!#REF!</f>
        <v>#REF!</v>
      </c>
      <c r="L776" s="42" t="e">
        <f>+'Estimate Details'!#REF!</f>
        <v>#REF!</v>
      </c>
      <c r="M776" s="227" t="e">
        <f>+'Estimate Details'!#REF!</f>
        <v>#REF!</v>
      </c>
      <c r="N776" s="228" t="e">
        <f>+'Estimate Details'!#REF!</f>
        <v>#REF!</v>
      </c>
      <c r="O776" s="171" t="e">
        <f>+'Estimate Details'!#REF!</f>
        <v>#REF!</v>
      </c>
      <c r="P776" s="172" t="e">
        <f>+'Estimate Details'!#REF!</f>
        <v>#REF!</v>
      </c>
      <c r="Q776" s="173" t="e">
        <f>+'Estimate Details'!#REF!</f>
        <v>#REF!</v>
      </c>
      <c r="R776" s="174" t="e">
        <f>+'Estimate Details'!#REF!</f>
        <v>#REF!</v>
      </c>
      <c r="S776" s="507"/>
      <c r="T776" s="174" t="e">
        <f>+'Estimate Details'!#REF!</f>
        <v>#REF!</v>
      </c>
      <c r="U776" s="481"/>
      <c r="V776" s="172" t="e">
        <f>+'Estimate Details'!#REF!</f>
        <v>#REF!</v>
      </c>
      <c r="W776" s="481" t="s">
        <v>1310</v>
      </c>
      <c r="X776" s="172" t="e">
        <f>+'Estimate Details'!#REF!</f>
        <v>#REF!</v>
      </c>
      <c r="Y776" s="172" t="e">
        <f>+'Estimate Details'!#REF!</f>
        <v>#REF!</v>
      </c>
      <c r="Z776" s="174" t="e">
        <f>+'Estimate Details'!#REF!</f>
        <v>#REF!</v>
      </c>
      <c r="AA776" s="481"/>
      <c r="AB776" s="175" t="e">
        <f>+'Estimate Details'!#REF!</f>
        <v>#REF!</v>
      </c>
      <c r="AC776" s="569"/>
      <c r="AD776" s="176" t="e">
        <f>+'Estimate Details'!#REF!</f>
        <v>#REF!</v>
      </c>
      <c r="AE776" s="156"/>
      <c r="AF776" s="372"/>
      <c r="AG776" s="156"/>
      <c r="AH776" s="156"/>
      <c r="AI776" s="29"/>
      <c r="AJ776" s="29"/>
      <c r="AK776" s="29"/>
      <c r="AL776" s="29"/>
    </row>
    <row r="777" spans="1:44" ht="14.1" customHeight="1">
      <c r="A777" s="116" t="e">
        <f>+'Estimate Details'!#REF!</f>
        <v>#REF!</v>
      </c>
      <c r="B777" s="116"/>
      <c r="C777" s="116"/>
      <c r="D777" s="166"/>
      <c r="E777" s="158" t="e">
        <f>+'Estimate Details'!#REF!</f>
        <v>#REF!</v>
      </c>
      <c r="F777" s="41"/>
      <c r="G777" s="117" t="e">
        <f>+'Estimate Details'!#REF!</f>
        <v>#REF!</v>
      </c>
      <c r="H777" s="41" t="e">
        <f>+'Estimate Details'!#REF!</f>
        <v>#REF!</v>
      </c>
      <c r="I777" s="217" t="e">
        <f>+'Estimate Details'!#REF!</f>
        <v>#REF!</v>
      </c>
      <c r="J777" s="42" t="e">
        <f>+'Estimate Details'!#REF!</f>
        <v>#REF!</v>
      </c>
      <c r="K777" s="42" t="e">
        <f>+'Estimate Details'!#REF!</f>
        <v>#REF!</v>
      </c>
      <c r="L777" s="42" t="e">
        <f>+'Estimate Details'!#REF!</f>
        <v>#REF!</v>
      </c>
      <c r="M777" s="227" t="e">
        <f>+'Estimate Details'!#REF!</f>
        <v>#REF!</v>
      </c>
      <c r="N777" s="228" t="e">
        <f>+'Estimate Details'!#REF!</f>
        <v>#REF!</v>
      </c>
      <c r="O777" s="171" t="e">
        <f>+'Estimate Details'!#REF!</f>
        <v>#REF!</v>
      </c>
      <c r="P777" s="172" t="e">
        <f>+'Estimate Details'!#REF!</f>
        <v>#REF!</v>
      </c>
      <c r="Q777" s="173" t="e">
        <f>+'Estimate Details'!#REF!</f>
        <v>#REF!</v>
      </c>
      <c r="R777" s="174" t="e">
        <f>+'Estimate Details'!#REF!</f>
        <v>#REF!</v>
      </c>
      <c r="S777" s="507"/>
      <c r="T777" s="174" t="e">
        <f>+'Estimate Details'!#REF!</f>
        <v>#REF!</v>
      </c>
      <c r="U777" s="481"/>
      <c r="V777" s="172" t="e">
        <f>+'Estimate Details'!#REF!</f>
        <v>#REF!</v>
      </c>
      <c r="W777" s="481"/>
      <c r="X777" s="172" t="e">
        <f>+'Estimate Details'!#REF!</f>
        <v>#REF!</v>
      </c>
      <c r="Y777" s="172" t="e">
        <f>+'Estimate Details'!#REF!</f>
        <v>#REF!</v>
      </c>
      <c r="Z777" s="174" t="e">
        <f>+'Estimate Details'!#REF!</f>
        <v>#REF!</v>
      </c>
      <c r="AA777" s="481" t="s">
        <v>1310</v>
      </c>
      <c r="AB777" s="175" t="e">
        <f>+'Estimate Details'!#REF!</f>
        <v>#REF!</v>
      </c>
      <c r="AC777" s="569"/>
      <c r="AD777" s="176" t="e">
        <f>+'Estimate Details'!#REF!</f>
        <v>#REF!</v>
      </c>
      <c r="AE777" s="156"/>
      <c r="AF777" s="372"/>
      <c r="AG777" s="156"/>
      <c r="AH777" s="156"/>
      <c r="AI777" s="29"/>
      <c r="AJ777" s="29"/>
      <c r="AK777" s="29"/>
      <c r="AL777" s="29"/>
    </row>
    <row r="778" spans="1:44" ht="14.1" customHeight="1">
      <c r="A778" s="116" t="e">
        <f>+'Estimate Details'!#REF!</f>
        <v>#REF!</v>
      </c>
      <c r="B778" s="116"/>
      <c r="C778" s="116"/>
      <c r="D778" s="166"/>
      <c r="E778" s="158" t="e">
        <f>+'Estimate Details'!#REF!</f>
        <v>#REF!</v>
      </c>
      <c r="F778" s="41"/>
      <c r="G778" s="117" t="e">
        <f>+'Estimate Details'!#REF!</f>
        <v>#REF!</v>
      </c>
      <c r="H778" s="41" t="e">
        <f>+'Estimate Details'!#REF!</f>
        <v>#REF!</v>
      </c>
      <c r="I778" s="217" t="e">
        <f>+'Estimate Details'!#REF!</f>
        <v>#REF!</v>
      </c>
      <c r="J778" s="42" t="e">
        <f>+'Estimate Details'!#REF!</f>
        <v>#REF!</v>
      </c>
      <c r="K778" s="42" t="e">
        <f>+'Estimate Details'!#REF!</f>
        <v>#REF!</v>
      </c>
      <c r="L778" s="42" t="e">
        <f>+'Estimate Details'!#REF!</f>
        <v>#REF!</v>
      </c>
      <c r="M778" s="227" t="e">
        <f>+'Estimate Details'!#REF!</f>
        <v>#REF!</v>
      </c>
      <c r="N778" s="228" t="e">
        <f>+'Estimate Details'!#REF!</f>
        <v>#REF!</v>
      </c>
      <c r="O778" s="171" t="e">
        <f>+'Estimate Details'!#REF!</f>
        <v>#REF!</v>
      </c>
      <c r="P778" s="172" t="e">
        <f>+'Estimate Details'!#REF!</f>
        <v>#REF!</v>
      </c>
      <c r="Q778" s="173" t="e">
        <f>+'Estimate Details'!#REF!</f>
        <v>#REF!</v>
      </c>
      <c r="R778" s="174" t="e">
        <f>+'Estimate Details'!#REF!</f>
        <v>#REF!</v>
      </c>
      <c r="S778" s="507"/>
      <c r="T778" s="174" t="e">
        <f>+'Estimate Details'!#REF!</f>
        <v>#REF!</v>
      </c>
      <c r="U778" s="481"/>
      <c r="V778" s="172" t="e">
        <f>+'Estimate Details'!#REF!</f>
        <v>#REF!</v>
      </c>
      <c r="W778" s="481"/>
      <c r="X778" s="172" t="e">
        <f>+'Estimate Details'!#REF!</f>
        <v>#REF!</v>
      </c>
      <c r="Y778" s="172" t="e">
        <f>+'Estimate Details'!#REF!</f>
        <v>#REF!</v>
      </c>
      <c r="Z778" s="174" t="e">
        <f>+'Estimate Details'!#REF!</f>
        <v>#REF!</v>
      </c>
      <c r="AA778" s="481" t="s">
        <v>1310</v>
      </c>
      <c r="AB778" s="175" t="e">
        <f>+'Estimate Details'!#REF!</f>
        <v>#REF!</v>
      </c>
      <c r="AC778" s="569"/>
      <c r="AD778" s="176" t="e">
        <f>+'Estimate Details'!#REF!</f>
        <v>#REF!</v>
      </c>
      <c r="AE778" s="156"/>
      <c r="AF778" s="372"/>
      <c r="AG778" s="156"/>
      <c r="AH778" s="156"/>
      <c r="AI778" s="29"/>
      <c r="AJ778" s="29"/>
      <c r="AK778" s="29"/>
      <c r="AL778" s="29"/>
    </row>
    <row r="779" spans="1:44" ht="14.1" customHeight="1">
      <c r="A779" s="116" t="e">
        <f>+'Estimate Details'!#REF!</f>
        <v>#REF!</v>
      </c>
      <c r="B779" s="116"/>
      <c r="C779" s="116"/>
      <c r="D779" s="166"/>
      <c r="E779" s="158" t="e">
        <f>+'Estimate Details'!#REF!</f>
        <v>#REF!</v>
      </c>
      <c r="F779" s="41"/>
      <c r="G779" s="117" t="e">
        <f>+'Estimate Details'!#REF!</f>
        <v>#REF!</v>
      </c>
      <c r="H779" s="41" t="e">
        <f>+'Estimate Details'!#REF!</f>
        <v>#REF!</v>
      </c>
      <c r="I779" s="217" t="e">
        <f>+'Estimate Details'!#REF!</f>
        <v>#REF!</v>
      </c>
      <c r="J779" s="42" t="e">
        <f>+'Estimate Details'!#REF!</f>
        <v>#REF!</v>
      </c>
      <c r="K779" s="42" t="e">
        <f>+'Estimate Details'!#REF!</f>
        <v>#REF!</v>
      </c>
      <c r="L779" s="42" t="e">
        <f>+'Estimate Details'!#REF!</f>
        <v>#REF!</v>
      </c>
      <c r="M779" s="227" t="e">
        <f>+'Estimate Details'!#REF!</f>
        <v>#REF!</v>
      </c>
      <c r="N779" s="228" t="e">
        <f>+'Estimate Details'!#REF!</f>
        <v>#REF!</v>
      </c>
      <c r="O779" s="171" t="e">
        <f>+'Estimate Details'!#REF!</f>
        <v>#REF!</v>
      </c>
      <c r="P779" s="172" t="e">
        <f>+'Estimate Details'!#REF!</f>
        <v>#REF!</v>
      </c>
      <c r="Q779" s="173" t="e">
        <f>+'Estimate Details'!#REF!</f>
        <v>#REF!</v>
      </c>
      <c r="R779" s="174" t="e">
        <f>+'Estimate Details'!#REF!</f>
        <v>#REF!</v>
      </c>
      <c r="S779" s="507"/>
      <c r="T779" s="174" t="e">
        <f>+'Estimate Details'!#REF!</f>
        <v>#REF!</v>
      </c>
      <c r="U779" s="481" t="s">
        <v>1310</v>
      </c>
      <c r="V779" s="172" t="e">
        <f>+'Estimate Details'!#REF!</f>
        <v>#REF!</v>
      </c>
      <c r="W779" s="481" t="s">
        <v>1310</v>
      </c>
      <c r="X779" s="172" t="e">
        <f>+'Estimate Details'!#REF!</f>
        <v>#REF!</v>
      </c>
      <c r="Y779" s="172" t="e">
        <f>+'Estimate Details'!#REF!</f>
        <v>#REF!</v>
      </c>
      <c r="Z779" s="174" t="e">
        <f>+'Estimate Details'!#REF!</f>
        <v>#REF!</v>
      </c>
      <c r="AA779" s="481"/>
      <c r="AB779" s="175" t="e">
        <f>+'Estimate Details'!#REF!</f>
        <v>#REF!</v>
      </c>
      <c r="AC779" s="569"/>
      <c r="AD779" s="176" t="e">
        <f>+'Estimate Details'!#REF!</f>
        <v>#REF!</v>
      </c>
      <c r="AE779" s="156"/>
      <c r="AF779" s="372"/>
      <c r="AG779" s="156"/>
      <c r="AH779" s="156"/>
      <c r="AI779" s="29"/>
      <c r="AJ779" s="29"/>
      <c r="AK779" s="29"/>
      <c r="AL779" s="29"/>
    </row>
    <row r="780" spans="1:44" ht="14.1" customHeight="1">
      <c r="A780" s="116" t="e">
        <f>+'Estimate Details'!#REF!</f>
        <v>#REF!</v>
      </c>
      <c r="B780" s="116"/>
      <c r="C780" s="116"/>
      <c r="D780" s="166"/>
      <c r="E780" s="158" t="e">
        <f>+'Estimate Details'!#REF!</f>
        <v>#REF!</v>
      </c>
      <c r="F780" s="41"/>
      <c r="G780" s="117" t="e">
        <f>+'Estimate Details'!#REF!</f>
        <v>#REF!</v>
      </c>
      <c r="H780" s="41" t="e">
        <f>+'Estimate Details'!#REF!</f>
        <v>#REF!</v>
      </c>
      <c r="I780" s="217" t="e">
        <f>+'Estimate Details'!#REF!</f>
        <v>#REF!</v>
      </c>
      <c r="J780" s="42" t="e">
        <f>+'Estimate Details'!#REF!</f>
        <v>#REF!</v>
      </c>
      <c r="K780" s="42" t="e">
        <f>+'Estimate Details'!#REF!</f>
        <v>#REF!</v>
      </c>
      <c r="L780" s="42" t="e">
        <f>+'Estimate Details'!#REF!</f>
        <v>#REF!</v>
      </c>
      <c r="M780" s="204" t="e">
        <f>+'Estimate Details'!#REF!</f>
        <v>#REF!</v>
      </c>
      <c r="N780" s="170" t="e">
        <f>+'Estimate Details'!#REF!</f>
        <v>#REF!</v>
      </c>
      <c r="O780" s="171" t="e">
        <f>+'Estimate Details'!#REF!</f>
        <v>#REF!</v>
      </c>
      <c r="P780" s="172" t="e">
        <f>+'Estimate Details'!#REF!</f>
        <v>#REF!</v>
      </c>
      <c r="Q780" s="173" t="e">
        <f>+'Estimate Details'!#REF!</f>
        <v>#REF!</v>
      </c>
      <c r="R780" s="174" t="e">
        <f>+'Estimate Details'!#REF!</f>
        <v>#REF!</v>
      </c>
      <c r="S780" s="507"/>
      <c r="T780" s="174" t="e">
        <f>+'Estimate Details'!#REF!</f>
        <v>#REF!</v>
      </c>
      <c r="U780" s="481" t="s">
        <v>1310</v>
      </c>
      <c r="V780" s="172" t="e">
        <f>+'Estimate Details'!#REF!</f>
        <v>#REF!</v>
      </c>
      <c r="W780" s="481" t="s">
        <v>1310</v>
      </c>
      <c r="X780" s="172" t="e">
        <f>+'Estimate Details'!#REF!</f>
        <v>#REF!</v>
      </c>
      <c r="Y780" s="172" t="e">
        <f>+'Estimate Details'!#REF!</f>
        <v>#REF!</v>
      </c>
      <c r="Z780" s="174" t="e">
        <f>+'Estimate Details'!#REF!</f>
        <v>#REF!</v>
      </c>
      <c r="AA780" s="481"/>
      <c r="AB780" s="175" t="e">
        <f>+'Estimate Details'!#REF!</f>
        <v>#REF!</v>
      </c>
      <c r="AC780" s="569"/>
      <c r="AD780" s="176" t="e">
        <f>+'Estimate Details'!#REF!</f>
        <v>#REF!</v>
      </c>
      <c r="AE780" s="156"/>
      <c r="AF780" s="372"/>
      <c r="AG780" s="156"/>
      <c r="AH780" s="156"/>
      <c r="AI780" s="29"/>
      <c r="AJ780" s="29"/>
      <c r="AK780" s="29"/>
      <c r="AL780" s="29"/>
    </row>
    <row r="781" spans="1:44" ht="14.1" customHeight="1">
      <c r="A781" s="116" t="e">
        <f>+'Estimate Details'!#REF!</f>
        <v>#REF!</v>
      </c>
      <c r="B781" s="116"/>
      <c r="C781" s="116"/>
      <c r="D781" s="166"/>
      <c r="E781" s="158" t="e">
        <f>+'Estimate Details'!#REF!</f>
        <v>#REF!</v>
      </c>
      <c r="F781" s="41"/>
      <c r="G781" s="117" t="e">
        <f>+'Estimate Details'!#REF!</f>
        <v>#REF!</v>
      </c>
      <c r="H781" s="41" t="e">
        <f>+'Estimate Details'!#REF!</f>
        <v>#REF!</v>
      </c>
      <c r="I781" s="217" t="e">
        <f>+'Estimate Details'!#REF!</f>
        <v>#REF!</v>
      </c>
      <c r="J781" s="42" t="e">
        <f>+'Estimate Details'!#REF!</f>
        <v>#REF!</v>
      </c>
      <c r="K781" s="42" t="e">
        <f>+'Estimate Details'!#REF!</f>
        <v>#REF!</v>
      </c>
      <c r="L781" s="42" t="e">
        <f>+'Estimate Details'!#REF!</f>
        <v>#REF!</v>
      </c>
      <c r="M781" s="204" t="e">
        <f>+'Estimate Details'!#REF!</f>
        <v>#REF!</v>
      </c>
      <c r="N781" s="170" t="e">
        <f>+'Estimate Details'!#REF!</f>
        <v>#REF!</v>
      </c>
      <c r="O781" s="171" t="e">
        <f>+'Estimate Details'!#REF!</f>
        <v>#REF!</v>
      </c>
      <c r="P781" s="172" t="e">
        <f>+'Estimate Details'!#REF!</f>
        <v>#REF!</v>
      </c>
      <c r="Q781" s="173" t="e">
        <f>+'Estimate Details'!#REF!</f>
        <v>#REF!</v>
      </c>
      <c r="R781" s="174" t="e">
        <f>+'Estimate Details'!#REF!</f>
        <v>#REF!</v>
      </c>
      <c r="S781" s="507"/>
      <c r="T781" s="174" t="e">
        <f>+'Estimate Details'!#REF!</f>
        <v>#REF!</v>
      </c>
      <c r="U781" s="481" t="s">
        <v>1310</v>
      </c>
      <c r="V781" s="172" t="e">
        <f>+'Estimate Details'!#REF!</f>
        <v>#REF!</v>
      </c>
      <c r="W781" s="481" t="s">
        <v>1310</v>
      </c>
      <c r="X781" s="172" t="e">
        <f>+'Estimate Details'!#REF!</f>
        <v>#REF!</v>
      </c>
      <c r="Y781" s="172" t="e">
        <f>+'Estimate Details'!#REF!</f>
        <v>#REF!</v>
      </c>
      <c r="Z781" s="174" t="e">
        <f>+'Estimate Details'!#REF!</f>
        <v>#REF!</v>
      </c>
      <c r="AA781" s="481"/>
      <c r="AB781" s="175" t="e">
        <f>+'Estimate Details'!#REF!</f>
        <v>#REF!</v>
      </c>
      <c r="AC781" s="569"/>
      <c r="AD781" s="176" t="e">
        <f>+'Estimate Details'!#REF!</f>
        <v>#REF!</v>
      </c>
      <c r="AE781" s="156"/>
      <c r="AF781" s="372"/>
      <c r="AG781" s="156"/>
      <c r="AH781" s="156"/>
      <c r="AI781" s="29"/>
      <c r="AJ781" s="29"/>
      <c r="AK781" s="29"/>
      <c r="AL781" s="29"/>
    </row>
    <row r="782" spans="1:44" ht="14.1" customHeight="1">
      <c r="A782" s="116" t="e">
        <f>+'Estimate Details'!#REF!</f>
        <v>#REF!</v>
      </c>
      <c r="B782" s="116"/>
      <c r="C782" s="116"/>
      <c r="D782" s="166"/>
      <c r="E782" s="158" t="e">
        <f>+'Estimate Details'!#REF!</f>
        <v>#REF!</v>
      </c>
      <c r="F782" s="41"/>
      <c r="G782" s="117" t="e">
        <f>+'Estimate Details'!#REF!</f>
        <v>#REF!</v>
      </c>
      <c r="H782" s="41" t="e">
        <f>+'Estimate Details'!#REF!</f>
        <v>#REF!</v>
      </c>
      <c r="I782" s="217" t="e">
        <f>+'Estimate Details'!#REF!</f>
        <v>#REF!</v>
      </c>
      <c r="J782" s="42" t="e">
        <f>+'Estimate Details'!#REF!</f>
        <v>#REF!</v>
      </c>
      <c r="K782" s="42" t="e">
        <f>+'Estimate Details'!#REF!</f>
        <v>#REF!</v>
      </c>
      <c r="L782" s="42" t="e">
        <f>+'Estimate Details'!#REF!</f>
        <v>#REF!</v>
      </c>
      <c r="M782" s="204" t="e">
        <f>+'Estimate Details'!#REF!</f>
        <v>#REF!</v>
      </c>
      <c r="N782" s="170" t="e">
        <f>+'Estimate Details'!#REF!</f>
        <v>#REF!</v>
      </c>
      <c r="O782" s="171" t="e">
        <f>+'Estimate Details'!#REF!</f>
        <v>#REF!</v>
      </c>
      <c r="P782" s="172" t="e">
        <f>+'Estimate Details'!#REF!</f>
        <v>#REF!</v>
      </c>
      <c r="Q782" s="173" t="e">
        <f>+'Estimate Details'!#REF!</f>
        <v>#REF!</v>
      </c>
      <c r="R782" s="174" t="e">
        <f>+'Estimate Details'!#REF!</f>
        <v>#REF!</v>
      </c>
      <c r="S782" s="507"/>
      <c r="T782" s="174" t="e">
        <f>+'Estimate Details'!#REF!</f>
        <v>#REF!</v>
      </c>
      <c r="U782" s="481" t="s">
        <v>1310</v>
      </c>
      <c r="V782" s="172" t="e">
        <f>+'Estimate Details'!#REF!</f>
        <v>#REF!</v>
      </c>
      <c r="W782" s="481" t="s">
        <v>1310</v>
      </c>
      <c r="X782" s="172" t="e">
        <f>+'Estimate Details'!#REF!</f>
        <v>#REF!</v>
      </c>
      <c r="Y782" s="172" t="e">
        <f>+'Estimate Details'!#REF!</f>
        <v>#REF!</v>
      </c>
      <c r="Z782" s="174" t="e">
        <f>+'Estimate Details'!#REF!</f>
        <v>#REF!</v>
      </c>
      <c r="AA782" s="481"/>
      <c r="AB782" s="175" t="e">
        <f>+'Estimate Details'!#REF!</f>
        <v>#REF!</v>
      </c>
      <c r="AC782" s="569"/>
      <c r="AD782" s="176" t="e">
        <f>+'Estimate Details'!#REF!</f>
        <v>#REF!</v>
      </c>
      <c r="AE782" s="156"/>
      <c r="AF782" s="372"/>
      <c r="AG782" s="156"/>
      <c r="AH782" s="156"/>
      <c r="AI782" s="29"/>
      <c r="AJ782" s="29"/>
      <c r="AK782" s="29"/>
      <c r="AL782" s="29"/>
    </row>
    <row r="783" spans="1:44" ht="13.5" customHeight="1">
      <c r="A783" s="116" t="e">
        <f>+'Estimate Details'!#REF!</f>
        <v>#REF!</v>
      </c>
      <c r="B783" s="116"/>
      <c r="C783" s="116"/>
      <c r="D783" s="166"/>
      <c r="E783" s="158" t="e">
        <f>+'Estimate Details'!#REF!</f>
        <v>#REF!</v>
      </c>
      <c r="F783" s="41"/>
      <c r="G783" s="117" t="e">
        <f>+'Estimate Details'!#REF!</f>
        <v>#REF!</v>
      </c>
      <c r="H783" s="41" t="e">
        <f>+'Estimate Details'!#REF!</f>
        <v>#REF!</v>
      </c>
      <c r="I783" s="217" t="e">
        <f>+'Estimate Details'!#REF!</f>
        <v>#REF!</v>
      </c>
      <c r="J783" s="42" t="e">
        <f>+'Estimate Details'!#REF!</f>
        <v>#REF!</v>
      </c>
      <c r="K783" s="42" t="e">
        <f>+'Estimate Details'!#REF!</f>
        <v>#REF!</v>
      </c>
      <c r="L783" s="42" t="e">
        <f>+'Estimate Details'!#REF!</f>
        <v>#REF!</v>
      </c>
      <c r="M783" s="204" t="e">
        <f>+'Estimate Details'!#REF!</f>
        <v>#REF!</v>
      </c>
      <c r="N783" s="170" t="e">
        <f>+'Estimate Details'!#REF!</f>
        <v>#REF!</v>
      </c>
      <c r="O783" s="171" t="e">
        <f>+'Estimate Details'!#REF!</f>
        <v>#REF!</v>
      </c>
      <c r="P783" s="172" t="e">
        <f>+'Estimate Details'!#REF!</f>
        <v>#REF!</v>
      </c>
      <c r="Q783" s="173" t="e">
        <f>+'Estimate Details'!#REF!</f>
        <v>#REF!</v>
      </c>
      <c r="R783" s="174" t="e">
        <f>+'Estimate Details'!#REF!</f>
        <v>#REF!</v>
      </c>
      <c r="S783" s="507"/>
      <c r="T783" s="174" t="e">
        <f>+'Estimate Details'!#REF!</f>
        <v>#REF!</v>
      </c>
      <c r="U783" s="481" t="s">
        <v>1310</v>
      </c>
      <c r="V783" s="172" t="e">
        <f>+'Estimate Details'!#REF!</f>
        <v>#REF!</v>
      </c>
      <c r="W783" s="481" t="s">
        <v>1310</v>
      </c>
      <c r="X783" s="172" t="e">
        <f>+'Estimate Details'!#REF!</f>
        <v>#REF!</v>
      </c>
      <c r="Y783" s="172" t="e">
        <f>+'Estimate Details'!#REF!</f>
        <v>#REF!</v>
      </c>
      <c r="Z783" s="174" t="e">
        <f>+'Estimate Details'!#REF!</f>
        <v>#REF!</v>
      </c>
      <c r="AA783" s="481"/>
      <c r="AB783" s="175" t="e">
        <f>+'Estimate Details'!#REF!</f>
        <v>#REF!</v>
      </c>
      <c r="AC783" s="569"/>
      <c r="AD783" s="176" t="e">
        <f>+'Estimate Details'!#REF!</f>
        <v>#REF!</v>
      </c>
      <c r="AE783" s="156"/>
      <c r="AF783" s="372"/>
      <c r="AG783" s="156"/>
      <c r="AH783" s="156"/>
      <c r="AI783" s="29"/>
      <c r="AJ783" s="29"/>
      <c r="AK783" s="29"/>
      <c r="AL783" s="29"/>
    </row>
    <row r="784" spans="1:44" s="30" customFormat="1" ht="14.1" customHeight="1">
      <c r="A784" s="116" t="e">
        <f>+'Estimate Details'!#REF!</f>
        <v>#REF!</v>
      </c>
      <c r="B784" s="116"/>
      <c r="C784" s="116"/>
      <c r="D784" s="166"/>
      <c r="E784" s="158" t="e">
        <f>+'Estimate Details'!#REF!</f>
        <v>#REF!</v>
      </c>
      <c r="F784" s="41"/>
      <c r="G784" s="117" t="e">
        <f>+'Estimate Details'!#REF!</f>
        <v>#REF!</v>
      </c>
      <c r="H784" s="41" t="e">
        <f>+'Estimate Details'!#REF!</f>
        <v>#REF!</v>
      </c>
      <c r="I784" s="217" t="e">
        <f>+'Estimate Details'!#REF!</f>
        <v>#REF!</v>
      </c>
      <c r="J784" s="42" t="e">
        <f>+'Estimate Details'!#REF!</f>
        <v>#REF!</v>
      </c>
      <c r="K784" s="42" t="e">
        <f>+'Estimate Details'!#REF!</f>
        <v>#REF!</v>
      </c>
      <c r="L784" s="42" t="e">
        <f>+'Estimate Details'!#REF!</f>
        <v>#REF!</v>
      </c>
      <c r="M784" s="204" t="e">
        <f>+'Estimate Details'!#REF!</f>
        <v>#REF!</v>
      </c>
      <c r="N784" s="170" t="e">
        <f>+'Estimate Details'!#REF!</f>
        <v>#REF!</v>
      </c>
      <c r="O784" s="171" t="e">
        <f>+'Estimate Details'!#REF!</f>
        <v>#REF!</v>
      </c>
      <c r="P784" s="172" t="e">
        <f>+'Estimate Details'!#REF!</f>
        <v>#REF!</v>
      </c>
      <c r="Q784" s="173" t="e">
        <f>+'Estimate Details'!#REF!</f>
        <v>#REF!</v>
      </c>
      <c r="R784" s="174" t="e">
        <f>+'Estimate Details'!#REF!</f>
        <v>#REF!</v>
      </c>
      <c r="S784" s="507"/>
      <c r="T784" s="174" t="e">
        <f>+'Estimate Details'!#REF!</f>
        <v>#REF!</v>
      </c>
      <c r="U784" s="481" t="s">
        <v>1310</v>
      </c>
      <c r="V784" s="172" t="e">
        <f>+'Estimate Details'!#REF!</f>
        <v>#REF!</v>
      </c>
      <c r="W784" s="481" t="s">
        <v>1310</v>
      </c>
      <c r="X784" s="172" t="e">
        <f>+'Estimate Details'!#REF!</f>
        <v>#REF!</v>
      </c>
      <c r="Y784" s="172" t="e">
        <f>+'Estimate Details'!#REF!</f>
        <v>#REF!</v>
      </c>
      <c r="Z784" s="174" t="e">
        <f>+'Estimate Details'!#REF!</f>
        <v>#REF!</v>
      </c>
      <c r="AA784" s="481"/>
      <c r="AB784" s="175" t="e">
        <f>+'Estimate Details'!#REF!</f>
        <v>#REF!</v>
      </c>
      <c r="AC784" s="569"/>
      <c r="AD784" s="176" t="e">
        <f>+'Estimate Details'!#REF!</f>
        <v>#REF!</v>
      </c>
      <c r="AE784" s="156"/>
      <c r="AF784" s="372"/>
      <c r="AG784" s="156"/>
      <c r="AH784" s="156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</row>
    <row r="785" spans="1:38" ht="14.1" customHeight="1">
      <c r="A785" s="116" t="e">
        <f>+'Estimate Details'!#REF!</f>
        <v>#REF!</v>
      </c>
      <c r="B785" s="116"/>
      <c r="C785" s="116"/>
      <c r="D785" s="166"/>
      <c r="E785" s="158" t="e">
        <f>+'Estimate Details'!#REF!</f>
        <v>#REF!</v>
      </c>
      <c r="F785" s="41"/>
      <c r="G785" s="117" t="e">
        <f>+'Estimate Details'!#REF!</f>
        <v>#REF!</v>
      </c>
      <c r="H785" s="41" t="e">
        <f>+'Estimate Details'!#REF!</f>
        <v>#REF!</v>
      </c>
      <c r="I785" s="217" t="e">
        <f>+'Estimate Details'!#REF!</f>
        <v>#REF!</v>
      </c>
      <c r="J785" s="42" t="e">
        <f>+'Estimate Details'!#REF!</f>
        <v>#REF!</v>
      </c>
      <c r="K785" s="42" t="e">
        <f>+'Estimate Details'!#REF!</f>
        <v>#REF!</v>
      </c>
      <c r="L785" s="42" t="e">
        <f>+'Estimate Details'!#REF!</f>
        <v>#REF!</v>
      </c>
      <c r="M785" s="204" t="e">
        <f>+'Estimate Details'!#REF!</f>
        <v>#REF!</v>
      </c>
      <c r="N785" s="170" t="e">
        <f>+'Estimate Details'!#REF!</f>
        <v>#REF!</v>
      </c>
      <c r="O785" s="171" t="e">
        <f>+'Estimate Details'!#REF!</f>
        <v>#REF!</v>
      </c>
      <c r="P785" s="172" t="e">
        <f>+'Estimate Details'!#REF!</f>
        <v>#REF!</v>
      </c>
      <c r="Q785" s="173" t="e">
        <f>+'Estimate Details'!#REF!</f>
        <v>#REF!</v>
      </c>
      <c r="R785" s="174" t="e">
        <f>+'Estimate Details'!#REF!</f>
        <v>#REF!</v>
      </c>
      <c r="S785" s="507"/>
      <c r="T785" s="174" t="e">
        <f>+'Estimate Details'!#REF!</f>
        <v>#REF!</v>
      </c>
      <c r="U785" s="481" t="s">
        <v>1310</v>
      </c>
      <c r="V785" s="172" t="e">
        <f>+'Estimate Details'!#REF!</f>
        <v>#REF!</v>
      </c>
      <c r="W785" s="481" t="s">
        <v>1310</v>
      </c>
      <c r="X785" s="172" t="e">
        <f>+'Estimate Details'!#REF!</f>
        <v>#REF!</v>
      </c>
      <c r="Y785" s="172" t="e">
        <f>+'Estimate Details'!#REF!</f>
        <v>#REF!</v>
      </c>
      <c r="Z785" s="174" t="e">
        <f>+'Estimate Details'!#REF!</f>
        <v>#REF!</v>
      </c>
      <c r="AA785" s="481"/>
      <c r="AB785" s="175" t="e">
        <f>+'Estimate Details'!#REF!</f>
        <v>#REF!</v>
      </c>
      <c r="AC785" s="569"/>
      <c r="AD785" s="176" t="e">
        <f>+'Estimate Details'!#REF!</f>
        <v>#REF!</v>
      </c>
      <c r="AE785" s="156"/>
      <c r="AF785" s="372"/>
      <c r="AG785" s="156"/>
      <c r="AH785" s="156"/>
      <c r="AI785" s="29"/>
      <c r="AJ785" s="29"/>
      <c r="AK785" s="29"/>
      <c r="AL785" s="29"/>
    </row>
    <row r="786" spans="1:38" ht="14.1" customHeight="1">
      <c r="A786" s="116" t="e">
        <f>+'Estimate Details'!#REF!</f>
        <v>#REF!</v>
      </c>
      <c r="B786" s="116"/>
      <c r="C786" s="116"/>
      <c r="D786" s="166"/>
      <c r="E786" s="158" t="e">
        <f>+'Estimate Details'!#REF!</f>
        <v>#REF!</v>
      </c>
      <c r="F786" s="41"/>
      <c r="G786" s="117" t="e">
        <f>+'Estimate Details'!#REF!</f>
        <v>#REF!</v>
      </c>
      <c r="H786" s="41" t="e">
        <f>+'Estimate Details'!#REF!</f>
        <v>#REF!</v>
      </c>
      <c r="I786" s="217" t="e">
        <f>+'Estimate Details'!#REF!</f>
        <v>#REF!</v>
      </c>
      <c r="J786" s="42" t="e">
        <f>+'Estimate Details'!#REF!</f>
        <v>#REF!</v>
      </c>
      <c r="K786" s="42" t="e">
        <f>+'Estimate Details'!#REF!</f>
        <v>#REF!</v>
      </c>
      <c r="L786" s="42" t="e">
        <f>+'Estimate Details'!#REF!</f>
        <v>#REF!</v>
      </c>
      <c r="M786" s="204" t="e">
        <f>+'Estimate Details'!#REF!</f>
        <v>#REF!</v>
      </c>
      <c r="N786" s="170" t="e">
        <f>+'Estimate Details'!#REF!</f>
        <v>#REF!</v>
      </c>
      <c r="O786" s="171" t="e">
        <f>+'Estimate Details'!#REF!</f>
        <v>#REF!</v>
      </c>
      <c r="P786" s="172" t="e">
        <f>+'Estimate Details'!#REF!</f>
        <v>#REF!</v>
      </c>
      <c r="Q786" s="173" t="e">
        <f>+'Estimate Details'!#REF!</f>
        <v>#REF!</v>
      </c>
      <c r="R786" s="174" t="e">
        <f>+'Estimate Details'!#REF!</f>
        <v>#REF!</v>
      </c>
      <c r="S786" s="507"/>
      <c r="T786" s="174" t="e">
        <f>+'Estimate Details'!#REF!</f>
        <v>#REF!</v>
      </c>
      <c r="U786" s="481" t="s">
        <v>1310</v>
      </c>
      <c r="V786" s="172" t="e">
        <f>+'Estimate Details'!#REF!</f>
        <v>#REF!</v>
      </c>
      <c r="W786" s="481" t="s">
        <v>1310</v>
      </c>
      <c r="X786" s="172" t="e">
        <f>+'Estimate Details'!#REF!</f>
        <v>#REF!</v>
      </c>
      <c r="Y786" s="172" t="e">
        <f>+'Estimate Details'!#REF!</f>
        <v>#REF!</v>
      </c>
      <c r="Z786" s="174" t="e">
        <f>+'Estimate Details'!#REF!</f>
        <v>#REF!</v>
      </c>
      <c r="AA786" s="481"/>
      <c r="AB786" s="175" t="e">
        <f>+'Estimate Details'!#REF!</f>
        <v>#REF!</v>
      </c>
      <c r="AC786" s="569"/>
      <c r="AD786" s="176" t="e">
        <f>+'Estimate Details'!#REF!</f>
        <v>#REF!</v>
      </c>
      <c r="AE786" s="156"/>
      <c r="AF786" s="372"/>
      <c r="AG786" s="156"/>
      <c r="AH786" s="156"/>
      <c r="AI786" s="29"/>
      <c r="AJ786" s="29"/>
      <c r="AK786" s="29"/>
      <c r="AL786" s="29"/>
    </row>
    <row r="787" spans="1:38" ht="13.5" customHeight="1">
      <c r="A787" s="116" t="e">
        <f>+'Estimate Details'!#REF!</f>
        <v>#REF!</v>
      </c>
      <c r="B787" s="116"/>
      <c r="C787" s="116"/>
      <c r="D787" s="166"/>
      <c r="E787" s="158" t="e">
        <f>+'Estimate Details'!#REF!</f>
        <v>#REF!</v>
      </c>
      <c r="F787" s="41"/>
      <c r="G787" s="117" t="e">
        <f>+'Estimate Details'!#REF!</f>
        <v>#REF!</v>
      </c>
      <c r="H787" s="41" t="e">
        <f>+'Estimate Details'!#REF!</f>
        <v>#REF!</v>
      </c>
      <c r="I787" s="217" t="e">
        <f>+'Estimate Details'!#REF!</f>
        <v>#REF!</v>
      </c>
      <c r="J787" s="42" t="e">
        <f>+'Estimate Details'!#REF!</f>
        <v>#REF!</v>
      </c>
      <c r="K787" s="42" t="e">
        <f>+'Estimate Details'!#REF!</f>
        <v>#REF!</v>
      </c>
      <c r="L787" s="42" t="e">
        <f>+'Estimate Details'!#REF!</f>
        <v>#REF!</v>
      </c>
      <c r="M787" s="204" t="e">
        <f>+'Estimate Details'!#REF!</f>
        <v>#REF!</v>
      </c>
      <c r="N787" s="170" t="e">
        <f>+'Estimate Details'!#REF!</f>
        <v>#REF!</v>
      </c>
      <c r="O787" s="171" t="e">
        <f>+'Estimate Details'!#REF!</f>
        <v>#REF!</v>
      </c>
      <c r="P787" s="172" t="e">
        <f>+'Estimate Details'!#REF!</f>
        <v>#REF!</v>
      </c>
      <c r="Q787" s="173" t="e">
        <f>+'Estimate Details'!#REF!</f>
        <v>#REF!</v>
      </c>
      <c r="R787" s="174" t="e">
        <f>+'Estimate Details'!#REF!</f>
        <v>#REF!</v>
      </c>
      <c r="S787" s="507"/>
      <c r="T787" s="174" t="e">
        <f>+'Estimate Details'!#REF!</f>
        <v>#REF!</v>
      </c>
      <c r="U787" s="481" t="s">
        <v>1310</v>
      </c>
      <c r="V787" s="172" t="e">
        <f>+'Estimate Details'!#REF!</f>
        <v>#REF!</v>
      </c>
      <c r="W787" s="481" t="s">
        <v>1310</v>
      </c>
      <c r="X787" s="172" t="e">
        <f>+'Estimate Details'!#REF!</f>
        <v>#REF!</v>
      </c>
      <c r="Y787" s="172" t="e">
        <f>+'Estimate Details'!#REF!</f>
        <v>#REF!</v>
      </c>
      <c r="Z787" s="174" t="e">
        <f>+'Estimate Details'!#REF!</f>
        <v>#REF!</v>
      </c>
      <c r="AA787" s="481"/>
      <c r="AB787" s="175" t="e">
        <f>+'Estimate Details'!#REF!</f>
        <v>#REF!</v>
      </c>
      <c r="AC787" s="569"/>
      <c r="AD787" s="176" t="e">
        <f>+'Estimate Details'!#REF!</f>
        <v>#REF!</v>
      </c>
      <c r="AE787" s="156"/>
      <c r="AF787" s="372"/>
      <c r="AG787" s="156"/>
      <c r="AH787" s="156"/>
      <c r="AI787" s="29"/>
      <c r="AJ787" s="29"/>
      <c r="AK787" s="29"/>
      <c r="AL787" s="29"/>
    </row>
    <row r="788" spans="1:38" ht="13.5" customHeight="1">
      <c r="A788" s="116" t="e">
        <f>+'Estimate Details'!#REF!</f>
        <v>#REF!</v>
      </c>
      <c r="B788" s="116"/>
      <c r="C788" s="116"/>
      <c r="D788" s="166"/>
      <c r="E788" s="158" t="e">
        <f>+'Estimate Details'!#REF!</f>
        <v>#REF!</v>
      </c>
      <c r="F788" s="41"/>
      <c r="G788" s="117" t="e">
        <f>+'Estimate Details'!#REF!</f>
        <v>#REF!</v>
      </c>
      <c r="H788" s="41" t="e">
        <f>+'Estimate Details'!#REF!</f>
        <v>#REF!</v>
      </c>
      <c r="I788" s="217" t="e">
        <f>+'Estimate Details'!#REF!</f>
        <v>#REF!</v>
      </c>
      <c r="J788" s="42" t="e">
        <f>+'Estimate Details'!#REF!</f>
        <v>#REF!</v>
      </c>
      <c r="K788" s="42" t="e">
        <f>+'Estimate Details'!#REF!</f>
        <v>#REF!</v>
      </c>
      <c r="L788" s="42" t="e">
        <f>+'Estimate Details'!#REF!</f>
        <v>#REF!</v>
      </c>
      <c r="M788" s="204" t="e">
        <f>+'Estimate Details'!#REF!</f>
        <v>#REF!</v>
      </c>
      <c r="N788" s="170" t="e">
        <f>+'Estimate Details'!#REF!</f>
        <v>#REF!</v>
      </c>
      <c r="O788" s="171" t="e">
        <f>+'Estimate Details'!#REF!</f>
        <v>#REF!</v>
      </c>
      <c r="P788" s="172" t="e">
        <f>+'Estimate Details'!#REF!</f>
        <v>#REF!</v>
      </c>
      <c r="Q788" s="173" t="e">
        <f>+'Estimate Details'!#REF!</f>
        <v>#REF!</v>
      </c>
      <c r="R788" s="174" t="e">
        <f>+'Estimate Details'!#REF!</f>
        <v>#REF!</v>
      </c>
      <c r="S788" s="507"/>
      <c r="T788" s="174" t="e">
        <f>+'Estimate Details'!#REF!</f>
        <v>#REF!</v>
      </c>
      <c r="U788" s="481" t="s">
        <v>1310</v>
      </c>
      <c r="V788" s="172" t="e">
        <f>+'Estimate Details'!#REF!</f>
        <v>#REF!</v>
      </c>
      <c r="W788" s="481" t="s">
        <v>1310</v>
      </c>
      <c r="X788" s="172" t="e">
        <f>+'Estimate Details'!#REF!</f>
        <v>#REF!</v>
      </c>
      <c r="Y788" s="172" t="e">
        <f>+'Estimate Details'!#REF!</f>
        <v>#REF!</v>
      </c>
      <c r="Z788" s="174" t="e">
        <f>+'Estimate Details'!#REF!</f>
        <v>#REF!</v>
      </c>
      <c r="AA788" s="481"/>
      <c r="AB788" s="175" t="e">
        <f>+'Estimate Details'!#REF!</f>
        <v>#REF!</v>
      </c>
      <c r="AC788" s="569"/>
      <c r="AD788" s="176" t="e">
        <f>+'Estimate Details'!#REF!</f>
        <v>#REF!</v>
      </c>
      <c r="AE788" s="156"/>
      <c r="AF788" s="372"/>
      <c r="AG788" s="156"/>
      <c r="AH788" s="156"/>
      <c r="AI788" s="29"/>
      <c r="AJ788" s="29"/>
      <c r="AK788" s="29"/>
      <c r="AL788" s="29"/>
    </row>
    <row r="789" spans="1:38" ht="13.5" customHeight="1">
      <c r="A789" s="116" t="e">
        <f>+'Estimate Details'!#REF!</f>
        <v>#REF!</v>
      </c>
      <c r="B789" s="116"/>
      <c r="C789" s="116"/>
      <c r="D789" s="166"/>
      <c r="E789" s="158" t="e">
        <f>+'Estimate Details'!#REF!</f>
        <v>#REF!</v>
      </c>
      <c r="F789" s="41"/>
      <c r="G789" s="117" t="e">
        <f>+'Estimate Details'!#REF!</f>
        <v>#REF!</v>
      </c>
      <c r="H789" s="41" t="e">
        <f>+'Estimate Details'!#REF!</f>
        <v>#REF!</v>
      </c>
      <c r="I789" s="217" t="e">
        <f>+'Estimate Details'!#REF!</f>
        <v>#REF!</v>
      </c>
      <c r="J789" s="42" t="e">
        <f>+'Estimate Details'!#REF!</f>
        <v>#REF!</v>
      </c>
      <c r="K789" s="42" t="e">
        <f>+'Estimate Details'!#REF!</f>
        <v>#REF!</v>
      </c>
      <c r="L789" s="42" t="e">
        <f>+'Estimate Details'!#REF!</f>
        <v>#REF!</v>
      </c>
      <c r="M789" s="204" t="e">
        <f>+'Estimate Details'!#REF!</f>
        <v>#REF!</v>
      </c>
      <c r="N789" s="170" t="e">
        <f>+'Estimate Details'!#REF!</f>
        <v>#REF!</v>
      </c>
      <c r="O789" s="171" t="e">
        <f>+'Estimate Details'!#REF!</f>
        <v>#REF!</v>
      </c>
      <c r="P789" s="172" t="e">
        <f>+'Estimate Details'!#REF!</f>
        <v>#REF!</v>
      </c>
      <c r="Q789" s="173" t="e">
        <f>+'Estimate Details'!#REF!</f>
        <v>#REF!</v>
      </c>
      <c r="R789" s="174" t="e">
        <f>+'Estimate Details'!#REF!</f>
        <v>#REF!</v>
      </c>
      <c r="S789" s="507"/>
      <c r="T789" s="174" t="e">
        <f>+'Estimate Details'!#REF!</f>
        <v>#REF!</v>
      </c>
      <c r="U789" s="481" t="s">
        <v>1310</v>
      </c>
      <c r="V789" s="172" t="e">
        <f>+'Estimate Details'!#REF!</f>
        <v>#REF!</v>
      </c>
      <c r="W789" s="481" t="s">
        <v>1310</v>
      </c>
      <c r="X789" s="172" t="e">
        <f>+'Estimate Details'!#REF!</f>
        <v>#REF!</v>
      </c>
      <c r="Y789" s="172" t="e">
        <f>+'Estimate Details'!#REF!</f>
        <v>#REF!</v>
      </c>
      <c r="Z789" s="174" t="e">
        <f>+'Estimate Details'!#REF!</f>
        <v>#REF!</v>
      </c>
      <c r="AA789" s="481"/>
      <c r="AB789" s="175" t="e">
        <f>+'Estimate Details'!#REF!</f>
        <v>#REF!</v>
      </c>
      <c r="AC789" s="569"/>
      <c r="AD789" s="176" t="e">
        <f>+'Estimate Details'!#REF!</f>
        <v>#REF!</v>
      </c>
      <c r="AE789" s="156"/>
      <c r="AF789" s="372"/>
      <c r="AG789" s="156"/>
      <c r="AH789" s="156"/>
      <c r="AI789" s="29"/>
      <c r="AJ789" s="29"/>
      <c r="AK789" s="29"/>
      <c r="AL789" s="29"/>
    </row>
    <row r="790" spans="1:38" ht="14.1" customHeight="1">
      <c r="A790" s="116" t="e">
        <f>+'Estimate Details'!#REF!</f>
        <v>#REF!</v>
      </c>
      <c r="B790" s="116"/>
      <c r="C790" s="116"/>
      <c r="D790" s="166"/>
      <c r="E790" s="158" t="e">
        <f>+'Estimate Details'!#REF!</f>
        <v>#REF!</v>
      </c>
      <c r="F790" s="41"/>
      <c r="G790" s="117" t="e">
        <f>+'Estimate Details'!#REF!</f>
        <v>#REF!</v>
      </c>
      <c r="H790" s="118" t="e">
        <f>+'Estimate Details'!#REF!</f>
        <v>#REF!</v>
      </c>
      <c r="I790" s="108" t="e">
        <f>+'Estimate Details'!#REF!</f>
        <v>#REF!</v>
      </c>
      <c r="J790" s="168" t="e">
        <f>+'Estimate Details'!#REF!</f>
        <v>#REF!</v>
      </c>
      <c r="K790" s="42" t="e">
        <f>+'Estimate Details'!#REF!</f>
        <v>#REF!</v>
      </c>
      <c r="L790" s="42" t="e">
        <f>+'Estimate Details'!#REF!</f>
        <v>#REF!</v>
      </c>
      <c r="M790" s="177" t="e">
        <f>+'Estimate Details'!#REF!</f>
        <v>#REF!</v>
      </c>
      <c r="N790" s="170" t="e">
        <f>+'Estimate Details'!#REF!</f>
        <v>#REF!</v>
      </c>
      <c r="O790" s="171" t="e">
        <f>+'Estimate Details'!#REF!</f>
        <v>#REF!</v>
      </c>
      <c r="P790" s="172" t="e">
        <f>+'Estimate Details'!#REF!</f>
        <v>#REF!</v>
      </c>
      <c r="Q790" s="173" t="e">
        <f>+'Estimate Details'!#REF!</f>
        <v>#REF!</v>
      </c>
      <c r="R790" s="174" t="e">
        <f>+'Estimate Details'!#REF!</f>
        <v>#REF!</v>
      </c>
      <c r="S790" s="507"/>
      <c r="T790" s="174" t="e">
        <f>+'Estimate Details'!#REF!</f>
        <v>#REF!</v>
      </c>
      <c r="U790" s="481" t="s">
        <v>1310</v>
      </c>
      <c r="V790" s="172" t="e">
        <f>+'Estimate Details'!#REF!</f>
        <v>#REF!</v>
      </c>
      <c r="W790" s="481" t="s">
        <v>1310</v>
      </c>
      <c r="X790" s="172" t="e">
        <f>+'Estimate Details'!#REF!</f>
        <v>#REF!</v>
      </c>
      <c r="Y790" s="172" t="e">
        <f>+'Estimate Details'!#REF!</f>
        <v>#REF!</v>
      </c>
      <c r="Z790" s="174" t="e">
        <f>+'Estimate Details'!#REF!</f>
        <v>#REF!</v>
      </c>
      <c r="AA790" s="481"/>
      <c r="AB790" s="175" t="e">
        <f>+'Estimate Details'!#REF!</f>
        <v>#REF!</v>
      </c>
      <c r="AC790" s="569"/>
      <c r="AD790" s="176" t="e">
        <f>+'Estimate Details'!#REF!</f>
        <v>#REF!</v>
      </c>
      <c r="AE790" s="156"/>
      <c r="AF790" s="374"/>
      <c r="AG790" s="156"/>
      <c r="AH790" s="156"/>
      <c r="AI790" s="29"/>
      <c r="AJ790" s="29"/>
      <c r="AK790" s="29"/>
      <c r="AL790" s="29"/>
    </row>
    <row r="791" spans="1:38" ht="14.1" customHeight="1">
      <c r="A791" s="116" t="e">
        <f>+'Estimate Details'!#REF!</f>
        <v>#REF!</v>
      </c>
      <c r="B791" s="116"/>
      <c r="C791" s="116"/>
      <c r="D791" s="166"/>
      <c r="E791" s="158" t="e">
        <f>+'Estimate Details'!#REF!</f>
        <v>#REF!</v>
      </c>
      <c r="F791" s="41"/>
      <c r="G791" s="117" t="e">
        <f>+'Estimate Details'!#REF!</f>
        <v>#REF!</v>
      </c>
      <c r="H791" s="118" t="e">
        <f>+'Estimate Details'!#REF!</f>
        <v>#REF!</v>
      </c>
      <c r="I791" s="108" t="e">
        <f>+'Estimate Details'!#REF!</f>
        <v>#REF!</v>
      </c>
      <c r="J791" s="168" t="e">
        <f>+'Estimate Details'!#REF!</f>
        <v>#REF!</v>
      </c>
      <c r="K791" s="42" t="e">
        <f>+'Estimate Details'!#REF!</f>
        <v>#REF!</v>
      </c>
      <c r="L791" s="42" t="e">
        <f>+'Estimate Details'!#REF!</f>
        <v>#REF!</v>
      </c>
      <c r="M791" s="177" t="e">
        <f>+'Estimate Details'!#REF!</f>
        <v>#REF!</v>
      </c>
      <c r="N791" s="170" t="e">
        <f>+'Estimate Details'!#REF!</f>
        <v>#REF!</v>
      </c>
      <c r="O791" s="171" t="e">
        <f>+'Estimate Details'!#REF!</f>
        <v>#REF!</v>
      </c>
      <c r="P791" s="172" t="e">
        <f>+'Estimate Details'!#REF!</f>
        <v>#REF!</v>
      </c>
      <c r="Q791" s="173" t="e">
        <f>+'Estimate Details'!#REF!</f>
        <v>#REF!</v>
      </c>
      <c r="R791" s="174" t="e">
        <f>+'Estimate Details'!#REF!</f>
        <v>#REF!</v>
      </c>
      <c r="S791" s="507"/>
      <c r="T791" s="174" t="e">
        <f>+'Estimate Details'!#REF!</f>
        <v>#REF!</v>
      </c>
      <c r="U791" s="481" t="s">
        <v>1310</v>
      </c>
      <c r="V791" s="172" t="e">
        <f>+'Estimate Details'!#REF!</f>
        <v>#REF!</v>
      </c>
      <c r="W791" s="481" t="s">
        <v>1310</v>
      </c>
      <c r="X791" s="172" t="e">
        <f>+'Estimate Details'!#REF!</f>
        <v>#REF!</v>
      </c>
      <c r="Y791" s="172" t="e">
        <f>+'Estimate Details'!#REF!</f>
        <v>#REF!</v>
      </c>
      <c r="Z791" s="174" t="e">
        <f>+'Estimate Details'!#REF!</f>
        <v>#REF!</v>
      </c>
      <c r="AA791" s="481"/>
      <c r="AB791" s="175" t="e">
        <f>+'Estimate Details'!#REF!</f>
        <v>#REF!</v>
      </c>
      <c r="AC791" s="569"/>
      <c r="AD791" s="176" t="e">
        <f>+'Estimate Details'!#REF!</f>
        <v>#REF!</v>
      </c>
      <c r="AE791" s="156"/>
      <c r="AF791" s="372"/>
      <c r="AG791" s="156"/>
      <c r="AH791" s="156"/>
      <c r="AI791" s="29"/>
      <c r="AJ791" s="29"/>
      <c r="AK791" s="29"/>
      <c r="AL791" s="29"/>
    </row>
    <row r="792" spans="1:38" ht="14.1" customHeight="1">
      <c r="A792" s="116" t="e">
        <f>+'Estimate Details'!#REF!</f>
        <v>#REF!</v>
      </c>
      <c r="B792" s="116"/>
      <c r="C792" s="116"/>
      <c r="D792" s="166"/>
      <c r="E792" s="158" t="e">
        <f>+'Estimate Details'!#REF!</f>
        <v>#REF!</v>
      </c>
      <c r="F792" s="41"/>
      <c r="G792" s="117" t="e">
        <f>+'Estimate Details'!#REF!</f>
        <v>#REF!</v>
      </c>
      <c r="H792" s="118" t="e">
        <f>+'Estimate Details'!#REF!</f>
        <v>#REF!</v>
      </c>
      <c r="I792" s="108" t="e">
        <f>+'Estimate Details'!#REF!</f>
        <v>#REF!</v>
      </c>
      <c r="J792" s="168" t="e">
        <f>+'Estimate Details'!#REF!</f>
        <v>#REF!</v>
      </c>
      <c r="K792" s="42" t="e">
        <f>+'Estimate Details'!#REF!</f>
        <v>#REF!</v>
      </c>
      <c r="L792" s="42" t="e">
        <f>+'Estimate Details'!#REF!</f>
        <v>#REF!</v>
      </c>
      <c r="M792" s="177" t="e">
        <f>+'Estimate Details'!#REF!</f>
        <v>#REF!</v>
      </c>
      <c r="N792" s="170" t="e">
        <f>+'Estimate Details'!#REF!</f>
        <v>#REF!</v>
      </c>
      <c r="O792" s="171" t="e">
        <f>+'Estimate Details'!#REF!</f>
        <v>#REF!</v>
      </c>
      <c r="P792" s="172" t="e">
        <f>+'Estimate Details'!#REF!</f>
        <v>#REF!</v>
      </c>
      <c r="Q792" s="173" t="e">
        <f>+'Estimate Details'!#REF!</f>
        <v>#REF!</v>
      </c>
      <c r="R792" s="174" t="e">
        <f>+'Estimate Details'!#REF!</f>
        <v>#REF!</v>
      </c>
      <c r="S792" s="507"/>
      <c r="T792" s="174" t="e">
        <f>+'Estimate Details'!#REF!</f>
        <v>#REF!</v>
      </c>
      <c r="U792" s="481" t="s">
        <v>1310</v>
      </c>
      <c r="V792" s="172" t="e">
        <f>+'Estimate Details'!#REF!</f>
        <v>#REF!</v>
      </c>
      <c r="W792" s="481" t="s">
        <v>1310</v>
      </c>
      <c r="X792" s="172" t="e">
        <f>+'Estimate Details'!#REF!</f>
        <v>#REF!</v>
      </c>
      <c r="Y792" s="172" t="e">
        <f>+'Estimate Details'!#REF!</f>
        <v>#REF!</v>
      </c>
      <c r="Z792" s="174" t="e">
        <f>+'Estimate Details'!#REF!</f>
        <v>#REF!</v>
      </c>
      <c r="AA792" s="481"/>
      <c r="AB792" s="175" t="e">
        <f>+'Estimate Details'!#REF!</f>
        <v>#REF!</v>
      </c>
      <c r="AC792" s="569"/>
      <c r="AD792" s="176" t="e">
        <f>+'Estimate Details'!#REF!</f>
        <v>#REF!</v>
      </c>
      <c r="AE792" s="156"/>
      <c r="AF792" s="372"/>
      <c r="AG792" s="156"/>
      <c r="AH792" s="156"/>
      <c r="AI792" s="29"/>
      <c r="AJ792" s="29"/>
      <c r="AK792" s="29"/>
      <c r="AL792" s="29"/>
    </row>
    <row r="793" spans="1:38" ht="14.1" customHeight="1">
      <c r="A793" s="116" t="e">
        <f>+'Estimate Details'!#REF!</f>
        <v>#REF!</v>
      </c>
      <c r="B793" s="116"/>
      <c r="C793" s="116"/>
      <c r="D793" s="166"/>
      <c r="E793" s="158" t="e">
        <f>+'Estimate Details'!#REF!</f>
        <v>#REF!</v>
      </c>
      <c r="F793" s="41"/>
      <c r="G793" s="117" t="e">
        <f>+'Estimate Details'!#REF!</f>
        <v>#REF!</v>
      </c>
      <c r="H793" s="118" t="e">
        <f>+'Estimate Details'!#REF!</f>
        <v>#REF!</v>
      </c>
      <c r="I793" s="108" t="e">
        <f>+'Estimate Details'!#REF!</f>
        <v>#REF!</v>
      </c>
      <c r="J793" s="168" t="e">
        <f>+'Estimate Details'!#REF!</f>
        <v>#REF!</v>
      </c>
      <c r="K793" s="42" t="e">
        <f>+'Estimate Details'!#REF!</f>
        <v>#REF!</v>
      </c>
      <c r="L793" s="42" t="e">
        <f>+'Estimate Details'!#REF!</f>
        <v>#REF!</v>
      </c>
      <c r="M793" s="177" t="e">
        <f>+'Estimate Details'!#REF!</f>
        <v>#REF!</v>
      </c>
      <c r="N793" s="170" t="e">
        <f>+'Estimate Details'!#REF!</f>
        <v>#REF!</v>
      </c>
      <c r="O793" s="171" t="e">
        <f>+'Estimate Details'!#REF!</f>
        <v>#REF!</v>
      </c>
      <c r="P793" s="172" t="e">
        <f>+'Estimate Details'!#REF!</f>
        <v>#REF!</v>
      </c>
      <c r="Q793" s="173" t="e">
        <f>+'Estimate Details'!#REF!</f>
        <v>#REF!</v>
      </c>
      <c r="R793" s="174" t="e">
        <f>+'Estimate Details'!#REF!</f>
        <v>#REF!</v>
      </c>
      <c r="S793" s="507"/>
      <c r="T793" s="174" t="e">
        <f>+'Estimate Details'!#REF!</f>
        <v>#REF!</v>
      </c>
      <c r="U793" s="481" t="s">
        <v>1310</v>
      </c>
      <c r="V793" s="172" t="e">
        <f>+'Estimate Details'!#REF!</f>
        <v>#REF!</v>
      </c>
      <c r="W793" s="481" t="s">
        <v>1310</v>
      </c>
      <c r="X793" s="172" t="e">
        <f>+'Estimate Details'!#REF!</f>
        <v>#REF!</v>
      </c>
      <c r="Y793" s="172" t="e">
        <f>+'Estimate Details'!#REF!</f>
        <v>#REF!</v>
      </c>
      <c r="Z793" s="174" t="e">
        <f>+'Estimate Details'!#REF!</f>
        <v>#REF!</v>
      </c>
      <c r="AA793" s="481"/>
      <c r="AB793" s="175" t="e">
        <f>+'Estimate Details'!#REF!</f>
        <v>#REF!</v>
      </c>
      <c r="AC793" s="569"/>
      <c r="AD793" s="176" t="e">
        <f>+'Estimate Details'!#REF!</f>
        <v>#REF!</v>
      </c>
      <c r="AE793" s="156"/>
      <c r="AF793" s="374"/>
      <c r="AG793" s="156"/>
      <c r="AH793" s="156"/>
      <c r="AI793" s="29"/>
      <c r="AJ793" s="29"/>
      <c r="AK793" s="29"/>
      <c r="AL793" s="29"/>
    </row>
    <row r="794" spans="1:38" ht="14.1" customHeight="1">
      <c r="A794" s="116" t="e">
        <f>+'Estimate Details'!#REF!</f>
        <v>#REF!</v>
      </c>
      <c r="B794" s="116"/>
      <c r="C794" s="116"/>
      <c r="D794" s="166"/>
      <c r="E794" s="158" t="e">
        <f>+'Estimate Details'!#REF!</f>
        <v>#REF!</v>
      </c>
      <c r="F794" s="41"/>
      <c r="G794" s="117" t="e">
        <f>+'Estimate Details'!#REF!</f>
        <v>#REF!</v>
      </c>
      <c r="H794" s="41" t="e">
        <f>+'Estimate Details'!#REF!</f>
        <v>#REF!</v>
      </c>
      <c r="I794" s="108" t="e">
        <f>+'Estimate Details'!#REF!</f>
        <v>#REF!</v>
      </c>
      <c r="J794" s="168" t="e">
        <f>+'Estimate Details'!#REF!</f>
        <v>#REF!</v>
      </c>
      <c r="K794" s="42" t="e">
        <f>+'Estimate Details'!#REF!</f>
        <v>#REF!</v>
      </c>
      <c r="L794" s="42" t="e">
        <f>+'Estimate Details'!#REF!</f>
        <v>#REF!</v>
      </c>
      <c r="M794" s="177" t="e">
        <f>+'Estimate Details'!#REF!</f>
        <v>#REF!</v>
      </c>
      <c r="N794" s="170" t="e">
        <f>+'Estimate Details'!#REF!</f>
        <v>#REF!</v>
      </c>
      <c r="O794" s="171" t="e">
        <f>+'Estimate Details'!#REF!</f>
        <v>#REF!</v>
      </c>
      <c r="P794" s="172" t="e">
        <f>+'Estimate Details'!#REF!</f>
        <v>#REF!</v>
      </c>
      <c r="Q794" s="173" t="e">
        <f>+'Estimate Details'!#REF!</f>
        <v>#REF!</v>
      </c>
      <c r="R794" s="174" t="e">
        <f>+'Estimate Details'!#REF!</f>
        <v>#REF!</v>
      </c>
      <c r="S794" s="507"/>
      <c r="T794" s="174" t="e">
        <f>+'Estimate Details'!#REF!</f>
        <v>#REF!</v>
      </c>
      <c r="U794" s="481" t="s">
        <v>1310</v>
      </c>
      <c r="V794" s="172" t="e">
        <f>+'Estimate Details'!#REF!</f>
        <v>#REF!</v>
      </c>
      <c r="W794" s="481" t="s">
        <v>1310</v>
      </c>
      <c r="X794" s="172" t="e">
        <f>+'Estimate Details'!#REF!</f>
        <v>#REF!</v>
      </c>
      <c r="Y794" s="172" t="e">
        <f>+'Estimate Details'!#REF!</f>
        <v>#REF!</v>
      </c>
      <c r="Z794" s="174" t="e">
        <f>+'Estimate Details'!#REF!</f>
        <v>#REF!</v>
      </c>
      <c r="AA794" s="481"/>
      <c r="AB794" s="175" t="e">
        <f>+'Estimate Details'!#REF!</f>
        <v>#REF!</v>
      </c>
      <c r="AC794" s="569"/>
      <c r="AD794" s="176" t="e">
        <f>+'Estimate Details'!#REF!</f>
        <v>#REF!</v>
      </c>
      <c r="AE794" s="156"/>
      <c r="AF794" s="374"/>
      <c r="AG794" s="156"/>
      <c r="AH794" s="156"/>
      <c r="AI794" s="29"/>
      <c r="AJ794" s="29"/>
      <c r="AK794" s="29"/>
      <c r="AL794" s="29"/>
    </row>
    <row r="795" spans="1:38" ht="14.1" customHeight="1">
      <c r="A795" s="116" t="e">
        <f>+'Estimate Details'!#REF!</f>
        <v>#REF!</v>
      </c>
      <c r="B795" s="116"/>
      <c r="C795" s="116"/>
      <c r="D795" s="166"/>
      <c r="E795" s="158" t="e">
        <f>+'Estimate Details'!#REF!</f>
        <v>#REF!</v>
      </c>
      <c r="F795" s="41"/>
      <c r="G795" s="117" t="e">
        <f>+'Estimate Details'!#REF!</f>
        <v>#REF!</v>
      </c>
      <c r="H795" s="41" t="e">
        <f>+'Estimate Details'!#REF!</f>
        <v>#REF!</v>
      </c>
      <c r="I795" s="108" t="e">
        <f>+'Estimate Details'!#REF!</f>
        <v>#REF!</v>
      </c>
      <c r="J795" s="168" t="e">
        <f>+'Estimate Details'!#REF!</f>
        <v>#REF!</v>
      </c>
      <c r="K795" s="42" t="e">
        <f>+'Estimate Details'!#REF!</f>
        <v>#REF!</v>
      </c>
      <c r="L795" s="42" t="e">
        <f>+'Estimate Details'!#REF!</f>
        <v>#REF!</v>
      </c>
      <c r="M795" s="177" t="e">
        <f>+'Estimate Details'!#REF!</f>
        <v>#REF!</v>
      </c>
      <c r="N795" s="170" t="e">
        <f>+'Estimate Details'!#REF!</f>
        <v>#REF!</v>
      </c>
      <c r="O795" s="171" t="e">
        <f>+'Estimate Details'!#REF!</f>
        <v>#REF!</v>
      </c>
      <c r="P795" s="172" t="e">
        <f>+'Estimate Details'!#REF!</f>
        <v>#REF!</v>
      </c>
      <c r="Q795" s="173" t="e">
        <f>+'Estimate Details'!#REF!</f>
        <v>#REF!</v>
      </c>
      <c r="R795" s="174" t="e">
        <f>+'Estimate Details'!#REF!</f>
        <v>#REF!</v>
      </c>
      <c r="S795" s="507"/>
      <c r="T795" s="174" t="e">
        <f>+'Estimate Details'!#REF!</f>
        <v>#REF!</v>
      </c>
      <c r="U795" s="481" t="s">
        <v>1310</v>
      </c>
      <c r="V795" s="172" t="e">
        <f>+'Estimate Details'!#REF!</f>
        <v>#REF!</v>
      </c>
      <c r="W795" s="481" t="s">
        <v>1310</v>
      </c>
      <c r="X795" s="172" t="e">
        <f>+'Estimate Details'!#REF!</f>
        <v>#REF!</v>
      </c>
      <c r="Y795" s="172" t="e">
        <f>+'Estimate Details'!#REF!</f>
        <v>#REF!</v>
      </c>
      <c r="Z795" s="174" t="e">
        <f>+'Estimate Details'!#REF!</f>
        <v>#REF!</v>
      </c>
      <c r="AA795" s="481"/>
      <c r="AB795" s="175" t="e">
        <f>+'Estimate Details'!#REF!</f>
        <v>#REF!</v>
      </c>
      <c r="AC795" s="569"/>
      <c r="AD795" s="176" t="e">
        <f>+'Estimate Details'!#REF!</f>
        <v>#REF!</v>
      </c>
      <c r="AE795" s="156"/>
      <c r="AF795" s="374"/>
      <c r="AG795" s="156"/>
      <c r="AH795" s="156"/>
      <c r="AI795" s="29"/>
      <c r="AJ795" s="29"/>
      <c r="AK795" s="29"/>
      <c r="AL795" s="29"/>
    </row>
    <row r="796" spans="1:38" ht="13.5" customHeight="1">
      <c r="A796" s="116" t="e">
        <f>+'Estimate Details'!#REF!</f>
        <v>#REF!</v>
      </c>
      <c r="B796" s="116"/>
      <c r="C796" s="116"/>
      <c r="D796" s="166"/>
      <c r="E796" s="158" t="e">
        <f>+'Estimate Details'!#REF!</f>
        <v>#REF!</v>
      </c>
      <c r="F796" s="41"/>
      <c r="G796" s="117" t="e">
        <f>+'Estimate Details'!#REF!</f>
        <v>#REF!</v>
      </c>
      <c r="H796" s="41" t="e">
        <f>+'Estimate Details'!#REF!</f>
        <v>#REF!</v>
      </c>
      <c r="I796" s="108" t="e">
        <f>+'Estimate Details'!#REF!</f>
        <v>#REF!</v>
      </c>
      <c r="J796" s="168" t="e">
        <f>+'Estimate Details'!#REF!</f>
        <v>#REF!</v>
      </c>
      <c r="K796" s="42" t="e">
        <f>+'Estimate Details'!#REF!</f>
        <v>#REF!</v>
      </c>
      <c r="L796" s="42" t="e">
        <f>+'Estimate Details'!#REF!</f>
        <v>#REF!</v>
      </c>
      <c r="M796" s="177" t="e">
        <f>+'Estimate Details'!#REF!</f>
        <v>#REF!</v>
      </c>
      <c r="N796" s="170" t="e">
        <f>+'Estimate Details'!#REF!</f>
        <v>#REF!</v>
      </c>
      <c r="O796" s="171" t="e">
        <f>+'Estimate Details'!#REF!</f>
        <v>#REF!</v>
      </c>
      <c r="P796" s="172" t="e">
        <f>+'Estimate Details'!#REF!</f>
        <v>#REF!</v>
      </c>
      <c r="Q796" s="173" t="e">
        <f>+'Estimate Details'!#REF!</f>
        <v>#REF!</v>
      </c>
      <c r="R796" s="174" t="e">
        <f>+'Estimate Details'!#REF!</f>
        <v>#REF!</v>
      </c>
      <c r="S796" s="507"/>
      <c r="T796" s="174" t="e">
        <f>+'Estimate Details'!#REF!</f>
        <v>#REF!</v>
      </c>
      <c r="U796" s="481" t="s">
        <v>1310</v>
      </c>
      <c r="V796" s="172" t="e">
        <f>+'Estimate Details'!#REF!</f>
        <v>#REF!</v>
      </c>
      <c r="W796" s="481" t="s">
        <v>1310</v>
      </c>
      <c r="X796" s="172" t="e">
        <f>+'Estimate Details'!#REF!</f>
        <v>#REF!</v>
      </c>
      <c r="Y796" s="172" t="e">
        <f>+'Estimate Details'!#REF!</f>
        <v>#REF!</v>
      </c>
      <c r="Z796" s="174" t="e">
        <f>+'Estimate Details'!#REF!</f>
        <v>#REF!</v>
      </c>
      <c r="AA796" s="481"/>
      <c r="AB796" s="175" t="e">
        <f>+'Estimate Details'!#REF!</f>
        <v>#REF!</v>
      </c>
      <c r="AC796" s="569"/>
      <c r="AD796" s="176" t="e">
        <f>+'Estimate Details'!#REF!</f>
        <v>#REF!</v>
      </c>
      <c r="AE796" s="156"/>
      <c r="AF796" s="372"/>
      <c r="AG796" s="156"/>
      <c r="AH796" s="156"/>
      <c r="AI796" s="29"/>
      <c r="AJ796" s="29"/>
      <c r="AK796" s="29"/>
      <c r="AL796" s="29"/>
    </row>
    <row r="797" spans="1:38" ht="14.1" customHeight="1">
      <c r="A797" s="116" t="e">
        <f>+'Estimate Details'!#REF!</f>
        <v>#REF!</v>
      </c>
      <c r="B797" s="116"/>
      <c r="C797" s="116"/>
      <c r="D797" s="166"/>
      <c r="E797" s="158" t="e">
        <f>+'Estimate Details'!#REF!</f>
        <v>#REF!</v>
      </c>
      <c r="F797" s="41"/>
      <c r="G797" s="117" t="e">
        <f>+'Estimate Details'!#REF!</f>
        <v>#REF!</v>
      </c>
      <c r="H797" s="41" t="e">
        <f>+'Estimate Details'!#REF!</f>
        <v>#REF!</v>
      </c>
      <c r="I797" s="108" t="e">
        <f>+'Estimate Details'!#REF!</f>
        <v>#REF!</v>
      </c>
      <c r="J797" s="168" t="e">
        <f>+'Estimate Details'!#REF!</f>
        <v>#REF!</v>
      </c>
      <c r="K797" s="42" t="e">
        <f>+'Estimate Details'!#REF!</f>
        <v>#REF!</v>
      </c>
      <c r="L797" s="42" t="e">
        <f>+'Estimate Details'!#REF!</f>
        <v>#REF!</v>
      </c>
      <c r="M797" s="177" t="e">
        <f>+'Estimate Details'!#REF!</f>
        <v>#REF!</v>
      </c>
      <c r="N797" s="170" t="e">
        <f>+'Estimate Details'!#REF!</f>
        <v>#REF!</v>
      </c>
      <c r="O797" s="171" t="e">
        <f>+'Estimate Details'!#REF!</f>
        <v>#REF!</v>
      </c>
      <c r="P797" s="172" t="e">
        <f>+'Estimate Details'!#REF!</f>
        <v>#REF!</v>
      </c>
      <c r="Q797" s="173" t="e">
        <f>+'Estimate Details'!#REF!</f>
        <v>#REF!</v>
      </c>
      <c r="R797" s="174" t="e">
        <f>+'Estimate Details'!#REF!</f>
        <v>#REF!</v>
      </c>
      <c r="S797" s="507"/>
      <c r="T797" s="174" t="e">
        <f>+'Estimate Details'!#REF!</f>
        <v>#REF!</v>
      </c>
      <c r="U797" s="481" t="s">
        <v>1310</v>
      </c>
      <c r="V797" s="172" t="e">
        <f>+'Estimate Details'!#REF!</f>
        <v>#REF!</v>
      </c>
      <c r="W797" s="481" t="s">
        <v>1310</v>
      </c>
      <c r="X797" s="172" t="e">
        <f>+'Estimate Details'!#REF!</f>
        <v>#REF!</v>
      </c>
      <c r="Y797" s="172" t="e">
        <f>+'Estimate Details'!#REF!</f>
        <v>#REF!</v>
      </c>
      <c r="Z797" s="174" t="e">
        <f>+'Estimate Details'!#REF!</f>
        <v>#REF!</v>
      </c>
      <c r="AA797" s="481"/>
      <c r="AB797" s="175" t="e">
        <f>+'Estimate Details'!#REF!</f>
        <v>#REF!</v>
      </c>
      <c r="AC797" s="569"/>
      <c r="AD797" s="176" t="e">
        <f>+'Estimate Details'!#REF!</f>
        <v>#REF!</v>
      </c>
      <c r="AE797" s="156"/>
      <c r="AF797" s="374"/>
      <c r="AG797" s="156"/>
      <c r="AH797" s="156"/>
      <c r="AI797" s="29"/>
      <c r="AJ797" s="29"/>
      <c r="AK797" s="29"/>
      <c r="AL797" s="29"/>
    </row>
    <row r="798" spans="1:38" ht="14.1" customHeight="1">
      <c r="A798" s="116" t="e">
        <f>+'Estimate Details'!#REF!</f>
        <v>#REF!</v>
      </c>
      <c r="B798" s="116"/>
      <c r="C798" s="116"/>
      <c r="D798" s="166"/>
      <c r="E798" s="158" t="e">
        <f>+'Estimate Details'!#REF!</f>
        <v>#REF!</v>
      </c>
      <c r="F798" s="41"/>
      <c r="G798" s="116" t="e">
        <f>+'Estimate Details'!#REF!</f>
        <v>#REF!</v>
      </c>
      <c r="H798" s="118" t="e">
        <f>+'Estimate Details'!#REF!</f>
        <v>#REF!</v>
      </c>
      <c r="I798" s="217" t="e">
        <f>+'Estimate Details'!#REF!</f>
        <v>#REF!</v>
      </c>
      <c r="J798" s="42" t="e">
        <f>+'Estimate Details'!#REF!</f>
        <v>#REF!</v>
      </c>
      <c r="K798" s="42" t="e">
        <f>+'Estimate Details'!#REF!</f>
        <v>#REF!</v>
      </c>
      <c r="L798" s="42" t="e">
        <f>+'Estimate Details'!#REF!</f>
        <v>#REF!</v>
      </c>
      <c r="M798" s="235" t="e">
        <f>+'Estimate Details'!#REF!</f>
        <v>#REF!</v>
      </c>
      <c r="N798" s="170" t="e">
        <f>+'Estimate Details'!#REF!</f>
        <v>#REF!</v>
      </c>
      <c r="O798" s="171" t="e">
        <f>+'Estimate Details'!#REF!</f>
        <v>#REF!</v>
      </c>
      <c r="P798" s="172" t="e">
        <f>+'Estimate Details'!#REF!</f>
        <v>#REF!</v>
      </c>
      <c r="Q798" s="173" t="e">
        <f>+'Estimate Details'!#REF!</f>
        <v>#REF!</v>
      </c>
      <c r="R798" s="174" t="e">
        <f>+'Estimate Details'!#REF!</f>
        <v>#REF!</v>
      </c>
      <c r="S798" s="507"/>
      <c r="T798" s="174" t="e">
        <f>+'Estimate Details'!#REF!</f>
        <v>#REF!</v>
      </c>
      <c r="U798" s="481" t="s">
        <v>1309</v>
      </c>
      <c r="V798" s="172" t="e">
        <f>+'Estimate Details'!#REF!</f>
        <v>#REF!</v>
      </c>
      <c r="W798" s="481" t="s">
        <v>1309</v>
      </c>
      <c r="X798" s="172" t="e">
        <f>+'Estimate Details'!#REF!</f>
        <v>#REF!</v>
      </c>
      <c r="Y798" s="172" t="e">
        <f>+'Estimate Details'!#REF!</f>
        <v>#REF!</v>
      </c>
      <c r="Z798" s="174" t="e">
        <f>+'Estimate Details'!#REF!</f>
        <v>#REF!</v>
      </c>
      <c r="AA798" s="481"/>
      <c r="AB798" s="175" t="e">
        <f>+'Estimate Details'!#REF!</f>
        <v>#REF!</v>
      </c>
      <c r="AC798" s="569"/>
      <c r="AD798" s="176" t="e">
        <f>+'Estimate Details'!#REF!</f>
        <v>#REF!</v>
      </c>
      <c r="AE798" s="156"/>
      <c r="AF798" s="374"/>
      <c r="AG798" s="156"/>
      <c r="AH798" s="156"/>
      <c r="AI798" s="29"/>
      <c r="AJ798" s="29"/>
      <c r="AK798" s="29"/>
      <c r="AL798" s="29"/>
    </row>
    <row r="799" spans="1:38" ht="14.1" customHeight="1">
      <c r="A799" s="116" t="e">
        <f>+'Estimate Details'!#REF!</f>
        <v>#REF!</v>
      </c>
      <c r="B799" s="116"/>
      <c r="C799" s="116"/>
      <c r="D799" s="166"/>
      <c r="E799" s="158" t="e">
        <f>+'Estimate Details'!#REF!</f>
        <v>#REF!</v>
      </c>
      <c r="F799" s="41"/>
      <c r="G799" s="116" t="e">
        <f>+'Estimate Details'!#REF!</f>
        <v>#REF!</v>
      </c>
      <c r="H799" s="118" t="e">
        <f>+'Estimate Details'!#REF!</f>
        <v>#REF!</v>
      </c>
      <c r="I799" s="217" t="e">
        <f>+'Estimate Details'!#REF!</f>
        <v>#REF!</v>
      </c>
      <c r="J799" s="42" t="e">
        <f>+'Estimate Details'!#REF!</f>
        <v>#REF!</v>
      </c>
      <c r="K799" s="42" t="e">
        <f>+'Estimate Details'!#REF!</f>
        <v>#REF!</v>
      </c>
      <c r="L799" s="42" t="e">
        <f>+'Estimate Details'!#REF!</f>
        <v>#REF!</v>
      </c>
      <c r="M799" s="235" t="e">
        <f>+'Estimate Details'!#REF!</f>
        <v>#REF!</v>
      </c>
      <c r="N799" s="170" t="e">
        <f>+'Estimate Details'!#REF!</f>
        <v>#REF!</v>
      </c>
      <c r="O799" s="171" t="e">
        <f>+'Estimate Details'!#REF!</f>
        <v>#REF!</v>
      </c>
      <c r="P799" s="172" t="e">
        <f>+'Estimate Details'!#REF!</f>
        <v>#REF!</v>
      </c>
      <c r="Q799" s="173" t="e">
        <f>+'Estimate Details'!#REF!</f>
        <v>#REF!</v>
      </c>
      <c r="R799" s="174" t="e">
        <f>+'Estimate Details'!#REF!</f>
        <v>#REF!</v>
      </c>
      <c r="S799" s="507"/>
      <c r="T799" s="174" t="e">
        <f>+'Estimate Details'!#REF!</f>
        <v>#REF!</v>
      </c>
      <c r="U799" s="481" t="s">
        <v>1310</v>
      </c>
      <c r="V799" s="172" t="e">
        <f>+'Estimate Details'!#REF!</f>
        <v>#REF!</v>
      </c>
      <c r="W799" s="481" t="s">
        <v>1310</v>
      </c>
      <c r="X799" s="172" t="e">
        <f>+'Estimate Details'!#REF!</f>
        <v>#REF!</v>
      </c>
      <c r="Y799" s="172" t="e">
        <f>+'Estimate Details'!#REF!</f>
        <v>#REF!</v>
      </c>
      <c r="Z799" s="174" t="e">
        <f>+'Estimate Details'!#REF!</f>
        <v>#REF!</v>
      </c>
      <c r="AA799" s="481"/>
      <c r="AB799" s="175" t="e">
        <f>+'Estimate Details'!#REF!</f>
        <v>#REF!</v>
      </c>
      <c r="AC799" s="569"/>
      <c r="AD799" s="176" t="e">
        <f>+'Estimate Details'!#REF!</f>
        <v>#REF!</v>
      </c>
      <c r="AE799" s="156"/>
      <c r="AF799" s="374"/>
      <c r="AG799" s="156"/>
      <c r="AH799" s="156"/>
      <c r="AI799" s="29"/>
      <c r="AJ799" s="29"/>
      <c r="AK799" s="29"/>
      <c r="AL799" s="29"/>
    </row>
    <row r="800" spans="1:38" ht="14.1" customHeight="1">
      <c r="A800" s="116" t="e">
        <f>+'Estimate Details'!#REF!</f>
        <v>#REF!</v>
      </c>
      <c r="B800" s="116"/>
      <c r="C800" s="116"/>
      <c r="D800" s="166"/>
      <c r="E800" s="158" t="e">
        <f>+'Estimate Details'!#REF!</f>
        <v>#REF!</v>
      </c>
      <c r="F800" s="41"/>
      <c r="G800" s="116" t="e">
        <f>+'Estimate Details'!#REF!</f>
        <v>#REF!</v>
      </c>
      <c r="H800" s="118" t="e">
        <f>+'Estimate Details'!#REF!</f>
        <v>#REF!</v>
      </c>
      <c r="I800" s="217" t="e">
        <f>+'Estimate Details'!#REF!</f>
        <v>#REF!</v>
      </c>
      <c r="J800" s="42" t="e">
        <f>+'Estimate Details'!#REF!</f>
        <v>#REF!</v>
      </c>
      <c r="K800" s="42" t="e">
        <f>+'Estimate Details'!#REF!</f>
        <v>#REF!</v>
      </c>
      <c r="L800" s="42" t="e">
        <f>+'Estimate Details'!#REF!</f>
        <v>#REF!</v>
      </c>
      <c r="M800" s="235" t="e">
        <f>+'Estimate Details'!#REF!</f>
        <v>#REF!</v>
      </c>
      <c r="N800" s="170" t="e">
        <f>+'Estimate Details'!#REF!</f>
        <v>#REF!</v>
      </c>
      <c r="O800" s="171" t="e">
        <f>+'Estimate Details'!#REF!</f>
        <v>#REF!</v>
      </c>
      <c r="P800" s="172" t="e">
        <f>+'Estimate Details'!#REF!</f>
        <v>#REF!</v>
      </c>
      <c r="Q800" s="173" t="e">
        <f>+'Estimate Details'!#REF!</f>
        <v>#REF!</v>
      </c>
      <c r="R800" s="174" t="e">
        <f>+'Estimate Details'!#REF!</f>
        <v>#REF!</v>
      </c>
      <c r="S800" s="507"/>
      <c r="T800" s="174" t="e">
        <f>+'Estimate Details'!#REF!</f>
        <v>#REF!</v>
      </c>
      <c r="U800" s="481" t="s">
        <v>1310</v>
      </c>
      <c r="V800" s="172" t="e">
        <f>+'Estimate Details'!#REF!</f>
        <v>#REF!</v>
      </c>
      <c r="W800" s="481" t="s">
        <v>1310</v>
      </c>
      <c r="X800" s="172" t="e">
        <f>+'Estimate Details'!#REF!</f>
        <v>#REF!</v>
      </c>
      <c r="Y800" s="172" t="e">
        <f>+'Estimate Details'!#REF!</f>
        <v>#REF!</v>
      </c>
      <c r="Z800" s="174" t="e">
        <f>+'Estimate Details'!#REF!</f>
        <v>#REF!</v>
      </c>
      <c r="AA800" s="481"/>
      <c r="AB800" s="175" t="e">
        <f>+'Estimate Details'!#REF!</f>
        <v>#REF!</v>
      </c>
      <c r="AC800" s="569"/>
      <c r="AD800" s="176" t="e">
        <f>+'Estimate Details'!#REF!</f>
        <v>#REF!</v>
      </c>
      <c r="AE800" s="156"/>
      <c r="AF800" s="374"/>
      <c r="AG800" s="156"/>
      <c r="AH800" s="156"/>
      <c r="AI800" s="29"/>
      <c r="AJ800" s="29"/>
      <c r="AK800" s="29"/>
      <c r="AL800" s="29"/>
    </row>
    <row r="801" spans="1:38" ht="13.5" customHeight="1">
      <c r="A801" s="116" t="e">
        <f>+'Estimate Details'!#REF!</f>
        <v>#REF!</v>
      </c>
      <c r="B801" s="116"/>
      <c r="C801" s="116"/>
      <c r="D801" s="166"/>
      <c r="E801" s="158" t="e">
        <f>+'Estimate Details'!#REF!</f>
        <v>#REF!</v>
      </c>
      <c r="F801" s="41"/>
      <c r="G801" s="116" t="e">
        <f>+'Estimate Details'!#REF!</f>
        <v>#REF!</v>
      </c>
      <c r="H801" s="118" t="e">
        <f>+'Estimate Details'!#REF!</f>
        <v>#REF!</v>
      </c>
      <c r="I801" s="108" t="e">
        <f>+'Estimate Details'!#REF!</f>
        <v>#REF!</v>
      </c>
      <c r="J801" s="42" t="e">
        <f>+'Estimate Details'!#REF!</f>
        <v>#REF!</v>
      </c>
      <c r="K801" s="42" t="e">
        <f>+'Estimate Details'!#REF!</f>
        <v>#REF!</v>
      </c>
      <c r="L801" s="42" t="e">
        <f>+'Estimate Details'!#REF!</f>
        <v>#REF!</v>
      </c>
      <c r="M801" s="235" t="e">
        <f>+'Estimate Details'!#REF!</f>
        <v>#REF!</v>
      </c>
      <c r="N801" s="170" t="e">
        <f>+'Estimate Details'!#REF!</f>
        <v>#REF!</v>
      </c>
      <c r="O801" s="171" t="e">
        <f>+'Estimate Details'!#REF!</f>
        <v>#REF!</v>
      </c>
      <c r="P801" s="172" t="e">
        <f>+'Estimate Details'!#REF!</f>
        <v>#REF!</v>
      </c>
      <c r="Q801" s="173" t="e">
        <f>+'Estimate Details'!#REF!</f>
        <v>#REF!</v>
      </c>
      <c r="R801" s="174" t="e">
        <f>+'Estimate Details'!#REF!</f>
        <v>#REF!</v>
      </c>
      <c r="S801" s="507"/>
      <c r="T801" s="174" t="e">
        <f>+'Estimate Details'!#REF!</f>
        <v>#REF!</v>
      </c>
      <c r="U801" s="481" t="s">
        <v>1310</v>
      </c>
      <c r="V801" s="172" t="e">
        <f>+'Estimate Details'!#REF!</f>
        <v>#REF!</v>
      </c>
      <c r="W801" s="481" t="s">
        <v>1310</v>
      </c>
      <c r="X801" s="172" t="e">
        <f>+'Estimate Details'!#REF!</f>
        <v>#REF!</v>
      </c>
      <c r="Y801" s="172" t="e">
        <f>+'Estimate Details'!#REF!</f>
        <v>#REF!</v>
      </c>
      <c r="Z801" s="174" t="e">
        <f>+'Estimate Details'!#REF!</f>
        <v>#REF!</v>
      </c>
      <c r="AA801" s="481"/>
      <c r="AB801" s="175" t="e">
        <f>+'Estimate Details'!#REF!</f>
        <v>#REF!</v>
      </c>
      <c r="AC801" s="569"/>
      <c r="AD801" s="176" t="e">
        <f>+'Estimate Details'!#REF!</f>
        <v>#REF!</v>
      </c>
      <c r="AE801" s="156"/>
      <c r="AF801" s="372"/>
      <c r="AG801" s="398"/>
      <c r="AH801" s="156"/>
      <c r="AI801" s="29"/>
      <c r="AJ801" s="29"/>
      <c r="AK801" s="29"/>
      <c r="AL801" s="29"/>
    </row>
    <row r="802" spans="1:38" ht="14.1" customHeight="1">
      <c r="A802" s="116" t="e">
        <f>+'Estimate Details'!#REF!</f>
        <v>#REF!</v>
      </c>
      <c r="B802" s="116"/>
      <c r="C802" s="116"/>
      <c r="D802" s="166"/>
      <c r="E802" s="158" t="e">
        <f>+'Estimate Details'!#REF!</f>
        <v>#REF!</v>
      </c>
      <c r="F802" s="41"/>
      <c r="G802" s="117" t="e">
        <f>+'Estimate Details'!#REF!</f>
        <v>#REF!</v>
      </c>
      <c r="H802" s="118" t="e">
        <f>+'Estimate Details'!#REF!</f>
        <v>#REF!</v>
      </c>
      <c r="I802" s="108" t="e">
        <f>+'Estimate Details'!#REF!</f>
        <v>#REF!</v>
      </c>
      <c r="J802" s="116" t="e">
        <f>+'Estimate Details'!#REF!</f>
        <v>#REF!</v>
      </c>
      <c r="K802" s="116" t="e">
        <f>+'Estimate Details'!#REF!</f>
        <v>#REF!</v>
      </c>
      <c r="L802" s="116" t="e">
        <f>+'Estimate Details'!#REF!</f>
        <v>#REF!</v>
      </c>
      <c r="M802" s="204" t="e">
        <f>+'Estimate Details'!#REF!</f>
        <v>#REF!</v>
      </c>
      <c r="N802" s="194" t="e">
        <f>+'Estimate Details'!#REF!</f>
        <v>#REF!</v>
      </c>
      <c r="O802" s="171" t="e">
        <f>+'Estimate Details'!#REF!</f>
        <v>#REF!</v>
      </c>
      <c r="P802" s="172" t="e">
        <f>+'Estimate Details'!#REF!</f>
        <v>#REF!</v>
      </c>
      <c r="Q802" s="173" t="e">
        <f>+'Estimate Details'!#REF!</f>
        <v>#REF!</v>
      </c>
      <c r="R802" s="174" t="e">
        <f>+'Estimate Details'!#REF!</f>
        <v>#REF!</v>
      </c>
      <c r="S802" s="507"/>
      <c r="T802" s="174" t="e">
        <f>+'Estimate Details'!#REF!</f>
        <v>#REF!</v>
      </c>
      <c r="U802" s="481" t="s">
        <v>1310</v>
      </c>
      <c r="V802" s="172" t="e">
        <f>+'Estimate Details'!#REF!</f>
        <v>#REF!</v>
      </c>
      <c r="W802" s="481" t="s">
        <v>1310</v>
      </c>
      <c r="X802" s="172" t="e">
        <f>+'Estimate Details'!#REF!</f>
        <v>#REF!</v>
      </c>
      <c r="Y802" s="172" t="e">
        <f>+'Estimate Details'!#REF!</f>
        <v>#REF!</v>
      </c>
      <c r="Z802" s="174" t="e">
        <f>+'Estimate Details'!#REF!</f>
        <v>#REF!</v>
      </c>
      <c r="AA802" s="481"/>
      <c r="AB802" s="175" t="e">
        <f>+'Estimate Details'!#REF!</f>
        <v>#REF!</v>
      </c>
      <c r="AC802" s="569"/>
      <c r="AD802" s="183" t="e">
        <f>+'Estimate Details'!#REF!</f>
        <v>#REF!</v>
      </c>
      <c r="AE802" s="156"/>
      <c r="AF802" s="156"/>
      <c r="AG802" s="156"/>
      <c r="AH802" s="156"/>
      <c r="AI802" s="29"/>
      <c r="AJ802" s="29"/>
      <c r="AK802" s="29"/>
      <c r="AL802" s="29"/>
    </row>
    <row r="803" spans="1:38" ht="14.1" customHeight="1">
      <c r="A803" s="116" t="e">
        <f>+'Estimate Details'!#REF!</f>
        <v>#REF!</v>
      </c>
      <c r="B803" s="116"/>
      <c r="C803" s="116"/>
      <c r="D803" s="166"/>
      <c r="E803" s="158" t="e">
        <f>+'Estimate Details'!#REF!</f>
        <v>#REF!</v>
      </c>
      <c r="F803" s="41"/>
      <c r="G803" s="117" t="e">
        <f>+'Estimate Details'!#REF!</f>
        <v>#REF!</v>
      </c>
      <c r="H803" s="118" t="e">
        <f>+'Estimate Details'!#REF!</f>
        <v>#REF!</v>
      </c>
      <c r="I803" s="108" t="e">
        <f>+'Estimate Details'!#REF!</f>
        <v>#REF!</v>
      </c>
      <c r="J803" s="116" t="e">
        <f>+'Estimate Details'!#REF!</f>
        <v>#REF!</v>
      </c>
      <c r="K803" s="116" t="e">
        <f>+'Estimate Details'!#REF!</f>
        <v>#REF!</v>
      </c>
      <c r="L803" s="116" t="e">
        <f>+'Estimate Details'!#REF!</f>
        <v>#REF!</v>
      </c>
      <c r="M803" s="204" t="e">
        <f>+'Estimate Details'!#REF!</f>
        <v>#REF!</v>
      </c>
      <c r="N803" s="194" t="e">
        <f>+'Estimate Details'!#REF!</f>
        <v>#REF!</v>
      </c>
      <c r="O803" s="171" t="e">
        <f>+'Estimate Details'!#REF!</f>
        <v>#REF!</v>
      </c>
      <c r="P803" s="172" t="e">
        <f>+'Estimate Details'!#REF!</f>
        <v>#REF!</v>
      </c>
      <c r="Q803" s="173" t="e">
        <f>+'Estimate Details'!#REF!</f>
        <v>#REF!</v>
      </c>
      <c r="R803" s="174" t="e">
        <f>+'Estimate Details'!#REF!</f>
        <v>#REF!</v>
      </c>
      <c r="S803" s="507"/>
      <c r="T803" s="174" t="e">
        <f>+'Estimate Details'!#REF!</f>
        <v>#REF!</v>
      </c>
      <c r="U803" s="481" t="s">
        <v>1310</v>
      </c>
      <c r="V803" s="172" t="e">
        <f>+'Estimate Details'!#REF!</f>
        <v>#REF!</v>
      </c>
      <c r="W803" s="481" t="s">
        <v>1310</v>
      </c>
      <c r="X803" s="172" t="e">
        <f>+'Estimate Details'!#REF!</f>
        <v>#REF!</v>
      </c>
      <c r="Y803" s="172" t="e">
        <f>+'Estimate Details'!#REF!</f>
        <v>#REF!</v>
      </c>
      <c r="Z803" s="174" t="e">
        <f>+'Estimate Details'!#REF!</f>
        <v>#REF!</v>
      </c>
      <c r="AA803" s="481"/>
      <c r="AB803" s="175" t="e">
        <f>+'Estimate Details'!#REF!</f>
        <v>#REF!</v>
      </c>
      <c r="AC803" s="569"/>
      <c r="AD803" s="183" t="e">
        <f>+'Estimate Details'!#REF!</f>
        <v>#REF!</v>
      </c>
      <c r="AE803" s="156"/>
      <c r="AF803" s="372"/>
      <c r="AG803" s="156"/>
      <c r="AH803" s="156"/>
      <c r="AI803" s="29"/>
      <c r="AJ803" s="29"/>
      <c r="AK803" s="29"/>
      <c r="AL803" s="29"/>
    </row>
    <row r="804" spans="1:38" ht="14.1" customHeight="1">
      <c r="A804" s="116" t="e">
        <f>+'Estimate Details'!#REF!</f>
        <v>#REF!</v>
      </c>
      <c r="B804" s="116"/>
      <c r="C804" s="116"/>
      <c r="D804" s="166"/>
      <c r="E804" s="158" t="e">
        <f>+'Estimate Details'!#REF!</f>
        <v>#REF!</v>
      </c>
      <c r="F804" s="41"/>
      <c r="G804" s="117" t="e">
        <f>+'Estimate Details'!#REF!</f>
        <v>#REF!</v>
      </c>
      <c r="H804" s="118" t="e">
        <f>+'Estimate Details'!#REF!</f>
        <v>#REF!</v>
      </c>
      <c r="I804" s="108" t="e">
        <f>+'Estimate Details'!#REF!</f>
        <v>#REF!</v>
      </c>
      <c r="J804" s="116" t="e">
        <f>+'Estimate Details'!#REF!</f>
        <v>#REF!</v>
      </c>
      <c r="K804" s="116" t="e">
        <f>+'Estimate Details'!#REF!</f>
        <v>#REF!</v>
      </c>
      <c r="L804" s="116" t="e">
        <f>+'Estimate Details'!#REF!</f>
        <v>#REF!</v>
      </c>
      <c r="M804" s="204" t="e">
        <f>+'Estimate Details'!#REF!</f>
        <v>#REF!</v>
      </c>
      <c r="N804" s="194" t="e">
        <f>+'Estimate Details'!#REF!</f>
        <v>#REF!</v>
      </c>
      <c r="O804" s="171" t="e">
        <f>+'Estimate Details'!#REF!</f>
        <v>#REF!</v>
      </c>
      <c r="P804" s="172" t="e">
        <f>+'Estimate Details'!#REF!</f>
        <v>#REF!</v>
      </c>
      <c r="Q804" s="173" t="e">
        <f>+'Estimate Details'!#REF!</f>
        <v>#REF!</v>
      </c>
      <c r="R804" s="174" t="e">
        <f>+'Estimate Details'!#REF!</f>
        <v>#REF!</v>
      </c>
      <c r="S804" s="507"/>
      <c r="T804" s="174" t="e">
        <f>+'Estimate Details'!#REF!</f>
        <v>#REF!</v>
      </c>
      <c r="U804" s="481" t="s">
        <v>1310</v>
      </c>
      <c r="V804" s="172" t="e">
        <f>+'Estimate Details'!#REF!</f>
        <v>#REF!</v>
      </c>
      <c r="W804" s="481" t="s">
        <v>1310</v>
      </c>
      <c r="X804" s="172" t="e">
        <f>+'Estimate Details'!#REF!</f>
        <v>#REF!</v>
      </c>
      <c r="Y804" s="172" t="e">
        <f>+'Estimate Details'!#REF!</f>
        <v>#REF!</v>
      </c>
      <c r="Z804" s="174" t="e">
        <f>+'Estimate Details'!#REF!</f>
        <v>#REF!</v>
      </c>
      <c r="AA804" s="481"/>
      <c r="AB804" s="175" t="e">
        <f>+'Estimate Details'!#REF!</f>
        <v>#REF!</v>
      </c>
      <c r="AC804" s="569"/>
      <c r="AD804" s="176" t="e">
        <f>+'Estimate Details'!#REF!</f>
        <v>#REF!</v>
      </c>
      <c r="AE804" s="156"/>
      <c r="AF804" s="372"/>
      <c r="AG804" s="156"/>
      <c r="AH804" s="156"/>
      <c r="AI804" s="29"/>
      <c r="AJ804" s="29"/>
      <c r="AK804" s="29"/>
      <c r="AL804" s="29"/>
    </row>
    <row r="805" spans="1:38" ht="14.1" customHeight="1">
      <c r="A805" s="116" t="e">
        <f>+'Estimate Details'!#REF!</f>
        <v>#REF!</v>
      </c>
      <c r="B805" s="116"/>
      <c r="C805" s="116"/>
      <c r="D805" s="166"/>
      <c r="E805" s="158" t="e">
        <f>+'Estimate Details'!#REF!</f>
        <v>#REF!</v>
      </c>
      <c r="F805" s="41"/>
      <c r="G805" s="117" t="e">
        <f>+'Estimate Details'!#REF!</f>
        <v>#REF!</v>
      </c>
      <c r="H805" s="41" t="e">
        <f>+'Estimate Details'!#REF!</f>
        <v>#REF!</v>
      </c>
      <c r="I805" s="108" t="e">
        <f>+'Estimate Details'!#REF!</f>
        <v>#REF!</v>
      </c>
      <c r="J805" s="116" t="e">
        <f>+'Estimate Details'!#REF!</f>
        <v>#REF!</v>
      </c>
      <c r="K805" s="116" t="e">
        <f>+'Estimate Details'!#REF!</f>
        <v>#REF!</v>
      </c>
      <c r="L805" s="116" t="e">
        <f>+'Estimate Details'!#REF!</f>
        <v>#REF!</v>
      </c>
      <c r="M805" s="204" t="e">
        <f>+'Estimate Details'!#REF!</f>
        <v>#REF!</v>
      </c>
      <c r="N805" s="194" t="e">
        <f>+'Estimate Details'!#REF!</f>
        <v>#REF!</v>
      </c>
      <c r="O805" s="171" t="e">
        <f>+'Estimate Details'!#REF!</f>
        <v>#REF!</v>
      </c>
      <c r="P805" s="172" t="e">
        <f>+'Estimate Details'!#REF!</f>
        <v>#REF!</v>
      </c>
      <c r="Q805" s="173" t="e">
        <f>+'Estimate Details'!#REF!</f>
        <v>#REF!</v>
      </c>
      <c r="R805" s="174" t="e">
        <f>+'Estimate Details'!#REF!</f>
        <v>#REF!</v>
      </c>
      <c r="S805" s="507"/>
      <c r="T805" s="174" t="e">
        <f>+'Estimate Details'!#REF!</f>
        <v>#REF!</v>
      </c>
      <c r="U805" s="481" t="s">
        <v>1310</v>
      </c>
      <c r="V805" s="172" t="e">
        <f>+'Estimate Details'!#REF!</f>
        <v>#REF!</v>
      </c>
      <c r="W805" s="481" t="s">
        <v>1310</v>
      </c>
      <c r="X805" s="172" t="e">
        <f>+'Estimate Details'!#REF!</f>
        <v>#REF!</v>
      </c>
      <c r="Y805" s="172" t="e">
        <f>+'Estimate Details'!#REF!</f>
        <v>#REF!</v>
      </c>
      <c r="Z805" s="174" t="e">
        <f>+'Estimate Details'!#REF!</f>
        <v>#REF!</v>
      </c>
      <c r="AA805" s="481"/>
      <c r="AB805" s="175" t="e">
        <f>+'Estimate Details'!#REF!</f>
        <v>#REF!</v>
      </c>
      <c r="AC805" s="569"/>
      <c r="AD805" s="183" t="e">
        <f>+'Estimate Details'!#REF!</f>
        <v>#REF!</v>
      </c>
      <c r="AE805" s="156"/>
      <c r="AF805" s="372"/>
      <c r="AG805" s="156"/>
      <c r="AH805" s="156"/>
      <c r="AI805" s="29"/>
      <c r="AJ805" s="29"/>
      <c r="AK805" s="29"/>
      <c r="AL805" s="29"/>
    </row>
    <row r="806" spans="1:38" ht="14.1" customHeight="1">
      <c r="A806" s="116" t="e">
        <f>+'Estimate Details'!#REF!</f>
        <v>#REF!</v>
      </c>
      <c r="B806" s="116"/>
      <c r="C806" s="116"/>
      <c r="D806" s="166"/>
      <c r="E806" s="158" t="e">
        <f>+'Estimate Details'!#REF!</f>
        <v>#REF!</v>
      </c>
      <c r="F806" s="41"/>
      <c r="G806" s="117" t="e">
        <f>+'Estimate Details'!#REF!</f>
        <v>#REF!</v>
      </c>
      <c r="H806" s="41" t="e">
        <f>+'Estimate Details'!#REF!</f>
        <v>#REF!</v>
      </c>
      <c r="I806" s="108" t="e">
        <f>+'Estimate Details'!#REF!</f>
        <v>#REF!</v>
      </c>
      <c r="J806" s="116" t="e">
        <f>+'Estimate Details'!#REF!</f>
        <v>#REF!</v>
      </c>
      <c r="K806" s="116" t="e">
        <f>+'Estimate Details'!#REF!</f>
        <v>#REF!</v>
      </c>
      <c r="L806" s="116" t="e">
        <f>+'Estimate Details'!#REF!</f>
        <v>#REF!</v>
      </c>
      <c r="M806" s="204" t="e">
        <f>+'Estimate Details'!#REF!</f>
        <v>#REF!</v>
      </c>
      <c r="N806" s="194" t="e">
        <f>+'Estimate Details'!#REF!</f>
        <v>#REF!</v>
      </c>
      <c r="O806" s="171" t="e">
        <f>+'Estimate Details'!#REF!</f>
        <v>#REF!</v>
      </c>
      <c r="P806" s="172" t="e">
        <f>+'Estimate Details'!#REF!</f>
        <v>#REF!</v>
      </c>
      <c r="Q806" s="173" t="e">
        <f>+'Estimate Details'!#REF!</f>
        <v>#REF!</v>
      </c>
      <c r="R806" s="174" t="e">
        <f>+'Estimate Details'!#REF!</f>
        <v>#REF!</v>
      </c>
      <c r="S806" s="507"/>
      <c r="T806" s="174" t="e">
        <f>+'Estimate Details'!#REF!</f>
        <v>#REF!</v>
      </c>
      <c r="U806" s="481" t="s">
        <v>1302</v>
      </c>
      <c r="V806" s="172" t="e">
        <f>+'Estimate Details'!#REF!</f>
        <v>#REF!</v>
      </c>
      <c r="W806" s="481" t="s">
        <v>1309</v>
      </c>
      <c r="X806" s="172" t="e">
        <f>+'Estimate Details'!#REF!</f>
        <v>#REF!</v>
      </c>
      <c r="Y806" s="172" t="e">
        <f>+'Estimate Details'!#REF!</f>
        <v>#REF!</v>
      </c>
      <c r="Z806" s="174" t="e">
        <f>+'Estimate Details'!#REF!</f>
        <v>#REF!</v>
      </c>
      <c r="AA806" s="481"/>
      <c r="AB806" s="175" t="e">
        <f>+'Estimate Details'!#REF!</f>
        <v>#REF!</v>
      </c>
      <c r="AC806" s="569"/>
      <c r="AD806" s="183" t="e">
        <f>+'Estimate Details'!#REF!</f>
        <v>#REF!</v>
      </c>
      <c r="AE806" s="156"/>
      <c r="AF806" s="372"/>
      <c r="AG806" s="156"/>
      <c r="AH806" s="156"/>
      <c r="AI806" s="29"/>
      <c r="AJ806" s="29"/>
      <c r="AK806" s="29"/>
      <c r="AL806" s="29"/>
    </row>
    <row r="807" spans="1:38" ht="14.1" customHeight="1">
      <c r="A807" s="116" t="e">
        <f>+'Estimate Details'!#REF!</f>
        <v>#REF!</v>
      </c>
      <c r="B807" s="116"/>
      <c r="C807" s="116"/>
      <c r="D807" s="166"/>
      <c r="E807" s="158" t="e">
        <f>+'Estimate Details'!#REF!</f>
        <v>#REF!</v>
      </c>
      <c r="F807" s="41"/>
      <c r="G807" s="117" t="e">
        <f>+'Estimate Details'!#REF!</f>
        <v>#REF!</v>
      </c>
      <c r="H807" s="118" t="e">
        <f>+'Estimate Details'!#REF!</f>
        <v>#REF!</v>
      </c>
      <c r="I807" s="108" t="e">
        <f>+'Estimate Details'!#REF!</f>
        <v>#REF!</v>
      </c>
      <c r="J807" s="168" t="e">
        <f>+'Estimate Details'!#REF!</f>
        <v>#REF!</v>
      </c>
      <c r="K807" s="116" t="e">
        <f>+'Estimate Details'!#REF!</f>
        <v>#REF!</v>
      </c>
      <c r="L807" s="42" t="e">
        <f>+'Estimate Details'!#REF!</f>
        <v>#REF!</v>
      </c>
      <c r="M807" s="177" t="e">
        <f>+'Estimate Details'!#REF!</f>
        <v>#REF!</v>
      </c>
      <c r="N807" s="170" t="e">
        <f>+'Estimate Details'!#REF!</f>
        <v>#REF!</v>
      </c>
      <c r="O807" s="171" t="e">
        <f>+'Estimate Details'!#REF!</f>
        <v>#REF!</v>
      </c>
      <c r="P807" s="172" t="e">
        <f>+'Estimate Details'!#REF!</f>
        <v>#REF!</v>
      </c>
      <c r="Q807" s="173" t="e">
        <f>+'Estimate Details'!#REF!</f>
        <v>#REF!</v>
      </c>
      <c r="R807" s="174" t="e">
        <f>+'Estimate Details'!#REF!</f>
        <v>#REF!</v>
      </c>
      <c r="S807" s="507"/>
      <c r="T807" s="174" t="e">
        <f>+'Estimate Details'!#REF!</f>
        <v>#REF!</v>
      </c>
      <c r="U807" s="481"/>
      <c r="V807" s="172" t="e">
        <f>+'Estimate Details'!#REF!</f>
        <v>#REF!</v>
      </c>
      <c r="W807" s="481" t="s">
        <v>1310</v>
      </c>
      <c r="X807" s="172" t="e">
        <f>+'Estimate Details'!#REF!</f>
        <v>#REF!</v>
      </c>
      <c r="Y807" s="172" t="e">
        <f>+'Estimate Details'!#REF!</f>
        <v>#REF!</v>
      </c>
      <c r="Z807" s="174" t="e">
        <f>+'Estimate Details'!#REF!</f>
        <v>#REF!</v>
      </c>
      <c r="AA807" s="481" t="s">
        <v>1310</v>
      </c>
      <c r="AB807" s="175" t="e">
        <f>+'Estimate Details'!#REF!</f>
        <v>#REF!</v>
      </c>
      <c r="AC807" s="569"/>
      <c r="AD807" s="176" t="e">
        <f>+'Estimate Details'!#REF!</f>
        <v>#REF!</v>
      </c>
      <c r="AE807" s="156"/>
      <c r="AF807" s="372"/>
      <c r="AG807" s="156"/>
      <c r="AH807" s="156"/>
      <c r="AI807" s="29"/>
      <c r="AJ807" s="29"/>
      <c r="AK807" s="29"/>
      <c r="AL807" s="29"/>
    </row>
    <row r="808" spans="1:38" ht="13.5" customHeight="1">
      <c r="A808" s="116" t="e">
        <f>+'Estimate Details'!#REF!</f>
        <v>#REF!</v>
      </c>
      <c r="B808" s="116"/>
      <c r="C808" s="116"/>
      <c r="D808" s="166"/>
      <c r="E808" s="158">
        <f>+'Estimate Details'!A45</f>
        <v>34</v>
      </c>
      <c r="F808" s="41"/>
      <c r="G808" s="117" t="str">
        <f>+'Estimate Details'!C45</f>
        <v>Inverter</v>
      </c>
      <c r="H808" s="118" t="str">
        <f>+'Estimate Details'!D45</f>
        <v>500 kW Packaged Inverter</v>
      </c>
      <c r="I808" s="108">
        <f>+'Estimate Details'!E45</f>
        <v>20</v>
      </c>
      <c r="J808" s="179" t="str">
        <f>+'Estimate Details'!F45</f>
        <v>ea</v>
      </c>
      <c r="K808" s="116" t="str">
        <f>+'Estimate Details'!G45</f>
        <v>Contr</v>
      </c>
      <c r="L808" s="116" t="str">
        <f>+'Estimate Details'!H45</f>
        <v>Contr</v>
      </c>
      <c r="M808" s="204">
        <f>+'Estimate Details'!I45</f>
        <v>120000</v>
      </c>
      <c r="N808" s="218">
        <f>+'Estimate Details'!J45</f>
        <v>120</v>
      </c>
      <c r="O808" s="171">
        <f>+'Estimate Details'!K45</f>
        <v>66.55834868330605</v>
      </c>
      <c r="P808" s="172">
        <f>+'Estimate Details'!L45</f>
        <v>2400</v>
      </c>
      <c r="Q808" s="173">
        <f>+'Estimate Details'!M45</f>
        <v>1.085</v>
      </c>
      <c r="R808" s="174" t="str">
        <f>+'Estimate Details'!N45</f>
        <v>0</v>
      </c>
      <c r="S808" s="507" t="s">
        <v>1303</v>
      </c>
      <c r="T808" s="174">
        <f>+'Estimate Details'!O45</f>
        <v>2400000</v>
      </c>
      <c r="U808" s="481"/>
      <c r="V808" s="172">
        <f>+'Estimate Details'!R45</f>
        <v>173317.93997132897</v>
      </c>
      <c r="W808" s="481"/>
      <c r="X808" s="172">
        <f>+'Estimate Details'!S45</f>
        <v>2604</v>
      </c>
      <c r="Y808" s="172">
        <f>+'Estimate Details'!T45</f>
        <v>2573317.9399713292</v>
      </c>
      <c r="Z808" s="174" t="str">
        <f>+'Estimate Details'!U45</f>
        <v>0</v>
      </c>
      <c r="AA808" s="481"/>
      <c r="AB808" s="175">
        <f>+'Estimate Details'!V45</f>
        <v>2573317.9399713292</v>
      </c>
      <c r="AC808" s="569"/>
      <c r="AD808" s="183" t="str">
        <f>+'Estimate Details'!X45</f>
        <v>OEM Budget Proposal</v>
      </c>
      <c r="AE808" s="156"/>
      <c r="AF808" s="372"/>
      <c r="AG808" s="156"/>
      <c r="AH808" s="156"/>
      <c r="AI808" s="29"/>
      <c r="AJ808" s="29"/>
      <c r="AK808" s="29"/>
      <c r="AL808" s="29"/>
    </row>
    <row r="809" spans="1:38" ht="14.1" customHeight="1">
      <c r="A809" s="116" t="e">
        <f>+'Estimate Details'!#REF!</f>
        <v>#REF!</v>
      </c>
      <c r="B809" s="116"/>
      <c r="C809" s="116"/>
      <c r="D809" s="166"/>
      <c r="E809" s="158" t="e">
        <f>+'Estimate Details'!#REF!</f>
        <v>#REF!</v>
      </c>
      <c r="F809" s="41"/>
      <c r="G809" s="117" t="e">
        <f>+'Estimate Details'!#REF!</f>
        <v>#REF!</v>
      </c>
      <c r="H809" s="118" t="e">
        <f>+'Estimate Details'!#REF!</f>
        <v>#REF!</v>
      </c>
      <c r="I809" s="108" t="e">
        <f>+'Estimate Details'!#REF!</f>
        <v>#REF!</v>
      </c>
      <c r="J809" s="179" t="e">
        <f>+'Estimate Details'!#REF!</f>
        <v>#REF!</v>
      </c>
      <c r="K809" s="116" t="e">
        <f>+'Estimate Details'!#REF!</f>
        <v>#REF!</v>
      </c>
      <c r="L809" s="116" t="e">
        <f>+'Estimate Details'!#REF!</f>
        <v>#REF!</v>
      </c>
      <c r="M809" s="204" t="e">
        <f>+'Estimate Details'!#REF!</f>
        <v>#REF!</v>
      </c>
      <c r="N809" s="218" t="e">
        <f>+'Estimate Details'!#REF!</f>
        <v>#REF!</v>
      </c>
      <c r="O809" s="171" t="e">
        <f>+'Estimate Details'!#REF!</f>
        <v>#REF!</v>
      </c>
      <c r="P809" s="172" t="e">
        <f>+'Estimate Details'!#REF!</f>
        <v>#REF!</v>
      </c>
      <c r="Q809" s="173" t="e">
        <f>+'Estimate Details'!#REF!</f>
        <v>#REF!</v>
      </c>
      <c r="R809" s="174" t="e">
        <f>+'Estimate Details'!#REF!</f>
        <v>#REF!</v>
      </c>
      <c r="S809" s="507"/>
      <c r="T809" s="174" t="e">
        <f>+'Estimate Details'!#REF!</f>
        <v>#REF!</v>
      </c>
      <c r="U809" s="481"/>
      <c r="V809" s="172" t="e">
        <f>+'Estimate Details'!#REF!</f>
        <v>#REF!</v>
      </c>
      <c r="W809" s="481" t="s">
        <v>1303</v>
      </c>
      <c r="X809" s="172" t="e">
        <f>+'Estimate Details'!#REF!</f>
        <v>#REF!</v>
      </c>
      <c r="Y809" s="172" t="e">
        <f>+'Estimate Details'!#REF!</f>
        <v>#REF!</v>
      </c>
      <c r="Z809" s="174" t="e">
        <f>+'Estimate Details'!#REF!</f>
        <v>#REF!</v>
      </c>
      <c r="AA809" s="481"/>
      <c r="AB809" s="175" t="e">
        <f>+'Estimate Details'!#REF!</f>
        <v>#REF!</v>
      </c>
      <c r="AC809" s="569"/>
      <c r="AD809" s="183" t="e">
        <f>+'Estimate Details'!#REF!</f>
        <v>#REF!</v>
      </c>
      <c r="AE809" s="156"/>
      <c r="AF809" s="372"/>
      <c r="AG809" s="156"/>
      <c r="AH809" s="156"/>
      <c r="AI809" s="29"/>
      <c r="AJ809" s="29"/>
      <c r="AK809" s="29"/>
      <c r="AL809" s="29"/>
    </row>
    <row r="810" spans="1:38" ht="14.1" customHeight="1">
      <c r="A810" s="116" t="e">
        <f>+'Estimate Details'!#REF!</f>
        <v>#REF!</v>
      </c>
      <c r="B810" s="116"/>
      <c r="C810" s="116"/>
      <c r="D810" s="166"/>
      <c r="E810" s="158" t="e">
        <f>+'Estimate Details'!#REF!</f>
        <v>#REF!</v>
      </c>
      <c r="F810" s="41"/>
      <c r="G810" s="117" t="e">
        <f>+'Estimate Details'!#REF!</f>
        <v>#REF!</v>
      </c>
      <c r="H810" s="118" t="e">
        <f>+'Estimate Details'!#REF!</f>
        <v>#REF!</v>
      </c>
      <c r="I810" s="108" t="e">
        <f>+'Estimate Details'!#REF!</f>
        <v>#REF!</v>
      </c>
      <c r="J810" s="179" t="e">
        <f>+'Estimate Details'!#REF!</f>
        <v>#REF!</v>
      </c>
      <c r="K810" s="116" t="e">
        <f>+'Estimate Details'!#REF!</f>
        <v>#REF!</v>
      </c>
      <c r="L810" s="116" t="e">
        <f>+'Estimate Details'!#REF!</f>
        <v>#REF!</v>
      </c>
      <c r="M810" s="204" t="e">
        <f>+'Estimate Details'!#REF!</f>
        <v>#REF!</v>
      </c>
      <c r="N810" s="194" t="e">
        <f>+'Estimate Details'!#REF!</f>
        <v>#REF!</v>
      </c>
      <c r="O810" s="171" t="e">
        <f>+'Estimate Details'!#REF!</f>
        <v>#REF!</v>
      </c>
      <c r="P810" s="172" t="e">
        <f>+'Estimate Details'!#REF!</f>
        <v>#REF!</v>
      </c>
      <c r="Q810" s="173" t="e">
        <f>+'Estimate Details'!#REF!</f>
        <v>#REF!</v>
      </c>
      <c r="R810" s="174" t="e">
        <f>+'Estimate Details'!#REF!</f>
        <v>#REF!</v>
      </c>
      <c r="S810" s="507"/>
      <c r="T810" s="174" t="e">
        <f>+'Estimate Details'!#REF!</f>
        <v>#REF!</v>
      </c>
      <c r="U810" s="481" t="s">
        <v>1310</v>
      </c>
      <c r="V810" s="172" t="e">
        <f>+'Estimate Details'!#REF!</f>
        <v>#REF!</v>
      </c>
      <c r="W810" s="481" t="s">
        <v>1310</v>
      </c>
      <c r="X810" s="172" t="e">
        <f>+'Estimate Details'!#REF!</f>
        <v>#REF!</v>
      </c>
      <c r="Y810" s="172" t="e">
        <f>+'Estimate Details'!#REF!</f>
        <v>#REF!</v>
      </c>
      <c r="Z810" s="174" t="e">
        <f>+'Estimate Details'!#REF!</f>
        <v>#REF!</v>
      </c>
      <c r="AA810" s="481"/>
      <c r="AB810" s="175" t="e">
        <f>+'Estimate Details'!#REF!</f>
        <v>#REF!</v>
      </c>
      <c r="AC810" s="569"/>
      <c r="AD810" s="176" t="e">
        <f>+'Estimate Details'!#REF!</f>
        <v>#REF!</v>
      </c>
      <c r="AE810" s="156"/>
      <c r="AF810" s="372"/>
      <c r="AG810" s="156"/>
      <c r="AH810" s="156"/>
      <c r="AI810" s="29"/>
      <c r="AJ810" s="29"/>
      <c r="AK810" s="29"/>
      <c r="AL810" s="29"/>
    </row>
    <row r="811" spans="1:38" ht="13.5" customHeight="1">
      <c r="A811" s="116" t="e">
        <f>+'Estimate Details'!#REF!</f>
        <v>#REF!</v>
      </c>
      <c r="B811" s="116"/>
      <c r="C811" s="116"/>
      <c r="D811" s="166"/>
      <c r="E811" s="158" t="e">
        <f>+'Estimate Details'!#REF!</f>
        <v>#REF!</v>
      </c>
      <c r="F811" s="41"/>
      <c r="G811" s="117" t="e">
        <f>+'Estimate Details'!#REF!</f>
        <v>#REF!</v>
      </c>
      <c r="H811" s="118" t="e">
        <f>+'Estimate Details'!#REF!</f>
        <v>#REF!</v>
      </c>
      <c r="I811" s="108" t="e">
        <f>+'Estimate Details'!#REF!</f>
        <v>#REF!</v>
      </c>
      <c r="J811" s="179" t="e">
        <f>+'Estimate Details'!#REF!</f>
        <v>#REF!</v>
      </c>
      <c r="K811" s="116" t="e">
        <f>+'Estimate Details'!#REF!</f>
        <v>#REF!</v>
      </c>
      <c r="L811" s="116" t="e">
        <f>+'Estimate Details'!#REF!</f>
        <v>#REF!</v>
      </c>
      <c r="M811" s="204" t="e">
        <f>+'Estimate Details'!#REF!</f>
        <v>#REF!</v>
      </c>
      <c r="N811" s="194" t="e">
        <f>+'Estimate Details'!#REF!</f>
        <v>#REF!</v>
      </c>
      <c r="O811" s="171" t="e">
        <f>+'Estimate Details'!#REF!</f>
        <v>#REF!</v>
      </c>
      <c r="P811" s="172" t="e">
        <f>+'Estimate Details'!#REF!</f>
        <v>#REF!</v>
      </c>
      <c r="Q811" s="173" t="e">
        <f>+'Estimate Details'!#REF!</f>
        <v>#REF!</v>
      </c>
      <c r="R811" s="174" t="e">
        <f>+'Estimate Details'!#REF!</f>
        <v>#REF!</v>
      </c>
      <c r="S811" s="507"/>
      <c r="T811" s="174" t="e">
        <f>+'Estimate Details'!#REF!</f>
        <v>#REF!</v>
      </c>
      <c r="U811" s="481" t="s">
        <v>1310</v>
      </c>
      <c r="V811" s="172" t="e">
        <f>+'Estimate Details'!#REF!</f>
        <v>#REF!</v>
      </c>
      <c r="W811" s="481" t="s">
        <v>1310</v>
      </c>
      <c r="X811" s="172" t="e">
        <f>+'Estimate Details'!#REF!</f>
        <v>#REF!</v>
      </c>
      <c r="Y811" s="172" t="e">
        <f>+'Estimate Details'!#REF!</f>
        <v>#REF!</v>
      </c>
      <c r="Z811" s="174" t="e">
        <f>+'Estimate Details'!#REF!</f>
        <v>#REF!</v>
      </c>
      <c r="AA811" s="481"/>
      <c r="AB811" s="175" t="e">
        <f>+'Estimate Details'!#REF!</f>
        <v>#REF!</v>
      </c>
      <c r="AC811" s="569"/>
      <c r="AD811" s="176" t="e">
        <f>+'Estimate Details'!#REF!</f>
        <v>#REF!</v>
      </c>
      <c r="AE811" s="156"/>
      <c r="AF811" s="372"/>
      <c r="AG811" s="156"/>
      <c r="AH811" s="156"/>
      <c r="AI811" s="29"/>
      <c r="AJ811" s="29"/>
      <c r="AK811" s="29"/>
      <c r="AL811" s="29"/>
    </row>
    <row r="812" spans="1:38" ht="14.1" customHeight="1">
      <c r="A812" s="116" t="e">
        <f>+'Estimate Details'!#REF!</f>
        <v>#REF!</v>
      </c>
      <c r="B812" s="116"/>
      <c r="C812" s="116"/>
      <c r="D812" s="166"/>
      <c r="E812" s="158" t="e">
        <f>+'Estimate Details'!#REF!</f>
        <v>#REF!</v>
      </c>
      <c r="F812" s="41"/>
      <c r="G812" s="117" t="e">
        <f>+'Estimate Details'!#REF!</f>
        <v>#REF!</v>
      </c>
      <c r="H812" s="118" t="e">
        <f>+'Estimate Details'!#REF!</f>
        <v>#REF!</v>
      </c>
      <c r="I812" s="108" t="e">
        <f>+'Estimate Details'!#REF!</f>
        <v>#REF!</v>
      </c>
      <c r="J812" s="179" t="e">
        <f>+'Estimate Details'!#REF!</f>
        <v>#REF!</v>
      </c>
      <c r="K812" s="116" t="e">
        <f>+'Estimate Details'!#REF!</f>
        <v>#REF!</v>
      </c>
      <c r="L812" s="116" t="e">
        <f>+'Estimate Details'!#REF!</f>
        <v>#REF!</v>
      </c>
      <c r="M812" s="204" t="e">
        <f>+'Estimate Details'!#REF!</f>
        <v>#REF!</v>
      </c>
      <c r="N812" s="237" t="e">
        <f>+'Estimate Details'!#REF!</f>
        <v>#REF!</v>
      </c>
      <c r="O812" s="171" t="e">
        <f>+'Estimate Details'!#REF!</f>
        <v>#REF!</v>
      </c>
      <c r="P812" s="172" t="e">
        <f>+'Estimate Details'!#REF!</f>
        <v>#REF!</v>
      </c>
      <c r="Q812" s="173" t="e">
        <f>+'Estimate Details'!#REF!</f>
        <v>#REF!</v>
      </c>
      <c r="R812" s="174" t="e">
        <f>+'Estimate Details'!#REF!</f>
        <v>#REF!</v>
      </c>
      <c r="S812" s="507" t="s">
        <v>1297</v>
      </c>
      <c r="T812" s="174" t="e">
        <f>+'Estimate Details'!#REF!</f>
        <v>#REF!</v>
      </c>
      <c r="U812" s="481"/>
      <c r="V812" s="172" t="e">
        <f>+'Estimate Details'!#REF!</f>
        <v>#REF!</v>
      </c>
      <c r="W812" s="481"/>
      <c r="X812" s="172" t="e">
        <f>+'Estimate Details'!#REF!</f>
        <v>#REF!</v>
      </c>
      <c r="Y812" s="172" t="e">
        <f>+'Estimate Details'!#REF!</f>
        <v>#REF!</v>
      </c>
      <c r="Z812" s="174" t="e">
        <f>+'Estimate Details'!#REF!</f>
        <v>#REF!</v>
      </c>
      <c r="AA812" s="481"/>
      <c r="AB812" s="175" t="e">
        <f>+'Estimate Details'!#REF!</f>
        <v>#REF!</v>
      </c>
      <c r="AC812" s="569"/>
      <c r="AD812" s="176" t="e">
        <f>+'Estimate Details'!#REF!</f>
        <v>#REF!</v>
      </c>
      <c r="AE812" s="156"/>
      <c r="AF812" s="372"/>
      <c r="AG812" s="156"/>
      <c r="AH812" s="156"/>
      <c r="AI812" s="29"/>
      <c r="AJ812" s="29"/>
      <c r="AK812" s="29"/>
      <c r="AL812" s="29"/>
    </row>
    <row r="813" spans="1:38" ht="14.1" customHeight="1">
      <c r="A813" s="116" t="e">
        <f>+'Estimate Details'!#REF!</f>
        <v>#REF!</v>
      </c>
      <c r="B813" s="116"/>
      <c r="C813" s="116"/>
      <c r="D813" s="166"/>
      <c r="E813" s="158" t="e">
        <f>+'Estimate Details'!#REF!</f>
        <v>#REF!</v>
      </c>
      <c r="F813" s="41"/>
      <c r="G813" s="117" t="e">
        <f>+'Estimate Details'!#REF!</f>
        <v>#REF!</v>
      </c>
      <c r="H813" s="118" t="e">
        <f>+'Estimate Details'!#REF!</f>
        <v>#REF!</v>
      </c>
      <c r="I813" s="108" t="e">
        <f>+'Estimate Details'!#REF!</f>
        <v>#REF!</v>
      </c>
      <c r="J813" s="179" t="e">
        <f>+'Estimate Details'!#REF!</f>
        <v>#REF!</v>
      </c>
      <c r="K813" s="116" t="e">
        <f>+'Estimate Details'!#REF!</f>
        <v>#REF!</v>
      </c>
      <c r="L813" s="116" t="e">
        <f>+'Estimate Details'!#REF!</f>
        <v>#REF!</v>
      </c>
      <c r="M813" s="204" t="e">
        <f>+'Estimate Details'!#REF!</f>
        <v>#REF!</v>
      </c>
      <c r="N813" s="237" t="e">
        <f>+'Estimate Details'!#REF!</f>
        <v>#REF!</v>
      </c>
      <c r="O813" s="171" t="e">
        <f>+'Estimate Details'!#REF!</f>
        <v>#REF!</v>
      </c>
      <c r="P813" s="172" t="e">
        <f>+'Estimate Details'!#REF!</f>
        <v>#REF!</v>
      </c>
      <c r="Q813" s="173" t="e">
        <f>+'Estimate Details'!#REF!</f>
        <v>#REF!</v>
      </c>
      <c r="R813" s="174" t="e">
        <f>+'Estimate Details'!#REF!</f>
        <v>#REF!</v>
      </c>
      <c r="S813" s="507"/>
      <c r="T813" s="174" t="e">
        <f>+'Estimate Details'!#REF!</f>
        <v>#REF!</v>
      </c>
      <c r="U813" s="481"/>
      <c r="V813" s="172" t="e">
        <f>+'Estimate Details'!#REF!</f>
        <v>#REF!</v>
      </c>
      <c r="W813" s="481" t="s">
        <v>1310</v>
      </c>
      <c r="X813" s="172" t="e">
        <f>+'Estimate Details'!#REF!</f>
        <v>#REF!</v>
      </c>
      <c r="Y813" s="172" t="e">
        <f>+'Estimate Details'!#REF!</f>
        <v>#REF!</v>
      </c>
      <c r="Z813" s="174" t="e">
        <f>+'Estimate Details'!#REF!</f>
        <v>#REF!</v>
      </c>
      <c r="AA813" s="481"/>
      <c r="AB813" s="175" t="e">
        <f>+'Estimate Details'!#REF!</f>
        <v>#REF!</v>
      </c>
      <c r="AC813" s="569"/>
      <c r="AD813" s="176" t="e">
        <f>+'Estimate Details'!#REF!</f>
        <v>#REF!</v>
      </c>
      <c r="AE813" s="156"/>
      <c r="AF813" s="372"/>
      <c r="AG813" s="156"/>
      <c r="AH813" s="156"/>
      <c r="AI813" s="29"/>
      <c r="AJ813" s="29"/>
      <c r="AK813" s="29"/>
      <c r="AL813" s="29"/>
    </row>
    <row r="814" spans="1:38" ht="13.5" customHeight="1">
      <c r="A814" s="116" t="e">
        <f>+'Estimate Details'!#REF!</f>
        <v>#REF!</v>
      </c>
      <c r="B814" s="116"/>
      <c r="C814" s="116"/>
      <c r="D814" s="166"/>
      <c r="E814" s="158" t="e">
        <f>+'Estimate Details'!#REF!</f>
        <v>#REF!</v>
      </c>
      <c r="F814" s="41"/>
      <c r="G814" s="117" t="e">
        <f>+'Estimate Details'!#REF!</f>
        <v>#REF!</v>
      </c>
      <c r="H814" s="118" t="e">
        <f>+'Estimate Details'!#REF!</f>
        <v>#REF!</v>
      </c>
      <c r="I814" s="108" t="e">
        <f>+'Estimate Details'!#REF!</f>
        <v>#REF!</v>
      </c>
      <c r="J814" s="179" t="e">
        <f>+'Estimate Details'!#REF!</f>
        <v>#REF!</v>
      </c>
      <c r="K814" s="116" t="e">
        <f>+'Estimate Details'!#REF!</f>
        <v>#REF!</v>
      </c>
      <c r="L814" s="116" t="e">
        <f>+'Estimate Details'!#REF!</f>
        <v>#REF!</v>
      </c>
      <c r="M814" s="204" t="e">
        <f>+'Estimate Details'!#REF!</f>
        <v>#REF!</v>
      </c>
      <c r="N814" s="218" t="e">
        <f>+'Estimate Details'!#REF!</f>
        <v>#REF!</v>
      </c>
      <c r="O814" s="171" t="e">
        <f>+'Estimate Details'!#REF!</f>
        <v>#REF!</v>
      </c>
      <c r="P814" s="172" t="e">
        <f>+'Estimate Details'!#REF!</f>
        <v>#REF!</v>
      </c>
      <c r="Q814" s="173" t="e">
        <f>+'Estimate Details'!#REF!</f>
        <v>#REF!</v>
      </c>
      <c r="R814" s="684" t="e">
        <f>+'Estimate Details'!#REF!</f>
        <v>#REF!</v>
      </c>
      <c r="S814" s="507" t="s">
        <v>1304</v>
      </c>
      <c r="T814" s="174" t="e">
        <f>+'Estimate Details'!#REF!</f>
        <v>#REF!</v>
      </c>
      <c r="U814" s="481"/>
      <c r="V814" s="172" t="e">
        <f>+'Estimate Details'!#REF!</f>
        <v>#REF!</v>
      </c>
      <c r="W814" s="481" t="s">
        <v>1304</v>
      </c>
      <c r="X814" s="172" t="e">
        <f>+'Estimate Details'!#REF!</f>
        <v>#REF!</v>
      </c>
      <c r="Y814" s="172" t="e">
        <f>+'Estimate Details'!#REF!</f>
        <v>#REF!</v>
      </c>
      <c r="Z814" s="174" t="e">
        <f>+'Estimate Details'!#REF!</f>
        <v>#REF!</v>
      </c>
      <c r="AA814" s="481"/>
      <c r="AB814" s="175" t="e">
        <f>+'Estimate Details'!#REF!</f>
        <v>#REF!</v>
      </c>
      <c r="AC814" s="569"/>
      <c r="AD814" s="183" t="e">
        <f>+'Estimate Details'!#REF!</f>
        <v>#REF!</v>
      </c>
      <c r="AE814" s="156"/>
      <c r="AF814" s="372"/>
      <c r="AG814" s="156"/>
      <c r="AH814" s="156"/>
      <c r="AI814" s="29"/>
      <c r="AJ814" s="29"/>
      <c r="AK814" s="29"/>
      <c r="AL814" s="29"/>
    </row>
    <row r="815" spans="1:38" ht="14.1" customHeight="1">
      <c r="A815" s="116" t="e">
        <f>+'Estimate Details'!#REF!</f>
        <v>#REF!</v>
      </c>
      <c r="B815" s="116"/>
      <c r="C815" s="116"/>
      <c r="D815" s="166"/>
      <c r="E815" s="158" t="e">
        <f>+'Estimate Details'!#REF!</f>
        <v>#REF!</v>
      </c>
      <c r="F815" s="41"/>
      <c r="G815" s="117" t="e">
        <f>+'Estimate Details'!#REF!</f>
        <v>#REF!</v>
      </c>
      <c r="H815" s="118" t="e">
        <f>+'Estimate Details'!#REF!</f>
        <v>#REF!</v>
      </c>
      <c r="I815" s="108" t="e">
        <f>+'Estimate Details'!#REF!</f>
        <v>#REF!</v>
      </c>
      <c r="J815" s="179" t="e">
        <f>+'Estimate Details'!#REF!</f>
        <v>#REF!</v>
      </c>
      <c r="K815" s="116" t="e">
        <f>+'Estimate Details'!#REF!</f>
        <v>#REF!</v>
      </c>
      <c r="L815" s="116" t="e">
        <f>+'Estimate Details'!#REF!</f>
        <v>#REF!</v>
      </c>
      <c r="M815" s="204" t="e">
        <f>+'Estimate Details'!#REF!</f>
        <v>#REF!</v>
      </c>
      <c r="N815" s="194" t="e">
        <f>+'Estimate Details'!#REF!</f>
        <v>#REF!</v>
      </c>
      <c r="O815" s="171" t="e">
        <f>+'Estimate Details'!#REF!</f>
        <v>#REF!</v>
      </c>
      <c r="P815" s="172" t="e">
        <f>+'Estimate Details'!#REF!</f>
        <v>#REF!</v>
      </c>
      <c r="Q815" s="173" t="e">
        <f>+'Estimate Details'!#REF!</f>
        <v>#REF!</v>
      </c>
      <c r="R815" s="174" t="e">
        <f>+'Estimate Details'!#REF!</f>
        <v>#REF!</v>
      </c>
      <c r="S815" s="507"/>
      <c r="T815" s="174" t="e">
        <f>+'Estimate Details'!#REF!</f>
        <v>#REF!</v>
      </c>
      <c r="U815" s="481" t="s">
        <v>1309</v>
      </c>
      <c r="V815" s="172" t="e">
        <f>+'Estimate Details'!#REF!</f>
        <v>#REF!</v>
      </c>
      <c r="W815" s="481" t="s">
        <v>1309</v>
      </c>
      <c r="X815" s="172" t="e">
        <f>+'Estimate Details'!#REF!</f>
        <v>#REF!</v>
      </c>
      <c r="Y815" s="172" t="e">
        <f>+'Estimate Details'!#REF!</f>
        <v>#REF!</v>
      </c>
      <c r="Z815" s="174" t="e">
        <f>+'Estimate Details'!#REF!</f>
        <v>#REF!</v>
      </c>
      <c r="AA815" s="481"/>
      <c r="AB815" s="175" t="e">
        <f>+'Estimate Details'!#REF!</f>
        <v>#REF!</v>
      </c>
      <c r="AC815" s="569"/>
      <c r="AD815" s="183" t="e">
        <f>+'Estimate Details'!#REF!</f>
        <v>#REF!</v>
      </c>
      <c r="AE815" s="156"/>
      <c r="AF815" s="372"/>
      <c r="AG815" s="398"/>
      <c r="AH815" s="156"/>
      <c r="AI815" s="29"/>
      <c r="AJ815" s="29"/>
      <c r="AK815" s="29"/>
      <c r="AL815" s="29"/>
    </row>
    <row r="816" spans="1:38" ht="13.5" customHeight="1">
      <c r="A816" s="116" t="e">
        <f>+'Estimate Details'!#REF!</f>
        <v>#REF!</v>
      </c>
      <c r="B816" s="116"/>
      <c r="C816" s="116"/>
      <c r="D816" s="166"/>
      <c r="E816" s="158" t="e">
        <f>+'Estimate Details'!#REF!</f>
        <v>#REF!</v>
      </c>
      <c r="F816" s="41"/>
      <c r="G816" s="117" t="e">
        <f>+'Estimate Details'!#REF!</f>
        <v>#REF!</v>
      </c>
      <c r="H816" s="118" t="e">
        <f>+'Estimate Details'!#REF!</f>
        <v>#REF!</v>
      </c>
      <c r="I816" s="108" t="e">
        <f>+'Estimate Details'!#REF!</f>
        <v>#REF!</v>
      </c>
      <c r="J816" s="179" t="e">
        <f>+'Estimate Details'!#REF!</f>
        <v>#REF!</v>
      </c>
      <c r="K816" s="116" t="e">
        <f>+'Estimate Details'!#REF!</f>
        <v>#REF!</v>
      </c>
      <c r="L816" s="116" t="e">
        <f>+'Estimate Details'!#REF!</f>
        <v>#REF!</v>
      </c>
      <c r="M816" s="204" t="e">
        <f>+'Estimate Details'!#REF!</f>
        <v>#REF!</v>
      </c>
      <c r="N816" s="194" t="e">
        <f>+'Estimate Details'!#REF!</f>
        <v>#REF!</v>
      </c>
      <c r="O816" s="171" t="e">
        <f>+'Estimate Details'!#REF!</f>
        <v>#REF!</v>
      </c>
      <c r="P816" s="172" t="e">
        <f>+'Estimate Details'!#REF!</f>
        <v>#REF!</v>
      </c>
      <c r="Q816" s="173" t="e">
        <f>+'Estimate Details'!#REF!</f>
        <v>#REF!</v>
      </c>
      <c r="R816" s="174" t="e">
        <f>+'Estimate Details'!#REF!</f>
        <v>#REF!</v>
      </c>
      <c r="S816" s="507"/>
      <c r="T816" s="174" t="e">
        <f>+'Estimate Details'!#REF!</f>
        <v>#REF!</v>
      </c>
      <c r="U816" s="481"/>
      <c r="V816" s="172" t="e">
        <f>+'Estimate Details'!#REF!</f>
        <v>#REF!</v>
      </c>
      <c r="W816" s="481"/>
      <c r="X816" s="172" t="e">
        <f>+'Estimate Details'!#REF!</f>
        <v>#REF!</v>
      </c>
      <c r="Y816" s="172" t="e">
        <f>+'Estimate Details'!#REF!</f>
        <v>#REF!</v>
      </c>
      <c r="Z816" s="174" t="e">
        <f>+'Estimate Details'!#REF!</f>
        <v>#REF!</v>
      </c>
      <c r="AA816" s="481"/>
      <c r="AB816" s="175" t="e">
        <f>+'Estimate Details'!#REF!</f>
        <v>#REF!</v>
      </c>
      <c r="AC816" s="569"/>
      <c r="AD816" s="183" t="e">
        <f>+'Estimate Details'!#REF!</f>
        <v>#REF!</v>
      </c>
      <c r="AE816" s="156"/>
      <c r="AF816" s="372"/>
      <c r="AG816" s="398"/>
      <c r="AH816" s="156"/>
      <c r="AI816" s="29"/>
      <c r="AJ816" s="29"/>
      <c r="AK816" s="29"/>
      <c r="AL816" s="29"/>
    </row>
    <row r="817" spans="1:38" ht="14.1" customHeight="1">
      <c r="A817" s="116" t="e">
        <f>+'Estimate Details'!#REF!</f>
        <v>#REF!</v>
      </c>
      <c r="B817" s="116"/>
      <c r="C817" s="116"/>
      <c r="D817" s="166"/>
      <c r="E817" s="158" t="e">
        <f>+'Estimate Details'!#REF!</f>
        <v>#REF!</v>
      </c>
      <c r="F817" s="41"/>
      <c r="G817" s="117" t="e">
        <f>+'Estimate Details'!#REF!</f>
        <v>#REF!</v>
      </c>
      <c r="H817" s="118" t="e">
        <f>+'Estimate Details'!#REF!</f>
        <v>#REF!</v>
      </c>
      <c r="I817" s="108" t="e">
        <f>+'Estimate Details'!#REF!</f>
        <v>#REF!</v>
      </c>
      <c r="J817" s="179" t="e">
        <f>+'Estimate Details'!#REF!</f>
        <v>#REF!</v>
      </c>
      <c r="K817" s="116" t="e">
        <f>+'Estimate Details'!#REF!</f>
        <v>#REF!</v>
      </c>
      <c r="L817" s="116" t="e">
        <f>+'Estimate Details'!#REF!</f>
        <v>#REF!</v>
      </c>
      <c r="M817" s="204" t="e">
        <f>+'Estimate Details'!#REF!</f>
        <v>#REF!</v>
      </c>
      <c r="N817" s="218" t="e">
        <f>+'Estimate Details'!#REF!</f>
        <v>#REF!</v>
      </c>
      <c r="O817" s="171" t="e">
        <f>+'Estimate Details'!#REF!</f>
        <v>#REF!</v>
      </c>
      <c r="P817" s="172" t="e">
        <f>+'Estimate Details'!#REF!</f>
        <v>#REF!</v>
      </c>
      <c r="Q817" s="173" t="e">
        <f>+'Estimate Details'!#REF!</f>
        <v>#REF!</v>
      </c>
      <c r="R817" s="174" t="e">
        <f>+'Estimate Details'!#REF!</f>
        <v>#REF!</v>
      </c>
      <c r="S817" s="507" t="s">
        <v>1304</v>
      </c>
      <c r="T817" s="174" t="e">
        <f>+'Estimate Details'!#REF!</f>
        <v>#REF!</v>
      </c>
      <c r="U817" s="481"/>
      <c r="V817" s="172" t="e">
        <f>+'Estimate Details'!#REF!</f>
        <v>#REF!</v>
      </c>
      <c r="W817" s="481" t="s">
        <v>1304</v>
      </c>
      <c r="X817" s="172" t="e">
        <f>+'Estimate Details'!#REF!</f>
        <v>#REF!</v>
      </c>
      <c r="Y817" s="172" t="e">
        <f>+'Estimate Details'!#REF!</f>
        <v>#REF!</v>
      </c>
      <c r="Z817" s="174" t="e">
        <f>+'Estimate Details'!#REF!</f>
        <v>#REF!</v>
      </c>
      <c r="AA817" s="481"/>
      <c r="AB817" s="175" t="e">
        <f>+'Estimate Details'!#REF!</f>
        <v>#REF!</v>
      </c>
      <c r="AC817" s="569"/>
      <c r="AD817" s="183" t="e">
        <f>+'Estimate Details'!#REF!</f>
        <v>#REF!</v>
      </c>
      <c r="AE817" s="156"/>
      <c r="AF817" s="372"/>
      <c r="AG817" s="398"/>
      <c r="AH817" s="156"/>
      <c r="AI817" s="29"/>
      <c r="AJ817" s="29"/>
      <c r="AK817" s="29"/>
      <c r="AL817" s="29"/>
    </row>
    <row r="818" spans="1:38" ht="14.1" customHeight="1">
      <c r="A818" s="116" t="e">
        <f>+'Estimate Details'!#REF!</f>
        <v>#REF!</v>
      </c>
      <c r="B818" s="116"/>
      <c r="C818" s="116"/>
      <c r="D818" s="166"/>
      <c r="E818" s="158" t="e">
        <f>+'Estimate Details'!#REF!</f>
        <v>#REF!</v>
      </c>
      <c r="F818" s="41"/>
      <c r="G818" s="117" t="e">
        <f>+'Estimate Details'!#REF!</f>
        <v>#REF!</v>
      </c>
      <c r="H818" s="118" t="e">
        <f>+'Estimate Details'!#REF!</f>
        <v>#REF!</v>
      </c>
      <c r="I818" s="108" t="e">
        <f>+'Estimate Details'!#REF!</f>
        <v>#REF!</v>
      </c>
      <c r="J818" s="179" t="e">
        <f>+'Estimate Details'!#REF!</f>
        <v>#REF!</v>
      </c>
      <c r="K818" s="116" t="e">
        <f>+'Estimate Details'!#REF!</f>
        <v>#REF!</v>
      </c>
      <c r="L818" s="116" t="e">
        <f>+'Estimate Details'!#REF!</f>
        <v>#REF!</v>
      </c>
      <c r="M818" s="204" t="e">
        <f>+'Estimate Details'!#REF!</f>
        <v>#REF!</v>
      </c>
      <c r="N818" s="194" t="e">
        <f>+'Estimate Details'!#REF!</f>
        <v>#REF!</v>
      </c>
      <c r="O818" s="171" t="e">
        <f>+'Estimate Details'!#REF!</f>
        <v>#REF!</v>
      </c>
      <c r="P818" s="172" t="e">
        <f>+'Estimate Details'!#REF!</f>
        <v>#REF!</v>
      </c>
      <c r="Q818" s="173" t="e">
        <f>+'Estimate Details'!#REF!</f>
        <v>#REF!</v>
      </c>
      <c r="R818" s="174" t="e">
        <f>+'Estimate Details'!#REF!</f>
        <v>#REF!</v>
      </c>
      <c r="S818" s="507" t="s">
        <v>1304</v>
      </c>
      <c r="T818" s="174" t="e">
        <f>+'Estimate Details'!#REF!</f>
        <v>#REF!</v>
      </c>
      <c r="U818" s="481"/>
      <c r="V818" s="172" t="e">
        <f>+'Estimate Details'!#REF!</f>
        <v>#REF!</v>
      </c>
      <c r="W818" s="481"/>
      <c r="X818" s="172" t="e">
        <f>+'Estimate Details'!#REF!</f>
        <v>#REF!</v>
      </c>
      <c r="Y818" s="172" t="e">
        <f>+'Estimate Details'!#REF!</f>
        <v>#REF!</v>
      </c>
      <c r="Z818" s="174" t="e">
        <f>+'Estimate Details'!#REF!</f>
        <v>#REF!</v>
      </c>
      <c r="AA818" s="481"/>
      <c r="AB818" s="175" t="e">
        <f>+'Estimate Details'!#REF!</f>
        <v>#REF!</v>
      </c>
      <c r="AC818" s="569"/>
      <c r="AD818" s="183" t="e">
        <f>+'Estimate Details'!#REF!</f>
        <v>#REF!</v>
      </c>
      <c r="AE818" s="156"/>
      <c r="AF818" s="372"/>
      <c r="AG818" s="156"/>
      <c r="AH818" s="156"/>
      <c r="AI818" s="29"/>
      <c r="AJ818" s="29"/>
      <c r="AK818" s="29"/>
      <c r="AL818" s="29"/>
    </row>
    <row r="819" spans="1:38" ht="14.1" customHeight="1">
      <c r="A819" s="116" t="e">
        <f>+'Estimate Details'!#REF!</f>
        <v>#REF!</v>
      </c>
      <c r="B819" s="116"/>
      <c r="C819" s="116"/>
      <c r="D819" s="166"/>
      <c r="E819" s="158" t="e">
        <f>+'Estimate Details'!#REF!</f>
        <v>#REF!</v>
      </c>
      <c r="F819" s="41"/>
      <c r="G819" s="117" t="e">
        <f>+'Estimate Details'!#REF!</f>
        <v>#REF!</v>
      </c>
      <c r="H819" s="118" t="e">
        <f>+'Estimate Details'!#REF!</f>
        <v>#REF!</v>
      </c>
      <c r="I819" s="108" t="e">
        <f>+'Estimate Details'!#REF!</f>
        <v>#REF!</v>
      </c>
      <c r="J819" s="179" t="e">
        <f>+'Estimate Details'!#REF!</f>
        <v>#REF!</v>
      </c>
      <c r="K819" s="116" t="e">
        <f>+'Estimate Details'!#REF!</f>
        <v>#REF!</v>
      </c>
      <c r="L819" s="116" t="e">
        <f>+'Estimate Details'!#REF!</f>
        <v>#REF!</v>
      </c>
      <c r="M819" s="204" t="e">
        <f>+'Estimate Details'!#REF!</f>
        <v>#REF!</v>
      </c>
      <c r="N819" s="194" t="e">
        <f>+'Estimate Details'!#REF!</f>
        <v>#REF!</v>
      </c>
      <c r="O819" s="171" t="e">
        <f>+'Estimate Details'!#REF!</f>
        <v>#REF!</v>
      </c>
      <c r="P819" s="172" t="e">
        <f>+'Estimate Details'!#REF!</f>
        <v>#REF!</v>
      </c>
      <c r="Q819" s="173" t="e">
        <f>+'Estimate Details'!#REF!</f>
        <v>#REF!</v>
      </c>
      <c r="R819" s="174" t="e">
        <f>+'Estimate Details'!#REF!</f>
        <v>#REF!</v>
      </c>
      <c r="S819" s="507"/>
      <c r="T819" s="174" t="e">
        <f>+'Estimate Details'!#REF!</f>
        <v>#REF!</v>
      </c>
      <c r="U819" s="481"/>
      <c r="V819" s="172" t="e">
        <f>+'Estimate Details'!#REF!</f>
        <v>#REF!</v>
      </c>
      <c r="W819" s="481" t="s">
        <v>1304</v>
      </c>
      <c r="X819" s="172" t="e">
        <f>+'Estimate Details'!#REF!</f>
        <v>#REF!</v>
      </c>
      <c r="Y819" s="172" t="e">
        <f>+'Estimate Details'!#REF!</f>
        <v>#REF!</v>
      </c>
      <c r="Z819" s="174" t="e">
        <f>+'Estimate Details'!#REF!</f>
        <v>#REF!</v>
      </c>
      <c r="AA819" s="481"/>
      <c r="AB819" s="175" t="e">
        <f>+'Estimate Details'!#REF!</f>
        <v>#REF!</v>
      </c>
      <c r="AC819" s="569"/>
      <c r="AD819" s="183" t="e">
        <f>+'Estimate Details'!#REF!</f>
        <v>#REF!</v>
      </c>
      <c r="AE819" s="156"/>
      <c r="AF819" s="372"/>
      <c r="AG819" s="156"/>
      <c r="AH819" s="156"/>
      <c r="AI819" s="29"/>
      <c r="AJ819" s="29"/>
      <c r="AK819" s="29"/>
      <c r="AL819" s="29"/>
    </row>
    <row r="820" spans="1:38" ht="14.1" customHeight="1">
      <c r="A820" s="116" t="e">
        <f>+'Estimate Details'!#REF!</f>
        <v>#REF!</v>
      </c>
      <c r="B820" s="116"/>
      <c r="C820" s="116"/>
      <c r="D820" s="166"/>
      <c r="E820" s="158" t="e">
        <f>+'Estimate Details'!#REF!</f>
        <v>#REF!</v>
      </c>
      <c r="F820" s="41"/>
      <c r="G820" s="117" t="e">
        <f>+'Estimate Details'!#REF!</f>
        <v>#REF!</v>
      </c>
      <c r="H820" s="118" t="e">
        <f>+'Estimate Details'!#REF!</f>
        <v>#REF!</v>
      </c>
      <c r="I820" s="108" t="e">
        <f>+'Estimate Details'!#REF!</f>
        <v>#REF!</v>
      </c>
      <c r="J820" s="179" t="e">
        <f>+'Estimate Details'!#REF!</f>
        <v>#REF!</v>
      </c>
      <c r="K820" s="116" t="e">
        <f>+'Estimate Details'!#REF!</f>
        <v>#REF!</v>
      </c>
      <c r="L820" s="116" t="e">
        <f>+'Estimate Details'!#REF!</f>
        <v>#REF!</v>
      </c>
      <c r="M820" s="204" t="e">
        <f>+'Estimate Details'!#REF!</f>
        <v>#REF!</v>
      </c>
      <c r="N820" s="194" t="e">
        <f>+'Estimate Details'!#REF!</f>
        <v>#REF!</v>
      </c>
      <c r="O820" s="171" t="e">
        <f>+'Estimate Details'!#REF!</f>
        <v>#REF!</v>
      </c>
      <c r="P820" s="172" t="e">
        <f>+'Estimate Details'!#REF!</f>
        <v>#REF!</v>
      </c>
      <c r="Q820" s="173" t="e">
        <f>+'Estimate Details'!#REF!</f>
        <v>#REF!</v>
      </c>
      <c r="R820" s="174" t="e">
        <f>+'Estimate Details'!#REF!</f>
        <v>#REF!</v>
      </c>
      <c r="S820" s="507" t="s">
        <v>1304</v>
      </c>
      <c r="T820" s="174" t="e">
        <f>+'Estimate Details'!#REF!</f>
        <v>#REF!</v>
      </c>
      <c r="U820" s="481"/>
      <c r="V820" s="172" t="e">
        <f>+'Estimate Details'!#REF!</f>
        <v>#REF!</v>
      </c>
      <c r="W820" s="481"/>
      <c r="X820" s="172" t="e">
        <f>+'Estimate Details'!#REF!</f>
        <v>#REF!</v>
      </c>
      <c r="Y820" s="172" t="e">
        <f>+'Estimate Details'!#REF!</f>
        <v>#REF!</v>
      </c>
      <c r="Z820" s="174" t="e">
        <f>+'Estimate Details'!#REF!</f>
        <v>#REF!</v>
      </c>
      <c r="AA820" s="481"/>
      <c r="AB820" s="175" t="e">
        <f>+'Estimate Details'!#REF!</f>
        <v>#REF!</v>
      </c>
      <c r="AC820" s="569"/>
      <c r="AD820" s="183" t="e">
        <f>+'Estimate Details'!#REF!</f>
        <v>#REF!</v>
      </c>
      <c r="AE820" s="156"/>
      <c r="AF820" s="372"/>
      <c r="AG820" s="156"/>
      <c r="AH820" s="156"/>
      <c r="AI820" s="29"/>
      <c r="AJ820" s="29"/>
      <c r="AK820" s="29"/>
      <c r="AL820" s="29"/>
    </row>
    <row r="821" spans="1:38" ht="14.1" customHeight="1">
      <c r="A821" s="116" t="e">
        <f>+'Estimate Details'!#REF!</f>
        <v>#REF!</v>
      </c>
      <c r="B821" s="116"/>
      <c r="C821" s="116"/>
      <c r="D821" s="166"/>
      <c r="E821" s="158" t="e">
        <f>+'Estimate Details'!#REF!</f>
        <v>#REF!</v>
      </c>
      <c r="F821" s="41"/>
      <c r="G821" s="117" t="e">
        <f>+'Estimate Details'!#REF!</f>
        <v>#REF!</v>
      </c>
      <c r="H821" s="118" t="e">
        <f>+'Estimate Details'!#REF!</f>
        <v>#REF!</v>
      </c>
      <c r="I821" s="108" t="e">
        <f>+'Estimate Details'!#REF!</f>
        <v>#REF!</v>
      </c>
      <c r="J821" s="179" t="e">
        <f>+'Estimate Details'!#REF!</f>
        <v>#REF!</v>
      </c>
      <c r="K821" s="116" t="e">
        <f>+'Estimate Details'!#REF!</f>
        <v>#REF!</v>
      </c>
      <c r="L821" s="116" t="e">
        <f>+'Estimate Details'!#REF!</f>
        <v>#REF!</v>
      </c>
      <c r="M821" s="204" t="e">
        <f>+'Estimate Details'!#REF!</f>
        <v>#REF!</v>
      </c>
      <c r="N821" s="194" t="e">
        <f>+'Estimate Details'!#REF!</f>
        <v>#REF!</v>
      </c>
      <c r="O821" s="171" t="e">
        <f>+'Estimate Details'!#REF!</f>
        <v>#REF!</v>
      </c>
      <c r="P821" s="172" t="e">
        <f>+'Estimate Details'!#REF!</f>
        <v>#REF!</v>
      </c>
      <c r="Q821" s="173" t="e">
        <f>+'Estimate Details'!#REF!</f>
        <v>#REF!</v>
      </c>
      <c r="R821" s="174" t="e">
        <f>+'Estimate Details'!#REF!</f>
        <v>#REF!</v>
      </c>
      <c r="S821" s="507"/>
      <c r="T821" s="174" t="e">
        <f>+'Estimate Details'!#REF!</f>
        <v>#REF!</v>
      </c>
      <c r="U821" s="481"/>
      <c r="V821" s="172" t="e">
        <f>+'Estimate Details'!#REF!</f>
        <v>#REF!</v>
      </c>
      <c r="W821" s="481" t="s">
        <v>1304</v>
      </c>
      <c r="X821" s="172" t="e">
        <f>+'Estimate Details'!#REF!</f>
        <v>#REF!</v>
      </c>
      <c r="Y821" s="172" t="e">
        <f>+'Estimate Details'!#REF!</f>
        <v>#REF!</v>
      </c>
      <c r="Z821" s="174" t="e">
        <f>+'Estimate Details'!#REF!</f>
        <v>#REF!</v>
      </c>
      <c r="AA821" s="481"/>
      <c r="AB821" s="175" t="e">
        <f>+'Estimate Details'!#REF!</f>
        <v>#REF!</v>
      </c>
      <c r="AC821" s="569"/>
      <c r="AD821" s="183" t="e">
        <f>+'Estimate Details'!#REF!</f>
        <v>#REF!</v>
      </c>
      <c r="AE821" s="156"/>
      <c r="AF821" s="372"/>
      <c r="AG821" s="156"/>
      <c r="AH821" s="156"/>
      <c r="AI821" s="29"/>
      <c r="AJ821" s="29"/>
      <c r="AK821" s="29"/>
      <c r="AL821" s="29"/>
    </row>
    <row r="822" spans="1:38" ht="14.1" customHeight="1">
      <c r="A822" s="116" t="e">
        <f>+'Estimate Details'!#REF!</f>
        <v>#REF!</v>
      </c>
      <c r="B822" s="116"/>
      <c r="C822" s="116"/>
      <c r="D822" s="166"/>
      <c r="E822" s="158" t="e">
        <f>+'Estimate Details'!#REF!</f>
        <v>#REF!</v>
      </c>
      <c r="F822" s="41"/>
      <c r="G822" s="117" t="e">
        <f>+'Estimate Details'!#REF!</f>
        <v>#REF!</v>
      </c>
      <c r="H822" s="118" t="e">
        <f>+'Estimate Details'!#REF!</f>
        <v>#REF!</v>
      </c>
      <c r="I822" s="108" t="e">
        <f>+'Estimate Details'!#REF!</f>
        <v>#REF!</v>
      </c>
      <c r="J822" s="179" t="e">
        <f>+'Estimate Details'!#REF!</f>
        <v>#REF!</v>
      </c>
      <c r="K822" s="116" t="e">
        <f>+'Estimate Details'!#REF!</f>
        <v>#REF!</v>
      </c>
      <c r="L822" s="116" t="e">
        <f>+'Estimate Details'!#REF!</f>
        <v>#REF!</v>
      </c>
      <c r="M822" s="204" t="e">
        <f>+'Estimate Details'!#REF!</f>
        <v>#REF!</v>
      </c>
      <c r="N822" s="238" t="e">
        <f>+'Estimate Details'!#REF!</f>
        <v>#REF!</v>
      </c>
      <c r="O822" s="171" t="e">
        <f>+'Estimate Details'!#REF!</f>
        <v>#REF!</v>
      </c>
      <c r="P822" s="172" t="e">
        <f>+'Estimate Details'!#REF!</f>
        <v>#REF!</v>
      </c>
      <c r="Q822" s="173" t="e">
        <f>+'Estimate Details'!#REF!</f>
        <v>#REF!</v>
      </c>
      <c r="R822" s="174" t="e">
        <f>+'Estimate Details'!#REF!</f>
        <v>#REF!</v>
      </c>
      <c r="S822" s="507"/>
      <c r="T822" s="174" t="e">
        <f>+'Estimate Details'!#REF!</f>
        <v>#REF!</v>
      </c>
      <c r="U822" s="481" t="s">
        <v>1298</v>
      </c>
      <c r="V822" s="172" t="e">
        <f>+'Estimate Details'!#REF!</f>
        <v>#REF!</v>
      </c>
      <c r="W822" s="481" t="s">
        <v>1310</v>
      </c>
      <c r="X822" s="172" t="e">
        <f>+'Estimate Details'!#REF!</f>
        <v>#REF!</v>
      </c>
      <c r="Y822" s="172" t="e">
        <f>+'Estimate Details'!#REF!</f>
        <v>#REF!</v>
      </c>
      <c r="Z822" s="174" t="e">
        <f>+'Estimate Details'!#REF!</f>
        <v>#REF!</v>
      </c>
      <c r="AA822" s="481"/>
      <c r="AB822" s="175" t="e">
        <f>+'Estimate Details'!#REF!</f>
        <v>#REF!</v>
      </c>
      <c r="AC822" s="569"/>
      <c r="AD822" s="176" t="e">
        <f>+'Estimate Details'!#REF!</f>
        <v>#REF!</v>
      </c>
      <c r="AE822" s="156"/>
      <c r="AF822" s="372"/>
      <c r="AG822" s="156"/>
      <c r="AH822" s="156"/>
      <c r="AI822" s="29"/>
      <c r="AJ822" s="29"/>
      <c r="AK822" s="29"/>
      <c r="AL822" s="29"/>
    </row>
    <row r="823" spans="1:38" ht="14.1" customHeight="1">
      <c r="A823" s="116" t="e">
        <f>+'Estimate Details'!#REF!</f>
        <v>#REF!</v>
      </c>
      <c r="B823" s="116"/>
      <c r="C823" s="116"/>
      <c r="D823" s="166"/>
      <c r="E823" s="158" t="e">
        <f>+'Estimate Details'!#REF!</f>
        <v>#REF!</v>
      </c>
      <c r="F823" s="41"/>
      <c r="G823" s="117" t="e">
        <f>+'Estimate Details'!#REF!</f>
        <v>#REF!</v>
      </c>
      <c r="H823" s="118" t="e">
        <f>+'Estimate Details'!#REF!</f>
        <v>#REF!</v>
      </c>
      <c r="I823" s="108" t="e">
        <f>+'Estimate Details'!#REF!</f>
        <v>#REF!</v>
      </c>
      <c r="J823" s="179" t="e">
        <f>+'Estimate Details'!#REF!</f>
        <v>#REF!</v>
      </c>
      <c r="K823" s="116" t="e">
        <f>+'Estimate Details'!#REF!</f>
        <v>#REF!</v>
      </c>
      <c r="L823" s="116" t="e">
        <f>+'Estimate Details'!#REF!</f>
        <v>#REF!</v>
      </c>
      <c r="M823" s="204" t="e">
        <f>+'Estimate Details'!#REF!</f>
        <v>#REF!</v>
      </c>
      <c r="N823" s="194" t="e">
        <f>+'Estimate Details'!#REF!</f>
        <v>#REF!</v>
      </c>
      <c r="O823" s="171" t="e">
        <f>+'Estimate Details'!#REF!</f>
        <v>#REF!</v>
      </c>
      <c r="P823" s="172" t="e">
        <f>+'Estimate Details'!#REF!</f>
        <v>#REF!</v>
      </c>
      <c r="Q823" s="173" t="e">
        <f>+'Estimate Details'!#REF!</f>
        <v>#REF!</v>
      </c>
      <c r="R823" s="174" t="e">
        <f>+'Estimate Details'!#REF!</f>
        <v>#REF!</v>
      </c>
      <c r="S823" s="507"/>
      <c r="T823" s="174" t="e">
        <f>+'Estimate Details'!#REF!</f>
        <v>#REF!</v>
      </c>
      <c r="U823" s="481" t="s">
        <v>1310</v>
      </c>
      <c r="V823" s="172" t="e">
        <f>+'Estimate Details'!#REF!</f>
        <v>#REF!</v>
      </c>
      <c r="W823" s="481" t="s">
        <v>1310</v>
      </c>
      <c r="X823" s="172" t="e">
        <f>+'Estimate Details'!#REF!</f>
        <v>#REF!</v>
      </c>
      <c r="Y823" s="172" t="e">
        <f>+'Estimate Details'!#REF!</f>
        <v>#REF!</v>
      </c>
      <c r="Z823" s="174" t="e">
        <f>+'Estimate Details'!#REF!</f>
        <v>#REF!</v>
      </c>
      <c r="AA823" s="481"/>
      <c r="AB823" s="175" t="e">
        <f>+'Estimate Details'!#REF!</f>
        <v>#REF!</v>
      </c>
      <c r="AC823" s="569"/>
      <c r="AD823" s="176" t="e">
        <f>+'Estimate Details'!#REF!</f>
        <v>#REF!</v>
      </c>
      <c r="AE823" s="156"/>
      <c r="AF823" s="372"/>
      <c r="AG823" s="156"/>
      <c r="AH823" s="156"/>
      <c r="AI823" s="29"/>
      <c r="AJ823" s="29"/>
      <c r="AK823" s="29"/>
      <c r="AL823" s="29"/>
    </row>
    <row r="824" spans="1:38" ht="14.1" customHeight="1">
      <c r="A824" s="116" t="e">
        <f>+'Estimate Details'!#REF!</f>
        <v>#REF!</v>
      </c>
      <c r="B824" s="116"/>
      <c r="C824" s="116"/>
      <c r="D824" s="166"/>
      <c r="E824" s="158" t="e">
        <f>+'Estimate Details'!#REF!</f>
        <v>#REF!</v>
      </c>
      <c r="F824" s="41"/>
      <c r="G824" s="117" t="e">
        <f>+'Estimate Details'!#REF!</f>
        <v>#REF!</v>
      </c>
      <c r="H824" s="118" t="e">
        <f>+'Estimate Details'!#REF!</f>
        <v>#REF!</v>
      </c>
      <c r="I824" s="108" t="e">
        <f>+'Estimate Details'!#REF!</f>
        <v>#REF!</v>
      </c>
      <c r="J824" s="179" t="e">
        <f>+'Estimate Details'!#REF!</f>
        <v>#REF!</v>
      </c>
      <c r="K824" s="116" t="e">
        <f>+'Estimate Details'!#REF!</f>
        <v>#REF!</v>
      </c>
      <c r="L824" s="116" t="e">
        <f>+'Estimate Details'!#REF!</f>
        <v>#REF!</v>
      </c>
      <c r="M824" s="204" t="e">
        <f>+'Estimate Details'!#REF!</f>
        <v>#REF!</v>
      </c>
      <c r="N824" s="194" t="e">
        <f>+'Estimate Details'!#REF!</f>
        <v>#REF!</v>
      </c>
      <c r="O824" s="171" t="e">
        <f>+'Estimate Details'!#REF!</f>
        <v>#REF!</v>
      </c>
      <c r="P824" s="172" t="e">
        <f>+'Estimate Details'!#REF!</f>
        <v>#REF!</v>
      </c>
      <c r="Q824" s="173" t="e">
        <f>+'Estimate Details'!#REF!</f>
        <v>#REF!</v>
      </c>
      <c r="R824" s="174" t="e">
        <f>+'Estimate Details'!#REF!</f>
        <v>#REF!</v>
      </c>
      <c r="S824" s="507"/>
      <c r="T824" s="174" t="e">
        <f>+'Estimate Details'!#REF!</f>
        <v>#REF!</v>
      </c>
      <c r="U824" s="481" t="s">
        <v>1310</v>
      </c>
      <c r="V824" s="172" t="e">
        <f>+'Estimate Details'!#REF!</f>
        <v>#REF!</v>
      </c>
      <c r="W824" s="481" t="s">
        <v>1310</v>
      </c>
      <c r="X824" s="172" t="e">
        <f>+'Estimate Details'!#REF!</f>
        <v>#REF!</v>
      </c>
      <c r="Y824" s="172" t="e">
        <f>+'Estimate Details'!#REF!</f>
        <v>#REF!</v>
      </c>
      <c r="Z824" s="174" t="e">
        <f>+'Estimate Details'!#REF!</f>
        <v>#REF!</v>
      </c>
      <c r="AA824" s="481"/>
      <c r="AB824" s="175" t="e">
        <f>+'Estimate Details'!#REF!</f>
        <v>#REF!</v>
      </c>
      <c r="AC824" s="569"/>
      <c r="AD824" s="176" t="e">
        <f>+'Estimate Details'!#REF!</f>
        <v>#REF!</v>
      </c>
      <c r="AE824" s="156"/>
      <c r="AF824" s="372"/>
      <c r="AG824" s="156"/>
      <c r="AH824" s="156"/>
      <c r="AI824" s="29"/>
      <c r="AJ824" s="29"/>
      <c r="AK824" s="29"/>
      <c r="AL824" s="29"/>
    </row>
    <row r="825" spans="1:38" ht="14.1" customHeight="1">
      <c r="A825" s="116" t="e">
        <f>+'Estimate Details'!#REF!</f>
        <v>#REF!</v>
      </c>
      <c r="B825" s="116"/>
      <c r="C825" s="116"/>
      <c r="D825" s="166"/>
      <c r="E825" s="158" t="e">
        <f>+'Estimate Details'!#REF!</f>
        <v>#REF!</v>
      </c>
      <c r="F825" s="41"/>
      <c r="G825" s="117" t="e">
        <f>+'Estimate Details'!#REF!</f>
        <v>#REF!</v>
      </c>
      <c r="H825" s="118" t="e">
        <f>+'Estimate Details'!#REF!</f>
        <v>#REF!</v>
      </c>
      <c r="I825" s="108" t="e">
        <f>+'Estimate Details'!#REF!</f>
        <v>#REF!</v>
      </c>
      <c r="J825" s="179" t="e">
        <f>+'Estimate Details'!#REF!</f>
        <v>#REF!</v>
      </c>
      <c r="K825" s="116" t="e">
        <f>+'Estimate Details'!#REF!</f>
        <v>#REF!</v>
      </c>
      <c r="L825" s="116" t="e">
        <f>+'Estimate Details'!#REF!</f>
        <v>#REF!</v>
      </c>
      <c r="M825" s="204" t="e">
        <f>+'Estimate Details'!#REF!</f>
        <v>#REF!</v>
      </c>
      <c r="N825" s="194" t="e">
        <f>+'Estimate Details'!#REF!</f>
        <v>#REF!</v>
      </c>
      <c r="O825" s="171" t="e">
        <f>+'Estimate Details'!#REF!</f>
        <v>#REF!</v>
      </c>
      <c r="P825" s="172" t="e">
        <f>+'Estimate Details'!#REF!</f>
        <v>#REF!</v>
      </c>
      <c r="Q825" s="173" t="e">
        <f>+'Estimate Details'!#REF!</f>
        <v>#REF!</v>
      </c>
      <c r="R825" s="174" t="e">
        <f>+'Estimate Details'!#REF!</f>
        <v>#REF!</v>
      </c>
      <c r="S825" s="507"/>
      <c r="T825" s="174" t="e">
        <f>+'Estimate Details'!#REF!</f>
        <v>#REF!</v>
      </c>
      <c r="U825" s="481" t="s">
        <v>1310</v>
      </c>
      <c r="V825" s="172" t="e">
        <f>+'Estimate Details'!#REF!</f>
        <v>#REF!</v>
      </c>
      <c r="W825" s="481" t="s">
        <v>1310</v>
      </c>
      <c r="X825" s="172" t="e">
        <f>+'Estimate Details'!#REF!</f>
        <v>#REF!</v>
      </c>
      <c r="Y825" s="172" t="e">
        <f>+'Estimate Details'!#REF!</f>
        <v>#REF!</v>
      </c>
      <c r="Z825" s="174" t="e">
        <f>+'Estimate Details'!#REF!</f>
        <v>#REF!</v>
      </c>
      <c r="AA825" s="481"/>
      <c r="AB825" s="175" t="e">
        <f>+'Estimate Details'!#REF!</f>
        <v>#REF!</v>
      </c>
      <c r="AC825" s="569"/>
      <c r="AD825" s="176" t="e">
        <f>+'Estimate Details'!#REF!</f>
        <v>#REF!</v>
      </c>
      <c r="AE825" s="156"/>
      <c r="AF825" s="372"/>
      <c r="AG825" s="156"/>
      <c r="AH825" s="156"/>
      <c r="AI825" s="29"/>
      <c r="AJ825" s="29"/>
      <c r="AK825" s="29"/>
      <c r="AL825" s="29"/>
    </row>
    <row r="826" spans="1:38" ht="14.1" customHeight="1">
      <c r="A826" s="116" t="e">
        <f>+'Estimate Details'!#REF!</f>
        <v>#REF!</v>
      </c>
      <c r="B826" s="116"/>
      <c r="C826" s="116"/>
      <c r="D826" s="166"/>
      <c r="E826" s="158" t="e">
        <f>+'Estimate Details'!#REF!</f>
        <v>#REF!</v>
      </c>
      <c r="F826" s="185"/>
      <c r="G826" s="117" t="e">
        <f>+'Estimate Details'!#REF!</f>
        <v>#REF!</v>
      </c>
      <c r="H826" s="184" t="e">
        <f>+'Estimate Details'!#REF!</f>
        <v>#REF!</v>
      </c>
      <c r="I826" s="188" t="e">
        <f>+'Estimate Details'!#REF!</f>
        <v>#REF!</v>
      </c>
      <c r="J826" s="179" t="e">
        <f>+'Estimate Details'!#REF!</f>
        <v>#REF!</v>
      </c>
      <c r="K826" s="116" t="e">
        <f>+'Estimate Details'!#REF!</f>
        <v>#REF!</v>
      </c>
      <c r="L826" s="116" t="e">
        <f>+'Estimate Details'!#REF!</f>
        <v>#REF!</v>
      </c>
      <c r="M826" s="204" t="e">
        <f>+'Estimate Details'!#REF!</f>
        <v>#REF!</v>
      </c>
      <c r="N826" s="194" t="e">
        <f>+'Estimate Details'!#REF!</f>
        <v>#REF!</v>
      </c>
      <c r="O826" s="171" t="e">
        <f>+'Estimate Details'!#REF!</f>
        <v>#REF!</v>
      </c>
      <c r="P826" s="172" t="e">
        <f>+'Estimate Details'!#REF!</f>
        <v>#REF!</v>
      </c>
      <c r="Q826" s="173" t="e">
        <f>+'Estimate Details'!#REF!</f>
        <v>#REF!</v>
      </c>
      <c r="R826" s="174" t="e">
        <f>+'Estimate Details'!#REF!</f>
        <v>#REF!</v>
      </c>
      <c r="S826" s="507"/>
      <c r="T826" s="174" t="e">
        <f>+'Estimate Details'!#REF!</f>
        <v>#REF!</v>
      </c>
      <c r="U826" s="481" t="s">
        <v>1310</v>
      </c>
      <c r="V826" s="172" t="e">
        <f>+'Estimate Details'!#REF!</f>
        <v>#REF!</v>
      </c>
      <c r="W826" s="481" t="s">
        <v>1310</v>
      </c>
      <c r="X826" s="172" t="e">
        <f>+'Estimate Details'!#REF!</f>
        <v>#REF!</v>
      </c>
      <c r="Y826" s="172" t="e">
        <f>+'Estimate Details'!#REF!</f>
        <v>#REF!</v>
      </c>
      <c r="Z826" s="174" t="e">
        <f>+'Estimate Details'!#REF!</f>
        <v>#REF!</v>
      </c>
      <c r="AA826" s="481"/>
      <c r="AB826" s="175" t="e">
        <f>+'Estimate Details'!#REF!</f>
        <v>#REF!</v>
      </c>
      <c r="AC826" s="569"/>
      <c r="AD826" s="176" t="e">
        <f>+'Estimate Details'!#REF!</f>
        <v>#REF!</v>
      </c>
      <c r="AE826" s="156"/>
      <c r="AF826" s="372"/>
      <c r="AG826" s="156"/>
      <c r="AH826" s="156"/>
      <c r="AI826" s="29"/>
      <c r="AJ826" s="29"/>
      <c r="AK826" s="29"/>
      <c r="AL826" s="29"/>
    </row>
    <row r="827" spans="1:38" ht="14.1" customHeight="1">
      <c r="A827" s="116" t="e">
        <f>+'Estimate Details'!#REF!</f>
        <v>#REF!</v>
      </c>
      <c r="B827" s="116"/>
      <c r="C827" s="116"/>
      <c r="D827" s="166"/>
      <c r="E827" s="158" t="e">
        <f>+'Estimate Details'!#REF!</f>
        <v>#REF!</v>
      </c>
      <c r="F827" s="185"/>
      <c r="G827" s="117" t="e">
        <f>+'Estimate Details'!#REF!</f>
        <v>#REF!</v>
      </c>
      <c r="H827" s="184" t="e">
        <f>+'Estimate Details'!#REF!</f>
        <v>#REF!</v>
      </c>
      <c r="I827" s="188" t="e">
        <f>+'Estimate Details'!#REF!</f>
        <v>#REF!</v>
      </c>
      <c r="J827" s="179" t="e">
        <f>+'Estimate Details'!#REF!</f>
        <v>#REF!</v>
      </c>
      <c r="K827" s="116" t="e">
        <f>+'Estimate Details'!#REF!</f>
        <v>#REF!</v>
      </c>
      <c r="L827" s="116" t="e">
        <f>+'Estimate Details'!#REF!</f>
        <v>#REF!</v>
      </c>
      <c r="M827" s="204" t="e">
        <f>+'Estimate Details'!#REF!</f>
        <v>#REF!</v>
      </c>
      <c r="N827" s="194" t="e">
        <f>+'Estimate Details'!#REF!</f>
        <v>#REF!</v>
      </c>
      <c r="O827" s="171" t="e">
        <f>+'Estimate Details'!#REF!</f>
        <v>#REF!</v>
      </c>
      <c r="P827" s="172" t="e">
        <f>+'Estimate Details'!#REF!</f>
        <v>#REF!</v>
      </c>
      <c r="Q827" s="173" t="e">
        <f>+'Estimate Details'!#REF!</f>
        <v>#REF!</v>
      </c>
      <c r="R827" s="174" t="e">
        <f>+'Estimate Details'!#REF!</f>
        <v>#REF!</v>
      </c>
      <c r="S827" s="507"/>
      <c r="T827" s="174" t="e">
        <f>+'Estimate Details'!#REF!</f>
        <v>#REF!</v>
      </c>
      <c r="U827" s="481"/>
      <c r="V827" s="172" t="e">
        <f>+'Estimate Details'!#REF!</f>
        <v>#REF!</v>
      </c>
      <c r="W827" s="481" t="s">
        <v>1310</v>
      </c>
      <c r="X827" s="172" t="e">
        <f>+'Estimate Details'!#REF!</f>
        <v>#REF!</v>
      </c>
      <c r="Y827" s="172" t="e">
        <f>+'Estimate Details'!#REF!</f>
        <v>#REF!</v>
      </c>
      <c r="Z827" s="174" t="e">
        <f>+'Estimate Details'!#REF!</f>
        <v>#REF!</v>
      </c>
      <c r="AA827" s="481" t="s">
        <v>1310</v>
      </c>
      <c r="AB827" s="175" t="e">
        <f>+'Estimate Details'!#REF!</f>
        <v>#REF!</v>
      </c>
      <c r="AC827" s="569"/>
      <c r="AD827" s="176" t="e">
        <f>+'Estimate Details'!#REF!</f>
        <v>#REF!</v>
      </c>
      <c r="AE827" s="156"/>
      <c r="AF827" s="372"/>
      <c r="AG827" s="156"/>
      <c r="AH827" s="156"/>
      <c r="AI827" s="29"/>
      <c r="AJ827" s="29"/>
      <c r="AK827" s="29"/>
      <c r="AL827" s="29"/>
    </row>
    <row r="828" spans="1:38" ht="14.1" customHeight="1">
      <c r="A828" s="116" t="e">
        <f>+'Estimate Details'!#REF!</f>
        <v>#REF!</v>
      </c>
      <c r="B828" s="116"/>
      <c r="C828" s="116"/>
      <c r="D828" s="166"/>
      <c r="E828" s="158" t="e">
        <f>+'Estimate Details'!#REF!</f>
        <v>#REF!</v>
      </c>
      <c r="F828" s="185"/>
      <c r="G828" s="117" t="e">
        <f>+'Estimate Details'!#REF!</f>
        <v>#REF!</v>
      </c>
      <c r="H828" s="184" t="e">
        <f>+'Estimate Details'!#REF!</f>
        <v>#REF!</v>
      </c>
      <c r="I828" s="188" t="e">
        <f>+'Estimate Details'!#REF!</f>
        <v>#REF!</v>
      </c>
      <c r="J828" s="179" t="e">
        <f>+'Estimate Details'!#REF!</f>
        <v>#REF!</v>
      </c>
      <c r="K828" s="116" t="e">
        <f>+'Estimate Details'!#REF!</f>
        <v>#REF!</v>
      </c>
      <c r="L828" s="116" t="e">
        <f>+'Estimate Details'!#REF!</f>
        <v>#REF!</v>
      </c>
      <c r="M828" s="204" t="e">
        <f>+'Estimate Details'!#REF!</f>
        <v>#REF!</v>
      </c>
      <c r="N828" s="194" t="e">
        <f>+'Estimate Details'!#REF!</f>
        <v>#REF!</v>
      </c>
      <c r="O828" s="171" t="e">
        <f>+'Estimate Details'!#REF!</f>
        <v>#REF!</v>
      </c>
      <c r="P828" s="172" t="e">
        <f>+'Estimate Details'!#REF!</f>
        <v>#REF!</v>
      </c>
      <c r="Q828" s="173" t="e">
        <f>+'Estimate Details'!#REF!</f>
        <v>#REF!</v>
      </c>
      <c r="R828" s="174" t="e">
        <f>+'Estimate Details'!#REF!</f>
        <v>#REF!</v>
      </c>
      <c r="S828" s="507"/>
      <c r="T828" s="174" t="e">
        <f>+'Estimate Details'!#REF!</f>
        <v>#REF!</v>
      </c>
      <c r="U828" s="481" t="s">
        <v>1310</v>
      </c>
      <c r="V828" s="172" t="e">
        <f>+'Estimate Details'!#REF!</f>
        <v>#REF!</v>
      </c>
      <c r="W828" s="481" t="s">
        <v>1310</v>
      </c>
      <c r="X828" s="172" t="e">
        <f>+'Estimate Details'!#REF!</f>
        <v>#REF!</v>
      </c>
      <c r="Y828" s="172" t="e">
        <f>+'Estimate Details'!#REF!</f>
        <v>#REF!</v>
      </c>
      <c r="Z828" s="174" t="e">
        <f>+'Estimate Details'!#REF!</f>
        <v>#REF!</v>
      </c>
      <c r="AA828" s="481"/>
      <c r="AB828" s="175" t="e">
        <f>+'Estimate Details'!#REF!</f>
        <v>#REF!</v>
      </c>
      <c r="AC828" s="569"/>
      <c r="AD828" s="176" t="e">
        <f>+'Estimate Details'!#REF!</f>
        <v>#REF!</v>
      </c>
      <c r="AE828" s="156"/>
      <c r="AF828" s="372"/>
      <c r="AG828" s="156"/>
      <c r="AH828" s="156"/>
      <c r="AI828" s="29"/>
      <c r="AJ828" s="29"/>
      <c r="AK828" s="29"/>
      <c r="AL828" s="29"/>
    </row>
    <row r="829" spans="1:38" ht="14.1" customHeight="1">
      <c r="A829" s="116" t="e">
        <f>+'Estimate Details'!#REF!</f>
        <v>#REF!</v>
      </c>
      <c r="B829" s="116"/>
      <c r="C829" s="116"/>
      <c r="D829" s="166"/>
      <c r="E829" s="158" t="e">
        <f>+'Estimate Details'!#REF!</f>
        <v>#REF!</v>
      </c>
      <c r="F829" s="185"/>
      <c r="G829" s="117" t="e">
        <f>+'Estimate Details'!#REF!</f>
        <v>#REF!</v>
      </c>
      <c r="H829" s="184" t="e">
        <f>+'Estimate Details'!#REF!</f>
        <v>#REF!</v>
      </c>
      <c r="I829" s="188" t="e">
        <f>+'Estimate Details'!#REF!</f>
        <v>#REF!</v>
      </c>
      <c r="J829" s="179" t="e">
        <f>+'Estimate Details'!#REF!</f>
        <v>#REF!</v>
      </c>
      <c r="K829" s="116" t="e">
        <f>+'Estimate Details'!#REF!</f>
        <v>#REF!</v>
      </c>
      <c r="L829" s="116" t="e">
        <f>+'Estimate Details'!#REF!</f>
        <v>#REF!</v>
      </c>
      <c r="M829" s="204" t="e">
        <f>+'Estimate Details'!#REF!</f>
        <v>#REF!</v>
      </c>
      <c r="N829" s="194" t="e">
        <f>+'Estimate Details'!#REF!</f>
        <v>#REF!</v>
      </c>
      <c r="O829" s="171" t="e">
        <f>+'Estimate Details'!#REF!</f>
        <v>#REF!</v>
      </c>
      <c r="P829" s="172" t="e">
        <f>+'Estimate Details'!#REF!</f>
        <v>#REF!</v>
      </c>
      <c r="Q829" s="173" t="e">
        <f>+'Estimate Details'!#REF!</f>
        <v>#REF!</v>
      </c>
      <c r="R829" s="174" t="e">
        <f>+'Estimate Details'!#REF!</f>
        <v>#REF!</v>
      </c>
      <c r="S829" s="507"/>
      <c r="T829" s="174" t="e">
        <f>+'Estimate Details'!#REF!</f>
        <v>#REF!</v>
      </c>
      <c r="U829" s="481" t="s">
        <v>1310</v>
      </c>
      <c r="V829" s="172" t="e">
        <f>+'Estimate Details'!#REF!</f>
        <v>#REF!</v>
      </c>
      <c r="W829" s="481" t="s">
        <v>1310</v>
      </c>
      <c r="X829" s="172" t="e">
        <f>+'Estimate Details'!#REF!</f>
        <v>#REF!</v>
      </c>
      <c r="Y829" s="172" t="e">
        <f>+'Estimate Details'!#REF!</f>
        <v>#REF!</v>
      </c>
      <c r="Z829" s="174" t="e">
        <f>+'Estimate Details'!#REF!</f>
        <v>#REF!</v>
      </c>
      <c r="AA829" s="481"/>
      <c r="AB829" s="175" t="e">
        <f>+'Estimate Details'!#REF!</f>
        <v>#REF!</v>
      </c>
      <c r="AC829" s="569"/>
      <c r="AD829" s="176" t="e">
        <f>+'Estimate Details'!#REF!</f>
        <v>#REF!</v>
      </c>
      <c r="AE829" s="156"/>
      <c r="AF829" s="372"/>
      <c r="AG829" s="156"/>
      <c r="AH829" s="156"/>
      <c r="AI829" s="29"/>
      <c r="AJ829" s="29"/>
      <c r="AK829" s="29"/>
      <c r="AL829" s="29"/>
    </row>
    <row r="830" spans="1:38" ht="13.5" customHeight="1">
      <c r="A830" s="116" t="e">
        <f>+'Estimate Details'!#REF!</f>
        <v>#REF!</v>
      </c>
      <c r="B830" s="116"/>
      <c r="C830" s="116"/>
      <c r="D830" s="166"/>
      <c r="E830" s="158" t="e">
        <f>+'Estimate Details'!#REF!</f>
        <v>#REF!</v>
      </c>
      <c r="F830" s="41"/>
      <c r="G830" s="117" t="e">
        <f>+'Estimate Details'!#REF!</f>
        <v>#REF!</v>
      </c>
      <c r="H830" s="118" t="e">
        <f>+'Estimate Details'!#REF!</f>
        <v>#REF!</v>
      </c>
      <c r="I830" s="108" t="e">
        <f>+'Estimate Details'!#REF!</f>
        <v>#REF!</v>
      </c>
      <c r="J830" s="179" t="e">
        <f>+'Estimate Details'!#REF!</f>
        <v>#REF!</v>
      </c>
      <c r="K830" s="116" t="e">
        <f>+'Estimate Details'!#REF!</f>
        <v>#REF!</v>
      </c>
      <c r="L830" s="116" t="e">
        <f>+'Estimate Details'!#REF!</f>
        <v>#REF!</v>
      </c>
      <c r="M830" s="204" t="e">
        <f>+'Estimate Details'!#REF!</f>
        <v>#REF!</v>
      </c>
      <c r="N830" s="194" t="e">
        <f>+'Estimate Details'!#REF!</f>
        <v>#REF!</v>
      </c>
      <c r="O830" s="171" t="e">
        <f>+'Estimate Details'!#REF!</f>
        <v>#REF!</v>
      </c>
      <c r="P830" s="172" t="e">
        <f>+'Estimate Details'!#REF!</f>
        <v>#REF!</v>
      </c>
      <c r="Q830" s="173" t="e">
        <f>+'Estimate Details'!#REF!</f>
        <v>#REF!</v>
      </c>
      <c r="R830" s="174" t="e">
        <f>+'Estimate Details'!#REF!</f>
        <v>#REF!</v>
      </c>
      <c r="S830" s="507"/>
      <c r="T830" s="174" t="e">
        <f>+'Estimate Details'!#REF!</f>
        <v>#REF!</v>
      </c>
      <c r="U830" s="481" t="s">
        <v>1310</v>
      </c>
      <c r="V830" s="172" t="e">
        <f>+'Estimate Details'!#REF!</f>
        <v>#REF!</v>
      </c>
      <c r="W830" s="481" t="s">
        <v>1310</v>
      </c>
      <c r="X830" s="172" t="e">
        <f>+'Estimate Details'!#REF!</f>
        <v>#REF!</v>
      </c>
      <c r="Y830" s="172" t="e">
        <f>+'Estimate Details'!#REF!</f>
        <v>#REF!</v>
      </c>
      <c r="Z830" s="174" t="e">
        <f>+'Estimate Details'!#REF!</f>
        <v>#REF!</v>
      </c>
      <c r="AA830" s="481"/>
      <c r="AB830" s="175" t="e">
        <f>+'Estimate Details'!#REF!</f>
        <v>#REF!</v>
      </c>
      <c r="AC830" s="569"/>
      <c r="AD830" s="176" t="e">
        <f>+'Estimate Details'!#REF!</f>
        <v>#REF!</v>
      </c>
      <c r="AE830" s="156"/>
      <c r="AF830" s="372"/>
      <c r="AG830" s="156"/>
      <c r="AH830" s="156"/>
      <c r="AI830" s="29"/>
      <c r="AJ830" s="29"/>
      <c r="AK830" s="29"/>
      <c r="AL830" s="29"/>
    </row>
    <row r="831" spans="1:38" ht="13.5" customHeight="1">
      <c r="A831" s="116" t="e">
        <f>+'Estimate Details'!#REF!</f>
        <v>#REF!</v>
      </c>
      <c r="B831" s="116"/>
      <c r="C831" s="116"/>
      <c r="D831" s="166"/>
      <c r="E831" s="158" t="e">
        <f>+'Estimate Details'!#REF!</f>
        <v>#REF!</v>
      </c>
      <c r="F831" s="41"/>
      <c r="G831" s="117" t="e">
        <f>+'Estimate Details'!#REF!</f>
        <v>#REF!</v>
      </c>
      <c r="H831" s="118" t="e">
        <f>+'Estimate Details'!#REF!</f>
        <v>#REF!</v>
      </c>
      <c r="I831" s="108" t="e">
        <f>+'Estimate Details'!#REF!</f>
        <v>#REF!</v>
      </c>
      <c r="J831" s="179" t="e">
        <f>+'Estimate Details'!#REF!</f>
        <v>#REF!</v>
      </c>
      <c r="K831" s="116" t="e">
        <f>+'Estimate Details'!#REF!</f>
        <v>#REF!</v>
      </c>
      <c r="L831" s="116" t="e">
        <f>+'Estimate Details'!#REF!</f>
        <v>#REF!</v>
      </c>
      <c r="M831" s="204" t="e">
        <f>+'Estimate Details'!#REF!</f>
        <v>#REF!</v>
      </c>
      <c r="N831" s="194" t="e">
        <f>+'Estimate Details'!#REF!</f>
        <v>#REF!</v>
      </c>
      <c r="O831" s="171" t="e">
        <f>+'Estimate Details'!#REF!</f>
        <v>#REF!</v>
      </c>
      <c r="P831" s="172" t="e">
        <f>+'Estimate Details'!#REF!</f>
        <v>#REF!</v>
      </c>
      <c r="Q831" s="173" t="e">
        <f>+'Estimate Details'!#REF!</f>
        <v>#REF!</v>
      </c>
      <c r="R831" s="174" t="e">
        <f>+'Estimate Details'!#REF!</f>
        <v>#REF!</v>
      </c>
      <c r="S831" s="507"/>
      <c r="T831" s="174" t="e">
        <f>+'Estimate Details'!#REF!</f>
        <v>#REF!</v>
      </c>
      <c r="U831" s="481" t="s">
        <v>1310</v>
      </c>
      <c r="V831" s="172" t="e">
        <f>+'Estimate Details'!#REF!</f>
        <v>#REF!</v>
      </c>
      <c r="W831" s="481" t="s">
        <v>1310</v>
      </c>
      <c r="X831" s="172" t="e">
        <f>+'Estimate Details'!#REF!</f>
        <v>#REF!</v>
      </c>
      <c r="Y831" s="172" t="e">
        <f>+'Estimate Details'!#REF!</f>
        <v>#REF!</v>
      </c>
      <c r="Z831" s="174" t="e">
        <f>+'Estimate Details'!#REF!</f>
        <v>#REF!</v>
      </c>
      <c r="AA831" s="481"/>
      <c r="AB831" s="175" t="e">
        <f>+'Estimate Details'!#REF!</f>
        <v>#REF!</v>
      </c>
      <c r="AC831" s="569"/>
      <c r="AD831" s="176" t="e">
        <f>+'Estimate Details'!#REF!</f>
        <v>#REF!</v>
      </c>
      <c r="AE831" s="156"/>
      <c r="AF831" s="372"/>
      <c r="AG831" s="156"/>
      <c r="AH831" s="156"/>
      <c r="AI831" s="29"/>
      <c r="AJ831" s="29"/>
      <c r="AK831" s="29"/>
      <c r="AL831" s="29"/>
    </row>
    <row r="832" spans="1:38" ht="13.5" customHeight="1">
      <c r="A832" s="116" t="e">
        <f>+'Estimate Details'!#REF!</f>
        <v>#REF!</v>
      </c>
      <c r="B832" s="116"/>
      <c r="C832" s="116"/>
      <c r="D832" s="166"/>
      <c r="E832" s="158" t="e">
        <f>+'Estimate Details'!#REF!</f>
        <v>#REF!</v>
      </c>
      <c r="F832" s="41"/>
      <c r="G832" s="117" t="e">
        <f>+'Estimate Details'!#REF!</f>
        <v>#REF!</v>
      </c>
      <c r="H832" s="118" t="e">
        <f>+'Estimate Details'!#REF!</f>
        <v>#REF!</v>
      </c>
      <c r="I832" s="108" t="e">
        <f>+'Estimate Details'!#REF!</f>
        <v>#REF!</v>
      </c>
      <c r="J832" s="179" t="e">
        <f>+'Estimate Details'!#REF!</f>
        <v>#REF!</v>
      </c>
      <c r="K832" s="116" t="e">
        <f>+'Estimate Details'!#REF!</f>
        <v>#REF!</v>
      </c>
      <c r="L832" s="116" t="e">
        <f>+'Estimate Details'!#REF!</f>
        <v>#REF!</v>
      </c>
      <c r="M832" s="204" t="e">
        <f>+'Estimate Details'!#REF!</f>
        <v>#REF!</v>
      </c>
      <c r="N832" s="194" t="e">
        <f>+'Estimate Details'!#REF!</f>
        <v>#REF!</v>
      </c>
      <c r="O832" s="171" t="e">
        <f>+'Estimate Details'!#REF!</f>
        <v>#REF!</v>
      </c>
      <c r="P832" s="172" t="e">
        <f>+'Estimate Details'!#REF!</f>
        <v>#REF!</v>
      </c>
      <c r="Q832" s="173" t="e">
        <f>+'Estimate Details'!#REF!</f>
        <v>#REF!</v>
      </c>
      <c r="R832" s="174" t="e">
        <f>+'Estimate Details'!#REF!</f>
        <v>#REF!</v>
      </c>
      <c r="S832" s="507"/>
      <c r="T832" s="174" t="e">
        <f>+'Estimate Details'!#REF!</f>
        <v>#REF!</v>
      </c>
      <c r="U832" s="481" t="s">
        <v>1310</v>
      </c>
      <c r="V832" s="172" t="e">
        <f>+'Estimate Details'!#REF!</f>
        <v>#REF!</v>
      </c>
      <c r="W832" s="481" t="s">
        <v>1310</v>
      </c>
      <c r="X832" s="172" t="e">
        <f>+'Estimate Details'!#REF!</f>
        <v>#REF!</v>
      </c>
      <c r="Y832" s="172" t="e">
        <f>+'Estimate Details'!#REF!</f>
        <v>#REF!</v>
      </c>
      <c r="Z832" s="174" t="e">
        <f>+'Estimate Details'!#REF!</f>
        <v>#REF!</v>
      </c>
      <c r="AA832" s="481"/>
      <c r="AB832" s="175" t="e">
        <f>+'Estimate Details'!#REF!</f>
        <v>#REF!</v>
      </c>
      <c r="AC832" s="569"/>
      <c r="AD832" s="176" t="e">
        <f>+'Estimate Details'!#REF!</f>
        <v>#REF!</v>
      </c>
      <c r="AE832" s="156"/>
      <c r="AF832" s="372"/>
      <c r="AG832" s="156"/>
      <c r="AH832" s="156"/>
      <c r="AI832" s="29"/>
      <c r="AJ832" s="29"/>
      <c r="AK832" s="29"/>
      <c r="AL832" s="29"/>
    </row>
    <row r="833" spans="1:38" ht="14.1" customHeight="1">
      <c r="A833" s="116" t="e">
        <f>+'Estimate Details'!#REF!</f>
        <v>#REF!</v>
      </c>
      <c r="B833" s="116"/>
      <c r="C833" s="116"/>
      <c r="D833" s="166"/>
      <c r="E833" s="158" t="e">
        <f>+'Estimate Details'!#REF!</f>
        <v>#REF!</v>
      </c>
      <c r="F833" s="41"/>
      <c r="G833" s="117" t="e">
        <f>+'Estimate Details'!#REF!</f>
        <v>#REF!</v>
      </c>
      <c r="H833" s="118" t="e">
        <f>+'Estimate Details'!#REF!</f>
        <v>#REF!</v>
      </c>
      <c r="I833" s="108" t="e">
        <f>+'Estimate Details'!#REF!</f>
        <v>#REF!</v>
      </c>
      <c r="J833" s="179" t="e">
        <f>+'Estimate Details'!#REF!</f>
        <v>#REF!</v>
      </c>
      <c r="K833" s="116" t="e">
        <f>+'Estimate Details'!#REF!</f>
        <v>#REF!</v>
      </c>
      <c r="L833" s="116" t="e">
        <f>+'Estimate Details'!#REF!</f>
        <v>#REF!</v>
      </c>
      <c r="M833" s="204" t="e">
        <f>+'Estimate Details'!#REF!</f>
        <v>#REF!</v>
      </c>
      <c r="N833" s="194" t="e">
        <f>+'Estimate Details'!#REF!</f>
        <v>#REF!</v>
      </c>
      <c r="O833" s="171" t="e">
        <f>+'Estimate Details'!#REF!</f>
        <v>#REF!</v>
      </c>
      <c r="P833" s="172" t="e">
        <f>+'Estimate Details'!#REF!</f>
        <v>#REF!</v>
      </c>
      <c r="Q833" s="173" t="e">
        <f>+'Estimate Details'!#REF!</f>
        <v>#REF!</v>
      </c>
      <c r="R833" s="174" t="e">
        <f>+'Estimate Details'!#REF!</f>
        <v>#REF!</v>
      </c>
      <c r="S833" s="507"/>
      <c r="T833" s="174" t="e">
        <f>+'Estimate Details'!#REF!</f>
        <v>#REF!</v>
      </c>
      <c r="U833" s="481" t="s">
        <v>1310</v>
      </c>
      <c r="V833" s="172" t="e">
        <f>+'Estimate Details'!#REF!</f>
        <v>#REF!</v>
      </c>
      <c r="W833" s="481" t="s">
        <v>1310</v>
      </c>
      <c r="X833" s="172" t="e">
        <f>+'Estimate Details'!#REF!</f>
        <v>#REF!</v>
      </c>
      <c r="Y833" s="172" t="e">
        <f>+'Estimate Details'!#REF!</f>
        <v>#REF!</v>
      </c>
      <c r="Z833" s="174" t="e">
        <f>+'Estimate Details'!#REF!</f>
        <v>#REF!</v>
      </c>
      <c r="AA833" s="481"/>
      <c r="AB833" s="175" t="e">
        <f>+'Estimate Details'!#REF!</f>
        <v>#REF!</v>
      </c>
      <c r="AC833" s="569"/>
      <c r="AD833" s="176" t="e">
        <f>+'Estimate Details'!#REF!</f>
        <v>#REF!</v>
      </c>
      <c r="AE833" s="156"/>
      <c r="AF833" s="374"/>
      <c r="AG833" s="156"/>
      <c r="AH833" s="156"/>
      <c r="AI833" s="29"/>
      <c r="AJ833" s="29"/>
      <c r="AK833" s="29"/>
      <c r="AL833" s="29"/>
    </row>
    <row r="834" spans="1:38" ht="14.1" customHeight="1">
      <c r="A834" s="116" t="e">
        <f>+'Estimate Details'!#REF!</f>
        <v>#REF!</v>
      </c>
      <c r="B834" s="116"/>
      <c r="C834" s="116"/>
      <c r="D834" s="166"/>
      <c r="E834" s="158" t="e">
        <f>+'Estimate Details'!#REF!</f>
        <v>#REF!</v>
      </c>
      <c r="F834" s="41"/>
      <c r="G834" s="117" t="e">
        <f>+'Estimate Details'!#REF!</f>
        <v>#REF!</v>
      </c>
      <c r="H834" s="118" t="e">
        <f>+'Estimate Details'!#REF!</f>
        <v>#REF!</v>
      </c>
      <c r="I834" s="108" t="e">
        <f>+'Estimate Details'!#REF!</f>
        <v>#REF!</v>
      </c>
      <c r="J834" s="179" t="e">
        <f>+'Estimate Details'!#REF!</f>
        <v>#REF!</v>
      </c>
      <c r="K834" s="116" t="e">
        <f>+'Estimate Details'!#REF!</f>
        <v>#REF!</v>
      </c>
      <c r="L834" s="116" t="e">
        <f>+'Estimate Details'!#REF!</f>
        <v>#REF!</v>
      </c>
      <c r="M834" s="204" t="e">
        <f>+'Estimate Details'!#REF!</f>
        <v>#REF!</v>
      </c>
      <c r="N834" s="194" t="e">
        <f>+'Estimate Details'!#REF!</f>
        <v>#REF!</v>
      </c>
      <c r="O834" s="171" t="e">
        <f>+'Estimate Details'!#REF!</f>
        <v>#REF!</v>
      </c>
      <c r="P834" s="172" t="e">
        <f>+'Estimate Details'!#REF!</f>
        <v>#REF!</v>
      </c>
      <c r="Q834" s="173" t="e">
        <f>+'Estimate Details'!#REF!</f>
        <v>#REF!</v>
      </c>
      <c r="R834" s="174" t="e">
        <f>+'Estimate Details'!#REF!</f>
        <v>#REF!</v>
      </c>
      <c r="S834" s="507"/>
      <c r="T834" s="174" t="e">
        <f>+'Estimate Details'!#REF!</f>
        <v>#REF!</v>
      </c>
      <c r="U834" s="481" t="s">
        <v>1310</v>
      </c>
      <c r="V834" s="172" t="e">
        <f>+'Estimate Details'!#REF!</f>
        <v>#REF!</v>
      </c>
      <c r="W834" s="481" t="s">
        <v>1310</v>
      </c>
      <c r="X834" s="172" t="e">
        <f>+'Estimate Details'!#REF!</f>
        <v>#REF!</v>
      </c>
      <c r="Y834" s="172" t="e">
        <f>+'Estimate Details'!#REF!</f>
        <v>#REF!</v>
      </c>
      <c r="Z834" s="174" t="e">
        <f>+'Estimate Details'!#REF!</f>
        <v>#REF!</v>
      </c>
      <c r="AA834" s="481"/>
      <c r="AB834" s="175" t="e">
        <f>+'Estimate Details'!#REF!</f>
        <v>#REF!</v>
      </c>
      <c r="AC834" s="569"/>
      <c r="AD834" s="176" t="e">
        <f>+'Estimate Details'!#REF!</f>
        <v>#REF!</v>
      </c>
      <c r="AE834" s="156"/>
      <c r="AF834" s="372"/>
      <c r="AG834" s="156"/>
      <c r="AH834" s="156"/>
      <c r="AI834" s="29"/>
      <c r="AJ834" s="29"/>
      <c r="AK834" s="29"/>
      <c r="AL834" s="29"/>
    </row>
    <row r="835" spans="1:38" ht="14.1" customHeight="1">
      <c r="A835" s="116" t="e">
        <f>+'Estimate Details'!#REF!</f>
        <v>#REF!</v>
      </c>
      <c r="B835" s="116"/>
      <c r="C835" s="116"/>
      <c r="D835" s="166"/>
      <c r="E835" s="158" t="e">
        <f>+'Estimate Details'!#REF!</f>
        <v>#REF!</v>
      </c>
      <c r="F835" s="41"/>
      <c r="G835" s="117" t="e">
        <f>+'Estimate Details'!#REF!</f>
        <v>#REF!</v>
      </c>
      <c r="H835" s="118" t="e">
        <f>+'Estimate Details'!#REF!</f>
        <v>#REF!</v>
      </c>
      <c r="I835" s="108" t="e">
        <f>+'Estimate Details'!#REF!</f>
        <v>#REF!</v>
      </c>
      <c r="J835" s="179" t="e">
        <f>+'Estimate Details'!#REF!</f>
        <v>#REF!</v>
      </c>
      <c r="K835" s="116" t="e">
        <f>+'Estimate Details'!#REF!</f>
        <v>#REF!</v>
      </c>
      <c r="L835" s="116" t="e">
        <f>+'Estimate Details'!#REF!</f>
        <v>#REF!</v>
      </c>
      <c r="M835" s="204" t="e">
        <f>+'Estimate Details'!#REF!</f>
        <v>#REF!</v>
      </c>
      <c r="N835" s="194" t="e">
        <f>+'Estimate Details'!#REF!</f>
        <v>#REF!</v>
      </c>
      <c r="O835" s="171" t="e">
        <f>+'Estimate Details'!#REF!</f>
        <v>#REF!</v>
      </c>
      <c r="P835" s="172" t="e">
        <f>+'Estimate Details'!#REF!</f>
        <v>#REF!</v>
      </c>
      <c r="Q835" s="173" t="e">
        <f>+'Estimate Details'!#REF!</f>
        <v>#REF!</v>
      </c>
      <c r="R835" s="174" t="e">
        <f>+'Estimate Details'!#REF!</f>
        <v>#REF!</v>
      </c>
      <c r="S835" s="507"/>
      <c r="T835" s="174" t="e">
        <f>+'Estimate Details'!#REF!</f>
        <v>#REF!</v>
      </c>
      <c r="U835" s="481" t="s">
        <v>1310</v>
      </c>
      <c r="V835" s="172" t="e">
        <f>+'Estimate Details'!#REF!</f>
        <v>#REF!</v>
      </c>
      <c r="W835" s="481" t="s">
        <v>1310</v>
      </c>
      <c r="X835" s="172" t="e">
        <f>+'Estimate Details'!#REF!</f>
        <v>#REF!</v>
      </c>
      <c r="Y835" s="172" t="e">
        <f>+'Estimate Details'!#REF!</f>
        <v>#REF!</v>
      </c>
      <c r="Z835" s="174" t="e">
        <f>+'Estimate Details'!#REF!</f>
        <v>#REF!</v>
      </c>
      <c r="AA835" s="481"/>
      <c r="AB835" s="175" t="e">
        <f>+'Estimate Details'!#REF!</f>
        <v>#REF!</v>
      </c>
      <c r="AC835" s="569"/>
      <c r="AD835" s="176" t="e">
        <f>+'Estimate Details'!#REF!</f>
        <v>#REF!</v>
      </c>
      <c r="AE835" s="156"/>
      <c r="AF835" s="372"/>
      <c r="AG835" s="156"/>
      <c r="AH835" s="156"/>
      <c r="AI835" s="29"/>
      <c r="AJ835" s="29"/>
      <c r="AK835" s="29"/>
      <c r="AL835" s="29"/>
    </row>
    <row r="836" spans="1:38" ht="14.1" customHeight="1">
      <c r="A836" s="116" t="e">
        <f>+'Estimate Details'!#REF!</f>
        <v>#REF!</v>
      </c>
      <c r="B836" s="116"/>
      <c r="C836" s="116"/>
      <c r="D836" s="166"/>
      <c r="E836" s="158" t="e">
        <f>+'Estimate Details'!#REF!</f>
        <v>#REF!</v>
      </c>
      <c r="F836" s="41"/>
      <c r="G836" s="117" t="e">
        <f>+'Estimate Details'!#REF!</f>
        <v>#REF!</v>
      </c>
      <c r="H836" s="118" t="e">
        <f>+'Estimate Details'!#REF!</f>
        <v>#REF!</v>
      </c>
      <c r="I836" s="108" t="e">
        <f>+'Estimate Details'!#REF!</f>
        <v>#REF!</v>
      </c>
      <c r="J836" s="179" t="e">
        <f>+'Estimate Details'!#REF!</f>
        <v>#REF!</v>
      </c>
      <c r="K836" s="116" t="e">
        <f>+'Estimate Details'!#REF!</f>
        <v>#REF!</v>
      </c>
      <c r="L836" s="116" t="e">
        <f>+'Estimate Details'!#REF!</f>
        <v>#REF!</v>
      </c>
      <c r="M836" s="204" t="e">
        <f>+'Estimate Details'!#REF!</f>
        <v>#REF!</v>
      </c>
      <c r="N836" s="194" t="e">
        <f>+'Estimate Details'!#REF!</f>
        <v>#REF!</v>
      </c>
      <c r="O836" s="171" t="e">
        <f>+'Estimate Details'!#REF!</f>
        <v>#REF!</v>
      </c>
      <c r="P836" s="172" t="e">
        <f>+'Estimate Details'!#REF!</f>
        <v>#REF!</v>
      </c>
      <c r="Q836" s="173" t="e">
        <f>+'Estimate Details'!#REF!</f>
        <v>#REF!</v>
      </c>
      <c r="R836" s="174" t="e">
        <f>+'Estimate Details'!#REF!</f>
        <v>#REF!</v>
      </c>
      <c r="S836" s="507"/>
      <c r="T836" s="174" t="e">
        <f>+'Estimate Details'!#REF!</f>
        <v>#REF!</v>
      </c>
      <c r="U836" s="481" t="s">
        <v>1310</v>
      </c>
      <c r="V836" s="172" t="e">
        <f>+'Estimate Details'!#REF!</f>
        <v>#REF!</v>
      </c>
      <c r="W836" s="481" t="s">
        <v>1310</v>
      </c>
      <c r="X836" s="172" t="e">
        <f>+'Estimate Details'!#REF!</f>
        <v>#REF!</v>
      </c>
      <c r="Y836" s="172" t="e">
        <f>+'Estimate Details'!#REF!</f>
        <v>#REF!</v>
      </c>
      <c r="Z836" s="174" t="e">
        <f>+'Estimate Details'!#REF!</f>
        <v>#REF!</v>
      </c>
      <c r="AA836" s="481"/>
      <c r="AB836" s="175" t="e">
        <f>+'Estimate Details'!#REF!</f>
        <v>#REF!</v>
      </c>
      <c r="AC836" s="569"/>
      <c r="AD836" s="176" t="e">
        <f>+'Estimate Details'!#REF!</f>
        <v>#REF!</v>
      </c>
      <c r="AE836" s="156"/>
      <c r="AF836" s="372"/>
      <c r="AG836" s="156"/>
      <c r="AH836" s="156"/>
      <c r="AI836" s="29"/>
      <c r="AJ836" s="29"/>
      <c r="AK836" s="29"/>
      <c r="AL836" s="29"/>
    </row>
    <row r="837" spans="1:38" ht="13.5" customHeight="1">
      <c r="A837" s="116" t="e">
        <f>+'Estimate Details'!#REF!</f>
        <v>#REF!</v>
      </c>
      <c r="B837" s="116"/>
      <c r="C837" s="116"/>
      <c r="D837" s="166"/>
      <c r="E837" s="158" t="e">
        <f>+'Estimate Details'!#REF!</f>
        <v>#REF!</v>
      </c>
      <c r="F837" s="41"/>
      <c r="G837" s="117" t="e">
        <f>+'Estimate Details'!#REF!</f>
        <v>#REF!</v>
      </c>
      <c r="H837" s="118" t="e">
        <f>+'Estimate Details'!#REF!</f>
        <v>#REF!</v>
      </c>
      <c r="I837" s="108" t="e">
        <f>+'Estimate Details'!#REF!</f>
        <v>#REF!</v>
      </c>
      <c r="J837" s="179" t="e">
        <f>+'Estimate Details'!#REF!</f>
        <v>#REF!</v>
      </c>
      <c r="K837" s="116" t="e">
        <f>+'Estimate Details'!#REF!</f>
        <v>#REF!</v>
      </c>
      <c r="L837" s="116" t="e">
        <f>+'Estimate Details'!#REF!</f>
        <v>#REF!</v>
      </c>
      <c r="M837" s="204" t="e">
        <f>+'Estimate Details'!#REF!</f>
        <v>#REF!</v>
      </c>
      <c r="N837" s="194" t="e">
        <f>+'Estimate Details'!#REF!</f>
        <v>#REF!</v>
      </c>
      <c r="O837" s="171" t="e">
        <f>+'Estimate Details'!#REF!</f>
        <v>#REF!</v>
      </c>
      <c r="P837" s="172" t="e">
        <f>+'Estimate Details'!#REF!</f>
        <v>#REF!</v>
      </c>
      <c r="Q837" s="173" t="e">
        <f>+'Estimate Details'!#REF!</f>
        <v>#REF!</v>
      </c>
      <c r="R837" s="174" t="e">
        <f>+'Estimate Details'!#REF!</f>
        <v>#REF!</v>
      </c>
      <c r="S837" s="507"/>
      <c r="T837" s="174" t="e">
        <f>+'Estimate Details'!#REF!</f>
        <v>#REF!</v>
      </c>
      <c r="U837" s="481" t="s">
        <v>1310</v>
      </c>
      <c r="V837" s="172" t="e">
        <f>+'Estimate Details'!#REF!</f>
        <v>#REF!</v>
      </c>
      <c r="W837" s="481" t="s">
        <v>1310</v>
      </c>
      <c r="X837" s="172" t="e">
        <f>+'Estimate Details'!#REF!</f>
        <v>#REF!</v>
      </c>
      <c r="Y837" s="172" t="e">
        <f>+'Estimate Details'!#REF!</f>
        <v>#REF!</v>
      </c>
      <c r="Z837" s="174" t="e">
        <f>+'Estimate Details'!#REF!</f>
        <v>#REF!</v>
      </c>
      <c r="AA837" s="481"/>
      <c r="AB837" s="175" t="e">
        <f>+'Estimate Details'!#REF!</f>
        <v>#REF!</v>
      </c>
      <c r="AC837" s="569"/>
      <c r="AD837" s="176" t="e">
        <f>+'Estimate Details'!#REF!</f>
        <v>#REF!</v>
      </c>
      <c r="AE837" s="156"/>
      <c r="AF837" s="372"/>
      <c r="AG837" s="156"/>
      <c r="AH837" s="156"/>
      <c r="AI837" s="29"/>
      <c r="AJ837" s="29"/>
      <c r="AK837" s="29"/>
      <c r="AL837" s="29"/>
    </row>
    <row r="838" spans="1:38" ht="13.5" customHeight="1">
      <c r="A838" s="116" t="e">
        <f>+'Estimate Details'!#REF!</f>
        <v>#REF!</v>
      </c>
      <c r="B838" s="116"/>
      <c r="C838" s="116"/>
      <c r="D838" s="166"/>
      <c r="E838" s="158" t="e">
        <f>+'Estimate Details'!#REF!</f>
        <v>#REF!</v>
      </c>
      <c r="F838" s="41"/>
      <c r="G838" s="117" t="e">
        <f>+'Estimate Details'!#REF!</f>
        <v>#REF!</v>
      </c>
      <c r="H838" s="118" t="e">
        <f>+'Estimate Details'!#REF!</f>
        <v>#REF!</v>
      </c>
      <c r="I838" s="108" t="e">
        <f>+'Estimate Details'!#REF!</f>
        <v>#REF!</v>
      </c>
      <c r="J838" s="179" t="e">
        <f>+'Estimate Details'!#REF!</f>
        <v>#REF!</v>
      </c>
      <c r="K838" s="116" t="e">
        <f>+'Estimate Details'!#REF!</f>
        <v>#REF!</v>
      </c>
      <c r="L838" s="116" t="e">
        <f>+'Estimate Details'!#REF!</f>
        <v>#REF!</v>
      </c>
      <c r="M838" s="204" t="e">
        <f>+'Estimate Details'!#REF!</f>
        <v>#REF!</v>
      </c>
      <c r="N838" s="194" t="e">
        <f>+'Estimate Details'!#REF!</f>
        <v>#REF!</v>
      </c>
      <c r="O838" s="171" t="e">
        <f>+'Estimate Details'!#REF!</f>
        <v>#REF!</v>
      </c>
      <c r="P838" s="172" t="e">
        <f>+'Estimate Details'!#REF!</f>
        <v>#REF!</v>
      </c>
      <c r="Q838" s="173" t="e">
        <f>+'Estimate Details'!#REF!</f>
        <v>#REF!</v>
      </c>
      <c r="R838" s="174" t="e">
        <f>+'Estimate Details'!#REF!</f>
        <v>#REF!</v>
      </c>
      <c r="S838" s="507"/>
      <c r="T838" s="174" t="e">
        <f>+'Estimate Details'!#REF!</f>
        <v>#REF!</v>
      </c>
      <c r="U838" s="481" t="s">
        <v>1310</v>
      </c>
      <c r="V838" s="172" t="e">
        <f>+'Estimate Details'!#REF!</f>
        <v>#REF!</v>
      </c>
      <c r="W838" s="481" t="s">
        <v>1310</v>
      </c>
      <c r="X838" s="172" t="e">
        <f>+'Estimate Details'!#REF!</f>
        <v>#REF!</v>
      </c>
      <c r="Y838" s="172" t="e">
        <f>+'Estimate Details'!#REF!</f>
        <v>#REF!</v>
      </c>
      <c r="Z838" s="174" t="e">
        <f>+'Estimate Details'!#REF!</f>
        <v>#REF!</v>
      </c>
      <c r="AA838" s="481"/>
      <c r="AB838" s="175" t="e">
        <f>+'Estimate Details'!#REF!</f>
        <v>#REF!</v>
      </c>
      <c r="AC838" s="569"/>
      <c r="AD838" s="176" t="e">
        <f>+'Estimate Details'!#REF!</f>
        <v>#REF!</v>
      </c>
      <c r="AE838" s="156"/>
      <c r="AF838" s="372"/>
      <c r="AG838" s="156"/>
      <c r="AH838" s="156"/>
      <c r="AI838" s="29"/>
      <c r="AJ838" s="29"/>
      <c r="AK838" s="29"/>
      <c r="AL838" s="29"/>
    </row>
    <row r="839" spans="1:38" ht="13.5" customHeight="1">
      <c r="A839" s="116" t="e">
        <f>+'Estimate Details'!#REF!</f>
        <v>#REF!</v>
      </c>
      <c r="B839" s="116"/>
      <c r="C839" s="116"/>
      <c r="D839" s="166"/>
      <c r="E839" s="158" t="e">
        <f>+'Estimate Details'!#REF!</f>
        <v>#REF!</v>
      </c>
      <c r="F839" s="41"/>
      <c r="G839" s="117" t="e">
        <f>+'Estimate Details'!#REF!</f>
        <v>#REF!</v>
      </c>
      <c r="H839" s="118" t="e">
        <f>+'Estimate Details'!#REF!</f>
        <v>#REF!</v>
      </c>
      <c r="I839" s="108" t="e">
        <f>+'Estimate Details'!#REF!</f>
        <v>#REF!</v>
      </c>
      <c r="J839" s="179" t="e">
        <f>+'Estimate Details'!#REF!</f>
        <v>#REF!</v>
      </c>
      <c r="K839" s="116" t="e">
        <f>+'Estimate Details'!#REF!</f>
        <v>#REF!</v>
      </c>
      <c r="L839" s="116" t="e">
        <f>+'Estimate Details'!#REF!</f>
        <v>#REF!</v>
      </c>
      <c r="M839" s="204" t="e">
        <f>+'Estimate Details'!#REF!</f>
        <v>#REF!</v>
      </c>
      <c r="N839" s="194" t="e">
        <f>+'Estimate Details'!#REF!</f>
        <v>#REF!</v>
      </c>
      <c r="O839" s="171" t="e">
        <f>+'Estimate Details'!#REF!</f>
        <v>#REF!</v>
      </c>
      <c r="P839" s="172" t="e">
        <f>+'Estimate Details'!#REF!</f>
        <v>#REF!</v>
      </c>
      <c r="Q839" s="173" t="e">
        <f>+'Estimate Details'!#REF!</f>
        <v>#REF!</v>
      </c>
      <c r="R839" s="174" t="e">
        <f>+'Estimate Details'!#REF!</f>
        <v>#REF!</v>
      </c>
      <c r="S839" s="507"/>
      <c r="T839" s="174" t="e">
        <f>+'Estimate Details'!#REF!</f>
        <v>#REF!</v>
      </c>
      <c r="U839" s="481" t="s">
        <v>1310</v>
      </c>
      <c r="V839" s="172" t="e">
        <f>+'Estimate Details'!#REF!</f>
        <v>#REF!</v>
      </c>
      <c r="W839" s="481" t="s">
        <v>1310</v>
      </c>
      <c r="X839" s="172" t="e">
        <f>+'Estimate Details'!#REF!</f>
        <v>#REF!</v>
      </c>
      <c r="Y839" s="172" t="e">
        <f>+'Estimate Details'!#REF!</f>
        <v>#REF!</v>
      </c>
      <c r="Z839" s="174" t="e">
        <f>+'Estimate Details'!#REF!</f>
        <v>#REF!</v>
      </c>
      <c r="AA839" s="481"/>
      <c r="AB839" s="175" t="e">
        <f>+'Estimate Details'!#REF!</f>
        <v>#REF!</v>
      </c>
      <c r="AC839" s="569"/>
      <c r="AD839" s="176" t="e">
        <f>+'Estimate Details'!#REF!</f>
        <v>#REF!</v>
      </c>
      <c r="AE839" s="156"/>
      <c r="AF839" s="372"/>
      <c r="AG839" s="156"/>
      <c r="AH839" s="156"/>
      <c r="AI839" s="29"/>
      <c r="AJ839" s="29"/>
      <c r="AK839" s="29"/>
      <c r="AL839" s="29"/>
    </row>
    <row r="840" spans="1:38" ht="14.1" customHeight="1">
      <c r="A840" s="116" t="e">
        <f>+'Estimate Details'!#REF!</f>
        <v>#REF!</v>
      </c>
      <c r="B840" s="116"/>
      <c r="C840" s="116"/>
      <c r="D840" s="166"/>
      <c r="E840" s="158" t="e">
        <f>+'Estimate Details'!#REF!</f>
        <v>#REF!</v>
      </c>
      <c r="F840" s="41"/>
      <c r="G840" s="117" t="e">
        <f>+'Estimate Details'!#REF!</f>
        <v>#REF!</v>
      </c>
      <c r="H840" s="118" t="e">
        <f>+'Estimate Details'!#REF!</f>
        <v>#REF!</v>
      </c>
      <c r="I840" s="108" t="e">
        <f>+'Estimate Details'!#REF!</f>
        <v>#REF!</v>
      </c>
      <c r="J840" s="179" t="e">
        <f>+'Estimate Details'!#REF!</f>
        <v>#REF!</v>
      </c>
      <c r="K840" s="116" t="e">
        <f>+'Estimate Details'!#REF!</f>
        <v>#REF!</v>
      </c>
      <c r="L840" s="116" t="e">
        <f>+'Estimate Details'!#REF!</f>
        <v>#REF!</v>
      </c>
      <c r="M840" s="204" t="e">
        <f>+'Estimate Details'!#REF!</f>
        <v>#REF!</v>
      </c>
      <c r="N840" s="194" t="e">
        <f>+'Estimate Details'!#REF!</f>
        <v>#REF!</v>
      </c>
      <c r="O840" s="171" t="e">
        <f>+'Estimate Details'!#REF!</f>
        <v>#REF!</v>
      </c>
      <c r="P840" s="172" t="e">
        <f>+'Estimate Details'!#REF!</f>
        <v>#REF!</v>
      </c>
      <c r="Q840" s="173" t="e">
        <f>+'Estimate Details'!#REF!</f>
        <v>#REF!</v>
      </c>
      <c r="R840" s="174" t="e">
        <f>+'Estimate Details'!#REF!</f>
        <v>#REF!</v>
      </c>
      <c r="S840" s="507"/>
      <c r="T840" s="174" t="e">
        <f>+'Estimate Details'!#REF!</f>
        <v>#REF!</v>
      </c>
      <c r="U840" s="481" t="s">
        <v>1310</v>
      </c>
      <c r="V840" s="172" t="e">
        <f>+'Estimate Details'!#REF!</f>
        <v>#REF!</v>
      </c>
      <c r="W840" s="481" t="s">
        <v>1310</v>
      </c>
      <c r="X840" s="172" t="e">
        <f>+'Estimate Details'!#REF!</f>
        <v>#REF!</v>
      </c>
      <c r="Y840" s="172" t="e">
        <f>+'Estimate Details'!#REF!</f>
        <v>#REF!</v>
      </c>
      <c r="Z840" s="174" t="e">
        <f>+'Estimate Details'!#REF!</f>
        <v>#REF!</v>
      </c>
      <c r="AA840" s="481"/>
      <c r="AB840" s="175" t="e">
        <f>+'Estimate Details'!#REF!</f>
        <v>#REF!</v>
      </c>
      <c r="AC840" s="569"/>
      <c r="AD840" s="176" t="e">
        <f>+'Estimate Details'!#REF!</f>
        <v>#REF!</v>
      </c>
      <c r="AE840" s="156"/>
      <c r="AF840" s="372"/>
      <c r="AG840" s="156"/>
      <c r="AH840" s="156"/>
      <c r="AI840" s="29"/>
      <c r="AJ840" s="29"/>
      <c r="AK840" s="29"/>
      <c r="AL840" s="29"/>
    </row>
    <row r="841" spans="1:38" ht="14.1" customHeight="1">
      <c r="A841" s="116" t="e">
        <f>+'Estimate Details'!#REF!</f>
        <v>#REF!</v>
      </c>
      <c r="B841" s="116"/>
      <c r="C841" s="116"/>
      <c r="D841" s="166"/>
      <c r="E841" s="158" t="e">
        <f>+'Estimate Details'!#REF!</f>
        <v>#REF!</v>
      </c>
      <c r="F841" s="41"/>
      <c r="G841" s="117" t="e">
        <f>+'Estimate Details'!#REF!</f>
        <v>#REF!</v>
      </c>
      <c r="H841" s="118" t="e">
        <f>+'Estimate Details'!#REF!</f>
        <v>#REF!</v>
      </c>
      <c r="I841" s="108" t="e">
        <f>+'Estimate Details'!#REF!</f>
        <v>#REF!</v>
      </c>
      <c r="J841" s="179" t="e">
        <f>+'Estimate Details'!#REF!</f>
        <v>#REF!</v>
      </c>
      <c r="K841" s="116" t="e">
        <f>+'Estimate Details'!#REF!</f>
        <v>#REF!</v>
      </c>
      <c r="L841" s="116" t="e">
        <f>+'Estimate Details'!#REF!</f>
        <v>#REF!</v>
      </c>
      <c r="M841" s="204" t="e">
        <f>+'Estimate Details'!#REF!</f>
        <v>#REF!</v>
      </c>
      <c r="N841" s="194" t="e">
        <f>+'Estimate Details'!#REF!</f>
        <v>#REF!</v>
      </c>
      <c r="O841" s="171" t="e">
        <f>+'Estimate Details'!#REF!</f>
        <v>#REF!</v>
      </c>
      <c r="P841" s="172" t="e">
        <f>+'Estimate Details'!#REF!</f>
        <v>#REF!</v>
      </c>
      <c r="Q841" s="173" t="e">
        <f>+'Estimate Details'!#REF!</f>
        <v>#REF!</v>
      </c>
      <c r="R841" s="174" t="e">
        <f>+'Estimate Details'!#REF!</f>
        <v>#REF!</v>
      </c>
      <c r="S841" s="507"/>
      <c r="T841" s="174" t="e">
        <f>+'Estimate Details'!#REF!</f>
        <v>#REF!</v>
      </c>
      <c r="U841" s="481"/>
      <c r="V841" s="172" t="e">
        <f>+'Estimate Details'!#REF!</f>
        <v>#REF!</v>
      </c>
      <c r="W841" s="481" t="s">
        <v>1310</v>
      </c>
      <c r="X841" s="172" t="e">
        <f>+'Estimate Details'!#REF!</f>
        <v>#REF!</v>
      </c>
      <c r="Y841" s="172" t="e">
        <f>+'Estimate Details'!#REF!</f>
        <v>#REF!</v>
      </c>
      <c r="Z841" s="174" t="e">
        <f>+'Estimate Details'!#REF!</f>
        <v>#REF!</v>
      </c>
      <c r="AA841" s="481" t="s">
        <v>1308</v>
      </c>
      <c r="AB841" s="175" t="e">
        <f>+'Estimate Details'!#REF!</f>
        <v>#REF!</v>
      </c>
      <c r="AC841" s="569"/>
      <c r="AD841" s="176" t="e">
        <f>+'Estimate Details'!#REF!</f>
        <v>#REF!</v>
      </c>
      <c r="AE841" s="156"/>
      <c r="AF841" s="372"/>
      <c r="AG841" s="156"/>
      <c r="AH841" s="156"/>
      <c r="AI841" s="29"/>
      <c r="AJ841" s="29"/>
      <c r="AK841" s="29"/>
      <c r="AL841" s="29"/>
    </row>
    <row r="842" spans="1:38" ht="14.1" customHeight="1">
      <c r="A842" s="116" t="e">
        <f>+'Estimate Details'!#REF!</f>
        <v>#REF!</v>
      </c>
      <c r="B842" s="116"/>
      <c r="C842" s="116"/>
      <c r="D842" s="166"/>
      <c r="E842" s="158" t="e">
        <f>+'Estimate Details'!#REF!</f>
        <v>#REF!</v>
      </c>
      <c r="F842" s="41"/>
      <c r="G842" s="117" t="e">
        <f>+'Estimate Details'!#REF!</f>
        <v>#REF!</v>
      </c>
      <c r="H842" s="118" t="e">
        <f>+'Estimate Details'!#REF!</f>
        <v>#REF!</v>
      </c>
      <c r="I842" s="108" t="e">
        <f>+'Estimate Details'!#REF!</f>
        <v>#REF!</v>
      </c>
      <c r="J842" s="179" t="e">
        <f>+'Estimate Details'!#REF!</f>
        <v>#REF!</v>
      </c>
      <c r="K842" s="116" t="e">
        <f>+'Estimate Details'!#REF!</f>
        <v>#REF!</v>
      </c>
      <c r="L842" s="116" t="e">
        <f>+'Estimate Details'!#REF!</f>
        <v>#REF!</v>
      </c>
      <c r="M842" s="204" t="e">
        <f>+'Estimate Details'!#REF!</f>
        <v>#REF!</v>
      </c>
      <c r="N842" s="194" t="e">
        <f>+'Estimate Details'!#REF!</f>
        <v>#REF!</v>
      </c>
      <c r="O842" s="171" t="e">
        <f>+'Estimate Details'!#REF!</f>
        <v>#REF!</v>
      </c>
      <c r="P842" s="172" t="e">
        <f>+'Estimate Details'!#REF!</f>
        <v>#REF!</v>
      </c>
      <c r="Q842" s="173" t="e">
        <f>+'Estimate Details'!#REF!</f>
        <v>#REF!</v>
      </c>
      <c r="R842" s="174" t="e">
        <f>+'Estimate Details'!#REF!</f>
        <v>#REF!</v>
      </c>
      <c r="S842" s="507"/>
      <c r="T842" s="174" t="e">
        <f>+'Estimate Details'!#REF!</f>
        <v>#REF!</v>
      </c>
      <c r="U842" s="481" t="s">
        <v>1310</v>
      </c>
      <c r="V842" s="172" t="e">
        <f>+'Estimate Details'!#REF!</f>
        <v>#REF!</v>
      </c>
      <c r="W842" s="481" t="s">
        <v>1310</v>
      </c>
      <c r="X842" s="172" t="e">
        <f>+'Estimate Details'!#REF!</f>
        <v>#REF!</v>
      </c>
      <c r="Y842" s="172" t="e">
        <f>+'Estimate Details'!#REF!</f>
        <v>#REF!</v>
      </c>
      <c r="Z842" s="174" t="e">
        <f>+'Estimate Details'!#REF!</f>
        <v>#REF!</v>
      </c>
      <c r="AA842" s="481"/>
      <c r="AB842" s="175" t="e">
        <f>+'Estimate Details'!#REF!</f>
        <v>#REF!</v>
      </c>
      <c r="AC842" s="569"/>
      <c r="AD842" s="176" t="e">
        <f>+'Estimate Details'!#REF!</f>
        <v>#REF!</v>
      </c>
      <c r="AE842" s="156"/>
      <c r="AF842" s="372"/>
      <c r="AG842" s="156"/>
      <c r="AH842" s="156"/>
      <c r="AI842" s="29"/>
      <c r="AJ842" s="29"/>
      <c r="AK842" s="29"/>
      <c r="AL842" s="29"/>
    </row>
    <row r="843" spans="1:38" ht="14.1" customHeight="1">
      <c r="A843" s="116" t="e">
        <f>+'Estimate Details'!#REF!</f>
        <v>#REF!</v>
      </c>
      <c r="B843" s="116"/>
      <c r="C843" s="116"/>
      <c r="D843" s="166"/>
      <c r="E843" s="158" t="e">
        <f>+'Estimate Details'!#REF!</f>
        <v>#REF!</v>
      </c>
      <c r="F843" s="41"/>
      <c r="G843" s="117" t="e">
        <f>+'Estimate Details'!#REF!</f>
        <v>#REF!</v>
      </c>
      <c r="H843" s="118" t="e">
        <f>+'Estimate Details'!#REF!</f>
        <v>#REF!</v>
      </c>
      <c r="I843" s="108" t="e">
        <f>+'Estimate Details'!#REF!</f>
        <v>#REF!</v>
      </c>
      <c r="J843" s="179" t="e">
        <f>+'Estimate Details'!#REF!</f>
        <v>#REF!</v>
      </c>
      <c r="K843" s="116" t="e">
        <f>+'Estimate Details'!#REF!</f>
        <v>#REF!</v>
      </c>
      <c r="L843" s="116" t="e">
        <f>+'Estimate Details'!#REF!</f>
        <v>#REF!</v>
      </c>
      <c r="M843" s="204" t="e">
        <f>+'Estimate Details'!#REF!</f>
        <v>#REF!</v>
      </c>
      <c r="N843" s="194" t="e">
        <f>+'Estimate Details'!#REF!</f>
        <v>#REF!</v>
      </c>
      <c r="O843" s="171" t="e">
        <f>+'Estimate Details'!#REF!</f>
        <v>#REF!</v>
      </c>
      <c r="P843" s="172" t="e">
        <f>+'Estimate Details'!#REF!</f>
        <v>#REF!</v>
      </c>
      <c r="Q843" s="173" t="e">
        <f>+'Estimate Details'!#REF!</f>
        <v>#REF!</v>
      </c>
      <c r="R843" s="174" t="e">
        <f>+'Estimate Details'!#REF!</f>
        <v>#REF!</v>
      </c>
      <c r="S843" s="507"/>
      <c r="T843" s="174" t="e">
        <f>+'Estimate Details'!#REF!</f>
        <v>#REF!</v>
      </c>
      <c r="U843" s="481" t="s">
        <v>1310</v>
      </c>
      <c r="V843" s="172" t="e">
        <f>+'Estimate Details'!#REF!</f>
        <v>#REF!</v>
      </c>
      <c r="W843" s="481" t="s">
        <v>1310</v>
      </c>
      <c r="X843" s="172" t="e">
        <f>+'Estimate Details'!#REF!</f>
        <v>#REF!</v>
      </c>
      <c r="Y843" s="172" t="e">
        <f>+'Estimate Details'!#REF!</f>
        <v>#REF!</v>
      </c>
      <c r="Z843" s="174" t="e">
        <f>+'Estimate Details'!#REF!</f>
        <v>#REF!</v>
      </c>
      <c r="AA843" s="481"/>
      <c r="AB843" s="175" t="e">
        <f>+'Estimate Details'!#REF!</f>
        <v>#REF!</v>
      </c>
      <c r="AC843" s="569"/>
      <c r="AD843" s="176" t="e">
        <f>+'Estimate Details'!#REF!</f>
        <v>#REF!</v>
      </c>
      <c r="AE843" s="156"/>
      <c r="AF843" s="372"/>
      <c r="AG843" s="156"/>
      <c r="AH843" s="156"/>
      <c r="AI843" s="29"/>
      <c r="AJ843" s="29"/>
      <c r="AK843" s="29"/>
      <c r="AL843" s="29"/>
    </row>
    <row r="844" spans="1:38" ht="13.5" customHeight="1">
      <c r="A844" s="116" t="e">
        <f>+'Estimate Details'!#REF!</f>
        <v>#REF!</v>
      </c>
      <c r="B844" s="116"/>
      <c r="C844" s="116"/>
      <c r="D844" s="166"/>
      <c r="E844" s="158" t="e">
        <f>+'Estimate Details'!#REF!</f>
        <v>#REF!</v>
      </c>
      <c r="F844" s="41"/>
      <c r="G844" s="117" t="e">
        <f>+'Estimate Details'!#REF!</f>
        <v>#REF!</v>
      </c>
      <c r="H844" s="118" t="e">
        <f>+'Estimate Details'!#REF!</f>
        <v>#REF!</v>
      </c>
      <c r="I844" s="108" t="e">
        <f>+'Estimate Details'!#REF!</f>
        <v>#REF!</v>
      </c>
      <c r="J844" s="179" t="e">
        <f>+'Estimate Details'!#REF!</f>
        <v>#REF!</v>
      </c>
      <c r="K844" s="116" t="e">
        <f>+'Estimate Details'!#REF!</f>
        <v>#REF!</v>
      </c>
      <c r="L844" s="116" t="e">
        <f>+'Estimate Details'!#REF!</f>
        <v>#REF!</v>
      </c>
      <c r="M844" s="204" t="e">
        <f>+'Estimate Details'!#REF!</f>
        <v>#REF!</v>
      </c>
      <c r="N844" s="194" t="e">
        <f>+'Estimate Details'!#REF!</f>
        <v>#REF!</v>
      </c>
      <c r="O844" s="171" t="e">
        <f>+'Estimate Details'!#REF!</f>
        <v>#REF!</v>
      </c>
      <c r="P844" s="172" t="e">
        <f>+'Estimate Details'!#REF!</f>
        <v>#REF!</v>
      </c>
      <c r="Q844" s="173" t="e">
        <f>+'Estimate Details'!#REF!</f>
        <v>#REF!</v>
      </c>
      <c r="R844" s="174" t="e">
        <f>+'Estimate Details'!#REF!</f>
        <v>#REF!</v>
      </c>
      <c r="S844" s="507"/>
      <c r="T844" s="174" t="e">
        <f>+'Estimate Details'!#REF!</f>
        <v>#REF!</v>
      </c>
      <c r="U844" s="481" t="s">
        <v>1310</v>
      </c>
      <c r="V844" s="172" t="e">
        <f>+'Estimate Details'!#REF!</f>
        <v>#REF!</v>
      </c>
      <c r="W844" s="481" t="s">
        <v>1310</v>
      </c>
      <c r="X844" s="172" t="e">
        <f>+'Estimate Details'!#REF!</f>
        <v>#REF!</v>
      </c>
      <c r="Y844" s="172" t="e">
        <f>+'Estimate Details'!#REF!</f>
        <v>#REF!</v>
      </c>
      <c r="Z844" s="174" t="e">
        <f>+'Estimate Details'!#REF!</f>
        <v>#REF!</v>
      </c>
      <c r="AA844" s="481"/>
      <c r="AB844" s="175" t="e">
        <f>+'Estimate Details'!#REF!</f>
        <v>#REF!</v>
      </c>
      <c r="AC844" s="569"/>
      <c r="AD844" s="176" t="e">
        <f>+'Estimate Details'!#REF!</f>
        <v>#REF!</v>
      </c>
      <c r="AE844" s="156"/>
      <c r="AF844" s="372"/>
      <c r="AG844" s="156"/>
      <c r="AH844" s="156"/>
      <c r="AI844" s="29"/>
      <c r="AJ844" s="29"/>
      <c r="AK844" s="29"/>
      <c r="AL844" s="29"/>
    </row>
    <row r="845" spans="1:38" ht="14.1" customHeight="1">
      <c r="A845" s="116" t="e">
        <f>+'Estimate Details'!#REF!</f>
        <v>#REF!</v>
      </c>
      <c r="B845" s="116"/>
      <c r="C845" s="116"/>
      <c r="D845" s="166"/>
      <c r="E845" s="158" t="e">
        <f>+'Estimate Details'!#REF!</f>
        <v>#REF!</v>
      </c>
      <c r="F845" s="41"/>
      <c r="G845" s="117" t="e">
        <f>+'Estimate Details'!#REF!</f>
        <v>#REF!</v>
      </c>
      <c r="H845" s="118" t="e">
        <f>+'Estimate Details'!#REF!</f>
        <v>#REF!</v>
      </c>
      <c r="I845" s="108" t="e">
        <f>+'Estimate Details'!#REF!</f>
        <v>#REF!</v>
      </c>
      <c r="J845" s="179" t="e">
        <f>+'Estimate Details'!#REF!</f>
        <v>#REF!</v>
      </c>
      <c r="K845" s="116" t="e">
        <f>+'Estimate Details'!#REF!</f>
        <v>#REF!</v>
      </c>
      <c r="L845" s="116" t="e">
        <f>+'Estimate Details'!#REF!</f>
        <v>#REF!</v>
      </c>
      <c r="M845" s="204" t="e">
        <f>+'Estimate Details'!#REF!</f>
        <v>#REF!</v>
      </c>
      <c r="N845" s="194" t="e">
        <f>+'Estimate Details'!#REF!</f>
        <v>#REF!</v>
      </c>
      <c r="O845" s="171" t="e">
        <f>+'Estimate Details'!#REF!</f>
        <v>#REF!</v>
      </c>
      <c r="P845" s="172" t="e">
        <f>+'Estimate Details'!#REF!</f>
        <v>#REF!</v>
      </c>
      <c r="Q845" s="173" t="e">
        <f>+'Estimate Details'!#REF!</f>
        <v>#REF!</v>
      </c>
      <c r="R845" s="174" t="e">
        <f>+'Estimate Details'!#REF!</f>
        <v>#REF!</v>
      </c>
      <c r="S845" s="507"/>
      <c r="T845" s="174" t="e">
        <f>+'Estimate Details'!#REF!</f>
        <v>#REF!</v>
      </c>
      <c r="U845" s="481" t="s">
        <v>1310</v>
      </c>
      <c r="V845" s="172" t="e">
        <f>+'Estimate Details'!#REF!</f>
        <v>#REF!</v>
      </c>
      <c r="W845" s="481" t="s">
        <v>1310</v>
      </c>
      <c r="X845" s="172" t="e">
        <f>+'Estimate Details'!#REF!</f>
        <v>#REF!</v>
      </c>
      <c r="Y845" s="172" t="e">
        <f>+'Estimate Details'!#REF!</f>
        <v>#REF!</v>
      </c>
      <c r="Z845" s="174" t="e">
        <f>+'Estimate Details'!#REF!</f>
        <v>#REF!</v>
      </c>
      <c r="AA845" s="481"/>
      <c r="AB845" s="175" t="e">
        <f>+'Estimate Details'!#REF!</f>
        <v>#REF!</v>
      </c>
      <c r="AC845" s="569"/>
      <c r="AD845" s="176" t="e">
        <f>+'Estimate Details'!#REF!</f>
        <v>#REF!</v>
      </c>
      <c r="AE845" s="156"/>
      <c r="AF845" s="372"/>
      <c r="AG845" s="156"/>
      <c r="AH845" s="156"/>
      <c r="AI845" s="29"/>
      <c r="AJ845" s="29"/>
      <c r="AK845" s="29"/>
      <c r="AL845" s="29"/>
    </row>
    <row r="846" spans="1:38" ht="14.1" customHeight="1">
      <c r="A846" s="116" t="e">
        <f>+'Estimate Details'!#REF!</f>
        <v>#REF!</v>
      </c>
      <c r="B846" s="116"/>
      <c r="C846" s="116"/>
      <c r="D846" s="166"/>
      <c r="E846" s="158" t="e">
        <f>+'Estimate Details'!#REF!</f>
        <v>#REF!</v>
      </c>
      <c r="F846" s="41"/>
      <c r="G846" s="117" t="e">
        <f>+'Estimate Details'!#REF!</f>
        <v>#REF!</v>
      </c>
      <c r="H846" s="118" t="e">
        <f>+'Estimate Details'!#REF!</f>
        <v>#REF!</v>
      </c>
      <c r="I846" s="108" t="e">
        <f>+'Estimate Details'!#REF!</f>
        <v>#REF!</v>
      </c>
      <c r="J846" s="179" t="e">
        <f>+'Estimate Details'!#REF!</f>
        <v>#REF!</v>
      </c>
      <c r="K846" s="116" t="e">
        <f>+'Estimate Details'!#REF!</f>
        <v>#REF!</v>
      </c>
      <c r="L846" s="116" t="e">
        <f>+'Estimate Details'!#REF!</f>
        <v>#REF!</v>
      </c>
      <c r="M846" s="204" t="e">
        <f>+'Estimate Details'!#REF!</f>
        <v>#REF!</v>
      </c>
      <c r="N846" s="194" t="e">
        <f>+'Estimate Details'!#REF!</f>
        <v>#REF!</v>
      </c>
      <c r="O846" s="171" t="e">
        <f>+'Estimate Details'!#REF!</f>
        <v>#REF!</v>
      </c>
      <c r="P846" s="172" t="e">
        <f>+'Estimate Details'!#REF!</f>
        <v>#REF!</v>
      </c>
      <c r="Q846" s="173" t="e">
        <f>+'Estimate Details'!#REF!</f>
        <v>#REF!</v>
      </c>
      <c r="R846" s="174" t="e">
        <f>+'Estimate Details'!#REF!</f>
        <v>#REF!</v>
      </c>
      <c r="S846" s="507"/>
      <c r="T846" s="174" t="e">
        <f>+'Estimate Details'!#REF!</f>
        <v>#REF!</v>
      </c>
      <c r="U846" s="481" t="s">
        <v>1310</v>
      </c>
      <c r="V846" s="172" t="e">
        <f>+'Estimate Details'!#REF!</f>
        <v>#REF!</v>
      </c>
      <c r="W846" s="481" t="s">
        <v>1310</v>
      </c>
      <c r="X846" s="172" t="e">
        <f>+'Estimate Details'!#REF!</f>
        <v>#REF!</v>
      </c>
      <c r="Y846" s="172" t="e">
        <f>+'Estimate Details'!#REF!</f>
        <v>#REF!</v>
      </c>
      <c r="Z846" s="174" t="e">
        <f>+'Estimate Details'!#REF!</f>
        <v>#REF!</v>
      </c>
      <c r="AA846" s="481"/>
      <c r="AB846" s="175" t="e">
        <f>+'Estimate Details'!#REF!</f>
        <v>#REF!</v>
      </c>
      <c r="AC846" s="569"/>
      <c r="AD846" s="176" t="e">
        <f>+'Estimate Details'!#REF!</f>
        <v>#REF!</v>
      </c>
      <c r="AE846" s="156"/>
      <c r="AF846" s="372"/>
      <c r="AG846" s="156"/>
      <c r="AH846" s="156"/>
      <c r="AI846" s="29"/>
      <c r="AJ846" s="29"/>
      <c r="AK846" s="29"/>
      <c r="AL846" s="29"/>
    </row>
    <row r="847" spans="1:38" ht="14.1" customHeight="1">
      <c r="A847" s="116" t="e">
        <f>+'Estimate Details'!#REF!</f>
        <v>#REF!</v>
      </c>
      <c r="B847" s="116"/>
      <c r="C847" s="116"/>
      <c r="D847" s="166"/>
      <c r="E847" s="158" t="e">
        <f>+'Estimate Details'!#REF!</f>
        <v>#REF!</v>
      </c>
      <c r="F847" s="41"/>
      <c r="G847" s="117" t="e">
        <f>+'Estimate Details'!#REF!</f>
        <v>#REF!</v>
      </c>
      <c r="H847" s="118" t="e">
        <f>+'Estimate Details'!#REF!</f>
        <v>#REF!</v>
      </c>
      <c r="I847" s="108" t="e">
        <f>+'Estimate Details'!#REF!</f>
        <v>#REF!</v>
      </c>
      <c r="J847" s="179" t="e">
        <f>+'Estimate Details'!#REF!</f>
        <v>#REF!</v>
      </c>
      <c r="K847" s="116" t="e">
        <f>+'Estimate Details'!#REF!</f>
        <v>#REF!</v>
      </c>
      <c r="L847" s="116" t="e">
        <f>+'Estimate Details'!#REF!</f>
        <v>#REF!</v>
      </c>
      <c r="M847" s="204" t="e">
        <f>+'Estimate Details'!#REF!</f>
        <v>#REF!</v>
      </c>
      <c r="N847" s="194" t="e">
        <f>+'Estimate Details'!#REF!</f>
        <v>#REF!</v>
      </c>
      <c r="O847" s="171" t="e">
        <f>+'Estimate Details'!#REF!</f>
        <v>#REF!</v>
      </c>
      <c r="P847" s="172" t="e">
        <f>+'Estimate Details'!#REF!</f>
        <v>#REF!</v>
      </c>
      <c r="Q847" s="173" t="e">
        <f>+'Estimate Details'!#REF!</f>
        <v>#REF!</v>
      </c>
      <c r="R847" s="174" t="e">
        <f>+'Estimate Details'!#REF!</f>
        <v>#REF!</v>
      </c>
      <c r="S847" s="507"/>
      <c r="T847" s="174" t="e">
        <f>+'Estimate Details'!#REF!</f>
        <v>#REF!</v>
      </c>
      <c r="U847" s="481" t="s">
        <v>1310</v>
      </c>
      <c r="V847" s="172" t="e">
        <f>+'Estimate Details'!#REF!</f>
        <v>#REF!</v>
      </c>
      <c r="W847" s="481" t="s">
        <v>1310</v>
      </c>
      <c r="X847" s="172" t="e">
        <f>+'Estimate Details'!#REF!</f>
        <v>#REF!</v>
      </c>
      <c r="Y847" s="172" t="e">
        <f>+'Estimate Details'!#REF!</f>
        <v>#REF!</v>
      </c>
      <c r="Z847" s="174" t="e">
        <f>+'Estimate Details'!#REF!</f>
        <v>#REF!</v>
      </c>
      <c r="AA847" s="481"/>
      <c r="AB847" s="175" t="e">
        <f>+'Estimate Details'!#REF!</f>
        <v>#REF!</v>
      </c>
      <c r="AC847" s="569"/>
      <c r="AD847" s="176" t="e">
        <f>+'Estimate Details'!#REF!</f>
        <v>#REF!</v>
      </c>
      <c r="AE847" s="156"/>
      <c r="AF847" s="372"/>
      <c r="AG847" s="156"/>
      <c r="AH847" s="156"/>
      <c r="AI847" s="29"/>
      <c r="AJ847" s="29"/>
      <c r="AK847" s="29"/>
      <c r="AL847" s="29"/>
    </row>
    <row r="848" spans="1:38" ht="14.1" customHeight="1">
      <c r="A848" s="116" t="e">
        <f>+'Estimate Details'!#REF!</f>
        <v>#REF!</v>
      </c>
      <c r="B848" s="116"/>
      <c r="C848" s="116"/>
      <c r="D848" s="166"/>
      <c r="E848" s="158" t="e">
        <f>+'Estimate Details'!#REF!</f>
        <v>#REF!</v>
      </c>
      <c r="F848" s="41"/>
      <c r="G848" s="117" t="e">
        <f>+'Estimate Details'!#REF!</f>
        <v>#REF!</v>
      </c>
      <c r="H848" s="118" t="e">
        <f>+'Estimate Details'!#REF!</f>
        <v>#REF!</v>
      </c>
      <c r="I848" s="108" t="e">
        <f>+'Estimate Details'!#REF!</f>
        <v>#REF!</v>
      </c>
      <c r="J848" s="179" t="e">
        <f>+'Estimate Details'!#REF!</f>
        <v>#REF!</v>
      </c>
      <c r="K848" s="116" t="e">
        <f>+'Estimate Details'!#REF!</f>
        <v>#REF!</v>
      </c>
      <c r="L848" s="116" t="e">
        <f>+'Estimate Details'!#REF!</f>
        <v>#REF!</v>
      </c>
      <c r="M848" s="204" t="e">
        <f>+'Estimate Details'!#REF!</f>
        <v>#REF!</v>
      </c>
      <c r="N848" s="194" t="e">
        <f>+'Estimate Details'!#REF!</f>
        <v>#REF!</v>
      </c>
      <c r="O848" s="171" t="e">
        <f>+'Estimate Details'!#REF!</f>
        <v>#REF!</v>
      </c>
      <c r="P848" s="172" t="e">
        <f>+'Estimate Details'!#REF!</f>
        <v>#REF!</v>
      </c>
      <c r="Q848" s="173" t="e">
        <f>+'Estimate Details'!#REF!</f>
        <v>#REF!</v>
      </c>
      <c r="R848" s="174" t="e">
        <f>+'Estimate Details'!#REF!</f>
        <v>#REF!</v>
      </c>
      <c r="S848" s="507"/>
      <c r="T848" s="174" t="e">
        <f>+'Estimate Details'!#REF!</f>
        <v>#REF!</v>
      </c>
      <c r="U848" s="481" t="s">
        <v>1310</v>
      </c>
      <c r="V848" s="172" t="e">
        <f>+'Estimate Details'!#REF!</f>
        <v>#REF!</v>
      </c>
      <c r="W848" s="481" t="s">
        <v>1310</v>
      </c>
      <c r="X848" s="172" t="e">
        <f>+'Estimate Details'!#REF!</f>
        <v>#REF!</v>
      </c>
      <c r="Y848" s="172" t="e">
        <f>+'Estimate Details'!#REF!</f>
        <v>#REF!</v>
      </c>
      <c r="Z848" s="174" t="e">
        <f>+'Estimate Details'!#REF!</f>
        <v>#REF!</v>
      </c>
      <c r="AA848" s="481"/>
      <c r="AB848" s="175" t="e">
        <f>+'Estimate Details'!#REF!</f>
        <v>#REF!</v>
      </c>
      <c r="AC848" s="569"/>
      <c r="AD848" s="176" t="e">
        <f>+'Estimate Details'!#REF!</f>
        <v>#REF!</v>
      </c>
      <c r="AE848" s="156"/>
      <c r="AF848" s="372"/>
      <c r="AG848" s="156"/>
      <c r="AH848" s="156"/>
      <c r="AI848" s="29"/>
      <c r="AJ848" s="29"/>
      <c r="AK848" s="29"/>
      <c r="AL848" s="29"/>
    </row>
    <row r="849" spans="1:38" ht="13.5" customHeight="1">
      <c r="A849" s="116" t="e">
        <f>+'Estimate Details'!#REF!</f>
        <v>#REF!</v>
      </c>
      <c r="B849" s="116"/>
      <c r="C849" s="116"/>
      <c r="D849" s="166"/>
      <c r="E849" s="158" t="e">
        <f>+'Estimate Details'!#REF!</f>
        <v>#REF!</v>
      </c>
      <c r="F849" s="41"/>
      <c r="G849" s="117" t="e">
        <f>+'Estimate Details'!#REF!</f>
        <v>#REF!</v>
      </c>
      <c r="H849" s="118" t="e">
        <f>+'Estimate Details'!#REF!</f>
        <v>#REF!</v>
      </c>
      <c r="I849" s="108" t="e">
        <f>+'Estimate Details'!#REF!</f>
        <v>#REF!</v>
      </c>
      <c r="J849" s="179" t="e">
        <f>+'Estimate Details'!#REF!</f>
        <v>#REF!</v>
      </c>
      <c r="K849" s="116" t="e">
        <f>+'Estimate Details'!#REF!</f>
        <v>#REF!</v>
      </c>
      <c r="L849" s="116" t="e">
        <f>+'Estimate Details'!#REF!</f>
        <v>#REF!</v>
      </c>
      <c r="M849" s="204" t="e">
        <f>+'Estimate Details'!#REF!</f>
        <v>#REF!</v>
      </c>
      <c r="N849" s="194" t="e">
        <f>+'Estimate Details'!#REF!</f>
        <v>#REF!</v>
      </c>
      <c r="O849" s="171" t="e">
        <f>+'Estimate Details'!#REF!</f>
        <v>#REF!</v>
      </c>
      <c r="P849" s="172" t="e">
        <f>+'Estimate Details'!#REF!</f>
        <v>#REF!</v>
      </c>
      <c r="Q849" s="173" t="e">
        <f>+'Estimate Details'!#REF!</f>
        <v>#REF!</v>
      </c>
      <c r="R849" s="174" t="e">
        <f>+'Estimate Details'!#REF!</f>
        <v>#REF!</v>
      </c>
      <c r="S849" s="507"/>
      <c r="T849" s="174" t="e">
        <f>+'Estimate Details'!#REF!</f>
        <v>#REF!</v>
      </c>
      <c r="U849" s="481" t="s">
        <v>1310</v>
      </c>
      <c r="V849" s="172" t="e">
        <f>+'Estimate Details'!#REF!</f>
        <v>#REF!</v>
      </c>
      <c r="W849" s="481" t="s">
        <v>1310</v>
      </c>
      <c r="X849" s="172" t="e">
        <f>+'Estimate Details'!#REF!</f>
        <v>#REF!</v>
      </c>
      <c r="Y849" s="172" t="e">
        <f>+'Estimate Details'!#REF!</f>
        <v>#REF!</v>
      </c>
      <c r="Z849" s="174" t="e">
        <f>+'Estimate Details'!#REF!</f>
        <v>#REF!</v>
      </c>
      <c r="AA849" s="481"/>
      <c r="AB849" s="175" t="e">
        <f>+'Estimate Details'!#REF!</f>
        <v>#REF!</v>
      </c>
      <c r="AC849" s="569"/>
      <c r="AD849" s="176" t="e">
        <f>+'Estimate Details'!#REF!</f>
        <v>#REF!</v>
      </c>
      <c r="AE849" s="156"/>
      <c r="AF849" s="372"/>
      <c r="AG849" s="156"/>
      <c r="AH849" s="156"/>
      <c r="AI849" s="29"/>
      <c r="AJ849" s="29"/>
      <c r="AK849" s="29"/>
      <c r="AL849" s="29"/>
    </row>
    <row r="850" spans="1:38" ht="14.1" customHeight="1">
      <c r="A850" s="116" t="e">
        <f>+'Estimate Details'!#REF!</f>
        <v>#REF!</v>
      </c>
      <c r="B850" s="116"/>
      <c r="C850" s="116"/>
      <c r="D850" s="166"/>
      <c r="E850" s="158" t="e">
        <f>+'Estimate Details'!#REF!</f>
        <v>#REF!</v>
      </c>
      <c r="F850" s="41"/>
      <c r="G850" s="117" t="e">
        <f>+'Estimate Details'!#REF!</f>
        <v>#REF!</v>
      </c>
      <c r="H850" s="118" t="e">
        <f>+'Estimate Details'!#REF!</f>
        <v>#REF!</v>
      </c>
      <c r="I850" s="108" t="e">
        <f>+'Estimate Details'!#REF!</f>
        <v>#REF!</v>
      </c>
      <c r="J850" s="179" t="e">
        <f>+'Estimate Details'!#REF!</f>
        <v>#REF!</v>
      </c>
      <c r="K850" s="116" t="e">
        <f>+'Estimate Details'!#REF!</f>
        <v>#REF!</v>
      </c>
      <c r="L850" s="116" t="e">
        <f>+'Estimate Details'!#REF!</f>
        <v>#REF!</v>
      </c>
      <c r="M850" s="204" t="e">
        <f>+'Estimate Details'!#REF!</f>
        <v>#REF!</v>
      </c>
      <c r="N850" s="194" t="e">
        <f>+'Estimate Details'!#REF!</f>
        <v>#REF!</v>
      </c>
      <c r="O850" s="171" t="e">
        <f>+'Estimate Details'!#REF!</f>
        <v>#REF!</v>
      </c>
      <c r="P850" s="172" t="e">
        <f>+'Estimate Details'!#REF!</f>
        <v>#REF!</v>
      </c>
      <c r="Q850" s="173" t="e">
        <f>+'Estimate Details'!#REF!</f>
        <v>#REF!</v>
      </c>
      <c r="R850" s="174" t="e">
        <f>+'Estimate Details'!#REF!</f>
        <v>#REF!</v>
      </c>
      <c r="S850" s="507"/>
      <c r="T850" s="174" t="e">
        <f>+'Estimate Details'!#REF!</f>
        <v>#REF!</v>
      </c>
      <c r="U850" s="481" t="s">
        <v>1310</v>
      </c>
      <c r="V850" s="172" t="e">
        <f>+'Estimate Details'!#REF!</f>
        <v>#REF!</v>
      </c>
      <c r="W850" s="481" t="s">
        <v>1310</v>
      </c>
      <c r="X850" s="172" t="e">
        <f>+'Estimate Details'!#REF!</f>
        <v>#REF!</v>
      </c>
      <c r="Y850" s="172" t="e">
        <f>+'Estimate Details'!#REF!</f>
        <v>#REF!</v>
      </c>
      <c r="Z850" s="174" t="e">
        <f>+'Estimate Details'!#REF!</f>
        <v>#REF!</v>
      </c>
      <c r="AA850" s="481"/>
      <c r="AB850" s="175" t="e">
        <f>+'Estimate Details'!#REF!</f>
        <v>#REF!</v>
      </c>
      <c r="AC850" s="569"/>
      <c r="AD850" s="176" t="e">
        <f>+'Estimate Details'!#REF!</f>
        <v>#REF!</v>
      </c>
      <c r="AE850" s="156"/>
      <c r="AF850" s="372"/>
      <c r="AG850" s="398"/>
      <c r="AH850" s="156"/>
      <c r="AI850" s="29"/>
      <c r="AJ850" s="29"/>
      <c r="AK850" s="29"/>
      <c r="AL850" s="29"/>
    </row>
    <row r="851" spans="1:38" ht="14.1" customHeight="1">
      <c r="A851" s="116" t="e">
        <f>+'Estimate Details'!#REF!</f>
        <v>#REF!</v>
      </c>
      <c r="B851" s="116"/>
      <c r="C851" s="116"/>
      <c r="D851" s="166"/>
      <c r="E851" s="158" t="e">
        <f>+'Estimate Details'!#REF!</f>
        <v>#REF!</v>
      </c>
      <c r="F851" s="41"/>
      <c r="G851" s="117" t="e">
        <f>+'Estimate Details'!#REF!</f>
        <v>#REF!</v>
      </c>
      <c r="H851" s="118" t="e">
        <f>+'Estimate Details'!#REF!</f>
        <v>#REF!</v>
      </c>
      <c r="I851" s="108" t="e">
        <f>+'Estimate Details'!#REF!</f>
        <v>#REF!</v>
      </c>
      <c r="J851" s="179" t="e">
        <f>+'Estimate Details'!#REF!</f>
        <v>#REF!</v>
      </c>
      <c r="K851" s="116" t="e">
        <f>+'Estimate Details'!#REF!</f>
        <v>#REF!</v>
      </c>
      <c r="L851" s="116" t="e">
        <f>+'Estimate Details'!#REF!</f>
        <v>#REF!</v>
      </c>
      <c r="M851" s="204" t="e">
        <f>+'Estimate Details'!#REF!</f>
        <v>#REF!</v>
      </c>
      <c r="N851" s="194" t="e">
        <f>+'Estimate Details'!#REF!</f>
        <v>#REF!</v>
      </c>
      <c r="O851" s="171" t="e">
        <f>+'Estimate Details'!#REF!</f>
        <v>#REF!</v>
      </c>
      <c r="P851" s="172" t="e">
        <f>+'Estimate Details'!#REF!</f>
        <v>#REF!</v>
      </c>
      <c r="Q851" s="173" t="e">
        <f>+'Estimate Details'!#REF!</f>
        <v>#REF!</v>
      </c>
      <c r="R851" s="174" t="e">
        <f>+'Estimate Details'!#REF!</f>
        <v>#REF!</v>
      </c>
      <c r="S851" s="507"/>
      <c r="T851" s="174" t="e">
        <f>+'Estimate Details'!#REF!</f>
        <v>#REF!</v>
      </c>
      <c r="U851" s="481" t="s">
        <v>1310</v>
      </c>
      <c r="V851" s="172" t="e">
        <f>+'Estimate Details'!#REF!</f>
        <v>#REF!</v>
      </c>
      <c r="W851" s="481" t="s">
        <v>1310</v>
      </c>
      <c r="X851" s="172" t="e">
        <f>+'Estimate Details'!#REF!</f>
        <v>#REF!</v>
      </c>
      <c r="Y851" s="172" t="e">
        <f>+'Estimate Details'!#REF!</f>
        <v>#REF!</v>
      </c>
      <c r="Z851" s="174" t="e">
        <f>+'Estimate Details'!#REF!</f>
        <v>#REF!</v>
      </c>
      <c r="AA851" s="481"/>
      <c r="AB851" s="175" t="e">
        <f>+'Estimate Details'!#REF!</f>
        <v>#REF!</v>
      </c>
      <c r="AC851" s="569"/>
      <c r="AD851" s="176" t="e">
        <f>+'Estimate Details'!#REF!</f>
        <v>#REF!</v>
      </c>
      <c r="AE851" s="156"/>
      <c r="AF851" s="372"/>
      <c r="AG851" s="398"/>
      <c r="AH851" s="156"/>
      <c r="AI851" s="29"/>
      <c r="AJ851" s="29"/>
      <c r="AK851" s="29"/>
      <c r="AL851" s="29"/>
    </row>
    <row r="852" spans="1:38" ht="14.1" customHeight="1">
      <c r="A852" s="116" t="e">
        <f>+'Estimate Details'!#REF!</f>
        <v>#REF!</v>
      </c>
      <c r="B852" s="116"/>
      <c r="C852" s="116"/>
      <c r="D852" s="166"/>
      <c r="E852" s="158" t="e">
        <f>+'Estimate Details'!#REF!</f>
        <v>#REF!</v>
      </c>
      <c r="F852" s="41"/>
      <c r="G852" s="117" t="e">
        <f>+'Estimate Details'!#REF!</f>
        <v>#REF!</v>
      </c>
      <c r="H852" s="118" t="e">
        <f>+'Estimate Details'!#REF!</f>
        <v>#REF!</v>
      </c>
      <c r="I852" s="108" t="e">
        <f>+'Estimate Details'!#REF!</f>
        <v>#REF!</v>
      </c>
      <c r="J852" s="179" t="e">
        <f>+'Estimate Details'!#REF!</f>
        <v>#REF!</v>
      </c>
      <c r="K852" s="116" t="e">
        <f>+'Estimate Details'!#REF!</f>
        <v>#REF!</v>
      </c>
      <c r="L852" s="116" t="e">
        <f>+'Estimate Details'!#REF!</f>
        <v>#REF!</v>
      </c>
      <c r="M852" s="204" t="e">
        <f>+'Estimate Details'!#REF!</f>
        <v>#REF!</v>
      </c>
      <c r="N852" s="194" t="e">
        <f>+'Estimate Details'!#REF!</f>
        <v>#REF!</v>
      </c>
      <c r="O852" s="171" t="e">
        <f>+'Estimate Details'!#REF!</f>
        <v>#REF!</v>
      </c>
      <c r="P852" s="172" t="e">
        <f>+'Estimate Details'!#REF!</f>
        <v>#REF!</v>
      </c>
      <c r="Q852" s="173" t="e">
        <f>+'Estimate Details'!#REF!</f>
        <v>#REF!</v>
      </c>
      <c r="R852" s="174" t="e">
        <f>+'Estimate Details'!#REF!</f>
        <v>#REF!</v>
      </c>
      <c r="S852" s="507"/>
      <c r="T852" s="174" t="e">
        <f>+'Estimate Details'!#REF!</f>
        <v>#REF!</v>
      </c>
      <c r="U852" s="481" t="s">
        <v>1310</v>
      </c>
      <c r="V852" s="172" t="e">
        <f>+'Estimate Details'!#REF!</f>
        <v>#REF!</v>
      </c>
      <c r="W852" s="481" t="s">
        <v>1310</v>
      </c>
      <c r="X852" s="172" t="e">
        <f>+'Estimate Details'!#REF!</f>
        <v>#REF!</v>
      </c>
      <c r="Y852" s="172" t="e">
        <f>+'Estimate Details'!#REF!</f>
        <v>#REF!</v>
      </c>
      <c r="Z852" s="174" t="e">
        <f>+'Estimate Details'!#REF!</f>
        <v>#REF!</v>
      </c>
      <c r="AA852" s="481"/>
      <c r="AB852" s="175" t="e">
        <f>+'Estimate Details'!#REF!</f>
        <v>#REF!</v>
      </c>
      <c r="AC852" s="569"/>
      <c r="AD852" s="176" t="e">
        <f>+'Estimate Details'!#REF!</f>
        <v>#REF!</v>
      </c>
      <c r="AE852" s="156"/>
      <c r="AF852" s="372"/>
      <c r="AG852" s="398"/>
      <c r="AH852" s="156"/>
      <c r="AI852" s="29"/>
      <c r="AJ852" s="29"/>
      <c r="AK852" s="29"/>
      <c r="AL852" s="29"/>
    </row>
    <row r="853" spans="1:38" ht="14.1" customHeight="1">
      <c r="A853" s="116" t="e">
        <f>+'Estimate Details'!#REF!</f>
        <v>#REF!</v>
      </c>
      <c r="B853" s="116"/>
      <c r="C853" s="116"/>
      <c r="D853" s="166"/>
      <c r="E853" s="158" t="e">
        <f>+'Estimate Details'!#REF!</f>
        <v>#REF!</v>
      </c>
      <c r="F853" s="41"/>
      <c r="G853" s="117" t="e">
        <f>+'Estimate Details'!#REF!</f>
        <v>#REF!</v>
      </c>
      <c r="H853" s="118" t="e">
        <f>+'Estimate Details'!#REF!</f>
        <v>#REF!</v>
      </c>
      <c r="I853" s="108" t="e">
        <f>+'Estimate Details'!#REF!</f>
        <v>#REF!</v>
      </c>
      <c r="J853" s="179" t="e">
        <f>+'Estimate Details'!#REF!</f>
        <v>#REF!</v>
      </c>
      <c r="K853" s="116" t="e">
        <f>+'Estimate Details'!#REF!</f>
        <v>#REF!</v>
      </c>
      <c r="L853" s="116" t="e">
        <f>+'Estimate Details'!#REF!</f>
        <v>#REF!</v>
      </c>
      <c r="M853" s="204" t="e">
        <f>+'Estimate Details'!#REF!</f>
        <v>#REF!</v>
      </c>
      <c r="N853" s="194" t="e">
        <f>+'Estimate Details'!#REF!</f>
        <v>#REF!</v>
      </c>
      <c r="O853" s="171" t="e">
        <f>+'Estimate Details'!#REF!</f>
        <v>#REF!</v>
      </c>
      <c r="P853" s="172" t="e">
        <f>+'Estimate Details'!#REF!</f>
        <v>#REF!</v>
      </c>
      <c r="Q853" s="173" t="e">
        <f>+'Estimate Details'!#REF!</f>
        <v>#REF!</v>
      </c>
      <c r="R853" s="174" t="e">
        <f>+'Estimate Details'!#REF!</f>
        <v>#REF!</v>
      </c>
      <c r="S853" s="507"/>
      <c r="T853" s="174" t="e">
        <f>+'Estimate Details'!#REF!</f>
        <v>#REF!</v>
      </c>
      <c r="U853" s="481" t="s">
        <v>1310</v>
      </c>
      <c r="V853" s="172" t="e">
        <f>+'Estimate Details'!#REF!</f>
        <v>#REF!</v>
      </c>
      <c r="W853" s="481" t="s">
        <v>1310</v>
      </c>
      <c r="X853" s="172" t="e">
        <f>+'Estimate Details'!#REF!</f>
        <v>#REF!</v>
      </c>
      <c r="Y853" s="172" t="e">
        <f>+'Estimate Details'!#REF!</f>
        <v>#REF!</v>
      </c>
      <c r="Z853" s="174" t="e">
        <f>+'Estimate Details'!#REF!</f>
        <v>#REF!</v>
      </c>
      <c r="AA853" s="481"/>
      <c r="AB853" s="175" t="e">
        <f>+'Estimate Details'!#REF!</f>
        <v>#REF!</v>
      </c>
      <c r="AC853" s="569"/>
      <c r="AD853" s="176" t="e">
        <f>+'Estimate Details'!#REF!</f>
        <v>#REF!</v>
      </c>
      <c r="AE853" s="156"/>
      <c r="AF853" s="372"/>
      <c r="AG853" s="398"/>
      <c r="AH853" s="156"/>
      <c r="AI853" s="29"/>
      <c r="AJ853" s="29"/>
      <c r="AK853" s="29"/>
      <c r="AL853" s="29"/>
    </row>
    <row r="854" spans="1:38" ht="14.1" customHeight="1">
      <c r="A854" s="116" t="e">
        <f>+'Estimate Details'!#REF!</f>
        <v>#REF!</v>
      </c>
      <c r="B854" s="116"/>
      <c r="C854" s="116"/>
      <c r="D854" s="166"/>
      <c r="E854" s="158" t="e">
        <f>+'Estimate Details'!#REF!</f>
        <v>#REF!</v>
      </c>
      <c r="F854" s="41"/>
      <c r="G854" s="117" t="e">
        <f>+'Estimate Details'!#REF!</f>
        <v>#REF!</v>
      </c>
      <c r="H854" s="118" t="e">
        <f>+'Estimate Details'!#REF!</f>
        <v>#REF!</v>
      </c>
      <c r="I854" s="108" t="e">
        <f>+'Estimate Details'!#REF!</f>
        <v>#REF!</v>
      </c>
      <c r="J854" s="179" t="e">
        <f>+'Estimate Details'!#REF!</f>
        <v>#REF!</v>
      </c>
      <c r="K854" s="116" t="e">
        <f>+'Estimate Details'!#REF!</f>
        <v>#REF!</v>
      </c>
      <c r="L854" s="116" t="e">
        <f>+'Estimate Details'!#REF!</f>
        <v>#REF!</v>
      </c>
      <c r="M854" s="204" t="e">
        <f>+'Estimate Details'!#REF!</f>
        <v>#REF!</v>
      </c>
      <c r="N854" s="194" t="e">
        <f>+'Estimate Details'!#REF!</f>
        <v>#REF!</v>
      </c>
      <c r="O854" s="171" t="e">
        <f>+'Estimate Details'!#REF!</f>
        <v>#REF!</v>
      </c>
      <c r="P854" s="172" t="e">
        <f>+'Estimate Details'!#REF!</f>
        <v>#REF!</v>
      </c>
      <c r="Q854" s="173" t="e">
        <f>+'Estimate Details'!#REF!</f>
        <v>#REF!</v>
      </c>
      <c r="R854" s="174" t="e">
        <f>+'Estimate Details'!#REF!</f>
        <v>#REF!</v>
      </c>
      <c r="S854" s="507"/>
      <c r="T854" s="174" t="e">
        <f>+'Estimate Details'!#REF!</f>
        <v>#REF!</v>
      </c>
      <c r="U854" s="481" t="s">
        <v>1310</v>
      </c>
      <c r="V854" s="172" t="e">
        <f>+'Estimate Details'!#REF!</f>
        <v>#REF!</v>
      </c>
      <c r="W854" s="481" t="s">
        <v>1310</v>
      </c>
      <c r="X854" s="172" t="e">
        <f>+'Estimate Details'!#REF!</f>
        <v>#REF!</v>
      </c>
      <c r="Y854" s="172" t="e">
        <f>+'Estimate Details'!#REF!</f>
        <v>#REF!</v>
      </c>
      <c r="Z854" s="174" t="e">
        <f>+'Estimate Details'!#REF!</f>
        <v>#REF!</v>
      </c>
      <c r="AA854" s="481"/>
      <c r="AB854" s="175" t="e">
        <f>+'Estimate Details'!#REF!</f>
        <v>#REF!</v>
      </c>
      <c r="AC854" s="569"/>
      <c r="AD854" s="176" t="e">
        <f>+'Estimate Details'!#REF!</f>
        <v>#REF!</v>
      </c>
      <c r="AE854" s="156"/>
      <c r="AF854" s="372"/>
      <c r="AG854" s="156"/>
      <c r="AH854" s="156"/>
      <c r="AI854" s="29"/>
      <c r="AJ854" s="29"/>
      <c r="AK854" s="29"/>
      <c r="AL854" s="29"/>
    </row>
    <row r="855" spans="1:38" ht="14.1" customHeight="1">
      <c r="A855" s="116" t="e">
        <f>+'Estimate Details'!#REF!</f>
        <v>#REF!</v>
      </c>
      <c r="B855" s="116"/>
      <c r="C855" s="116"/>
      <c r="D855" s="166"/>
      <c r="E855" s="158" t="e">
        <f>+'Estimate Details'!#REF!</f>
        <v>#REF!</v>
      </c>
      <c r="F855" s="41"/>
      <c r="G855" s="117" t="e">
        <f>+'Estimate Details'!#REF!</f>
        <v>#REF!</v>
      </c>
      <c r="H855" s="118" t="e">
        <f>+'Estimate Details'!#REF!</f>
        <v>#REF!</v>
      </c>
      <c r="I855" s="108" t="e">
        <f>+'Estimate Details'!#REF!</f>
        <v>#REF!</v>
      </c>
      <c r="J855" s="179" t="e">
        <f>+'Estimate Details'!#REF!</f>
        <v>#REF!</v>
      </c>
      <c r="K855" s="116" t="e">
        <f>+'Estimate Details'!#REF!</f>
        <v>#REF!</v>
      </c>
      <c r="L855" s="116" t="e">
        <f>+'Estimate Details'!#REF!</f>
        <v>#REF!</v>
      </c>
      <c r="M855" s="204" t="e">
        <f>+'Estimate Details'!#REF!</f>
        <v>#REF!</v>
      </c>
      <c r="N855" s="194" t="e">
        <f>+'Estimate Details'!#REF!</f>
        <v>#REF!</v>
      </c>
      <c r="O855" s="171" t="e">
        <f>+'Estimate Details'!#REF!</f>
        <v>#REF!</v>
      </c>
      <c r="P855" s="172" t="e">
        <f>+'Estimate Details'!#REF!</f>
        <v>#REF!</v>
      </c>
      <c r="Q855" s="173" t="e">
        <f>+'Estimate Details'!#REF!</f>
        <v>#REF!</v>
      </c>
      <c r="R855" s="174" t="e">
        <f>+'Estimate Details'!#REF!</f>
        <v>#REF!</v>
      </c>
      <c r="S855" s="507"/>
      <c r="T855" s="174" t="e">
        <f>+'Estimate Details'!#REF!</f>
        <v>#REF!</v>
      </c>
      <c r="U855" s="481" t="s">
        <v>1297</v>
      </c>
      <c r="V855" s="172" t="e">
        <f>+'Estimate Details'!#REF!</f>
        <v>#REF!</v>
      </c>
      <c r="W855" s="481" t="s">
        <v>1310</v>
      </c>
      <c r="X855" s="172" t="e">
        <f>+'Estimate Details'!#REF!</f>
        <v>#REF!</v>
      </c>
      <c r="Y855" s="172" t="e">
        <f>+'Estimate Details'!#REF!</f>
        <v>#REF!</v>
      </c>
      <c r="Z855" s="174" t="e">
        <f>+'Estimate Details'!#REF!</f>
        <v>#REF!</v>
      </c>
      <c r="AA855" s="481"/>
      <c r="AB855" s="175" t="e">
        <f>+'Estimate Details'!#REF!</f>
        <v>#REF!</v>
      </c>
      <c r="AC855" s="569"/>
      <c r="AD855" s="176" t="e">
        <f>+'Estimate Details'!#REF!</f>
        <v>#REF!</v>
      </c>
      <c r="AE855" s="156"/>
      <c r="AF855" s="372"/>
      <c r="AG855" s="156"/>
      <c r="AH855" s="156"/>
      <c r="AI855" s="29"/>
      <c r="AJ855" s="29"/>
      <c r="AK855" s="29"/>
      <c r="AL855" s="29"/>
    </row>
    <row r="856" spans="1:38" ht="14.1" customHeight="1">
      <c r="A856" s="116" t="e">
        <f>+'Estimate Details'!#REF!</f>
        <v>#REF!</v>
      </c>
      <c r="B856" s="116"/>
      <c r="C856" s="116"/>
      <c r="D856" s="166"/>
      <c r="E856" s="158" t="e">
        <f>+'Estimate Details'!#REF!</f>
        <v>#REF!</v>
      </c>
      <c r="F856" s="41"/>
      <c r="G856" s="117" t="e">
        <f>+'Estimate Details'!#REF!</f>
        <v>#REF!</v>
      </c>
      <c r="H856" s="118" t="e">
        <f>+'Estimate Details'!#REF!</f>
        <v>#REF!</v>
      </c>
      <c r="I856" s="108" t="e">
        <f>+'Estimate Details'!#REF!</f>
        <v>#REF!</v>
      </c>
      <c r="J856" s="179" t="e">
        <f>+'Estimate Details'!#REF!</f>
        <v>#REF!</v>
      </c>
      <c r="K856" s="116" t="e">
        <f>+'Estimate Details'!#REF!</f>
        <v>#REF!</v>
      </c>
      <c r="L856" s="116" t="e">
        <f>+'Estimate Details'!#REF!</f>
        <v>#REF!</v>
      </c>
      <c r="M856" s="204" t="e">
        <f>+'Estimate Details'!#REF!</f>
        <v>#REF!</v>
      </c>
      <c r="N856" s="194" t="e">
        <f>+'Estimate Details'!#REF!</f>
        <v>#REF!</v>
      </c>
      <c r="O856" s="171" t="e">
        <f>+'Estimate Details'!#REF!</f>
        <v>#REF!</v>
      </c>
      <c r="P856" s="172" t="e">
        <f>+'Estimate Details'!#REF!</f>
        <v>#REF!</v>
      </c>
      <c r="Q856" s="173" t="e">
        <f>+'Estimate Details'!#REF!</f>
        <v>#REF!</v>
      </c>
      <c r="R856" s="174" t="e">
        <f>+'Estimate Details'!#REF!</f>
        <v>#REF!</v>
      </c>
      <c r="S856" s="507"/>
      <c r="T856" s="174" t="e">
        <f>+'Estimate Details'!#REF!</f>
        <v>#REF!</v>
      </c>
      <c r="U856" s="481" t="s">
        <v>1297</v>
      </c>
      <c r="V856" s="172" t="e">
        <f>+'Estimate Details'!#REF!</f>
        <v>#REF!</v>
      </c>
      <c r="W856" s="481" t="s">
        <v>1310</v>
      </c>
      <c r="X856" s="172" t="e">
        <f>+'Estimate Details'!#REF!</f>
        <v>#REF!</v>
      </c>
      <c r="Y856" s="172" t="e">
        <f>+'Estimate Details'!#REF!</f>
        <v>#REF!</v>
      </c>
      <c r="Z856" s="174" t="e">
        <f>+'Estimate Details'!#REF!</f>
        <v>#REF!</v>
      </c>
      <c r="AA856" s="481"/>
      <c r="AB856" s="175" t="e">
        <f>+'Estimate Details'!#REF!</f>
        <v>#REF!</v>
      </c>
      <c r="AC856" s="569"/>
      <c r="AD856" s="176" t="e">
        <f>+'Estimate Details'!#REF!</f>
        <v>#REF!</v>
      </c>
      <c r="AE856" s="156"/>
      <c r="AF856" s="372"/>
      <c r="AG856" s="156"/>
      <c r="AH856" s="156"/>
      <c r="AI856" s="29"/>
      <c r="AJ856" s="29"/>
      <c r="AK856" s="29"/>
      <c r="AL856" s="29"/>
    </row>
    <row r="857" spans="1:38" ht="14.1" customHeight="1">
      <c r="A857" s="116" t="e">
        <f>+'Estimate Details'!#REF!</f>
        <v>#REF!</v>
      </c>
      <c r="B857" s="116"/>
      <c r="C857" s="116"/>
      <c r="D857" s="166"/>
      <c r="E857" s="158" t="e">
        <f>+'Estimate Details'!#REF!</f>
        <v>#REF!</v>
      </c>
      <c r="F857" s="41"/>
      <c r="G857" s="117" t="e">
        <f>+'Estimate Details'!#REF!</f>
        <v>#REF!</v>
      </c>
      <c r="H857" s="118" t="e">
        <f>+'Estimate Details'!#REF!</f>
        <v>#REF!</v>
      </c>
      <c r="I857" s="108" t="e">
        <f>+'Estimate Details'!#REF!</f>
        <v>#REF!</v>
      </c>
      <c r="J857" s="179" t="e">
        <f>+'Estimate Details'!#REF!</f>
        <v>#REF!</v>
      </c>
      <c r="K857" s="116" t="e">
        <f>+'Estimate Details'!#REF!</f>
        <v>#REF!</v>
      </c>
      <c r="L857" s="116" t="e">
        <f>+'Estimate Details'!#REF!</f>
        <v>#REF!</v>
      </c>
      <c r="M857" s="204" t="e">
        <f>+'Estimate Details'!#REF!</f>
        <v>#REF!</v>
      </c>
      <c r="N857" s="194" t="e">
        <f>+'Estimate Details'!#REF!</f>
        <v>#REF!</v>
      </c>
      <c r="O857" s="171" t="e">
        <f>+'Estimate Details'!#REF!</f>
        <v>#REF!</v>
      </c>
      <c r="P857" s="172" t="e">
        <f>+'Estimate Details'!#REF!</f>
        <v>#REF!</v>
      </c>
      <c r="Q857" s="173" t="e">
        <f>+'Estimate Details'!#REF!</f>
        <v>#REF!</v>
      </c>
      <c r="R857" s="174" t="e">
        <f>+'Estimate Details'!#REF!</f>
        <v>#REF!</v>
      </c>
      <c r="S857" s="507"/>
      <c r="T857" s="174" t="e">
        <f>+'Estimate Details'!#REF!</f>
        <v>#REF!</v>
      </c>
      <c r="U857" s="481" t="s">
        <v>1297</v>
      </c>
      <c r="V857" s="172" t="e">
        <f>+'Estimate Details'!#REF!</f>
        <v>#REF!</v>
      </c>
      <c r="W857" s="481" t="s">
        <v>1310</v>
      </c>
      <c r="X857" s="172" t="e">
        <f>+'Estimate Details'!#REF!</f>
        <v>#REF!</v>
      </c>
      <c r="Y857" s="172" t="e">
        <f>+'Estimate Details'!#REF!</f>
        <v>#REF!</v>
      </c>
      <c r="Z857" s="174" t="e">
        <f>+'Estimate Details'!#REF!</f>
        <v>#REF!</v>
      </c>
      <c r="AA857" s="481"/>
      <c r="AB857" s="175" t="e">
        <f>+'Estimate Details'!#REF!</f>
        <v>#REF!</v>
      </c>
      <c r="AC857" s="569"/>
      <c r="AD857" s="176" t="e">
        <f>+'Estimate Details'!#REF!</f>
        <v>#REF!</v>
      </c>
      <c r="AE857" s="156"/>
      <c r="AF857" s="372"/>
      <c r="AG857" s="156"/>
      <c r="AH857" s="156"/>
      <c r="AI857" s="29"/>
      <c r="AJ857" s="29"/>
      <c r="AK857" s="29"/>
      <c r="AL857" s="29"/>
    </row>
    <row r="858" spans="1:38" ht="13.5" customHeight="1">
      <c r="A858" s="116" t="e">
        <f>+'Estimate Details'!#REF!</f>
        <v>#REF!</v>
      </c>
      <c r="B858" s="116"/>
      <c r="C858" s="116"/>
      <c r="D858" s="166"/>
      <c r="E858" s="158" t="e">
        <f>+'Estimate Details'!#REF!</f>
        <v>#REF!</v>
      </c>
      <c r="F858" s="41"/>
      <c r="G858" s="117" t="e">
        <f>+'Estimate Details'!#REF!</f>
        <v>#REF!</v>
      </c>
      <c r="H858" s="118" t="e">
        <f>+'Estimate Details'!#REF!</f>
        <v>#REF!</v>
      </c>
      <c r="I858" s="108" t="e">
        <f>+'Estimate Details'!#REF!</f>
        <v>#REF!</v>
      </c>
      <c r="J858" s="179" t="e">
        <f>+'Estimate Details'!#REF!</f>
        <v>#REF!</v>
      </c>
      <c r="K858" s="116" t="e">
        <f>+'Estimate Details'!#REF!</f>
        <v>#REF!</v>
      </c>
      <c r="L858" s="116" t="e">
        <f>+'Estimate Details'!#REF!</f>
        <v>#REF!</v>
      </c>
      <c r="M858" s="204" t="e">
        <f>+'Estimate Details'!#REF!</f>
        <v>#REF!</v>
      </c>
      <c r="N858" s="194" t="e">
        <f>+'Estimate Details'!#REF!</f>
        <v>#REF!</v>
      </c>
      <c r="O858" s="171" t="e">
        <f>+'Estimate Details'!#REF!</f>
        <v>#REF!</v>
      </c>
      <c r="P858" s="172" t="e">
        <f>+'Estimate Details'!#REF!</f>
        <v>#REF!</v>
      </c>
      <c r="Q858" s="173" t="e">
        <f>+'Estimate Details'!#REF!</f>
        <v>#REF!</v>
      </c>
      <c r="R858" s="174" t="e">
        <f>+'Estimate Details'!#REF!</f>
        <v>#REF!</v>
      </c>
      <c r="S858" s="507"/>
      <c r="T858" s="174" t="e">
        <f>+'Estimate Details'!#REF!</f>
        <v>#REF!</v>
      </c>
      <c r="U858" s="481" t="s">
        <v>1310</v>
      </c>
      <c r="V858" s="172" t="e">
        <f>+'Estimate Details'!#REF!</f>
        <v>#REF!</v>
      </c>
      <c r="W858" s="481" t="s">
        <v>1310</v>
      </c>
      <c r="X858" s="172" t="e">
        <f>+'Estimate Details'!#REF!</f>
        <v>#REF!</v>
      </c>
      <c r="Y858" s="172" t="e">
        <f>+'Estimate Details'!#REF!</f>
        <v>#REF!</v>
      </c>
      <c r="Z858" s="174" t="e">
        <f>+'Estimate Details'!#REF!</f>
        <v>#REF!</v>
      </c>
      <c r="AA858" s="481"/>
      <c r="AB858" s="175" t="e">
        <f>+'Estimate Details'!#REF!</f>
        <v>#REF!</v>
      </c>
      <c r="AC858" s="569"/>
      <c r="AD858" s="176" t="e">
        <f>+'Estimate Details'!#REF!</f>
        <v>#REF!</v>
      </c>
      <c r="AE858" s="156"/>
      <c r="AF858" s="372"/>
      <c r="AG858" s="156"/>
      <c r="AH858" s="156"/>
      <c r="AI858" s="29"/>
      <c r="AJ858" s="29"/>
      <c r="AK858" s="29"/>
      <c r="AL858" s="29"/>
    </row>
    <row r="859" spans="1:38" ht="13.5" customHeight="1">
      <c r="A859" s="116" t="e">
        <f>+'Estimate Details'!#REF!</f>
        <v>#REF!</v>
      </c>
      <c r="B859" s="116"/>
      <c r="C859" s="116"/>
      <c r="D859" s="166"/>
      <c r="E859" s="158" t="e">
        <f>+'Estimate Details'!#REF!</f>
        <v>#REF!</v>
      </c>
      <c r="F859" s="41"/>
      <c r="G859" s="117" t="e">
        <f>+'Estimate Details'!#REF!</f>
        <v>#REF!</v>
      </c>
      <c r="H859" s="118" t="e">
        <f>+'Estimate Details'!#REF!</f>
        <v>#REF!</v>
      </c>
      <c r="I859" s="108" t="e">
        <f>+'Estimate Details'!#REF!</f>
        <v>#REF!</v>
      </c>
      <c r="J859" s="179" t="e">
        <f>+'Estimate Details'!#REF!</f>
        <v>#REF!</v>
      </c>
      <c r="K859" s="116" t="e">
        <f>+'Estimate Details'!#REF!</f>
        <v>#REF!</v>
      </c>
      <c r="L859" s="116" t="e">
        <f>+'Estimate Details'!#REF!</f>
        <v>#REF!</v>
      </c>
      <c r="M859" s="204" t="e">
        <f>+'Estimate Details'!#REF!</f>
        <v>#REF!</v>
      </c>
      <c r="N859" s="194" t="e">
        <f>+'Estimate Details'!#REF!</f>
        <v>#REF!</v>
      </c>
      <c r="O859" s="171" t="e">
        <f>+'Estimate Details'!#REF!</f>
        <v>#REF!</v>
      </c>
      <c r="P859" s="172" t="e">
        <f>+'Estimate Details'!#REF!</f>
        <v>#REF!</v>
      </c>
      <c r="Q859" s="173" t="e">
        <f>+'Estimate Details'!#REF!</f>
        <v>#REF!</v>
      </c>
      <c r="R859" s="174" t="e">
        <f>+'Estimate Details'!#REF!</f>
        <v>#REF!</v>
      </c>
      <c r="S859" s="507"/>
      <c r="T859" s="174" t="e">
        <f>+'Estimate Details'!#REF!</f>
        <v>#REF!</v>
      </c>
      <c r="U859" s="481" t="s">
        <v>1310</v>
      </c>
      <c r="V859" s="172" t="e">
        <f>+'Estimate Details'!#REF!</f>
        <v>#REF!</v>
      </c>
      <c r="W859" s="481" t="s">
        <v>1310</v>
      </c>
      <c r="X859" s="172" t="e">
        <f>+'Estimate Details'!#REF!</f>
        <v>#REF!</v>
      </c>
      <c r="Y859" s="172" t="e">
        <f>+'Estimate Details'!#REF!</f>
        <v>#REF!</v>
      </c>
      <c r="Z859" s="174" t="e">
        <f>+'Estimate Details'!#REF!</f>
        <v>#REF!</v>
      </c>
      <c r="AA859" s="481"/>
      <c r="AB859" s="175" t="e">
        <f>+'Estimate Details'!#REF!</f>
        <v>#REF!</v>
      </c>
      <c r="AC859" s="569"/>
      <c r="AD859" s="176" t="e">
        <f>+'Estimate Details'!#REF!</f>
        <v>#REF!</v>
      </c>
      <c r="AE859" s="156"/>
      <c r="AF859" s="372"/>
      <c r="AG859" s="156"/>
      <c r="AH859" s="156"/>
      <c r="AI859" s="29"/>
      <c r="AJ859" s="29"/>
      <c r="AK859" s="29"/>
      <c r="AL859" s="29"/>
    </row>
    <row r="860" spans="1:38" ht="14.1" customHeight="1">
      <c r="A860" s="116" t="e">
        <f>+'Estimate Details'!#REF!</f>
        <v>#REF!</v>
      </c>
      <c r="B860" s="116"/>
      <c r="C860" s="116"/>
      <c r="D860" s="166"/>
      <c r="E860" s="158" t="e">
        <f>+'Estimate Details'!#REF!</f>
        <v>#REF!</v>
      </c>
      <c r="F860" s="41"/>
      <c r="G860" s="117" t="e">
        <f>+'Estimate Details'!#REF!</f>
        <v>#REF!</v>
      </c>
      <c r="H860" s="118" t="e">
        <f>+'Estimate Details'!#REF!</f>
        <v>#REF!</v>
      </c>
      <c r="I860" s="108" t="e">
        <f>+'Estimate Details'!#REF!</f>
        <v>#REF!</v>
      </c>
      <c r="J860" s="179" t="e">
        <f>+'Estimate Details'!#REF!</f>
        <v>#REF!</v>
      </c>
      <c r="K860" s="116" t="e">
        <f>+'Estimate Details'!#REF!</f>
        <v>#REF!</v>
      </c>
      <c r="L860" s="116" t="e">
        <f>+'Estimate Details'!#REF!</f>
        <v>#REF!</v>
      </c>
      <c r="M860" s="204" t="e">
        <f>+'Estimate Details'!#REF!</f>
        <v>#REF!</v>
      </c>
      <c r="N860" s="194" t="e">
        <f>+'Estimate Details'!#REF!</f>
        <v>#REF!</v>
      </c>
      <c r="O860" s="171" t="e">
        <f>+'Estimate Details'!#REF!</f>
        <v>#REF!</v>
      </c>
      <c r="P860" s="172" t="e">
        <f>+'Estimate Details'!#REF!</f>
        <v>#REF!</v>
      </c>
      <c r="Q860" s="173" t="e">
        <f>+'Estimate Details'!#REF!</f>
        <v>#REF!</v>
      </c>
      <c r="R860" s="174" t="e">
        <f>+'Estimate Details'!#REF!</f>
        <v>#REF!</v>
      </c>
      <c r="S860" s="507"/>
      <c r="T860" s="174" t="e">
        <f>+'Estimate Details'!#REF!</f>
        <v>#REF!</v>
      </c>
      <c r="U860" s="481" t="s">
        <v>1310</v>
      </c>
      <c r="V860" s="172" t="e">
        <f>+'Estimate Details'!#REF!</f>
        <v>#REF!</v>
      </c>
      <c r="W860" s="481" t="s">
        <v>1310</v>
      </c>
      <c r="X860" s="172" t="e">
        <f>+'Estimate Details'!#REF!</f>
        <v>#REF!</v>
      </c>
      <c r="Y860" s="172" t="e">
        <f>+'Estimate Details'!#REF!</f>
        <v>#REF!</v>
      </c>
      <c r="Z860" s="174" t="e">
        <f>+'Estimate Details'!#REF!</f>
        <v>#REF!</v>
      </c>
      <c r="AA860" s="481"/>
      <c r="AB860" s="175" t="e">
        <f>+'Estimate Details'!#REF!</f>
        <v>#REF!</v>
      </c>
      <c r="AC860" s="569"/>
      <c r="AD860" s="176" t="e">
        <f>+'Estimate Details'!#REF!</f>
        <v>#REF!</v>
      </c>
      <c r="AE860" s="156"/>
      <c r="AF860" s="372"/>
      <c r="AG860" s="156"/>
      <c r="AH860" s="156"/>
      <c r="AI860" s="29"/>
      <c r="AJ860" s="29"/>
      <c r="AK860" s="29"/>
      <c r="AL860" s="29"/>
    </row>
    <row r="861" spans="1:38" ht="14.1" customHeight="1">
      <c r="A861" s="116" t="e">
        <f>+'Estimate Details'!#REF!</f>
        <v>#REF!</v>
      </c>
      <c r="B861" s="116"/>
      <c r="C861" s="116"/>
      <c r="D861" s="166"/>
      <c r="E861" s="158" t="e">
        <f>+'Estimate Details'!#REF!</f>
        <v>#REF!</v>
      </c>
      <c r="F861" s="185"/>
      <c r="G861" s="117" t="e">
        <f>+'Estimate Details'!#REF!</f>
        <v>#REF!</v>
      </c>
      <c r="H861" s="184" t="e">
        <f>+'Estimate Details'!#REF!</f>
        <v>#REF!</v>
      </c>
      <c r="I861" s="188" t="e">
        <f>+'Estimate Details'!#REF!</f>
        <v>#REF!</v>
      </c>
      <c r="J861" s="179" t="e">
        <f>+'Estimate Details'!#REF!</f>
        <v>#REF!</v>
      </c>
      <c r="K861" s="116" t="e">
        <f>+'Estimate Details'!#REF!</f>
        <v>#REF!</v>
      </c>
      <c r="L861" s="116" t="e">
        <f>+'Estimate Details'!#REF!</f>
        <v>#REF!</v>
      </c>
      <c r="M861" s="204" t="e">
        <f>+'Estimate Details'!#REF!</f>
        <v>#REF!</v>
      </c>
      <c r="N861" s="194" t="e">
        <f>+'Estimate Details'!#REF!</f>
        <v>#REF!</v>
      </c>
      <c r="O861" s="171" t="e">
        <f>+'Estimate Details'!#REF!</f>
        <v>#REF!</v>
      </c>
      <c r="P861" s="172" t="e">
        <f>+'Estimate Details'!#REF!</f>
        <v>#REF!</v>
      </c>
      <c r="Q861" s="173" t="e">
        <f>+'Estimate Details'!#REF!</f>
        <v>#REF!</v>
      </c>
      <c r="R861" s="174" t="e">
        <f>+'Estimate Details'!#REF!</f>
        <v>#REF!</v>
      </c>
      <c r="S861" s="507"/>
      <c r="T861" s="174" t="e">
        <f>+'Estimate Details'!#REF!</f>
        <v>#REF!</v>
      </c>
      <c r="U861" s="481" t="s">
        <v>1310</v>
      </c>
      <c r="V861" s="172" t="e">
        <f>+'Estimate Details'!#REF!</f>
        <v>#REF!</v>
      </c>
      <c r="W861" s="481" t="s">
        <v>1310</v>
      </c>
      <c r="X861" s="172" t="e">
        <f>+'Estimate Details'!#REF!</f>
        <v>#REF!</v>
      </c>
      <c r="Y861" s="172" t="e">
        <f>+'Estimate Details'!#REF!</f>
        <v>#REF!</v>
      </c>
      <c r="Z861" s="174" t="e">
        <f>+'Estimate Details'!#REF!</f>
        <v>#REF!</v>
      </c>
      <c r="AA861" s="481"/>
      <c r="AB861" s="175" t="e">
        <f>+'Estimate Details'!#REF!</f>
        <v>#REF!</v>
      </c>
      <c r="AC861" s="569"/>
      <c r="AD861" s="176" t="e">
        <f>+'Estimate Details'!#REF!</f>
        <v>#REF!</v>
      </c>
      <c r="AE861" s="156"/>
      <c r="AF861" s="372"/>
      <c r="AG861" s="156"/>
      <c r="AH861" s="156"/>
      <c r="AI861" s="29"/>
      <c r="AJ861" s="29"/>
      <c r="AK861" s="29"/>
      <c r="AL861" s="29"/>
    </row>
    <row r="862" spans="1:38" ht="14.1" customHeight="1">
      <c r="A862" s="116" t="e">
        <f>+'Estimate Details'!#REF!</f>
        <v>#REF!</v>
      </c>
      <c r="B862" s="116"/>
      <c r="C862" s="116"/>
      <c r="D862" s="166"/>
      <c r="E862" s="158" t="e">
        <f>+'Estimate Details'!#REF!</f>
        <v>#REF!</v>
      </c>
      <c r="F862" s="41"/>
      <c r="G862" s="117" t="e">
        <f>+'Estimate Details'!#REF!</f>
        <v>#REF!</v>
      </c>
      <c r="H862" s="118" t="e">
        <f>+'Estimate Details'!#REF!</f>
        <v>#REF!</v>
      </c>
      <c r="I862" s="108" t="e">
        <f>+'Estimate Details'!#REF!</f>
        <v>#REF!</v>
      </c>
      <c r="J862" s="179" t="e">
        <f>+'Estimate Details'!#REF!</f>
        <v>#REF!</v>
      </c>
      <c r="K862" s="116" t="e">
        <f>+'Estimate Details'!#REF!</f>
        <v>#REF!</v>
      </c>
      <c r="L862" s="116" t="e">
        <f>+'Estimate Details'!#REF!</f>
        <v>#REF!</v>
      </c>
      <c r="M862" s="204" t="e">
        <f>+'Estimate Details'!#REF!</f>
        <v>#REF!</v>
      </c>
      <c r="N862" s="194" t="e">
        <f>+'Estimate Details'!#REF!</f>
        <v>#REF!</v>
      </c>
      <c r="O862" s="171" t="e">
        <f>+'Estimate Details'!#REF!</f>
        <v>#REF!</v>
      </c>
      <c r="P862" s="172" t="e">
        <f>+'Estimate Details'!#REF!</f>
        <v>#REF!</v>
      </c>
      <c r="Q862" s="173" t="e">
        <f>+'Estimate Details'!#REF!</f>
        <v>#REF!</v>
      </c>
      <c r="R862" s="174" t="e">
        <f>+'Estimate Details'!#REF!</f>
        <v>#REF!</v>
      </c>
      <c r="S862" s="507"/>
      <c r="T862" s="174" t="e">
        <f>+'Estimate Details'!#REF!</f>
        <v>#REF!</v>
      </c>
      <c r="U862" s="481" t="s">
        <v>1310</v>
      </c>
      <c r="V862" s="172" t="e">
        <f>+'Estimate Details'!#REF!</f>
        <v>#REF!</v>
      </c>
      <c r="W862" s="481" t="s">
        <v>1310</v>
      </c>
      <c r="X862" s="172" t="e">
        <f>+'Estimate Details'!#REF!</f>
        <v>#REF!</v>
      </c>
      <c r="Y862" s="172" t="e">
        <f>+'Estimate Details'!#REF!</f>
        <v>#REF!</v>
      </c>
      <c r="Z862" s="174" t="e">
        <f>+'Estimate Details'!#REF!</f>
        <v>#REF!</v>
      </c>
      <c r="AA862" s="481"/>
      <c r="AB862" s="175" t="e">
        <f>+'Estimate Details'!#REF!</f>
        <v>#REF!</v>
      </c>
      <c r="AC862" s="569"/>
      <c r="AD862" s="176" t="e">
        <f>+'Estimate Details'!#REF!</f>
        <v>#REF!</v>
      </c>
      <c r="AE862" s="156"/>
      <c r="AF862" s="372"/>
      <c r="AG862" s="156"/>
      <c r="AH862" s="156"/>
      <c r="AI862" s="29"/>
      <c r="AJ862" s="29"/>
      <c r="AK862" s="29"/>
      <c r="AL862" s="29"/>
    </row>
    <row r="863" spans="1:38" ht="14.1" customHeight="1">
      <c r="A863" s="116" t="e">
        <f>+'Estimate Details'!#REF!</f>
        <v>#REF!</v>
      </c>
      <c r="B863" s="116"/>
      <c r="C863" s="116"/>
      <c r="D863" s="166"/>
      <c r="E863" s="158" t="e">
        <f>+'Estimate Details'!#REF!</f>
        <v>#REF!</v>
      </c>
      <c r="F863" s="41"/>
      <c r="G863" s="117" t="e">
        <f>+'Estimate Details'!#REF!</f>
        <v>#REF!</v>
      </c>
      <c r="H863" s="118" t="e">
        <f>+'Estimate Details'!#REF!</f>
        <v>#REF!</v>
      </c>
      <c r="I863" s="108" t="e">
        <f>+'Estimate Details'!#REF!</f>
        <v>#REF!</v>
      </c>
      <c r="J863" s="179" t="e">
        <f>+'Estimate Details'!#REF!</f>
        <v>#REF!</v>
      </c>
      <c r="K863" s="116" t="e">
        <f>+'Estimate Details'!#REF!</f>
        <v>#REF!</v>
      </c>
      <c r="L863" s="116" t="e">
        <f>+'Estimate Details'!#REF!</f>
        <v>#REF!</v>
      </c>
      <c r="M863" s="204" t="e">
        <f>+'Estimate Details'!#REF!</f>
        <v>#REF!</v>
      </c>
      <c r="N863" s="194" t="e">
        <f>+'Estimate Details'!#REF!</f>
        <v>#REF!</v>
      </c>
      <c r="O863" s="171" t="e">
        <f>+'Estimate Details'!#REF!</f>
        <v>#REF!</v>
      </c>
      <c r="P863" s="172" t="e">
        <f>+'Estimate Details'!#REF!</f>
        <v>#REF!</v>
      </c>
      <c r="Q863" s="173" t="e">
        <f>+'Estimate Details'!#REF!</f>
        <v>#REF!</v>
      </c>
      <c r="R863" s="174" t="e">
        <f>+'Estimate Details'!#REF!</f>
        <v>#REF!</v>
      </c>
      <c r="S863" s="507"/>
      <c r="T863" s="174" t="e">
        <f>+'Estimate Details'!#REF!</f>
        <v>#REF!</v>
      </c>
      <c r="U863" s="481" t="s">
        <v>1310</v>
      </c>
      <c r="V863" s="172" t="e">
        <f>+'Estimate Details'!#REF!</f>
        <v>#REF!</v>
      </c>
      <c r="W863" s="481" t="s">
        <v>1310</v>
      </c>
      <c r="X863" s="172" t="e">
        <f>+'Estimate Details'!#REF!</f>
        <v>#REF!</v>
      </c>
      <c r="Y863" s="172" t="e">
        <f>+'Estimate Details'!#REF!</f>
        <v>#REF!</v>
      </c>
      <c r="Z863" s="174" t="e">
        <f>+'Estimate Details'!#REF!</f>
        <v>#REF!</v>
      </c>
      <c r="AA863" s="481"/>
      <c r="AB863" s="175" t="e">
        <f>+'Estimate Details'!#REF!</f>
        <v>#REF!</v>
      </c>
      <c r="AC863" s="569"/>
      <c r="AD863" s="176" t="e">
        <f>+'Estimate Details'!#REF!</f>
        <v>#REF!</v>
      </c>
      <c r="AE863" s="156"/>
      <c r="AF863" s="372"/>
      <c r="AG863" s="156"/>
      <c r="AH863" s="156"/>
      <c r="AI863" s="29"/>
      <c r="AJ863" s="29"/>
      <c r="AK863" s="29"/>
      <c r="AL863" s="29"/>
    </row>
    <row r="864" spans="1:38" ht="14.1" customHeight="1">
      <c r="A864" s="116" t="e">
        <f>+'Estimate Details'!#REF!</f>
        <v>#REF!</v>
      </c>
      <c r="B864" s="116"/>
      <c r="C864" s="116"/>
      <c r="D864" s="166"/>
      <c r="E864" s="158" t="e">
        <f>+'Estimate Details'!#REF!</f>
        <v>#REF!</v>
      </c>
      <c r="F864" s="41"/>
      <c r="G864" s="117" t="e">
        <f>+'Estimate Details'!#REF!</f>
        <v>#REF!</v>
      </c>
      <c r="H864" s="118" t="e">
        <f>+'Estimate Details'!#REF!</f>
        <v>#REF!</v>
      </c>
      <c r="I864" s="108" t="e">
        <f>+'Estimate Details'!#REF!</f>
        <v>#REF!</v>
      </c>
      <c r="J864" s="179" t="e">
        <f>+'Estimate Details'!#REF!</f>
        <v>#REF!</v>
      </c>
      <c r="K864" s="116" t="e">
        <f>+'Estimate Details'!#REF!</f>
        <v>#REF!</v>
      </c>
      <c r="L864" s="116" t="e">
        <f>+'Estimate Details'!#REF!</f>
        <v>#REF!</v>
      </c>
      <c r="M864" s="204" t="e">
        <f>+'Estimate Details'!#REF!</f>
        <v>#REF!</v>
      </c>
      <c r="N864" s="194" t="e">
        <f>+'Estimate Details'!#REF!</f>
        <v>#REF!</v>
      </c>
      <c r="O864" s="171" t="e">
        <f>+'Estimate Details'!#REF!</f>
        <v>#REF!</v>
      </c>
      <c r="P864" s="172" t="e">
        <f>+'Estimate Details'!#REF!</f>
        <v>#REF!</v>
      </c>
      <c r="Q864" s="173" t="e">
        <f>+'Estimate Details'!#REF!</f>
        <v>#REF!</v>
      </c>
      <c r="R864" s="174" t="e">
        <f>+'Estimate Details'!#REF!</f>
        <v>#REF!</v>
      </c>
      <c r="S864" s="507"/>
      <c r="T864" s="174" t="e">
        <f>+'Estimate Details'!#REF!</f>
        <v>#REF!</v>
      </c>
      <c r="U864" s="481" t="s">
        <v>1310</v>
      </c>
      <c r="V864" s="172" t="e">
        <f>+'Estimate Details'!#REF!</f>
        <v>#REF!</v>
      </c>
      <c r="W864" s="481" t="s">
        <v>1310</v>
      </c>
      <c r="X864" s="172" t="e">
        <f>+'Estimate Details'!#REF!</f>
        <v>#REF!</v>
      </c>
      <c r="Y864" s="172" t="e">
        <f>+'Estimate Details'!#REF!</f>
        <v>#REF!</v>
      </c>
      <c r="Z864" s="174" t="e">
        <f>+'Estimate Details'!#REF!</f>
        <v>#REF!</v>
      </c>
      <c r="AA864" s="481"/>
      <c r="AB864" s="175" t="e">
        <f>+'Estimate Details'!#REF!</f>
        <v>#REF!</v>
      </c>
      <c r="AC864" s="569"/>
      <c r="AD864" s="176" t="e">
        <f>+'Estimate Details'!#REF!</f>
        <v>#REF!</v>
      </c>
      <c r="AE864" s="156"/>
      <c r="AF864" s="372"/>
      <c r="AG864" s="156"/>
      <c r="AH864" s="156"/>
      <c r="AI864" s="29"/>
      <c r="AJ864" s="29"/>
      <c r="AK864" s="29"/>
      <c r="AL864" s="29"/>
    </row>
    <row r="865" spans="1:44" ht="14.1" customHeight="1">
      <c r="A865" s="116" t="e">
        <f>+'Estimate Details'!#REF!</f>
        <v>#REF!</v>
      </c>
      <c r="B865" s="116"/>
      <c r="C865" s="116"/>
      <c r="D865" s="166"/>
      <c r="E865" s="158" t="e">
        <f>+'Estimate Details'!#REF!</f>
        <v>#REF!</v>
      </c>
      <c r="F865" s="41"/>
      <c r="G865" s="117" t="e">
        <f>+'Estimate Details'!#REF!</f>
        <v>#REF!</v>
      </c>
      <c r="H865" s="118" t="e">
        <f>+'Estimate Details'!#REF!</f>
        <v>#REF!</v>
      </c>
      <c r="I865" s="108" t="e">
        <f>+'Estimate Details'!#REF!</f>
        <v>#REF!</v>
      </c>
      <c r="J865" s="179" t="e">
        <f>+'Estimate Details'!#REF!</f>
        <v>#REF!</v>
      </c>
      <c r="K865" s="116" t="e">
        <f>+'Estimate Details'!#REF!</f>
        <v>#REF!</v>
      </c>
      <c r="L865" s="116" t="e">
        <f>+'Estimate Details'!#REF!</f>
        <v>#REF!</v>
      </c>
      <c r="M865" s="204" t="e">
        <f>+'Estimate Details'!#REF!</f>
        <v>#REF!</v>
      </c>
      <c r="N865" s="194" t="e">
        <f>+'Estimate Details'!#REF!</f>
        <v>#REF!</v>
      </c>
      <c r="O865" s="171" t="e">
        <f>+'Estimate Details'!#REF!</f>
        <v>#REF!</v>
      </c>
      <c r="P865" s="172" t="e">
        <f>+'Estimate Details'!#REF!</f>
        <v>#REF!</v>
      </c>
      <c r="Q865" s="173" t="e">
        <f>+'Estimate Details'!#REF!</f>
        <v>#REF!</v>
      </c>
      <c r="R865" s="174" t="e">
        <f>+'Estimate Details'!#REF!</f>
        <v>#REF!</v>
      </c>
      <c r="S865" s="507"/>
      <c r="T865" s="174" t="e">
        <f>+'Estimate Details'!#REF!</f>
        <v>#REF!</v>
      </c>
      <c r="U865" s="481" t="s">
        <v>1310</v>
      </c>
      <c r="V865" s="172" t="e">
        <f>+'Estimate Details'!#REF!</f>
        <v>#REF!</v>
      </c>
      <c r="W865" s="481" t="s">
        <v>1310</v>
      </c>
      <c r="X865" s="172" t="e">
        <f>+'Estimate Details'!#REF!</f>
        <v>#REF!</v>
      </c>
      <c r="Y865" s="172" t="e">
        <f>+'Estimate Details'!#REF!</f>
        <v>#REF!</v>
      </c>
      <c r="Z865" s="174" t="e">
        <f>+'Estimate Details'!#REF!</f>
        <v>#REF!</v>
      </c>
      <c r="AA865" s="481"/>
      <c r="AB865" s="175" t="e">
        <f>+'Estimate Details'!#REF!</f>
        <v>#REF!</v>
      </c>
      <c r="AC865" s="569"/>
      <c r="AD865" s="176" t="e">
        <f>+'Estimate Details'!#REF!</f>
        <v>#REF!</v>
      </c>
      <c r="AE865" s="156"/>
      <c r="AF865" s="372"/>
      <c r="AG865" s="156"/>
      <c r="AH865" s="156"/>
      <c r="AI865" s="29"/>
      <c r="AJ865" s="29"/>
      <c r="AK865" s="29"/>
      <c r="AL865" s="29"/>
    </row>
    <row r="866" spans="1:44" ht="14.1" customHeight="1">
      <c r="A866" s="116" t="e">
        <f>+'Estimate Details'!#REF!</f>
        <v>#REF!</v>
      </c>
      <c r="B866" s="116"/>
      <c r="C866" s="116"/>
      <c r="D866" s="166"/>
      <c r="E866" s="158" t="e">
        <f>+'Estimate Details'!#REF!</f>
        <v>#REF!</v>
      </c>
      <c r="F866" s="41"/>
      <c r="G866" s="117" t="e">
        <f>+'Estimate Details'!#REF!</f>
        <v>#REF!</v>
      </c>
      <c r="H866" s="118" t="e">
        <f>+'Estimate Details'!#REF!</f>
        <v>#REF!</v>
      </c>
      <c r="I866" s="108" t="e">
        <f>+'Estimate Details'!#REF!</f>
        <v>#REF!</v>
      </c>
      <c r="J866" s="179" t="e">
        <f>+'Estimate Details'!#REF!</f>
        <v>#REF!</v>
      </c>
      <c r="K866" s="116" t="e">
        <f>+'Estimate Details'!#REF!</f>
        <v>#REF!</v>
      </c>
      <c r="L866" s="116" t="e">
        <f>+'Estimate Details'!#REF!</f>
        <v>#REF!</v>
      </c>
      <c r="M866" s="212" t="e">
        <f>+'Estimate Details'!#REF!</f>
        <v>#REF!</v>
      </c>
      <c r="N866" s="194" t="e">
        <f>+'Estimate Details'!#REF!</f>
        <v>#REF!</v>
      </c>
      <c r="O866" s="171" t="e">
        <f>+'Estimate Details'!#REF!</f>
        <v>#REF!</v>
      </c>
      <c r="P866" s="172" t="e">
        <f>+'Estimate Details'!#REF!</f>
        <v>#REF!</v>
      </c>
      <c r="Q866" s="173" t="e">
        <f>+'Estimate Details'!#REF!</f>
        <v>#REF!</v>
      </c>
      <c r="R866" s="174" t="e">
        <f>+'Estimate Details'!#REF!</f>
        <v>#REF!</v>
      </c>
      <c r="S866" s="507"/>
      <c r="T866" s="174" t="e">
        <f>+'Estimate Details'!#REF!</f>
        <v>#REF!</v>
      </c>
      <c r="U866" s="481" t="s">
        <v>1310</v>
      </c>
      <c r="V866" s="172" t="e">
        <f>+'Estimate Details'!#REF!</f>
        <v>#REF!</v>
      </c>
      <c r="W866" s="481" t="s">
        <v>1310</v>
      </c>
      <c r="X866" s="172" t="e">
        <f>+'Estimate Details'!#REF!</f>
        <v>#REF!</v>
      </c>
      <c r="Y866" s="172" t="e">
        <f>+'Estimate Details'!#REF!</f>
        <v>#REF!</v>
      </c>
      <c r="Z866" s="174" t="e">
        <f>+'Estimate Details'!#REF!</f>
        <v>#REF!</v>
      </c>
      <c r="AA866" s="481"/>
      <c r="AB866" s="175" t="e">
        <f>+'Estimate Details'!#REF!</f>
        <v>#REF!</v>
      </c>
      <c r="AC866" s="569"/>
      <c r="AD866" s="176" t="e">
        <f>+'Estimate Details'!#REF!</f>
        <v>#REF!</v>
      </c>
      <c r="AE866" s="156"/>
      <c r="AF866" s="372"/>
      <c r="AG866" s="156"/>
      <c r="AH866" s="156"/>
      <c r="AI866" s="29"/>
      <c r="AJ866" s="29"/>
      <c r="AK866" s="29"/>
      <c r="AL866" s="29"/>
    </row>
    <row r="867" spans="1:44" ht="14.1" customHeight="1">
      <c r="A867" s="116" t="e">
        <f>+'Estimate Details'!#REF!</f>
        <v>#REF!</v>
      </c>
      <c r="B867" s="116"/>
      <c r="C867" s="116"/>
      <c r="D867" s="166"/>
      <c r="E867" s="158" t="e">
        <f>+'Estimate Details'!#REF!</f>
        <v>#REF!</v>
      </c>
      <c r="F867" s="41"/>
      <c r="G867" s="117" t="e">
        <f>+'Estimate Details'!#REF!</f>
        <v>#REF!</v>
      </c>
      <c r="H867" s="118" t="e">
        <f>+'Estimate Details'!#REF!</f>
        <v>#REF!</v>
      </c>
      <c r="I867" s="108" t="e">
        <f>+'Estimate Details'!#REF!</f>
        <v>#REF!</v>
      </c>
      <c r="J867" s="179" t="e">
        <f>+'Estimate Details'!#REF!</f>
        <v>#REF!</v>
      </c>
      <c r="K867" s="116" t="e">
        <f>+'Estimate Details'!#REF!</f>
        <v>#REF!</v>
      </c>
      <c r="L867" s="116" t="e">
        <f>+'Estimate Details'!#REF!</f>
        <v>#REF!</v>
      </c>
      <c r="M867" s="204" t="e">
        <f>+'Estimate Details'!#REF!</f>
        <v>#REF!</v>
      </c>
      <c r="N867" s="194" t="e">
        <f>+'Estimate Details'!#REF!</f>
        <v>#REF!</v>
      </c>
      <c r="O867" s="171" t="e">
        <f>+'Estimate Details'!#REF!</f>
        <v>#REF!</v>
      </c>
      <c r="P867" s="172" t="e">
        <f>+'Estimate Details'!#REF!</f>
        <v>#REF!</v>
      </c>
      <c r="Q867" s="173" t="e">
        <f>+'Estimate Details'!#REF!</f>
        <v>#REF!</v>
      </c>
      <c r="R867" s="174" t="e">
        <f>+'Estimate Details'!#REF!</f>
        <v>#REF!</v>
      </c>
      <c r="S867" s="507"/>
      <c r="T867" s="174" t="e">
        <f>+'Estimate Details'!#REF!</f>
        <v>#REF!</v>
      </c>
      <c r="U867" s="481" t="s">
        <v>1310</v>
      </c>
      <c r="V867" s="172" t="e">
        <f>+'Estimate Details'!#REF!</f>
        <v>#REF!</v>
      </c>
      <c r="W867" s="481" t="s">
        <v>1310</v>
      </c>
      <c r="X867" s="172" t="e">
        <f>+'Estimate Details'!#REF!</f>
        <v>#REF!</v>
      </c>
      <c r="Y867" s="172" t="e">
        <f>+'Estimate Details'!#REF!</f>
        <v>#REF!</v>
      </c>
      <c r="Z867" s="174" t="e">
        <f>+'Estimate Details'!#REF!</f>
        <v>#REF!</v>
      </c>
      <c r="AA867" s="481"/>
      <c r="AB867" s="175" t="e">
        <f>+'Estimate Details'!#REF!</f>
        <v>#REF!</v>
      </c>
      <c r="AC867" s="569"/>
      <c r="AD867" s="176" t="e">
        <f>+'Estimate Details'!#REF!</f>
        <v>#REF!</v>
      </c>
      <c r="AE867" s="156"/>
      <c r="AF867" s="156"/>
      <c r="AG867" s="156"/>
      <c r="AH867" s="156"/>
      <c r="AI867" s="29"/>
      <c r="AJ867" s="29"/>
      <c r="AK867" s="29"/>
      <c r="AL867" s="29"/>
    </row>
    <row r="868" spans="1:44">
      <c r="A868" s="116" t="e">
        <f>+'Estimate Details'!#REF!</f>
        <v>#REF!</v>
      </c>
      <c r="B868" s="116"/>
      <c r="C868" s="116"/>
      <c r="D868" s="166"/>
      <c r="E868" s="158" t="e">
        <f>+'Estimate Details'!#REF!</f>
        <v>#REF!</v>
      </c>
      <c r="F868" s="41"/>
      <c r="G868" s="117" t="e">
        <f>+'Estimate Details'!#REF!</f>
        <v>#REF!</v>
      </c>
      <c r="H868" s="118" t="e">
        <f>+'Estimate Details'!#REF!</f>
        <v>#REF!</v>
      </c>
      <c r="I868" s="108" t="e">
        <f>+'Estimate Details'!#REF!</f>
        <v>#REF!</v>
      </c>
      <c r="J868" s="168" t="e">
        <f>+'Estimate Details'!#REF!</f>
        <v>#REF!</v>
      </c>
      <c r="K868" s="42" t="e">
        <f>+'Estimate Details'!#REF!</f>
        <v>#REF!</v>
      </c>
      <c r="L868" s="42" t="e">
        <f>+'Estimate Details'!#REF!</f>
        <v>#REF!</v>
      </c>
      <c r="M868" s="204" t="e">
        <f>+'Estimate Details'!#REF!</f>
        <v>#REF!</v>
      </c>
      <c r="N868" s="170" t="e">
        <f>+'Estimate Details'!#REF!</f>
        <v>#REF!</v>
      </c>
      <c r="O868" s="171" t="e">
        <f>+'Estimate Details'!#REF!</f>
        <v>#REF!</v>
      </c>
      <c r="P868" s="172" t="e">
        <f>+'Estimate Details'!#REF!</f>
        <v>#REF!</v>
      </c>
      <c r="Q868" s="173" t="e">
        <f>+'Estimate Details'!#REF!</f>
        <v>#REF!</v>
      </c>
      <c r="R868" s="174" t="e">
        <f>+'Estimate Details'!#REF!</f>
        <v>#REF!</v>
      </c>
      <c r="S868" s="507"/>
      <c r="T868" s="174" t="e">
        <f>+'Estimate Details'!#REF!</f>
        <v>#REF!</v>
      </c>
      <c r="U868" s="481" t="s">
        <v>1310</v>
      </c>
      <c r="V868" s="172" t="e">
        <f>+'Estimate Details'!#REF!</f>
        <v>#REF!</v>
      </c>
      <c r="W868" s="481" t="s">
        <v>1310</v>
      </c>
      <c r="X868" s="172" t="e">
        <f>+'Estimate Details'!#REF!</f>
        <v>#REF!</v>
      </c>
      <c r="Y868" s="172" t="e">
        <f>+'Estimate Details'!#REF!</f>
        <v>#REF!</v>
      </c>
      <c r="Z868" s="174" t="e">
        <f>+'Estimate Details'!#REF!</f>
        <v>#REF!</v>
      </c>
      <c r="AA868" s="481"/>
      <c r="AB868" s="175" t="e">
        <f>+'Estimate Details'!#REF!</f>
        <v>#REF!</v>
      </c>
      <c r="AC868" s="569"/>
      <c r="AD868" s="176" t="e">
        <f>+'Estimate Details'!#REF!</f>
        <v>#REF!</v>
      </c>
      <c r="AE868" s="156"/>
      <c r="AF868" s="156"/>
      <c r="AG868" s="156"/>
      <c r="AH868" s="156"/>
      <c r="AI868" s="29"/>
      <c r="AJ868" s="29"/>
      <c r="AK868" s="29"/>
      <c r="AL868" s="29"/>
    </row>
    <row r="869" spans="1:44" ht="14.1" customHeight="1">
      <c r="A869" s="116" t="e">
        <f>+'Estimate Details'!#REF!</f>
        <v>#REF!</v>
      </c>
      <c r="B869" s="116"/>
      <c r="C869" s="116"/>
      <c r="D869" s="166"/>
      <c r="E869" s="158" t="e">
        <f>+'Estimate Details'!#REF!</f>
        <v>#REF!</v>
      </c>
      <c r="F869" s="41"/>
      <c r="G869" s="117" t="e">
        <f>+'Estimate Details'!#REF!</f>
        <v>#REF!</v>
      </c>
      <c r="H869" s="118" t="e">
        <f>+'Estimate Details'!#REF!</f>
        <v>#REF!</v>
      </c>
      <c r="I869" s="108" t="e">
        <f>+'Estimate Details'!#REF!</f>
        <v>#REF!</v>
      </c>
      <c r="J869" s="179" t="e">
        <f>+'Estimate Details'!#REF!</f>
        <v>#REF!</v>
      </c>
      <c r="K869" s="116" t="e">
        <f>+'Estimate Details'!#REF!</f>
        <v>#REF!</v>
      </c>
      <c r="L869" s="116" t="e">
        <f>+'Estimate Details'!#REF!</f>
        <v>#REF!</v>
      </c>
      <c r="M869" s="204" t="e">
        <f>+'Estimate Details'!#REF!</f>
        <v>#REF!</v>
      </c>
      <c r="N869" s="194" t="e">
        <f>+'Estimate Details'!#REF!</f>
        <v>#REF!</v>
      </c>
      <c r="O869" s="171" t="e">
        <f>+'Estimate Details'!#REF!</f>
        <v>#REF!</v>
      </c>
      <c r="P869" s="172" t="e">
        <f>+'Estimate Details'!#REF!</f>
        <v>#REF!</v>
      </c>
      <c r="Q869" s="173" t="e">
        <f>+'Estimate Details'!#REF!</f>
        <v>#REF!</v>
      </c>
      <c r="R869" s="174" t="e">
        <f>+'Estimate Details'!#REF!</f>
        <v>#REF!</v>
      </c>
      <c r="S869" s="507"/>
      <c r="T869" s="174" t="e">
        <f>+'Estimate Details'!#REF!</f>
        <v>#REF!</v>
      </c>
      <c r="U869" s="481"/>
      <c r="V869" s="172" t="e">
        <f>+'Estimate Details'!#REF!</f>
        <v>#REF!</v>
      </c>
      <c r="W869" s="481" t="s">
        <v>1310</v>
      </c>
      <c r="X869" s="172" t="e">
        <f>+'Estimate Details'!#REF!</f>
        <v>#REF!</v>
      </c>
      <c r="Y869" s="172" t="e">
        <f>+'Estimate Details'!#REF!</f>
        <v>#REF!</v>
      </c>
      <c r="Z869" s="174" t="e">
        <f>+'Estimate Details'!#REF!</f>
        <v>#REF!</v>
      </c>
      <c r="AA869" s="481" t="s">
        <v>1310</v>
      </c>
      <c r="AB869" s="175" t="e">
        <f>+'Estimate Details'!#REF!</f>
        <v>#REF!</v>
      </c>
      <c r="AC869" s="569"/>
      <c r="AD869" s="176" t="e">
        <f>+'Estimate Details'!#REF!</f>
        <v>#REF!</v>
      </c>
      <c r="AE869" s="156"/>
      <c r="AF869" s="156"/>
      <c r="AG869" s="156"/>
      <c r="AH869" s="156"/>
      <c r="AI869" s="29"/>
      <c r="AJ869" s="29"/>
      <c r="AK869" s="29"/>
      <c r="AL869" s="29"/>
    </row>
    <row r="870" spans="1:44" s="692" customFormat="1">
      <c r="A870" s="673" t="e">
        <f>+'Estimate Details'!#REF!</f>
        <v>#REF!</v>
      </c>
      <c r="B870" s="673"/>
      <c r="C870" s="673"/>
      <c r="D870" s="674"/>
      <c r="E870" s="675" t="e">
        <f>+'Estimate Details'!#REF!</f>
        <v>#REF!</v>
      </c>
      <c r="F870" s="676"/>
      <c r="G870" s="677" t="e">
        <f>+'Estimate Details'!#REF!</f>
        <v>#REF!</v>
      </c>
      <c r="H870" s="678" t="e">
        <f>+'Estimate Details'!#REF!</f>
        <v>#REF!</v>
      </c>
      <c r="I870" s="679" t="e">
        <f>+'Estimate Details'!#REF!</f>
        <v>#REF!</v>
      </c>
      <c r="J870" s="680" t="e">
        <f>+'Estimate Details'!#REF!</f>
        <v>#REF!</v>
      </c>
      <c r="K870" s="673" t="e">
        <f>+'Estimate Details'!#REF!</f>
        <v>#REF!</v>
      </c>
      <c r="L870" s="673" t="e">
        <f>+'Estimate Details'!#REF!</f>
        <v>#REF!</v>
      </c>
      <c r="M870" s="236" t="e">
        <f>+'Estimate Details'!#REF!</f>
        <v>#REF!</v>
      </c>
      <c r="N870" s="699" t="e">
        <f>+'Estimate Details'!#REF!</f>
        <v>#REF!</v>
      </c>
      <c r="O870" s="681" t="e">
        <f>+'Estimate Details'!#REF!</f>
        <v>#REF!</v>
      </c>
      <c r="P870" s="682" t="e">
        <f>+'Estimate Details'!#REF!</f>
        <v>#REF!</v>
      </c>
      <c r="Q870" s="683" t="e">
        <f>+'Estimate Details'!#REF!</f>
        <v>#REF!</v>
      </c>
      <c r="R870" s="684" t="e">
        <f>+'Estimate Details'!#REF!</f>
        <v>#REF!</v>
      </c>
      <c r="S870" s="685"/>
      <c r="T870" s="684" t="e">
        <f>+'Estimate Details'!#REF!</f>
        <v>#REF!</v>
      </c>
      <c r="U870" s="686" t="s">
        <v>1299</v>
      </c>
      <c r="V870" s="682" t="e">
        <f>+'Estimate Details'!#REF!</f>
        <v>#REF!</v>
      </c>
      <c r="W870" s="686" t="s">
        <v>1311</v>
      </c>
      <c r="X870" s="682" t="e">
        <f>+'Estimate Details'!#REF!</f>
        <v>#REF!</v>
      </c>
      <c r="Y870" s="682" t="e">
        <f>+'Estimate Details'!#REF!</f>
        <v>#REF!</v>
      </c>
      <c r="Z870" s="684" t="e">
        <f>+'Estimate Details'!#REF!</f>
        <v>#REF!</v>
      </c>
      <c r="AA870" s="686"/>
      <c r="AB870" s="687" t="e">
        <f>+'Estimate Details'!#REF!</f>
        <v>#REF!</v>
      </c>
      <c r="AC870" s="688"/>
      <c r="AD870" s="696" t="e">
        <f>+'Estimate Details'!#REF!</f>
        <v>#REF!</v>
      </c>
      <c r="AE870" s="689"/>
      <c r="AF870" s="689"/>
      <c r="AG870" s="689"/>
      <c r="AH870" s="689"/>
      <c r="AI870" s="690"/>
      <c r="AJ870" s="690"/>
      <c r="AK870" s="690"/>
      <c r="AL870" s="690"/>
      <c r="AM870" s="691"/>
      <c r="AN870" s="691"/>
      <c r="AO870" s="691"/>
      <c r="AP870" s="691"/>
      <c r="AQ870" s="691"/>
      <c r="AR870" s="691"/>
    </row>
    <row r="871" spans="1:44">
      <c r="A871" s="673" t="e">
        <f>+'Estimate Details'!#REF!</f>
        <v>#REF!</v>
      </c>
      <c r="B871" s="673"/>
      <c r="C871" s="673"/>
      <c r="D871" s="674"/>
      <c r="E871" s="675" t="e">
        <f>+'Estimate Details'!#REF!</f>
        <v>#REF!</v>
      </c>
      <c r="F871" s="676"/>
      <c r="G871" s="677" t="e">
        <f>+'Estimate Details'!#REF!</f>
        <v>#REF!</v>
      </c>
      <c r="H871" s="678" t="e">
        <f>+'Estimate Details'!#REF!</f>
        <v>#REF!</v>
      </c>
      <c r="I871" s="679" t="e">
        <f>+'Estimate Details'!#REF!</f>
        <v>#REF!</v>
      </c>
      <c r="J871" s="680" t="e">
        <f>+'Estimate Details'!#REF!</f>
        <v>#REF!</v>
      </c>
      <c r="K871" s="673" t="e">
        <f>+'Estimate Details'!#REF!</f>
        <v>#REF!</v>
      </c>
      <c r="L871" s="673" t="e">
        <f>+'Estimate Details'!#REF!</f>
        <v>#REF!</v>
      </c>
      <c r="M871" s="236" t="e">
        <f>+'Estimate Details'!#REF!</f>
        <v>#REF!</v>
      </c>
      <c r="N871" s="699" t="e">
        <f>+'Estimate Details'!#REF!</f>
        <v>#REF!</v>
      </c>
      <c r="O871" s="681" t="e">
        <f>+'Estimate Details'!#REF!</f>
        <v>#REF!</v>
      </c>
      <c r="P871" s="682" t="e">
        <f>+'Estimate Details'!#REF!</f>
        <v>#REF!</v>
      </c>
      <c r="Q871" s="683" t="e">
        <f>+'Estimate Details'!#REF!</f>
        <v>#REF!</v>
      </c>
      <c r="R871" s="684" t="e">
        <f>+'Estimate Details'!#REF!</f>
        <v>#REF!</v>
      </c>
      <c r="S871" s="685"/>
      <c r="T871" s="684" t="e">
        <f>+'Estimate Details'!#REF!</f>
        <v>#REF!</v>
      </c>
      <c r="U871" s="686" t="s">
        <v>1299</v>
      </c>
      <c r="V871" s="682" t="e">
        <f>+'Estimate Details'!#REF!</f>
        <v>#REF!</v>
      </c>
      <c r="W871" s="686" t="s">
        <v>1311</v>
      </c>
      <c r="X871" s="682" t="e">
        <f>+'Estimate Details'!#REF!</f>
        <v>#REF!</v>
      </c>
      <c r="Y871" s="682" t="e">
        <f>+'Estimate Details'!#REF!</f>
        <v>#REF!</v>
      </c>
      <c r="Z871" s="684" t="e">
        <f>+'Estimate Details'!#REF!</f>
        <v>#REF!</v>
      </c>
      <c r="AA871" s="686"/>
      <c r="AB871" s="687" t="e">
        <f>+'Estimate Details'!#REF!</f>
        <v>#REF!</v>
      </c>
      <c r="AC871" s="688"/>
      <c r="AD871" s="696" t="e">
        <f>+'Estimate Details'!#REF!</f>
        <v>#REF!</v>
      </c>
      <c r="AE871" s="156"/>
      <c r="AF871" s="156"/>
      <c r="AG871" s="156"/>
      <c r="AH871" s="156"/>
      <c r="AI871" s="29"/>
      <c r="AJ871" s="29"/>
      <c r="AK871" s="29"/>
      <c r="AL871" s="29"/>
    </row>
    <row r="872" spans="1:44" s="30" customFormat="1" ht="14.1" customHeight="1">
      <c r="A872" s="673" t="e">
        <f>+'Estimate Details'!#REF!</f>
        <v>#REF!</v>
      </c>
      <c r="B872" s="673"/>
      <c r="C872" s="673"/>
      <c r="D872" s="674"/>
      <c r="E872" s="675" t="e">
        <f>+'Estimate Details'!#REF!</f>
        <v>#REF!</v>
      </c>
      <c r="F872" s="676"/>
      <c r="G872" s="677" t="e">
        <f>+'Estimate Details'!#REF!</f>
        <v>#REF!</v>
      </c>
      <c r="H872" s="678" t="e">
        <f>+'Estimate Details'!#REF!</f>
        <v>#REF!</v>
      </c>
      <c r="I872" s="679" t="e">
        <f>+'Estimate Details'!#REF!</f>
        <v>#REF!</v>
      </c>
      <c r="J872" s="680" t="e">
        <f>+'Estimate Details'!#REF!</f>
        <v>#REF!</v>
      </c>
      <c r="K872" s="673" t="e">
        <f>+'Estimate Details'!#REF!</f>
        <v>#REF!</v>
      </c>
      <c r="L872" s="673" t="e">
        <f>+'Estimate Details'!#REF!</f>
        <v>#REF!</v>
      </c>
      <c r="M872" s="236" t="e">
        <f>+'Estimate Details'!#REF!</f>
        <v>#REF!</v>
      </c>
      <c r="N872" s="699" t="e">
        <f>+'Estimate Details'!#REF!</f>
        <v>#REF!</v>
      </c>
      <c r="O872" s="681" t="e">
        <f>+'Estimate Details'!#REF!</f>
        <v>#REF!</v>
      </c>
      <c r="P872" s="682" t="e">
        <f>+'Estimate Details'!#REF!</f>
        <v>#REF!</v>
      </c>
      <c r="Q872" s="683" t="e">
        <f>+'Estimate Details'!#REF!</f>
        <v>#REF!</v>
      </c>
      <c r="R872" s="684" t="e">
        <f>+'Estimate Details'!#REF!</f>
        <v>#REF!</v>
      </c>
      <c r="S872" s="685"/>
      <c r="T872" s="684" t="e">
        <f>+'Estimate Details'!#REF!</f>
        <v>#REF!</v>
      </c>
      <c r="U872" s="686" t="s">
        <v>1299</v>
      </c>
      <c r="V872" s="682" t="e">
        <f>+'Estimate Details'!#REF!</f>
        <v>#REF!</v>
      </c>
      <c r="W872" s="686" t="s">
        <v>1311</v>
      </c>
      <c r="X872" s="682" t="e">
        <f>+'Estimate Details'!#REF!</f>
        <v>#REF!</v>
      </c>
      <c r="Y872" s="682" t="e">
        <f>+'Estimate Details'!#REF!</f>
        <v>#REF!</v>
      </c>
      <c r="Z872" s="684" t="e">
        <f>+'Estimate Details'!#REF!</f>
        <v>#REF!</v>
      </c>
      <c r="AA872" s="686"/>
      <c r="AB872" s="687" t="e">
        <f>+'Estimate Details'!#REF!</f>
        <v>#REF!</v>
      </c>
      <c r="AC872" s="688"/>
      <c r="AD872" s="696" t="e">
        <f>+'Estimate Details'!#REF!</f>
        <v>#REF!</v>
      </c>
      <c r="AE872" s="156"/>
      <c r="AF872" s="372"/>
      <c r="AG872" s="156"/>
      <c r="AH872" s="156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</row>
    <row r="873" spans="1:44" s="30" customFormat="1" ht="14.1" customHeight="1">
      <c r="A873" s="673" t="e">
        <f>+'Estimate Details'!#REF!</f>
        <v>#REF!</v>
      </c>
      <c r="B873" s="673"/>
      <c r="C873" s="673"/>
      <c r="D873" s="674"/>
      <c r="E873" s="675" t="e">
        <f>+'Estimate Details'!#REF!</f>
        <v>#REF!</v>
      </c>
      <c r="F873" s="676"/>
      <c r="G873" s="677" t="e">
        <f>+'Estimate Details'!#REF!</f>
        <v>#REF!</v>
      </c>
      <c r="H873" s="678" t="e">
        <f>+'Estimate Details'!#REF!</f>
        <v>#REF!</v>
      </c>
      <c r="I873" s="679" t="e">
        <f>+'Estimate Details'!#REF!</f>
        <v>#REF!</v>
      </c>
      <c r="J873" s="680" t="e">
        <f>+'Estimate Details'!#REF!</f>
        <v>#REF!</v>
      </c>
      <c r="K873" s="673" t="e">
        <f>+'Estimate Details'!#REF!</f>
        <v>#REF!</v>
      </c>
      <c r="L873" s="673" t="e">
        <f>+'Estimate Details'!#REF!</f>
        <v>#REF!</v>
      </c>
      <c r="M873" s="236" t="e">
        <f>+'Estimate Details'!#REF!</f>
        <v>#REF!</v>
      </c>
      <c r="N873" s="699" t="e">
        <f>+'Estimate Details'!#REF!</f>
        <v>#REF!</v>
      </c>
      <c r="O873" s="681" t="e">
        <f>+'Estimate Details'!#REF!</f>
        <v>#REF!</v>
      </c>
      <c r="P873" s="682" t="e">
        <f>+'Estimate Details'!#REF!</f>
        <v>#REF!</v>
      </c>
      <c r="Q873" s="683" t="e">
        <f>+'Estimate Details'!#REF!</f>
        <v>#REF!</v>
      </c>
      <c r="R873" s="684" t="e">
        <f>+'Estimate Details'!#REF!</f>
        <v>#REF!</v>
      </c>
      <c r="S873" s="685"/>
      <c r="T873" s="684" t="e">
        <f>+'Estimate Details'!#REF!</f>
        <v>#REF!</v>
      </c>
      <c r="U873" s="686" t="s">
        <v>1299</v>
      </c>
      <c r="V873" s="682" t="e">
        <f>+'Estimate Details'!#REF!</f>
        <v>#REF!</v>
      </c>
      <c r="W873" s="686" t="s">
        <v>1311</v>
      </c>
      <c r="X873" s="682" t="e">
        <f>+'Estimate Details'!#REF!</f>
        <v>#REF!</v>
      </c>
      <c r="Y873" s="682" t="e">
        <f>+'Estimate Details'!#REF!</f>
        <v>#REF!</v>
      </c>
      <c r="Z873" s="684" t="e">
        <f>+'Estimate Details'!#REF!</f>
        <v>#REF!</v>
      </c>
      <c r="AA873" s="686"/>
      <c r="AB873" s="687" t="e">
        <f>+'Estimate Details'!#REF!</f>
        <v>#REF!</v>
      </c>
      <c r="AC873" s="688"/>
      <c r="AD873" s="696" t="e">
        <f>+'Estimate Details'!#REF!</f>
        <v>#REF!</v>
      </c>
      <c r="AE873" s="156"/>
      <c r="AF873" s="372"/>
      <c r="AG873" s="156"/>
      <c r="AH873" s="156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</row>
    <row r="874" spans="1:44" s="30" customFormat="1" ht="14.1" customHeight="1">
      <c r="A874" s="673" t="e">
        <f>+'Estimate Details'!#REF!</f>
        <v>#REF!</v>
      </c>
      <c r="B874" s="673"/>
      <c r="C874" s="673"/>
      <c r="D874" s="674"/>
      <c r="E874" s="675" t="e">
        <f>+'Estimate Details'!#REF!</f>
        <v>#REF!</v>
      </c>
      <c r="F874" s="676"/>
      <c r="G874" s="677" t="e">
        <f>+'Estimate Details'!#REF!</f>
        <v>#REF!</v>
      </c>
      <c r="H874" s="678" t="e">
        <f>+'Estimate Details'!#REF!</f>
        <v>#REF!</v>
      </c>
      <c r="I874" s="679" t="e">
        <f>+'Estimate Details'!#REF!</f>
        <v>#REF!</v>
      </c>
      <c r="J874" s="680" t="e">
        <f>+'Estimate Details'!#REF!</f>
        <v>#REF!</v>
      </c>
      <c r="K874" s="673" t="e">
        <f>+'Estimate Details'!#REF!</f>
        <v>#REF!</v>
      </c>
      <c r="L874" s="673" t="e">
        <f>+'Estimate Details'!#REF!</f>
        <v>#REF!</v>
      </c>
      <c r="M874" s="236" t="e">
        <f>+'Estimate Details'!#REF!</f>
        <v>#REF!</v>
      </c>
      <c r="N874" s="699" t="e">
        <f>+'Estimate Details'!#REF!</f>
        <v>#REF!</v>
      </c>
      <c r="O874" s="681" t="e">
        <f>+'Estimate Details'!#REF!</f>
        <v>#REF!</v>
      </c>
      <c r="P874" s="682" t="e">
        <f>+'Estimate Details'!#REF!</f>
        <v>#REF!</v>
      </c>
      <c r="Q874" s="683" t="e">
        <f>+'Estimate Details'!#REF!</f>
        <v>#REF!</v>
      </c>
      <c r="R874" s="684" t="e">
        <f>+'Estimate Details'!#REF!</f>
        <v>#REF!</v>
      </c>
      <c r="S874" s="685"/>
      <c r="T874" s="684" t="e">
        <f>+'Estimate Details'!#REF!</f>
        <v>#REF!</v>
      </c>
      <c r="U874" s="686" t="s">
        <v>1299</v>
      </c>
      <c r="V874" s="682" t="e">
        <f>+'Estimate Details'!#REF!</f>
        <v>#REF!</v>
      </c>
      <c r="W874" s="686" t="s">
        <v>1311</v>
      </c>
      <c r="X874" s="682" t="e">
        <f>+'Estimate Details'!#REF!</f>
        <v>#REF!</v>
      </c>
      <c r="Y874" s="682" t="e">
        <f>+'Estimate Details'!#REF!</f>
        <v>#REF!</v>
      </c>
      <c r="Z874" s="684" t="e">
        <f>+'Estimate Details'!#REF!</f>
        <v>#REF!</v>
      </c>
      <c r="AA874" s="686"/>
      <c r="AB874" s="687" t="e">
        <f>+'Estimate Details'!#REF!</f>
        <v>#REF!</v>
      </c>
      <c r="AC874" s="688"/>
      <c r="AD874" s="696" t="e">
        <f>+'Estimate Details'!#REF!</f>
        <v>#REF!</v>
      </c>
      <c r="AE874" s="156"/>
      <c r="AF874" s="372"/>
      <c r="AG874" s="156"/>
      <c r="AH874" s="156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</row>
    <row r="875" spans="1:44" s="30" customFormat="1" ht="14.1" customHeight="1">
      <c r="A875" s="673" t="e">
        <f>+'Estimate Details'!#REF!</f>
        <v>#REF!</v>
      </c>
      <c r="B875" s="673"/>
      <c r="C875" s="673"/>
      <c r="D875" s="674"/>
      <c r="E875" s="675" t="e">
        <f>+'Estimate Details'!#REF!</f>
        <v>#REF!</v>
      </c>
      <c r="F875" s="676"/>
      <c r="G875" s="677" t="e">
        <f>+'Estimate Details'!#REF!</f>
        <v>#REF!</v>
      </c>
      <c r="H875" s="678" t="e">
        <f>+'Estimate Details'!#REF!</f>
        <v>#REF!</v>
      </c>
      <c r="I875" s="679" t="e">
        <f>+'Estimate Details'!#REF!</f>
        <v>#REF!</v>
      </c>
      <c r="J875" s="680" t="e">
        <f>+'Estimate Details'!#REF!</f>
        <v>#REF!</v>
      </c>
      <c r="K875" s="673" t="e">
        <f>+'Estimate Details'!#REF!</f>
        <v>#REF!</v>
      </c>
      <c r="L875" s="673" t="e">
        <f>+'Estimate Details'!#REF!</f>
        <v>#REF!</v>
      </c>
      <c r="M875" s="236" t="e">
        <f>+'Estimate Details'!#REF!</f>
        <v>#REF!</v>
      </c>
      <c r="N875" s="699" t="e">
        <f>+'Estimate Details'!#REF!</f>
        <v>#REF!</v>
      </c>
      <c r="O875" s="681" t="e">
        <f>+'Estimate Details'!#REF!</f>
        <v>#REF!</v>
      </c>
      <c r="P875" s="682" t="e">
        <f>+'Estimate Details'!#REF!</f>
        <v>#REF!</v>
      </c>
      <c r="Q875" s="683" t="e">
        <f>+'Estimate Details'!#REF!</f>
        <v>#REF!</v>
      </c>
      <c r="R875" s="684" t="e">
        <f>+'Estimate Details'!#REF!</f>
        <v>#REF!</v>
      </c>
      <c r="S875" s="685"/>
      <c r="T875" s="684" t="e">
        <f>+'Estimate Details'!#REF!</f>
        <v>#REF!</v>
      </c>
      <c r="U875" s="686" t="s">
        <v>1299</v>
      </c>
      <c r="V875" s="682" t="e">
        <f>+'Estimate Details'!#REF!</f>
        <v>#REF!</v>
      </c>
      <c r="W875" s="686" t="s">
        <v>1311</v>
      </c>
      <c r="X875" s="682" t="e">
        <f>+'Estimate Details'!#REF!</f>
        <v>#REF!</v>
      </c>
      <c r="Y875" s="682" t="e">
        <f>+'Estimate Details'!#REF!</f>
        <v>#REF!</v>
      </c>
      <c r="Z875" s="684" t="e">
        <f>+'Estimate Details'!#REF!</f>
        <v>#REF!</v>
      </c>
      <c r="AA875" s="686"/>
      <c r="AB875" s="687" t="e">
        <f>+'Estimate Details'!#REF!</f>
        <v>#REF!</v>
      </c>
      <c r="AC875" s="688"/>
      <c r="AD875" s="696" t="e">
        <f>+'Estimate Details'!#REF!</f>
        <v>#REF!</v>
      </c>
      <c r="AE875" s="156"/>
      <c r="AF875" s="372"/>
      <c r="AG875" s="156"/>
      <c r="AH875" s="156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</row>
    <row r="876" spans="1:44" s="30" customFormat="1" ht="14.1" customHeight="1">
      <c r="A876" s="673" t="e">
        <f>+'Estimate Details'!#REF!</f>
        <v>#REF!</v>
      </c>
      <c r="B876" s="673"/>
      <c r="C876" s="673"/>
      <c r="D876" s="674"/>
      <c r="E876" s="675" t="e">
        <f>+'Estimate Details'!#REF!</f>
        <v>#REF!</v>
      </c>
      <c r="F876" s="676"/>
      <c r="G876" s="677" t="e">
        <f>+'Estimate Details'!#REF!</f>
        <v>#REF!</v>
      </c>
      <c r="H876" s="678" t="e">
        <f>+'Estimate Details'!#REF!</f>
        <v>#REF!</v>
      </c>
      <c r="I876" s="679" t="e">
        <f>+'Estimate Details'!#REF!</f>
        <v>#REF!</v>
      </c>
      <c r="J876" s="680" t="e">
        <f>+'Estimate Details'!#REF!</f>
        <v>#REF!</v>
      </c>
      <c r="K876" s="673" t="e">
        <f>+'Estimate Details'!#REF!</f>
        <v>#REF!</v>
      </c>
      <c r="L876" s="673" t="e">
        <f>+'Estimate Details'!#REF!</f>
        <v>#REF!</v>
      </c>
      <c r="M876" s="236" t="e">
        <f>+'Estimate Details'!#REF!</f>
        <v>#REF!</v>
      </c>
      <c r="N876" s="699" t="e">
        <f>+'Estimate Details'!#REF!</f>
        <v>#REF!</v>
      </c>
      <c r="O876" s="681" t="e">
        <f>+'Estimate Details'!#REF!</f>
        <v>#REF!</v>
      </c>
      <c r="P876" s="682" t="e">
        <f>+'Estimate Details'!#REF!</f>
        <v>#REF!</v>
      </c>
      <c r="Q876" s="683" t="e">
        <f>+'Estimate Details'!#REF!</f>
        <v>#REF!</v>
      </c>
      <c r="R876" s="684" t="e">
        <f>+'Estimate Details'!#REF!</f>
        <v>#REF!</v>
      </c>
      <c r="S876" s="685"/>
      <c r="T876" s="684" t="e">
        <f>+'Estimate Details'!#REF!</f>
        <v>#REF!</v>
      </c>
      <c r="U876" s="686" t="s">
        <v>1299</v>
      </c>
      <c r="V876" s="682" t="e">
        <f>+'Estimate Details'!#REF!</f>
        <v>#REF!</v>
      </c>
      <c r="W876" s="686" t="s">
        <v>1311</v>
      </c>
      <c r="X876" s="682" t="e">
        <f>+'Estimate Details'!#REF!</f>
        <v>#REF!</v>
      </c>
      <c r="Y876" s="682" t="e">
        <f>+'Estimate Details'!#REF!</f>
        <v>#REF!</v>
      </c>
      <c r="Z876" s="684" t="e">
        <f>+'Estimate Details'!#REF!</f>
        <v>#REF!</v>
      </c>
      <c r="AA876" s="686"/>
      <c r="AB876" s="687" t="e">
        <f>+'Estimate Details'!#REF!</f>
        <v>#REF!</v>
      </c>
      <c r="AC876" s="688"/>
      <c r="AD876" s="696" t="e">
        <f>+'Estimate Details'!#REF!</f>
        <v>#REF!</v>
      </c>
      <c r="AE876" s="156"/>
      <c r="AF876" s="372"/>
      <c r="AG876" s="156"/>
      <c r="AH876" s="156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</row>
    <row r="877" spans="1:44" s="30" customFormat="1" ht="14.1" customHeight="1">
      <c r="A877" s="673" t="e">
        <f>+'Estimate Details'!#REF!</f>
        <v>#REF!</v>
      </c>
      <c r="B877" s="673"/>
      <c r="C877" s="673"/>
      <c r="D877" s="674"/>
      <c r="E877" s="675" t="e">
        <f>+'Estimate Details'!#REF!</f>
        <v>#REF!</v>
      </c>
      <c r="F877" s="676"/>
      <c r="G877" s="677" t="e">
        <f>+'Estimate Details'!#REF!</f>
        <v>#REF!</v>
      </c>
      <c r="H877" s="678" t="e">
        <f>+'Estimate Details'!#REF!</f>
        <v>#REF!</v>
      </c>
      <c r="I877" s="679" t="e">
        <f>+'Estimate Details'!#REF!</f>
        <v>#REF!</v>
      </c>
      <c r="J877" s="680" t="e">
        <f>+'Estimate Details'!#REF!</f>
        <v>#REF!</v>
      </c>
      <c r="K877" s="673" t="e">
        <f>+'Estimate Details'!#REF!</f>
        <v>#REF!</v>
      </c>
      <c r="L877" s="673" t="e">
        <f>+'Estimate Details'!#REF!</f>
        <v>#REF!</v>
      </c>
      <c r="M877" s="236" t="e">
        <f>+'Estimate Details'!#REF!</f>
        <v>#REF!</v>
      </c>
      <c r="N877" s="699" t="e">
        <f>+'Estimate Details'!#REF!</f>
        <v>#REF!</v>
      </c>
      <c r="O877" s="681" t="e">
        <f>+'Estimate Details'!#REF!</f>
        <v>#REF!</v>
      </c>
      <c r="P877" s="682" t="e">
        <f>+'Estimate Details'!#REF!</f>
        <v>#REF!</v>
      </c>
      <c r="Q877" s="683" t="e">
        <f>+'Estimate Details'!#REF!</f>
        <v>#REF!</v>
      </c>
      <c r="R877" s="684" t="e">
        <f>+'Estimate Details'!#REF!</f>
        <v>#REF!</v>
      </c>
      <c r="S877" s="685"/>
      <c r="T877" s="684" t="e">
        <f>+'Estimate Details'!#REF!</f>
        <v>#REF!</v>
      </c>
      <c r="U877" s="686" t="s">
        <v>1299</v>
      </c>
      <c r="V877" s="682" t="e">
        <f>+'Estimate Details'!#REF!</f>
        <v>#REF!</v>
      </c>
      <c r="W877" s="686" t="s">
        <v>1311</v>
      </c>
      <c r="X877" s="682" t="e">
        <f>+'Estimate Details'!#REF!</f>
        <v>#REF!</v>
      </c>
      <c r="Y877" s="682" t="e">
        <f>+'Estimate Details'!#REF!</f>
        <v>#REF!</v>
      </c>
      <c r="Z877" s="684" t="e">
        <f>+'Estimate Details'!#REF!</f>
        <v>#REF!</v>
      </c>
      <c r="AA877" s="686"/>
      <c r="AB877" s="687" t="e">
        <f>+'Estimate Details'!#REF!</f>
        <v>#REF!</v>
      </c>
      <c r="AC877" s="688"/>
      <c r="AD877" s="696" t="e">
        <f>+'Estimate Details'!#REF!</f>
        <v>#REF!</v>
      </c>
      <c r="AE877" s="156"/>
      <c r="AF877" s="372"/>
      <c r="AG877" s="156"/>
      <c r="AH877" s="156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</row>
    <row r="878" spans="1:44" s="30" customFormat="1" ht="13.5" customHeight="1">
      <c r="A878" s="673" t="e">
        <f>+'Estimate Details'!#REF!</f>
        <v>#REF!</v>
      </c>
      <c r="B878" s="673"/>
      <c r="C878" s="673"/>
      <c r="D878" s="674"/>
      <c r="E878" s="675" t="e">
        <f>+'Estimate Details'!#REF!</f>
        <v>#REF!</v>
      </c>
      <c r="F878" s="676"/>
      <c r="G878" s="677" t="e">
        <f>+'Estimate Details'!#REF!</f>
        <v>#REF!</v>
      </c>
      <c r="H878" s="678" t="e">
        <f>+'Estimate Details'!#REF!</f>
        <v>#REF!</v>
      </c>
      <c r="I878" s="679" t="e">
        <f>+'Estimate Details'!#REF!</f>
        <v>#REF!</v>
      </c>
      <c r="J878" s="680" t="e">
        <f>+'Estimate Details'!#REF!</f>
        <v>#REF!</v>
      </c>
      <c r="K878" s="673" t="e">
        <f>+'Estimate Details'!#REF!</f>
        <v>#REF!</v>
      </c>
      <c r="L878" s="673" t="e">
        <f>+'Estimate Details'!#REF!</f>
        <v>#REF!</v>
      </c>
      <c r="M878" s="236" t="e">
        <f>+'Estimate Details'!#REF!</f>
        <v>#REF!</v>
      </c>
      <c r="N878" s="699" t="e">
        <f>+'Estimate Details'!#REF!</f>
        <v>#REF!</v>
      </c>
      <c r="O878" s="681" t="e">
        <f>+'Estimate Details'!#REF!</f>
        <v>#REF!</v>
      </c>
      <c r="P878" s="682" t="e">
        <f>+'Estimate Details'!#REF!</f>
        <v>#REF!</v>
      </c>
      <c r="Q878" s="683" t="e">
        <f>+'Estimate Details'!#REF!</f>
        <v>#REF!</v>
      </c>
      <c r="R878" s="684" t="e">
        <f>+'Estimate Details'!#REF!</f>
        <v>#REF!</v>
      </c>
      <c r="S878" s="685"/>
      <c r="T878" s="684" t="e">
        <f>+'Estimate Details'!#REF!</f>
        <v>#REF!</v>
      </c>
      <c r="U878" s="686" t="s">
        <v>1299</v>
      </c>
      <c r="V878" s="682" t="e">
        <f>+'Estimate Details'!#REF!</f>
        <v>#REF!</v>
      </c>
      <c r="W878" s="686" t="s">
        <v>1311</v>
      </c>
      <c r="X878" s="682" t="e">
        <f>+'Estimate Details'!#REF!</f>
        <v>#REF!</v>
      </c>
      <c r="Y878" s="682" t="e">
        <f>+'Estimate Details'!#REF!</f>
        <v>#REF!</v>
      </c>
      <c r="Z878" s="684" t="e">
        <f>+'Estimate Details'!#REF!</f>
        <v>#REF!</v>
      </c>
      <c r="AA878" s="686"/>
      <c r="AB878" s="687" t="e">
        <f>+'Estimate Details'!#REF!</f>
        <v>#REF!</v>
      </c>
      <c r="AC878" s="688"/>
      <c r="AD878" s="696" t="e">
        <f>+'Estimate Details'!#REF!</f>
        <v>#REF!</v>
      </c>
      <c r="AE878" s="156"/>
      <c r="AF878" s="372"/>
      <c r="AG878" s="156"/>
      <c r="AH878" s="156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</row>
    <row r="879" spans="1:44" s="30" customFormat="1" ht="14.1" customHeight="1">
      <c r="A879" s="673" t="e">
        <f>+'Estimate Details'!#REF!</f>
        <v>#REF!</v>
      </c>
      <c r="B879" s="673"/>
      <c r="C879" s="673"/>
      <c r="D879" s="674"/>
      <c r="E879" s="675" t="e">
        <f>+'Estimate Details'!#REF!</f>
        <v>#REF!</v>
      </c>
      <c r="F879" s="676"/>
      <c r="G879" s="677" t="e">
        <f>+'Estimate Details'!#REF!</f>
        <v>#REF!</v>
      </c>
      <c r="H879" s="678" t="e">
        <f>+'Estimate Details'!#REF!</f>
        <v>#REF!</v>
      </c>
      <c r="I879" s="679" t="e">
        <f>+'Estimate Details'!#REF!</f>
        <v>#REF!</v>
      </c>
      <c r="J879" s="680" t="e">
        <f>+'Estimate Details'!#REF!</f>
        <v>#REF!</v>
      </c>
      <c r="K879" s="673" t="e">
        <f>+'Estimate Details'!#REF!</f>
        <v>#REF!</v>
      </c>
      <c r="L879" s="673" t="e">
        <f>+'Estimate Details'!#REF!</f>
        <v>#REF!</v>
      </c>
      <c r="M879" s="236" t="e">
        <f>+'Estimate Details'!#REF!</f>
        <v>#REF!</v>
      </c>
      <c r="N879" s="699" t="e">
        <f>+'Estimate Details'!#REF!</f>
        <v>#REF!</v>
      </c>
      <c r="O879" s="681" t="e">
        <f>+'Estimate Details'!#REF!</f>
        <v>#REF!</v>
      </c>
      <c r="P879" s="682" t="e">
        <f>+'Estimate Details'!#REF!</f>
        <v>#REF!</v>
      </c>
      <c r="Q879" s="683" t="e">
        <f>+'Estimate Details'!#REF!</f>
        <v>#REF!</v>
      </c>
      <c r="R879" s="684" t="e">
        <f>+'Estimate Details'!#REF!</f>
        <v>#REF!</v>
      </c>
      <c r="S879" s="685"/>
      <c r="T879" s="684" t="e">
        <f>+'Estimate Details'!#REF!</f>
        <v>#REF!</v>
      </c>
      <c r="U879" s="686" t="s">
        <v>1299</v>
      </c>
      <c r="V879" s="682" t="e">
        <f>+'Estimate Details'!#REF!</f>
        <v>#REF!</v>
      </c>
      <c r="W879" s="686" t="s">
        <v>1311</v>
      </c>
      <c r="X879" s="682" t="e">
        <f>+'Estimate Details'!#REF!</f>
        <v>#REF!</v>
      </c>
      <c r="Y879" s="682" t="e">
        <f>+'Estimate Details'!#REF!</f>
        <v>#REF!</v>
      </c>
      <c r="Z879" s="684" t="e">
        <f>+'Estimate Details'!#REF!</f>
        <v>#REF!</v>
      </c>
      <c r="AA879" s="686"/>
      <c r="AB879" s="687" t="e">
        <f>+'Estimate Details'!#REF!</f>
        <v>#REF!</v>
      </c>
      <c r="AC879" s="688"/>
      <c r="AD879" s="696" t="e">
        <f>+'Estimate Details'!#REF!</f>
        <v>#REF!</v>
      </c>
      <c r="AE879" s="156"/>
      <c r="AF879" s="372"/>
      <c r="AG879" s="156"/>
      <c r="AH879" s="156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</row>
    <row r="880" spans="1:44" s="30" customFormat="1" ht="14.1" customHeight="1">
      <c r="A880" s="673" t="e">
        <f>+'Estimate Details'!#REF!</f>
        <v>#REF!</v>
      </c>
      <c r="B880" s="673"/>
      <c r="C880" s="673"/>
      <c r="D880" s="674"/>
      <c r="E880" s="675" t="e">
        <f>+'Estimate Details'!#REF!</f>
        <v>#REF!</v>
      </c>
      <c r="F880" s="676"/>
      <c r="G880" s="677" t="e">
        <f>+'Estimate Details'!#REF!</f>
        <v>#REF!</v>
      </c>
      <c r="H880" s="678" t="e">
        <f>+'Estimate Details'!#REF!</f>
        <v>#REF!</v>
      </c>
      <c r="I880" s="679" t="e">
        <f>+'Estimate Details'!#REF!</f>
        <v>#REF!</v>
      </c>
      <c r="J880" s="680" t="e">
        <f>+'Estimate Details'!#REF!</f>
        <v>#REF!</v>
      </c>
      <c r="K880" s="673" t="e">
        <f>+'Estimate Details'!#REF!</f>
        <v>#REF!</v>
      </c>
      <c r="L880" s="673" t="e">
        <f>+'Estimate Details'!#REF!</f>
        <v>#REF!</v>
      </c>
      <c r="M880" s="236" t="e">
        <f>+'Estimate Details'!#REF!</f>
        <v>#REF!</v>
      </c>
      <c r="N880" s="699" t="e">
        <f>+'Estimate Details'!#REF!</f>
        <v>#REF!</v>
      </c>
      <c r="O880" s="681" t="e">
        <f>+'Estimate Details'!#REF!</f>
        <v>#REF!</v>
      </c>
      <c r="P880" s="682" t="e">
        <f>+'Estimate Details'!#REF!</f>
        <v>#REF!</v>
      </c>
      <c r="Q880" s="683" t="e">
        <f>+'Estimate Details'!#REF!</f>
        <v>#REF!</v>
      </c>
      <c r="R880" s="684" t="e">
        <f>+'Estimate Details'!#REF!</f>
        <v>#REF!</v>
      </c>
      <c r="S880" s="685"/>
      <c r="T880" s="684" t="e">
        <f>+'Estimate Details'!#REF!</f>
        <v>#REF!</v>
      </c>
      <c r="U880" s="686" t="s">
        <v>1299</v>
      </c>
      <c r="V880" s="682" t="e">
        <f>+'Estimate Details'!#REF!</f>
        <v>#REF!</v>
      </c>
      <c r="W880" s="686" t="s">
        <v>1311</v>
      </c>
      <c r="X880" s="682" t="e">
        <f>+'Estimate Details'!#REF!</f>
        <v>#REF!</v>
      </c>
      <c r="Y880" s="682" t="e">
        <f>+'Estimate Details'!#REF!</f>
        <v>#REF!</v>
      </c>
      <c r="Z880" s="684" t="e">
        <f>+'Estimate Details'!#REF!</f>
        <v>#REF!</v>
      </c>
      <c r="AA880" s="686"/>
      <c r="AB880" s="687" t="e">
        <f>+'Estimate Details'!#REF!</f>
        <v>#REF!</v>
      </c>
      <c r="AC880" s="688"/>
      <c r="AD880" s="696" t="e">
        <f>+'Estimate Details'!#REF!</f>
        <v>#REF!</v>
      </c>
      <c r="AE880" s="156"/>
      <c r="AF880" s="372"/>
      <c r="AG880" s="156"/>
      <c r="AH880" s="156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</row>
    <row r="881" spans="1:44" s="30" customFormat="1" ht="14.1" customHeight="1">
      <c r="A881" s="673" t="e">
        <f>+'Estimate Details'!#REF!</f>
        <v>#REF!</v>
      </c>
      <c r="B881" s="673"/>
      <c r="C881" s="673"/>
      <c r="D881" s="674"/>
      <c r="E881" s="675" t="e">
        <f>+'Estimate Details'!#REF!</f>
        <v>#REF!</v>
      </c>
      <c r="F881" s="676"/>
      <c r="G881" s="677" t="e">
        <f>+'Estimate Details'!#REF!</f>
        <v>#REF!</v>
      </c>
      <c r="H881" s="678" t="e">
        <f>+'Estimate Details'!#REF!</f>
        <v>#REF!</v>
      </c>
      <c r="I881" s="679" t="e">
        <f>+'Estimate Details'!#REF!</f>
        <v>#REF!</v>
      </c>
      <c r="J881" s="680" t="e">
        <f>+'Estimate Details'!#REF!</f>
        <v>#REF!</v>
      </c>
      <c r="K881" s="673" t="e">
        <f>+'Estimate Details'!#REF!</f>
        <v>#REF!</v>
      </c>
      <c r="L881" s="673" t="e">
        <f>+'Estimate Details'!#REF!</f>
        <v>#REF!</v>
      </c>
      <c r="M881" s="236" t="e">
        <f>+'Estimate Details'!#REF!</f>
        <v>#REF!</v>
      </c>
      <c r="N881" s="699" t="e">
        <f>+'Estimate Details'!#REF!</f>
        <v>#REF!</v>
      </c>
      <c r="O881" s="681" t="e">
        <f>+'Estimate Details'!#REF!</f>
        <v>#REF!</v>
      </c>
      <c r="P881" s="682" t="e">
        <f>+'Estimate Details'!#REF!</f>
        <v>#REF!</v>
      </c>
      <c r="Q881" s="683" t="e">
        <f>+'Estimate Details'!#REF!</f>
        <v>#REF!</v>
      </c>
      <c r="R881" s="684" t="e">
        <f>+'Estimate Details'!#REF!</f>
        <v>#REF!</v>
      </c>
      <c r="S881" s="685"/>
      <c r="T881" s="684" t="e">
        <f>+'Estimate Details'!#REF!</f>
        <v>#REF!</v>
      </c>
      <c r="U881" s="686" t="s">
        <v>1299</v>
      </c>
      <c r="V881" s="682" t="e">
        <f>+'Estimate Details'!#REF!</f>
        <v>#REF!</v>
      </c>
      <c r="W881" s="686" t="s">
        <v>1311</v>
      </c>
      <c r="X881" s="682" t="e">
        <f>+'Estimate Details'!#REF!</f>
        <v>#REF!</v>
      </c>
      <c r="Y881" s="682" t="e">
        <f>+'Estimate Details'!#REF!</f>
        <v>#REF!</v>
      </c>
      <c r="Z881" s="684" t="e">
        <f>+'Estimate Details'!#REF!</f>
        <v>#REF!</v>
      </c>
      <c r="AA881" s="686"/>
      <c r="AB881" s="687" t="e">
        <f>+'Estimate Details'!#REF!</f>
        <v>#REF!</v>
      </c>
      <c r="AC881" s="688"/>
      <c r="AD881" s="696" t="e">
        <f>+'Estimate Details'!#REF!</f>
        <v>#REF!</v>
      </c>
      <c r="AE881" s="156"/>
      <c r="AF881" s="372"/>
      <c r="AG881" s="156"/>
      <c r="AH881" s="156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</row>
    <row r="882" spans="1:44" s="30" customFormat="1" ht="14.1" customHeight="1">
      <c r="A882" s="673" t="e">
        <f>+'Estimate Details'!#REF!</f>
        <v>#REF!</v>
      </c>
      <c r="B882" s="673"/>
      <c r="C882" s="673"/>
      <c r="D882" s="674"/>
      <c r="E882" s="675" t="e">
        <f>+'Estimate Details'!#REF!</f>
        <v>#REF!</v>
      </c>
      <c r="F882" s="676"/>
      <c r="G882" s="677" t="e">
        <f>+'Estimate Details'!#REF!</f>
        <v>#REF!</v>
      </c>
      <c r="H882" s="678" t="e">
        <f>+'Estimate Details'!#REF!</f>
        <v>#REF!</v>
      </c>
      <c r="I882" s="679" t="e">
        <f>+'Estimate Details'!#REF!</f>
        <v>#REF!</v>
      </c>
      <c r="J882" s="680" t="e">
        <f>+'Estimate Details'!#REF!</f>
        <v>#REF!</v>
      </c>
      <c r="K882" s="673" t="e">
        <f>+'Estimate Details'!#REF!</f>
        <v>#REF!</v>
      </c>
      <c r="L882" s="673" t="e">
        <f>+'Estimate Details'!#REF!</f>
        <v>#REF!</v>
      </c>
      <c r="M882" s="236" t="e">
        <f>+'Estimate Details'!#REF!</f>
        <v>#REF!</v>
      </c>
      <c r="N882" s="699" t="e">
        <f>+'Estimate Details'!#REF!</f>
        <v>#REF!</v>
      </c>
      <c r="O882" s="681" t="e">
        <f>+'Estimate Details'!#REF!</f>
        <v>#REF!</v>
      </c>
      <c r="P882" s="682" t="e">
        <f>+'Estimate Details'!#REF!</f>
        <v>#REF!</v>
      </c>
      <c r="Q882" s="683" t="e">
        <f>+'Estimate Details'!#REF!</f>
        <v>#REF!</v>
      </c>
      <c r="R882" s="684" t="e">
        <f>+'Estimate Details'!#REF!</f>
        <v>#REF!</v>
      </c>
      <c r="S882" s="685"/>
      <c r="T882" s="684" t="e">
        <f>+'Estimate Details'!#REF!</f>
        <v>#REF!</v>
      </c>
      <c r="U882" s="686" t="s">
        <v>1299</v>
      </c>
      <c r="V882" s="682" t="e">
        <f>+'Estimate Details'!#REF!</f>
        <v>#REF!</v>
      </c>
      <c r="W882" s="686" t="s">
        <v>1311</v>
      </c>
      <c r="X882" s="682" t="e">
        <f>+'Estimate Details'!#REF!</f>
        <v>#REF!</v>
      </c>
      <c r="Y882" s="682" t="e">
        <f>+'Estimate Details'!#REF!</f>
        <v>#REF!</v>
      </c>
      <c r="Z882" s="684" t="e">
        <f>+'Estimate Details'!#REF!</f>
        <v>#REF!</v>
      </c>
      <c r="AA882" s="686"/>
      <c r="AB882" s="687" t="e">
        <f>+'Estimate Details'!#REF!</f>
        <v>#REF!</v>
      </c>
      <c r="AC882" s="688"/>
      <c r="AD882" s="696" t="e">
        <f>+'Estimate Details'!#REF!</f>
        <v>#REF!</v>
      </c>
      <c r="AE882" s="156"/>
      <c r="AF882" s="372"/>
      <c r="AG882" s="156"/>
      <c r="AH882" s="156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</row>
    <row r="883" spans="1:44" s="30" customFormat="1" ht="14.1" customHeight="1">
      <c r="A883" s="673" t="e">
        <f>+'Estimate Details'!#REF!</f>
        <v>#REF!</v>
      </c>
      <c r="B883" s="673"/>
      <c r="C883" s="673"/>
      <c r="D883" s="674"/>
      <c r="E883" s="675" t="e">
        <f>+'Estimate Details'!#REF!</f>
        <v>#REF!</v>
      </c>
      <c r="F883" s="676"/>
      <c r="G883" s="677" t="e">
        <f>+'Estimate Details'!#REF!</f>
        <v>#REF!</v>
      </c>
      <c r="H883" s="678" t="e">
        <f>+'Estimate Details'!#REF!</f>
        <v>#REF!</v>
      </c>
      <c r="I883" s="679" t="e">
        <f>+'Estimate Details'!#REF!</f>
        <v>#REF!</v>
      </c>
      <c r="J883" s="680" t="e">
        <f>+'Estimate Details'!#REF!</f>
        <v>#REF!</v>
      </c>
      <c r="K883" s="673" t="e">
        <f>+'Estimate Details'!#REF!</f>
        <v>#REF!</v>
      </c>
      <c r="L883" s="673" t="e">
        <f>+'Estimate Details'!#REF!</f>
        <v>#REF!</v>
      </c>
      <c r="M883" s="236" t="e">
        <f>+'Estimate Details'!#REF!</f>
        <v>#REF!</v>
      </c>
      <c r="N883" s="699" t="e">
        <f>+'Estimate Details'!#REF!</f>
        <v>#REF!</v>
      </c>
      <c r="O883" s="681" t="e">
        <f>+'Estimate Details'!#REF!</f>
        <v>#REF!</v>
      </c>
      <c r="P883" s="682" t="e">
        <f>+'Estimate Details'!#REF!</f>
        <v>#REF!</v>
      </c>
      <c r="Q883" s="683" t="e">
        <f>+'Estimate Details'!#REF!</f>
        <v>#REF!</v>
      </c>
      <c r="R883" s="684" t="e">
        <f>+'Estimate Details'!#REF!</f>
        <v>#REF!</v>
      </c>
      <c r="S883" s="685"/>
      <c r="T883" s="684" t="e">
        <f>+'Estimate Details'!#REF!</f>
        <v>#REF!</v>
      </c>
      <c r="U883" s="686" t="s">
        <v>1299</v>
      </c>
      <c r="V883" s="682" t="e">
        <f>+'Estimate Details'!#REF!</f>
        <v>#REF!</v>
      </c>
      <c r="W883" s="686" t="s">
        <v>1311</v>
      </c>
      <c r="X883" s="682" t="e">
        <f>+'Estimate Details'!#REF!</f>
        <v>#REF!</v>
      </c>
      <c r="Y883" s="682" t="e">
        <f>+'Estimate Details'!#REF!</f>
        <v>#REF!</v>
      </c>
      <c r="Z883" s="684" t="e">
        <f>+'Estimate Details'!#REF!</f>
        <v>#REF!</v>
      </c>
      <c r="AA883" s="686"/>
      <c r="AB883" s="687" t="e">
        <f>+'Estimate Details'!#REF!</f>
        <v>#REF!</v>
      </c>
      <c r="AC883" s="688"/>
      <c r="AD883" s="696" t="e">
        <f>+'Estimate Details'!#REF!</f>
        <v>#REF!</v>
      </c>
      <c r="AE883" s="156"/>
      <c r="AF883" s="372"/>
      <c r="AG883" s="156"/>
      <c r="AH883" s="156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</row>
    <row r="884" spans="1:44" s="30" customFormat="1" ht="14.1" customHeight="1">
      <c r="A884" s="673" t="e">
        <f>+'Estimate Details'!#REF!</f>
        <v>#REF!</v>
      </c>
      <c r="B884" s="673"/>
      <c r="C884" s="673"/>
      <c r="D884" s="674"/>
      <c r="E884" s="675" t="e">
        <f>+'Estimate Details'!#REF!</f>
        <v>#REF!</v>
      </c>
      <c r="F884" s="676"/>
      <c r="G884" s="677" t="e">
        <f>+'Estimate Details'!#REF!</f>
        <v>#REF!</v>
      </c>
      <c r="H884" s="678" t="e">
        <f>+'Estimate Details'!#REF!</f>
        <v>#REF!</v>
      </c>
      <c r="I884" s="679" t="e">
        <f>+'Estimate Details'!#REF!</f>
        <v>#REF!</v>
      </c>
      <c r="J884" s="680" t="e">
        <f>+'Estimate Details'!#REF!</f>
        <v>#REF!</v>
      </c>
      <c r="K884" s="673" t="e">
        <f>+'Estimate Details'!#REF!</f>
        <v>#REF!</v>
      </c>
      <c r="L884" s="673" t="e">
        <f>+'Estimate Details'!#REF!</f>
        <v>#REF!</v>
      </c>
      <c r="M884" s="236" t="e">
        <f>+'Estimate Details'!#REF!</f>
        <v>#REF!</v>
      </c>
      <c r="N884" s="699" t="e">
        <f>+'Estimate Details'!#REF!</f>
        <v>#REF!</v>
      </c>
      <c r="O884" s="681" t="e">
        <f>+'Estimate Details'!#REF!</f>
        <v>#REF!</v>
      </c>
      <c r="P884" s="682" t="e">
        <f>+'Estimate Details'!#REF!</f>
        <v>#REF!</v>
      </c>
      <c r="Q884" s="683" t="e">
        <f>+'Estimate Details'!#REF!</f>
        <v>#REF!</v>
      </c>
      <c r="R884" s="684" t="e">
        <f>+'Estimate Details'!#REF!</f>
        <v>#REF!</v>
      </c>
      <c r="S884" s="685"/>
      <c r="T884" s="684" t="e">
        <f>+'Estimate Details'!#REF!</f>
        <v>#REF!</v>
      </c>
      <c r="U884" s="686" t="s">
        <v>1299</v>
      </c>
      <c r="V884" s="682" t="e">
        <f>+'Estimate Details'!#REF!</f>
        <v>#REF!</v>
      </c>
      <c r="W884" s="686" t="s">
        <v>1311</v>
      </c>
      <c r="X884" s="682" t="e">
        <f>+'Estimate Details'!#REF!</f>
        <v>#REF!</v>
      </c>
      <c r="Y884" s="682" t="e">
        <f>+'Estimate Details'!#REF!</f>
        <v>#REF!</v>
      </c>
      <c r="Z884" s="684" t="e">
        <f>+'Estimate Details'!#REF!</f>
        <v>#REF!</v>
      </c>
      <c r="AA884" s="686"/>
      <c r="AB884" s="687" t="e">
        <f>+'Estimate Details'!#REF!</f>
        <v>#REF!</v>
      </c>
      <c r="AC884" s="688"/>
      <c r="AD884" s="696" t="e">
        <f>+'Estimate Details'!#REF!</f>
        <v>#REF!</v>
      </c>
      <c r="AE884" s="156"/>
      <c r="AF884" s="372"/>
      <c r="AG884" s="156"/>
      <c r="AH884" s="156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</row>
    <row r="885" spans="1:44" s="30" customFormat="1" ht="14.1" customHeight="1">
      <c r="A885" s="673" t="e">
        <f>+'Estimate Details'!#REF!</f>
        <v>#REF!</v>
      </c>
      <c r="B885" s="673"/>
      <c r="C885" s="673"/>
      <c r="D885" s="674"/>
      <c r="E885" s="675">
        <f>+'Estimate Details'!A50</f>
        <v>39</v>
      </c>
      <c r="F885" s="676"/>
      <c r="G885" s="677" t="e">
        <f>+'Estimate Details'!#REF!</f>
        <v>#REF!</v>
      </c>
      <c r="H885" s="678" t="str">
        <f>+'Estimate Details'!D50</f>
        <v>Eqpt - 15 kV Switchgear (1 Main CB, 3 Fused Feeders)</v>
      </c>
      <c r="I885" s="679">
        <f>+'Estimate Details'!E50</f>
        <v>1</v>
      </c>
      <c r="J885" s="680" t="str">
        <f>+'Estimate Details'!F50</f>
        <v>lot</v>
      </c>
      <c r="K885" s="673" t="str">
        <f>+'Estimate Details'!G50</f>
        <v>Contr</v>
      </c>
      <c r="L885" s="673" t="str">
        <f>+'Estimate Details'!H50</f>
        <v>Contr</v>
      </c>
      <c r="M885" s="236" t="e">
        <f>+'Estimate Details'!#REF!</f>
        <v>#REF!</v>
      </c>
      <c r="N885" s="699" t="e">
        <f>+'Estimate Details'!#REF!</f>
        <v>#REF!</v>
      </c>
      <c r="O885" s="681" t="e">
        <f>+'Estimate Details'!#REF!</f>
        <v>#REF!</v>
      </c>
      <c r="P885" s="682" t="e">
        <f>+'Estimate Details'!#REF!</f>
        <v>#REF!</v>
      </c>
      <c r="Q885" s="683" t="e">
        <f>+'Estimate Details'!#REF!</f>
        <v>#REF!</v>
      </c>
      <c r="R885" s="684" t="str">
        <f>+'Estimate Details'!N50</f>
        <v>0</v>
      </c>
      <c r="S885" s="685"/>
      <c r="T885" s="684">
        <f>+'Estimate Details'!O50</f>
        <v>400000</v>
      </c>
      <c r="U885" s="686" t="s">
        <v>1299</v>
      </c>
      <c r="V885" s="682">
        <f>+'Estimate Details'!R50</f>
        <v>33629.391995972925</v>
      </c>
      <c r="W885" s="686" t="s">
        <v>1311</v>
      </c>
      <c r="X885" s="682" t="e">
        <f>+'Estimate Details'!#REF!</f>
        <v>#REF!</v>
      </c>
      <c r="Y885" s="682" t="e">
        <f>+'Estimate Details'!#REF!</f>
        <v>#REF!</v>
      </c>
      <c r="Z885" s="684" t="str">
        <f>+'Estimate Details'!U50</f>
        <v>0</v>
      </c>
      <c r="AA885" s="686"/>
      <c r="AB885" s="687">
        <f>+'Estimate Details'!V50</f>
        <v>433629.39199597295</v>
      </c>
      <c r="AC885" s="688"/>
      <c r="AD885" s="696" t="str">
        <f>+'Estimate Details'!X50</f>
        <v>HDR|CB Estimated cost</v>
      </c>
      <c r="AE885" s="156"/>
      <c r="AF885" s="372"/>
      <c r="AG885" s="156"/>
      <c r="AH885" s="156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</row>
    <row r="886" spans="1:44" s="30" customFormat="1" ht="14.1" customHeight="1">
      <c r="A886" s="673" t="e">
        <f>+'Estimate Details'!#REF!</f>
        <v>#REF!</v>
      </c>
      <c r="B886" s="673"/>
      <c r="C886" s="673"/>
      <c r="D886" s="674"/>
      <c r="E886" s="675" t="e">
        <f>+'Estimate Details'!#REF!</f>
        <v>#REF!</v>
      </c>
      <c r="F886" s="676"/>
      <c r="G886" s="677" t="e">
        <f>+'Estimate Details'!#REF!</f>
        <v>#REF!</v>
      </c>
      <c r="H886" s="678" t="e">
        <f>+'Estimate Details'!#REF!</f>
        <v>#REF!</v>
      </c>
      <c r="I886" s="679" t="e">
        <f>+'Estimate Details'!#REF!</f>
        <v>#REF!</v>
      </c>
      <c r="J886" s="680" t="e">
        <f>+'Estimate Details'!#REF!</f>
        <v>#REF!</v>
      </c>
      <c r="K886" s="673" t="e">
        <f>+'Estimate Details'!#REF!</f>
        <v>#REF!</v>
      </c>
      <c r="L886" s="673" t="e">
        <f>+'Estimate Details'!#REF!</f>
        <v>#REF!</v>
      </c>
      <c r="M886" s="236" t="e">
        <f>+'Estimate Details'!#REF!</f>
        <v>#REF!</v>
      </c>
      <c r="N886" s="699" t="e">
        <f>+'Estimate Details'!#REF!</f>
        <v>#REF!</v>
      </c>
      <c r="O886" s="681" t="e">
        <f>+'Estimate Details'!#REF!</f>
        <v>#REF!</v>
      </c>
      <c r="P886" s="682" t="e">
        <f>+'Estimate Details'!#REF!</f>
        <v>#REF!</v>
      </c>
      <c r="Q886" s="683" t="e">
        <f>+'Estimate Details'!#REF!</f>
        <v>#REF!</v>
      </c>
      <c r="R886" s="684" t="e">
        <f>+'Estimate Details'!#REF!</f>
        <v>#REF!</v>
      </c>
      <c r="S886" s="685"/>
      <c r="T886" s="684" t="e">
        <f>+'Estimate Details'!#REF!</f>
        <v>#REF!</v>
      </c>
      <c r="U886" s="686" t="s">
        <v>1299</v>
      </c>
      <c r="V886" s="682" t="e">
        <f>+'Estimate Details'!#REF!</f>
        <v>#REF!</v>
      </c>
      <c r="W886" s="686" t="s">
        <v>1311</v>
      </c>
      <c r="X886" s="682" t="e">
        <f>+'Estimate Details'!#REF!</f>
        <v>#REF!</v>
      </c>
      <c r="Y886" s="682" t="e">
        <f>+'Estimate Details'!#REF!</f>
        <v>#REF!</v>
      </c>
      <c r="Z886" s="684" t="e">
        <f>+'Estimate Details'!#REF!</f>
        <v>#REF!</v>
      </c>
      <c r="AA886" s="686"/>
      <c r="AB886" s="687" t="e">
        <f>+'Estimate Details'!#REF!</f>
        <v>#REF!</v>
      </c>
      <c r="AC886" s="688"/>
      <c r="AD886" s="696" t="e">
        <f>+'Estimate Details'!#REF!</f>
        <v>#REF!</v>
      </c>
      <c r="AE886" s="156"/>
      <c r="AF886" s="372"/>
      <c r="AG886" s="156"/>
      <c r="AH886" s="156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</row>
    <row r="887" spans="1:44" s="30" customFormat="1" ht="14.1" customHeight="1">
      <c r="A887" s="673" t="e">
        <f>+'Estimate Details'!#REF!</f>
        <v>#REF!</v>
      </c>
      <c r="B887" s="673"/>
      <c r="C887" s="673"/>
      <c r="D887" s="674"/>
      <c r="E887" s="675" t="e">
        <f>+'Estimate Details'!#REF!</f>
        <v>#REF!</v>
      </c>
      <c r="F887" s="676"/>
      <c r="G887" s="677" t="e">
        <f>+'Estimate Details'!#REF!</f>
        <v>#REF!</v>
      </c>
      <c r="H887" s="678" t="e">
        <f>+'Estimate Details'!#REF!</f>
        <v>#REF!</v>
      </c>
      <c r="I887" s="679" t="e">
        <f>+'Estimate Details'!#REF!</f>
        <v>#REF!</v>
      </c>
      <c r="J887" s="680" t="e">
        <f>+'Estimate Details'!#REF!</f>
        <v>#REF!</v>
      </c>
      <c r="K887" s="673" t="e">
        <f>+'Estimate Details'!#REF!</f>
        <v>#REF!</v>
      </c>
      <c r="L887" s="673" t="e">
        <f>+'Estimate Details'!#REF!</f>
        <v>#REF!</v>
      </c>
      <c r="M887" s="236" t="e">
        <f>+'Estimate Details'!#REF!</f>
        <v>#REF!</v>
      </c>
      <c r="N887" s="699" t="e">
        <f>+'Estimate Details'!#REF!</f>
        <v>#REF!</v>
      </c>
      <c r="O887" s="681" t="e">
        <f>+'Estimate Details'!#REF!</f>
        <v>#REF!</v>
      </c>
      <c r="P887" s="682" t="e">
        <f>+'Estimate Details'!#REF!</f>
        <v>#REF!</v>
      </c>
      <c r="Q887" s="683" t="e">
        <f>+'Estimate Details'!#REF!</f>
        <v>#REF!</v>
      </c>
      <c r="R887" s="684" t="e">
        <f>+'Estimate Details'!#REF!</f>
        <v>#REF!</v>
      </c>
      <c r="S887" s="685"/>
      <c r="T887" s="684" t="e">
        <f>+'Estimate Details'!#REF!</f>
        <v>#REF!</v>
      </c>
      <c r="U887" s="686" t="s">
        <v>1299</v>
      </c>
      <c r="V887" s="682" t="e">
        <f>+'Estimate Details'!#REF!</f>
        <v>#REF!</v>
      </c>
      <c r="W887" s="686" t="s">
        <v>1311</v>
      </c>
      <c r="X887" s="682" t="e">
        <f>+'Estimate Details'!#REF!</f>
        <v>#REF!</v>
      </c>
      <c r="Y887" s="682" t="e">
        <f>+'Estimate Details'!#REF!</f>
        <v>#REF!</v>
      </c>
      <c r="Z887" s="684" t="e">
        <f>+'Estimate Details'!#REF!</f>
        <v>#REF!</v>
      </c>
      <c r="AA887" s="686"/>
      <c r="AB887" s="687" t="e">
        <f>+'Estimate Details'!#REF!</f>
        <v>#REF!</v>
      </c>
      <c r="AC887" s="688"/>
      <c r="AD887" s="696" t="e">
        <f>+'Estimate Details'!#REF!</f>
        <v>#REF!</v>
      </c>
      <c r="AE887" s="156"/>
      <c r="AF887" s="372"/>
      <c r="AG887" s="156"/>
      <c r="AH887" s="156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</row>
    <row r="888" spans="1:44" s="30" customFormat="1" ht="13.5" customHeight="1">
      <c r="A888" s="673" t="e">
        <f>+'Estimate Details'!#REF!</f>
        <v>#REF!</v>
      </c>
      <c r="B888" s="673"/>
      <c r="C888" s="673"/>
      <c r="D888" s="674"/>
      <c r="E888" s="675" t="e">
        <f>+'Estimate Details'!#REF!</f>
        <v>#REF!</v>
      </c>
      <c r="F888" s="676"/>
      <c r="G888" s="677" t="e">
        <f>+'Estimate Details'!#REF!</f>
        <v>#REF!</v>
      </c>
      <c r="H888" s="678" t="e">
        <f>+'Estimate Details'!#REF!</f>
        <v>#REF!</v>
      </c>
      <c r="I888" s="679" t="e">
        <f>+'Estimate Details'!#REF!</f>
        <v>#REF!</v>
      </c>
      <c r="J888" s="680" t="e">
        <f>+'Estimate Details'!#REF!</f>
        <v>#REF!</v>
      </c>
      <c r="K888" s="673" t="e">
        <f>+'Estimate Details'!#REF!</f>
        <v>#REF!</v>
      </c>
      <c r="L888" s="673" t="e">
        <f>+'Estimate Details'!#REF!</f>
        <v>#REF!</v>
      </c>
      <c r="M888" s="236" t="e">
        <f>+'Estimate Details'!#REF!</f>
        <v>#REF!</v>
      </c>
      <c r="N888" s="699" t="e">
        <f>+'Estimate Details'!#REF!</f>
        <v>#REF!</v>
      </c>
      <c r="O888" s="681" t="e">
        <f>+'Estimate Details'!#REF!</f>
        <v>#REF!</v>
      </c>
      <c r="P888" s="682" t="e">
        <f>+'Estimate Details'!#REF!</f>
        <v>#REF!</v>
      </c>
      <c r="Q888" s="683" t="e">
        <f>+'Estimate Details'!#REF!</f>
        <v>#REF!</v>
      </c>
      <c r="R888" s="684" t="e">
        <f>+'Estimate Details'!#REF!</f>
        <v>#REF!</v>
      </c>
      <c r="S888" s="685"/>
      <c r="T888" s="684" t="e">
        <f>+'Estimate Details'!#REF!</f>
        <v>#REF!</v>
      </c>
      <c r="U888" s="686" t="s">
        <v>1299</v>
      </c>
      <c r="V888" s="682" t="e">
        <f>+'Estimate Details'!#REF!</f>
        <v>#REF!</v>
      </c>
      <c r="W888" s="686" t="s">
        <v>1311</v>
      </c>
      <c r="X888" s="682" t="e">
        <f>+'Estimate Details'!#REF!</f>
        <v>#REF!</v>
      </c>
      <c r="Y888" s="682" t="e">
        <f>+'Estimate Details'!#REF!</f>
        <v>#REF!</v>
      </c>
      <c r="Z888" s="684" t="e">
        <f>+'Estimate Details'!#REF!</f>
        <v>#REF!</v>
      </c>
      <c r="AA888" s="686"/>
      <c r="AB888" s="687" t="e">
        <f>+'Estimate Details'!#REF!</f>
        <v>#REF!</v>
      </c>
      <c r="AC888" s="688"/>
      <c r="AD888" s="696" t="e">
        <f>+'Estimate Details'!#REF!</f>
        <v>#REF!</v>
      </c>
      <c r="AE888" s="156"/>
      <c r="AF888" s="372"/>
      <c r="AG888" s="156"/>
      <c r="AH888" s="156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</row>
    <row r="889" spans="1:44" s="30" customFormat="1" ht="14.1" customHeight="1">
      <c r="A889" s="673" t="e">
        <f>+'Estimate Details'!#REF!</f>
        <v>#REF!</v>
      </c>
      <c r="B889" s="673"/>
      <c r="C889" s="673"/>
      <c r="D889" s="674"/>
      <c r="E889" s="675" t="e">
        <f>+'Estimate Details'!#REF!</f>
        <v>#REF!</v>
      </c>
      <c r="F889" s="676"/>
      <c r="G889" s="677" t="e">
        <f>+'Estimate Details'!#REF!</f>
        <v>#REF!</v>
      </c>
      <c r="H889" s="678" t="e">
        <f>+'Estimate Details'!#REF!</f>
        <v>#REF!</v>
      </c>
      <c r="I889" s="679" t="e">
        <f>+'Estimate Details'!#REF!</f>
        <v>#REF!</v>
      </c>
      <c r="J889" s="680" t="e">
        <f>+'Estimate Details'!#REF!</f>
        <v>#REF!</v>
      </c>
      <c r="K889" s="673" t="e">
        <f>+'Estimate Details'!#REF!</f>
        <v>#REF!</v>
      </c>
      <c r="L889" s="673" t="e">
        <f>+'Estimate Details'!#REF!</f>
        <v>#REF!</v>
      </c>
      <c r="M889" s="236" t="e">
        <f>+'Estimate Details'!#REF!</f>
        <v>#REF!</v>
      </c>
      <c r="N889" s="699" t="e">
        <f>+'Estimate Details'!#REF!</f>
        <v>#REF!</v>
      </c>
      <c r="O889" s="681" t="e">
        <f>+'Estimate Details'!#REF!</f>
        <v>#REF!</v>
      </c>
      <c r="P889" s="682" t="e">
        <f>+'Estimate Details'!#REF!</f>
        <v>#REF!</v>
      </c>
      <c r="Q889" s="683" t="e">
        <f>+'Estimate Details'!#REF!</f>
        <v>#REF!</v>
      </c>
      <c r="R889" s="684" t="e">
        <f>+'Estimate Details'!#REF!</f>
        <v>#REF!</v>
      </c>
      <c r="S889" s="685"/>
      <c r="T889" s="684" t="e">
        <f>+'Estimate Details'!#REF!</f>
        <v>#REF!</v>
      </c>
      <c r="U889" s="686" t="s">
        <v>1299</v>
      </c>
      <c r="V889" s="682" t="e">
        <f>+'Estimate Details'!#REF!</f>
        <v>#REF!</v>
      </c>
      <c r="W889" s="686" t="s">
        <v>1311</v>
      </c>
      <c r="X889" s="682" t="e">
        <f>+'Estimate Details'!#REF!</f>
        <v>#REF!</v>
      </c>
      <c r="Y889" s="682" t="e">
        <f>+'Estimate Details'!#REF!</f>
        <v>#REF!</v>
      </c>
      <c r="Z889" s="684" t="e">
        <f>+'Estimate Details'!#REF!</f>
        <v>#REF!</v>
      </c>
      <c r="AA889" s="686"/>
      <c r="AB889" s="687" t="e">
        <f>+'Estimate Details'!#REF!</f>
        <v>#REF!</v>
      </c>
      <c r="AC889" s="688"/>
      <c r="AD889" s="696" t="e">
        <f>+'Estimate Details'!#REF!</f>
        <v>#REF!</v>
      </c>
      <c r="AE889" s="156"/>
      <c r="AF889" s="372"/>
      <c r="AG889" s="156"/>
      <c r="AH889" s="156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</row>
    <row r="890" spans="1:44" s="30" customFormat="1" ht="14.1" customHeight="1">
      <c r="A890" s="673" t="e">
        <f>+'Estimate Details'!#REF!</f>
        <v>#REF!</v>
      </c>
      <c r="B890" s="673"/>
      <c r="C890" s="673"/>
      <c r="D890" s="674"/>
      <c r="E890" s="675" t="e">
        <f>+'Estimate Details'!#REF!</f>
        <v>#REF!</v>
      </c>
      <c r="F890" s="676"/>
      <c r="G890" s="677" t="e">
        <f>+'Estimate Details'!#REF!</f>
        <v>#REF!</v>
      </c>
      <c r="H890" s="678" t="e">
        <f>+'Estimate Details'!#REF!</f>
        <v>#REF!</v>
      </c>
      <c r="I890" s="679" t="e">
        <f>+'Estimate Details'!#REF!</f>
        <v>#REF!</v>
      </c>
      <c r="J890" s="680" t="e">
        <f>+'Estimate Details'!#REF!</f>
        <v>#REF!</v>
      </c>
      <c r="K890" s="673" t="e">
        <f>+'Estimate Details'!#REF!</f>
        <v>#REF!</v>
      </c>
      <c r="L890" s="673" t="e">
        <f>+'Estimate Details'!#REF!</f>
        <v>#REF!</v>
      </c>
      <c r="M890" s="236" t="e">
        <f>+'Estimate Details'!#REF!</f>
        <v>#REF!</v>
      </c>
      <c r="N890" s="699" t="e">
        <f>+'Estimate Details'!#REF!</f>
        <v>#REF!</v>
      </c>
      <c r="O890" s="681" t="e">
        <f>+'Estimate Details'!#REF!</f>
        <v>#REF!</v>
      </c>
      <c r="P890" s="682" t="e">
        <f>+'Estimate Details'!#REF!</f>
        <v>#REF!</v>
      </c>
      <c r="Q890" s="683" t="e">
        <f>+'Estimate Details'!#REF!</f>
        <v>#REF!</v>
      </c>
      <c r="R890" s="684" t="e">
        <f>+'Estimate Details'!#REF!</f>
        <v>#REF!</v>
      </c>
      <c r="S890" s="685"/>
      <c r="T890" s="684" t="e">
        <f>+'Estimate Details'!#REF!</f>
        <v>#REF!</v>
      </c>
      <c r="U890" s="686" t="s">
        <v>1299</v>
      </c>
      <c r="V890" s="682" t="e">
        <f>+'Estimate Details'!#REF!</f>
        <v>#REF!</v>
      </c>
      <c r="W890" s="686" t="s">
        <v>1311</v>
      </c>
      <c r="X890" s="682" t="e">
        <f>+'Estimate Details'!#REF!</f>
        <v>#REF!</v>
      </c>
      <c r="Y890" s="682" t="e">
        <f>+'Estimate Details'!#REF!</f>
        <v>#REF!</v>
      </c>
      <c r="Z890" s="684" t="e">
        <f>+'Estimate Details'!#REF!</f>
        <v>#REF!</v>
      </c>
      <c r="AA890" s="686"/>
      <c r="AB890" s="687" t="e">
        <f>+'Estimate Details'!#REF!</f>
        <v>#REF!</v>
      </c>
      <c r="AC890" s="688"/>
      <c r="AD890" s="696" t="e">
        <f>+'Estimate Details'!#REF!</f>
        <v>#REF!</v>
      </c>
      <c r="AE890" s="156"/>
      <c r="AF890" s="372"/>
      <c r="AG890" s="156"/>
      <c r="AH890" s="156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</row>
    <row r="891" spans="1:44" s="30" customFormat="1" ht="14.1" customHeight="1">
      <c r="A891" s="673" t="e">
        <f>+'Estimate Details'!#REF!</f>
        <v>#REF!</v>
      </c>
      <c r="B891" s="673"/>
      <c r="C891" s="673"/>
      <c r="D891" s="674"/>
      <c r="E891" s="675" t="e">
        <f>+'Estimate Details'!#REF!</f>
        <v>#REF!</v>
      </c>
      <c r="F891" s="676"/>
      <c r="G891" s="677" t="e">
        <f>+'Estimate Details'!#REF!</f>
        <v>#REF!</v>
      </c>
      <c r="H891" s="678" t="e">
        <f>+'Estimate Details'!#REF!</f>
        <v>#REF!</v>
      </c>
      <c r="I891" s="679" t="e">
        <f>+'Estimate Details'!#REF!</f>
        <v>#REF!</v>
      </c>
      <c r="J891" s="680" t="e">
        <f>+'Estimate Details'!#REF!</f>
        <v>#REF!</v>
      </c>
      <c r="K891" s="673" t="e">
        <f>+'Estimate Details'!#REF!</f>
        <v>#REF!</v>
      </c>
      <c r="L891" s="673" t="e">
        <f>+'Estimate Details'!#REF!</f>
        <v>#REF!</v>
      </c>
      <c r="M891" s="236" t="e">
        <f>+'Estimate Details'!#REF!</f>
        <v>#REF!</v>
      </c>
      <c r="N891" s="699" t="e">
        <f>+'Estimate Details'!#REF!</f>
        <v>#REF!</v>
      </c>
      <c r="O891" s="681" t="e">
        <f>+'Estimate Details'!#REF!</f>
        <v>#REF!</v>
      </c>
      <c r="P891" s="682" t="e">
        <f>+'Estimate Details'!#REF!</f>
        <v>#REF!</v>
      </c>
      <c r="Q891" s="683" t="e">
        <f>+'Estimate Details'!#REF!</f>
        <v>#REF!</v>
      </c>
      <c r="R891" s="684" t="e">
        <f>+'Estimate Details'!#REF!</f>
        <v>#REF!</v>
      </c>
      <c r="S891" s="685"/>
      <c r="T891" s="684" t="e">
        <f>+'Estimate Details'!#REF!</f>
        <v>#REF!</v>
      </c>
      <c r="U891" s="686" t="s">
        <v>1299</v>
      </c>
      <c r="V891" s="682" t="e">
        <f>+'Estimate Details'!#REF!</f>
        <v>#REF!</v>
      </c>
      <c r="W891" s="686" t="s">
        <v>1311</v>
      </c>
      <c r="X891" s="682" t="e">
        <f>+'Estimate Details'!#REF!</f>
        <v>#REF!</v>
      </c>
      <c r="Y891" s="682" t="e">
        <f>+'Estimate Details'!#REF!</f>
        <v>#REF!</v>
      </c>
      <c r="Z891" s="684" t="e">
        <f>+'Estimate Details'!#REF!</f>
        <v>#REF!</v>
      </c>
      <c r="AA891" s="686"/>
      <c r="AB891" s="687" t="e">
        <f>+'Estimate Details'!#REF!</f>
        <v>#REF!</v>
      </c>
      <c r="AC891" s="688"/>
      <c r="AD891" s="696" t="e">
        <f>+'Estimate Details'!#REF!</f>
        <v>#REF!</v>
      </c>
      <c r="AE891" s="156"/>
      <c r="AF891" s="372"/>
      <c r="AG891" s="156"/>
      <c r="AH891" s="156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</row>
    <row r="892" spans="1:44" s="30" customFormat="1" ht="14.1" customHeight="1">
      <c r="A892" s="673" t="e">
        <f>+'Estimate Details'!#REF!</f>
        <v>#REF!</v>
      </c>
      <c r="B892" s="673"/>
      <c r="C892" s="673"/>
      <c r="D892" s="674"/>
      <c r="E892" s="675" t="e">
        <f>+'Estimate Details'!#REF!</f>
        <v>#REF!</v>
      </c>
      <c r="F892" s="676"/>
      <c r="G892" s="677" t="e">
        <f>+'Estimate Details'!#REF!</f>
        <v>#REF!</v>
      </c>
      <c r="H892" s="678" t="e">
        <f>+'Estimate Details'!#REF!</f>
        <v>#REF!</v>
      </c>
      <c r="I892" s="679" t="e">
        <f>+'Estimate Details'!#REF!</f>
        <v>#REF!</v>
      </c>
      <c r="J892" s="680" t="e">
        <f>+'Estimate Details'!#REF!</f>
        <v>#REF!</v>
      </c>
      <c r="K892" s="673" t="e">
        <f>+'Estimate Details'!#REF!</f>
        <v>#REF!</v>
      </c>
      <c r="L892" s="673" t="e">
        <f>+'Estimate Details'!#REF!</f>
        <v>#REF!</v>
      </c>
      <c r="M892" s="236" t="e">
        <f>+'Estimate Details'!#REF!</f>
        <v>#REF!</v>
      </c>
      <c r="N892" s="699" t="e">
        <f>+'Estimate Details'!#REF!</f>
        <v>#REF!</v>
      </c>
      <c r="O892" s="681" t="e">
        <f>+'Estimate Details'!#REF!</f>
        <v>#REF!</v>
      </c>
      <c r="P892" s="682" t="e">
        <f>+'Estimate Details'!#REF!</f>
        <v>#REF!</v>
      </c>
      <c r="Q892" s="683" t="e">
        <f>+'Estimate Details'!#REF!</f>
        <v>#REF!</v>
      </c>
      <c r="R892" s="684" t="e">
        <f>+'Estimate Details'!#REF!</f>
        <v>#REF!</v>
      </c>
      <c r="S892" s="685"/>
      <c r="T892" s="684" t="e">
        <f>+'Estimate Details'!#REF!</f>
        <v>#REF!</v>
      </c>
      <c r="U892" s="686" t="s">
        <v>1299</v>
      </c>
      <c r="V892" s="682" t="e">
        <f>+'Estimate Details'!#REF!</f>
        <v>#REF!</v>
      </c>
      <c r="W892" s="686" t="s">
        <v>1311</v>
      </c>
      <c r="X892" s="682" t="e">
        <f>+'Estimate Details'!#REF!</f>
        <v>#REF!</v>
      </c>
      <c r="Y892" s="682" t="e">
        <f>+'Estimate Details'!#REF!</f>
        <v>#REF!</v>
      </c>
      <c r="Z892" s="684" t="e">
        <f>+'Estimate Details'!#REF!</f>
        <v>#REF!</v>
      </c>
      <c r="AA892" s="686"/>
      <c r="AB892" s="687" t="e">
        <f>+'Estimate Details'!#REF!</f>
        <v>#REF!</v>
      </c>
      <c r="AC892" s="688"/>
      <c r="AD892" s="696" t="e">
        <f>+'Estimate Details'!#REF!</f>
        <v>#REF!</v>
      </c>
      <c r="AE892" s="156"/>
      <c r="AF892" s="372"/>
      <c r="AG892" s="156"/>
      <c r="AH892" s="156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</row>
    <row r="893" spans="1:44" s="701" customFormat="1" ht="14.1" customHeight="1">
      <c r="A893" s="673" t="e">
        <f>+'Estimate Details'!#REF!</f>
        <v>#REF!</v>
      </c>
      <c r="B893" s="673"/>
      <c r="C893" s="673"/>
      <c r="D893" s="674"/>
      <c r="E893" s="675">
        <f>+'Estimate Details'!A54</f>
        <v>43</v>
      </c>
      <c r="F893" s="676"/>
      <c r="G893" s="677" t="e">
        <f>+'Estimate Details'!#REF!</f>
        <v>#REF!</v>
      </c>
      <c r="H893" s="678" t="str">
        <f>+'Estimate Details'!D54</f>
        <v>Grounding - Buried Ground Conductor</v>
      </c>
      <c r="I893" s="679">
        <f>+'Estimate Details'!E54</f>
        <v>2400</v>
      </c>
      <c r="J893" s="680" t="str">
        <f>+'Estimate Details'!F54</f>
        <v>lf</v>
      </c>
      <c r="K893" s="673" t="str">
        <f>+'Estimate Details'!G54</f>
        <v>Contr</v>
      </c>
      <c r="L893" s="673" t="str">
        <f>+'Estimate Details'!H54</f>
        <v>Contr</v>
      </c>
      <c r="M893" s="236" t="e">
        <f>+'Estimate Details'!#REF!</f>
        <v>#REF!</v>
      </c>
      <c r="N893" s="699" t="e">
        <f>+'Estimate Details'!#REF!</f>
        <v>#REF!</v>
      </c>
      <c r="O893" s="681" t="e">
        <f>+'Estimate Details'!#REF!</f>
        <v>#REF!</v>
      </c>
      <c r="P893" s="682" t="e">
        <f>+'Estimate Details'!#REF!</f>
        <v>#REF!</v>
      </c>
      <c r="Q893" s="683" t="e">
        <f>+'Estimate Details'!#REF!</f>
        <v>#REF!</v>
      </c>
      <c r="R893" s="684" t="str">
        <f>+'Estimate Details'!N54</f>
        <v>0</v>
      </c>
      <c r="S893" s="685"/>
      <c r="T893" s="684">
        <f>+'Estimate Details'!O54</f>
        <v>11496</v>
      </c>
      <c r="U893" s="686" t="s">
        <v>1311</v>
      </c>
      <c r="V893" s="682">
        <f>+'Estimate Details'!R54</f>
        <v>6863.5735475245519</v>
      </c>
      <c r="W893" s="686" t="s">
        <v>1311</v>
      </c>
      <c r="X893" s="682" t="e">
        <f>+'Estimate Details'!#REF!</f>
        <v>#REF!</v>
      </c>
      <c r="Y893" s="682" t="e">
        <f>+'Estimate Details'!#REF!</f>
        <v>#REF!</v>
      </c>
      <c r="Z893" s="684" t="str">
        <f>+'Estimate Details'!U54</f>
        <v>0</v>
      </c>
      <c r="AA893" s="686"/>
      <c r="AB893" s="687">
        <f>+'Estimate Details'!V54</f>
        <v>18359.573547524553</v>
      </c>
      <c r="AC893" s="688"/>
      <c r="AD893" s="696" t="str">
        <f>+'Estimate Details'!X54</f>
        <v>HDR|CB Estimated Quantity &amp; Cost</v>
      </c>
      <c r="AE893" s="689"/>
      <c r="AF893" s="374"/>
      <c r="AG893" s="689"/>
      <c r="AH893" s="689"/>
      <c r="AI893" s="690"/>
      <c r="AJ893" s="690"/>
      <c r="AK893" s="690"/>
      <c r="AL893" s="690"/>
      <c r="AM893" s="690"/>
      <c r="AN893" s="690"/>
      <c r="AO893" s="690"/>
      <c r="AP893" s="690"/>
      <c r="AQ893" s="690"/>
      <c r="AR893" s="690"/>
    </row>
    <row r="894" spans="1:44" s="30" customFormat="1" ht="14.1" customHeight="1">
      <c r="A894" s="673" t="e">
        <f>+'Estimate Details'!#REF!</f>
        <v>#REF!</v>
      </c>
      <c r="B894" s="673"/>
      <c r="C894" s="673"/>
      <c r="D894" s="674"/>
      <c r="E894" s="675" t="e">
        <f>+'Estimate Details'!#REF!</f>
        <v>#REF!</v>
      </c>
      <c r="F894" s="676"/>
      <c r="G894" s="677" t="e">
        <f>+'Estimate Details'!#REF!</f>
        <v>#REF!</v>
      </c>
      <c r="H894" s="678" t="e">
        <f>+'Estimate Details'!#REF!</f>
        <v>#REF!</v>
      </c>
      <c r="I894" s="679" t="e">
        <f>+'Estimate Details'!#REF!</f>
        <v>#REF!</v>
      </c>
      <c r="J894" s="680" t="e">
        <f>+'Estimate Details'!#REF!</f>
        <v>#REF!</v>
      </c>
      <c r="K894" s="673" t="e">
        <f>+'Estimate Details'!#REF!</f>
        <v>#REF!</v>
      </c>
      <c r="L894" s="673" t="e">
        <f>+'Estimate Details'!#REF!</f>
        <v>#REF!</v>
      </c>
      <c r="M894" s="236" t="e">
        <f>+'Estimate Details'!#REF!</f>
        <v>#REF!</v>
      </c>
      <c r="N894" s="699" t="e">
        <f>+'Estimate Details'!#REF!</f>
        <v>#REF!</v>
      </c>
      <c r="O894" s="681" t="e">
        <f>+'Estimate Details'!#REF!</f>
        <v>#REF!</v>
      </c>
      <c r="P894" s="682" t="e">
        <f>+'Estimate Details'!#REF!</f>
        <v>#REF!</v>
      </c>
      <c r="Q894" s="683" t="e">
        <f>+'Estimate Details'!#REF!</f>
        <v>#REF!</v>
      </c>
      <c r="R894" s="684" t="e">
        <f>+'Estimate Details'!#REF!</f>
        <v>#REF!</v>
      </c>
      <c r="S894" s="685"/>
      <c r="T894" s="684" t="e">
        <f>+'Estimate Details'!#REF!</f>
        <v>#REF!</v>
      </c>
      <c r="U894" s="686" t="s">
        <v>1311</v>
      </c>
      <c r="V894" s="682" t="e">
        <f>+'Estimate Details'!#REF!</f>
        <v>#REF!</v>
      </c>
      <c r="W894" s="686" t="s">
        <v>1311</v>
      </c>
      <c r="X894" s="682" t="e">
        <f>+'Estimate Details'!#REF!</f>
        <v>#REF!</v>
      </c>
      <c r="Y894" s="682" t="e">
        <f>+'Estimate Details'!#REF!</f>
        <v>#REF!</v>
      </c>
      <c r="Z894" s="684" t="e">
        <f>+'Estimate Details'!#REF!</f>
        <v>#REF!</v>
      </c>
      <c r="AA894" s="686"/>
      <c r="AB894" s="687" t="e">
        <f>+'Estimate Details'!#REF!</f>
        <v>#REF!</v>
      </c>
      <c r="AC894" s="688"/>
      <c r="AD894" s="696" t="e">
        <f>+'Estimate Details'!#REF!</f>
        <v>#REF!</v>
      </c>
      <c r="AE894" s="156"/>
      <c r="AF894" s="372"/>
      <c r="AG894" s="156"/>
      <c r="AH894" s="156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</row>
    <row r="895" spans="1:44" s="30" customFormat="1" ht="14.1" customHeight="1">
      <c r="A895" s="673" t="e">
        <f>+'Estimate Details'!#REF!</f>
        <v>#REF!</v>
      </c>
      <c r="B895" s="673"/>
      <c r="C895" s="673"/>
      <c r="D895" s="674"/>
      <c r="E895" s="675">
        <f>+'Estimate Details'!A55</f>
        <v>44</v>
      </c>
      <c r="F895" s="676"/>
      <c r="G895" s="677" t="e">
        <f>+'Estimate Details'!#REF!</f>
        <v>#REF!</v>
      </c>
      <c r="H895" s="678" t="str">
        <f>+'Estimate Details'!D55</f>
        <v>Grounding - Ground Rods Copper</v>
      </c>
      <c r="I895" s="679">
        <f>+'Estimate Details'!E55</f>
        <v>40</v>
      </c>
      <c r="J895" s="680" t="str">
        <f>+'Estimate Details'!F55</f>
        <v>ea</v>
      </c>
      <c r="K895" s="673" t="str">
        <f>+'Estimate Details'!G55</f>
        <v>Contr</v>
      </c>
      <c r="L895" s="673" t="str">
        <f>+'Estimate Details'!H55</f>
        <v>Contr</v>
      </c>
      <c r="M895" s="236" t="e">
        <f>+'Estimate Details'!#REF!</f>
        <v>#REF!</v>
      </c>
      <c r="N895" s="699" t="e">
        <f>+'Estimate Details'!#REF!</f>
        <v>#REF!</v>
      </c>
      <c r="O895" s="681" t="e">
        <f>+'Estimate Details'!#REF!</f>
        <v>#REF!</v>
      </c>
      <c r="P895" s="682" t="e">
        <f>+'Estimate Details'!#REF!</f>
        <v>#REF!</v>
      </c>
      <c r="Q895" s="683" t="e">
        <f>+'Estimate Details'!#REF!</f>
        <v>#REF!</v>
      </c>
      <c r="R895" s="684" t="str">
        <f>+'Estimate Details'!N55</f>
        <v>0</v>
      </c>
      <c r="S895" s="685"/>
      <c r="T895" s="684">
        <f>+'Estimate Details'!O55</f>
        <v>918.16000000000008</v>
      </c>
      <c r="U895" s="686" t="s">
        <v>1311</v>
      </c>
      <c r="V895" s="682">
        <f>+'Estimate Details'!R55</f>
        <v>3685.9932014483702</v>
      </c>
      <c r="W895" s="686" t="s">
        <v>1311</v>
      </c>
      <c r="X895" s="682" t="e">
        <f>+'Estimate Details'!#REF!</f>
        <v>#REF!</v>
      </c>
      <c r="Y895" s="682" t="e">
        <f>+'Estimate Details'!#REF!</f>
        <v>#REF!</v>
      </c>
      <c r="Z895" s="684" t="str">
        <f>+'Estimate Details'!U55</f>
        <v>0</v>
      </c>
      <c r="AA895" s="686"/>
      <c r="AB895" s="687">
        <f>+'Estimate Details'!V55</f>
        <v>4604.1532014483701</v>
      </c>
      <c r="AC895" s="688"/>
      <c r="AD895" s="696" t="str">
        <f>+'Estimate Details'!X55</f>
        <v>HDR|CB Estimated Quantity &amp; Cost</v>
      </c>
      <c r="AE895" s="156"/>
      <c r="AF895" s="372"/>
      <c r="AG895" s="156"/>
      <c r="AH895" s="156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</row>
    <row r="896" spans="1:44" s="30" customFormat="1" ht="14.1" customHeight="1">
      <c r="A896" s="673" t="e">
        <f>+'Estimate Details'!#REF!</f>
        <v>#REF!</v>
      </c>
      <c r="B896" s="673"/>
      <c r="C896" s="673"/>
      <c r="D896" s="674"/>
      <c r="E896" s="675">
        <f>+'Estimate Details'!A56</f>
        <v>45</v>
      </c>
      <c r="F896" s="676"/>
      <c r="G896" s="677" t="e">
        <f>+'Estimate Details'!#REF!</f>
        <v>#REF!</v>
      </c>
      <c r="H896" s="678" t="str">
        <f>+'Estimate Details'!D56</f>
        <v>Grounding - Exothermic Connections</v>
      </c>
      <c r="I896" s="679">
        <f>+'Estimate Details'!E56</f>
        <v>160</v>
      </c>
      <c r="J896" s="680" t="str">
        <f>+'Estimate Details'!F56</f>
        <v>ea</v>
      </c>
      <c r="K896" s="673" t="str">
        <f>+'Estimate Details'!G56</f>
        <v>Contr</v>
      </c>
      <c r="L896" s="673" t="str">
        <f>+'Estimate Details'!H56</f>
        <v>Contr</v>
      </c>
      <c r="M896" s="236" t="e">
        <f>+'Estimate Details'!#REF!</f>
        <v>#REF!</v>
      </c>
      <c r="N896" s="699" t="e">
        <f>+'Estimate Details'!#REF!</f>
        <v>#REF!</v>
      </c>
      <c r="O896" s="681" t="e">
        <f>+'Estimate Details'!#REF!</f>
        <v>#REF!</v>
      </c>
      <c r="P896" s="682" t="e">
        <f>+'Estimate Details'!#REF!</f>
        <v>#REF!</v>
      </c>
      <c r="Q896" s="683" t="e">
        <f>+'Estimate Details'!#REF!</f>
        <v>#REF!</v>
      </c>
      <c r="R896" s="684" t="str">
        <f>+'Estimate Details'!N56</f>
        <v>0</v>
      </c>
      <c r="S896" s="685"/>
      <c r="T896" s="684">
        <f>+'Estimate Details'!O56</f>
        <v>1560</v>
      </c>
      <c r="U896" s="686" t="s">
        <v>1311</v>
      </c>
      <c r="V896" s="682">
        <f>+'Estimate Details'!R56</f>
        <v>9659.8442520715907</v>
      </c>
      <c r="W896" s="686" t="s">
        <v>1311</v>
      </c>
      <c r="X896" s="682" t="e">
        <f>+'Estimate Details'!#REF!</f>
        <v>#REF!</v>
      </c>
      <c r="Y896" s="682" t="e">
        <f>+'Estimate Details'!#REF!</f>
        <v>#REF!</v>
      </c>
      <c r="Z896" s="684" t="str">
        <f>+'Estimate Details'!U56</f>
        <v>0</v>
      </c>
      <c r="AA896" s="686"/>
      <c r="AB896" s="687">
        <f>+'Estimate Details'!V56</f>
        <v>11219.844252071591</v>
      </c>
      <c r="AC896" s="688"/>
      <c r="AD896" s="696" t="str">
        <f>+'Estimate Details'!X56</f>
        <v>HDR|CB Estimated Quantity &amp; Cost</v>
      </c>
      <c r="AE896" s="156"/>
      <c r="AF896" s="372"/>
      <c r="AG896" s="156"/>
      <c r="AH896" s="156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</row>
    <row r="897" spans="1:44" s="30" customFormat="1" ht="13.5" customHeight="1">
      <c r="A897" s="673" t="e">
        <f>+'Estimate Details'!#REF!</f>
        <v>#REF!</v>
      </c>
      <c r="B897" s="673"/>
      <c r="C897" s="673"/>
      <c r="D897" s="674"/>
      <c r="E897" s="675" t="e">
        <f>+'Estimate Details'!#REF!</f>
        <v>#REF!</v>
      </c>
      <c r="F897" s="676"/>
      <c r="G897" s="677" t="e">
        <f>+'Estimate Details'!#REF!</f>
        <v>#REF!</v>
      </c>
      <c r="H897" s="678" t="e">
        <f>+'Estimate Details'!#REF!</f>
        <v>#REF!</v>
      </c>
      <c r="I897" s="679" t="e">
        <f>+'Estimate Details'!#REF!</f>
        <v>#REF!</v>
      </c>
      <c r="J897" s="680" t="e">
        <f>+'Estimate Details'!#REF!</f>
        <v>#REF!</v>
      </c>
      <c r="K897" s="673" t="e">
        <f>+'Estimate Details'!#REF!</f>
        <v>#REF!</v>
      </c>
      <c r="L897" s="673" t="e">
        <f>+'Estimate Details'!#REF!</f>
        <v>#REF!</v>
      </c>
      <c r="M897" s="236" t="e">
        <f>+'Estimate Details'!#REF!</f>
        <v>#REF!</v>
      </c>
      <c r="N897" s="699" t="e">
        <f>+'Estimate Details'!#REF!</f>
        <v>#REF!</v>
      </c>
      <c r="O897" s="681" t="e">
        <f>+'Estimate Details'!#REF!</f>
        <v>#REF!</v>
      </c>
      <c r="P897" s="682" t="e">
        <f>+'Estimate Details'!#REF!</f>
        <v>#REF!</v>
      </c>
      <c r="Q897" s="683" t="e">
        <f>+'Estimate Details'!#REF!</f>
        <v>#REF!</v>
      </c>
      <c r="R897" s="684" t="e">
        <f>+'Estimate Details'!#REF!</f>
        <v>#REF!</v>
      </c>
      <c r="S897" s="685"/>
      <c r="T897" s="684" t="e">
        <f>+'Estimate Details'!#REF!</f>
        <v>#REF!</v>
      </c>
      <c r="U897" s="686" t="s">
        <v>1311</v>
      </c>
      <c r="V897" s="682" t="e">
        <f>+'Estimate Details'!#REF!</f>
        <v>#REF!</v>
      </c>
      <c r="W897" s="686" t="s">
        <v>1311</v>
      </c>
      <c r="X897" s="682" t="e">
        <f>+'Estimate Details'!#REF!</f>
        <v>#REF!</v>
      </c>
      <c r="Y897" s="682" t="e">
        <f>+'Estimate Details'!#REF!</f>
        <v>#REF!</v>
      </c>
      <c r="Z897" s="684" t="e">
        <f>+'Estimate Details'!#REF!</f>
        <v>#REF!</v>
      </c>
      <c r="AA897" s="686"/>
      <c r="AB897" s="687" t="e">
        <f>+'Estimate Details'!#REF!</f>
        <v>#REF!</v>
      </c>
      <c r="AC897" s="688"/>
      <c r="AD897" s="696" t="e">
        <f>+'Estimate Details'!#REF!</f>
        <v>#REF!</v>
      </c>
      <c r="AE897" s="156"/>
      <c r="AF897" s="372"/>
      <c r="AG897" s="156"/>
      <c r="AH897" s="156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</row>
    <row r="898" spans="1:44" s="30" customFormat="1" ht="14.1" customHeight="1">
      <c r="A898" s="673" t="e">
        <f>+'Estimate Details'!#REF!</f>
        <v>#REF!</v>
      </c>
      <c r="B898" s="673"/>
      <c r="C898" s="673"/>
      <c r="D898" s="674"/>
      <c r="E898" s="675" t="e">
        <f>+'Estimate Details'!#REF!</f>
        <v>#REF!</v>
      </c>
      <c r="F898" s="676"/>
      <c r="G898" s="677" t="e">
        <f>+'Estimate Details'!#REF!</f>
        <v>#REF!</v>
      </c>
      <c r="H898" s="678" t="e">
        <f>+'Estimate Details'!#REF!</f>
        <v>#REF!</v>
      </c>
      <c r="I898" s="679" t="e">
        <f>+'Estimate Details'!#REF!</f>
        <v>#REF!</v>
      </c>
      <c r="J898" s="680" t="e">
        <f>+'Estimate Details'!#REF!</f>
        <v>#REF!</v>
      </c>
      <c r="K898" s="673" t="e">
        <f>+'Estimate Details'!#REF!</f>
        <v>#REF!</v>
      </c>
      <c r="L898" s="673" t="e">
        <f>+'Estimate Details'!#REF!</f>
        <v>#REF!</v>
      </c>
      <c r="M898" s="236" t="e">
        <f>+'Estimate Details'!#REF!</f>
        <v>#REF!</v>
      </c>
      <c r="N898" s="699" t="e">
        <f>+'Estimate Details'!#REF!</f>
        <v>#REF!</v>
      </c>
      <c r="O898" s="681" t="e">
        <f>+'Estimate Details'!#REF!</f>
        <v>#REF!</v>
      </c>
      <c r="P898" s="682" t="e">
        <f>+'Estimate Details'!#REF!</f>
        <v>#REF!</v>
      </c>
      <c r="Q898" s="683" t="e">
        <f>+'Estimate Details'!#REF!</f>
        <v>#REF!</v>
      </c>
      <c r="R898" s="684" t="e">
        <f>+'Estimate Details'!#REF!</f>
        <v>#REF!</v>
      </c>
      <c r="S898" s="685"/>
      <c r="T898" s="684" t="e">
        <f>+'Estimate Details'!#REF!</f>
        <v>#REF!</v>
      </c>
      <c r="U898" s="686" t="s">
        <v>1311</v>
      </c>
      <c r="V898" s="682" t="e">
        <f>+'Estimate Details'!#REF!</f>
        <v>#REF!</v>
      </c>
      <c r="W898" s="686" t="s">
        <v>1311</v>
      </c>
      <c r="X898" s="682" t="e">
        <f>+'Estimate Details'!#REF!</f>
        <v>#REF!</v>
      </c>
      <c r="Y898" s="682" t="e">
        <f>+'Estimate Details'!#REF!</f>
        <v>#REF!</v>
      </c>
      <c r="Z898" s="684" t="e">
        <f>+'Estimate Details'!#REF!</f>
        <v>#REF!</v>
      </c>
      <c r="AA898" s="686"/>
      <c r="AB898" s="687" t="e">
        <f>+'Estimate Details'!#REF!</f>
        <v>#REF!</v>
      </c>
      <c r="AC898" s="688"/>
      <c r="AD898" s="696" t="e">
        <f>+'Estimate Details'!#REF!</f>
        <v>#REF!</v>
      </c>
      <c r="AE898" s="156"/>
      <c r="AF898" s="372"/>
      <c r="AG898" s="156"/>
      <c r="AH898" s="156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</row>
    <row r="899" spans="1:44" s="30" customFormat="1" ht="14.1" customHeight="1">
      <c r="A899" s="673" t="e">
        <f>+'Estimate Details'!#REF!</f>
        <v>#REF!</v>
      </c>
      <c r="B899" s="673"/>
      <c r="C899" s="673"/>
      <c r="D899" s="674"/>
      <c r="E899" s="675" t="e">
        <f>+'Estimate Details'!#REF!</f>
        <v>#REF!</v>
      </c>
      <c r="F899" s="676"/>
      <c r="G899" s="677" t="e">
        <f>+'Estimate Details'!#REF!</f>
        <v>#REF!</v>
      </c>
      <c r="H899" s="678" t="e">
        <f>+'Estimate Details'!#REF!</f>
        <v>#REF!</v>
      </c>
      <c r="I899" s="679" t="e">
        <f>+'Estimate Details'!#REF!</f>
        <v>#REF!</v>
      </c>
      <c r="J899" s="680" t="e">
        <f>+'Estimate Details'!#REF!</f>
        <v>#REF!</v>
      </c>
      <c r="K899" s="673" t="e">
        <f>+'Estimate Details'!#REF!</f>
        <v>#REF!</v>
      </c>
      <c r="L899" s="673" t="e">
        <f>+'Estimate Details'!#REF!</f>
        <v>#REF!</v>
      </c>
      <c r="M899" s="236" t="e">
        <f>+'Estimate Details'!#REF!</f>
        <v>#REF!</v>
      </c>
      <c r="N899" s="699" t="e">
        <f>+'Estimate Details'!#REF!</f>
        <v>#REF!</v>
      </c>
      <c r="O899" s="681" t="e">
        <f>+'Estimate Details'!#REF!</f>
        <v>#REF!</v>
      </c>
      <c r="P899" s="682" t="e">
        <f>+'Estimate Details'!#REF!</f>
        <v>#REF!</v>
      </c>
      <c r="Q899" s="683" t="e">
        <f>+'Estimate Details'!#REF!</f>
        <v>#REF!</v>
      </c>
      <c r="R899" s="684" t="e">
        <f>+'Estimate Details'!#REF!</f>
        <v>#REF!</v>
      </c>
      <c r="S899" s="685"/>
      <c r="T899" s="684" t="e">
        <f>+'Estimate Details'!#REF!</f>
        <v>#REF!</v>
      </c>
      <c r="U899" s="686" t="s">
        <v>1311</v>
      </c>
      <c r="V899" s="682" t="e">
        <f>+'Estimate Details'!#REF!</f>
        <v>#REF!</v>
      </c>
      <c r="W899" s="686" t="s">
        <v>1311</v>
      </c>
      <c r="X899" s="682" t="e">
        <f>+'Estimate Details'!#REF!</f>
        <v>#REF!</v>
      </c>
      <c r="Y899" s="682" t="e">
        <f>+'Estimate Details'!#REF!</f>
        <v>#REF!</v>
      </c>
      <c r="Z899" s="684" t="e">
        <f>+'Estimate Details'!#REF!</f>
        <v>#REF!</v>
      </c>
      <c r="AA899" s="686"/>
      <c r="AB899" s="687" t="e">
        <f>+'Estimate Details'!#REF!</f>
        <v>#REF!</v>
      </c>
      <c r="AC899" s="688"/>
      <c r="AD899" s="696" t="e">
        <f>+'Estimate Details'!#REF!</f>
        <v>#REF!</v>
      </c>
      <c r="AE899" s="156"/>
      <c r="AF899" s="372"/>
      <c r="AG899" s="156"/>
      <c r="AH899" s="156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</row>
    <row r="900" spans="1:44" s="30" customFormat="1" ht="14.1" customHeight="1">
      <c r="A900" s="673" t="e">
        <f>+'Estimate Details'!#REF!</f>
        <v>#REF!</v>
      </c>
      <c r="B900" s="673"/>
      <c r="C900" s="673"/>
      <c r="D900" s="674"/>
      <c r="E900" s="675" t="e">
        <f>+'Estimate Details'!#REF!</f>
        <v>#REF!</v>
      </c>
      <c r="F900" s="676"/>
      <c r="G900" s="677" t="e">
        <f>+'Estimate Details'!#REF!</f>
        <v>#REF!</v>
      </c>
      <c r="H900" s="678" t="e">
        <f>+'Estimate Details'!#REF!</f>
        <v>#REF!</v>
      </c>
      <c r="I900" s="679" t="e">
        <f>+'Estimate Details'!#REF!</f>
        <v>#REF!</v>
      </c>
      <c r="J900" s="680" t="e">
        <f>+'Estimate Details'!#REF!</f>
        <v>#REF!</v>
      </c>
      <c r="K900" s="673" t="e">
        <f>+'Estimate Details'!#REF!</f>
        <v>#REF!</v>
      </c>
      <c r="L900" s="673" t="e">
        <f>+'Estimate Details'!#REF!</f>
        <v>#REF!</v>
      </c>
      <c r="M900" s="236" t="e">
        <f>+'Estimate Details'!#REF!</f>
        <v>#REF!</v>
      </c>
      <c r="N900" s="699" t="e">
        <f>+'Estimate Details'!#REF!</f>
        <v>#REF!</v>
      </c>
      <c r="O900" s="681" t="e">
        <f>+'Estimate Details'!#REF!</f>
        <v>#REF!</v>
      </c>
      <c r="P900" s="682" t="e">
        <f>+'Estimate Details'!#REF!</f>
        <v>#REF!</v>
      </c>
      <c r="Q900" s="683" t="e">
        <f>+'Estimate Details'!#REF!</f>
        <v>#REF!</v>
      </c>
      <c r="R900" s="684" t="e">
        <f>+'Estimate Details'!#REF!</f>
        <v>#REF!</v>
      </c>
      <c r="S900" s="685"/>
      <c r="T900" s="684" t="e">
        <f>+'Estimate Details'!#REF!</f>
        <v>#REF!</v>
      </c>
      <c r="U900" s="686" t="s">
        <v>1311</v>
      </c>
      <c r="V900" s="682" t="e">
        <f>+'Estimate Details'!#REF!</f>
        <v>#REF!</v>
      </c>
      <c r="W900" s="686" t="s">
        <v>1311</v>
      </c>
      <c r="X900" s="682" t="e">
        <f>+'Estimate Details'!#REF!</f>
        <v>#REF!</v>
      </c>
      <c r="Y900" s="682" t="e">
        <f>+'Estimate Details'!#REF!</f>
        <v>#REF!</v>
      </c>
      <c r="Z900" s="684" t="e">
        <f>+'Estimate Details'!#REF!</f>
        <v>#REF!</v>
      </c>
      <c r="AA900" s="686"/>
      <c r="AB900" s="687" t="e">
        <f>+'Estimate Details'!#REF!</f>
        <v>#REF!</v>
      </c>
      <c r="AC900" s="688"/>
      <c r="AD900" s="696" t="e">
        <f>+'Estimate Details'!#REF!</f>
        <v>#REF!</v>
      </c>
      <c r="AE900" s="156"/>
      <c r="AF900" s="372"/>
      <c r="AG900" s="156"/>
      <c r="AH900" s="156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</row>
    <row r="901" spans="1:44" s="30" customFormat="1" ht="14.1" customHeight="1">
      <c r="A901" s="673" t="e">
        <f>+'Estimate Details'!#REF!</f>
        <v>#REF!</v>
      </c>
      <c r="B901" s="673"/>
      <c r="C901" s="673"/>
      <c r="D901" s="674"/>
      <c r="E901" s="675">
        <f>+'Estimate Details'!A57</f>
        <v>46</v>
      </c>
      <c r="F901" s="676"/>
      <c r="G901" s="677" t="e">
        <f>+'Estimate Details'!#REF!</f>
        <v>#REF!</v>
      </c>
      <c r="H901" s="678" t="str">
        <f>+'Estimate Details'!D57</f>
        <v>Conduit - Embedded/Direct Buried</v>
      </c>
      <c r="I901" s="679">
        <f>+'Estimate Details'!E57</f>
        <v>0</v>
      </c>
      <c r="J901" s="680" t="str">
        <f>+'Estimate Details'!F57</f>
        <v>lf</v>
      </c>
      <c r="K901" s="673" t="str">
        <f>+'Estimate Details'!G57</f>
        <v>Contr</v>
      </c>
      <c r="L901" s="673" t="str">
        <f>+'Estimate Details'!H57</f>
        <v>Contr</v>
      </c>
      <c r="M901" s="236" t="e">
        <f>+'Estimate Details'!#REF!</f>
        <v>#REF!</v>
      </c>
      <c r="N901" s="699" t="e">
        <f>+'Estimate Details'!#REF!</f>
        <v>#REF!</v>
      </c>
      <c r="O901" s="681" t="e">
        <f>+'Estimate Details'!#REF!</f>
        <v>#REF!</v>
      </c>
      <c r="P901" s="682" t="e">
        <f>+'Estimate Details'!#REF!</f>
        <v>#REF!</v>
      </c>
      <c r="Q901" s="683" t="e">
        <f>+'Estimate Details'!#REF!</f>
        <v>#REF!</v>
      </c>
      <c r="R901" s="684" t="str">
        <f>+'Estimate Details'!N57</f>
        <v>0</v>
      </c>
      <c r="S901" s="685"/>
      <c r="T901" s="684">
        <f>+'Estimate Details'!O57</f>
        <v>0</v>
      </c>
      <c r="U901" s="686" t="s">
        <v>1311</v>
      </c>
      <c r="V901" s="682">
        <f>+'Estimate Details'!R57</f>
        <v>0</v>
      </c>
      <c r="W901" s="686" t="s">
        <v>1311</v>
      </c>
      <c r="X901" s="682" t="e">
        <f>+'Estimate Details'!#REF!</f>
        <v>#REF!</v>
      </c>
      <c r="Y901" s="682" t="e">
        <f>+'Estimate Details'!#REF!</f>
        <v>#REF!</v>
      </c>
      <c r="Z901" s="684" t="str">
        <f>+'Estimate Details'!U57</f>
        <v>0</v>
      </c>
      <c r="AA901" s="686"/>
      <c r="AB901" s="687">
        <f>+'Estimate Details'!V57</f>
        <v>0</v>
      </c>
      <c r="AC901" s="688"/>
      <c r="AD901" s="696" t="str">
        <f>+'Estimate Details'!X57</f>
        <v>HDR|CB Estimated Quantity &amp; Cost</v>
      </c>
      <c r="AE901" s="156"/>
      <c r="AF901" s="372"/>
      <c r="AG901" s="156"/>
      <c r="AH901" s="156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</row>
    <row r="902" spans="1:44" s="30" customFormat="1" ht="14.1" customHeight="1">
      <c r="A902" s="673" t="e">
        <f>+'Estimate Details'!#REF!</f>
        <v>#REF!</v>
      </c>
      <c r="B902" s="673"/>
      <c r="C902" s="673"/>
      <c r="D902" s="674"/>
      <c r="E902" s="675" t="e">
        <f>+'Estimate Details'!#REF!</f>
        <v>#REF!</v>
      </c>
      <c r="F902" s="676"/>
      <c r="G902" s="677" t="e">
        <f>+'Estimate Details'!#REF!</f>
        <v>#REF!</v>
      </c>
      <c r="H902" s="678" t="e">
        <f>+'Estimate Details'!#REF!</f>
        <v>#REF!</v>
      </c>
      <c r="I902" s="679" t="e">
        <f>+'Estimate Details'!#REF!</f>
        <v>#REF!</v>
      </c>
      <c r="J902" s="680" t="e">
        <f>+'Estimate Details'!#REF!</f>
        <v>#REF!</v>
      </c>
      <c r="K902" s="673" t="e">
        <f>+'Estimate Details'!#REF!</f>
        <v>#REF!</v>
      </c>
      <c r="L902" s="673" t="e">
        <f>+'Estimate Details'!#REF!</f>
        <v>#REF!</v>
      </c>
      <c r="M902" s="236" t="e">
        <f>+'Estimate Details'!#REF!</f>
        <v>#REF!</v>
      </c>
      <c r="N902" s="699" t="e">
        <f>+'Estimate Details'!#REF!</f>
        <v>#REF!</v>
      </c>
      <c r="O902" s="681" t="e">
        <f>+'Estimate Details'!#REF!</f>
        <v>#REF!</v>
      </c>
      <c r="P902" s="682" t="e">
        <f>+'Estimate Details'!#REF!</f>
        <v>#REF!</v>
      </c>
      <c r="Q902" s="683" t="e">
        <f>+'Estimate Details'!#REF!</f>
        <v>#REF!</v>
      </c>
      <c r="R902" s="684" t="e">
        <f>+'Estimate Details'!#REF!</f>
        <v>#REF!</v>
      </c>
      <c r="S902" s="685"/>
      <c r="T902" s="684" t="e">
        <f>+'Estimate Details'!#REF!</f>
        <v>#REF!</v>
      </c>
      <c r="U902" s="686" t="s">
        <v>1311</v>
      </c>
      <c r="V902" s="682" t="e">
        <f>+'Estimate Details'!#REF!</f>
        <v>#REF!</v>
      </c>
      <c r="W902" s="686" t="s">
        <v>1311</v>
      </c>
      <c r="X902" s="682" t="e">
        <f>+'Estimate Details'!#REF!</f>
        <v>#REF!</v>
      </c>
      <c r="Y902" s="682" t="e">
        <f>+'Estimate Details'!#REF!</f>
        <v>#REF!</v>
      </c>
      <c r="Z902" s="684" t="e">
        <f>+'Estimate Details'!#REF!</f>
        <v>#REF!</v>
      </c>
      <c r="AA902" s="686"/>
      <c r="AB902" s="687" t="e">
        <f>+'Estimate Details'!#REF!</f>
        <v>#REF!</v>
      </c>
      <c r="AC902" s="688"/>
      <c r="AD902" s="696" t="e">
        <f>+'Estimate Details'!#REF!</f>
        <v>#REF!</v>
      </c>
      <c r="AE902" s="156"/>
      <c r="AF902" s="372"/>
      <c r="AG902" s="156"/>
      <c r="AH902" s="156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</row>
    <row r="903" spans="1:44" s="30" customFormat="1" ht="14.1" customHeight="1">
      <c r="A903" s="673" t="e">
        <f>+'Estimate Details'!#REF!</f>
        <v>#REF!</v>
      </c>
      <c r="B903" s="673"/>
      <c r="C903" s="673"/>
      <c r="D903" s="674"/>
      <c r="E903" s="675" t="e">
        <f>+'Estimate Details'!#REF!</f>
        <v>#REF!</v>
      </c>
      <c r="F903" s="676"/>
      <c r="G903" s="677" t="e">
        <f>+'Estimate Details'!#REF!</f>
        <v>#REF!</v>
      </c>
      <c r="H903" s="678" t="e">
        <f>+'Estimate Details'!#REF!</f>
        <v>#REF!</v>
      </c>
      <c r="I903" s="679" t="e">
        <f>+'Estimate Details'!#REF!</f>
        <v>#REF!</v>
      </c>
      <c r="J903" s="680" t="e">
        <f>+'Estimate Details'!#REF!</f>
        <v>#REF!</v>
      </c>
      <c r="K903" s="673" t="e">
        <f>+'Estimate Details'!#REF!</f>
        <v>#REF!</v>
      </c>
      <c r="L903" s="673" t="e">
        <f>+'Estimate Details'!#REF!</f>
        <v>#REF!</v>
      </c>
      <c r="M903" s="236" t="e">
        <f>+'Estimate Details'!#REF!</f>
        <v>#REF!</v>
      </c>
      <c r="N903" s="699" t="e">
        <f>+'Estimate Details'!#REF!</f>
        <v>#REF!</v>
      </c>
      <c r="O903" s="681" t="e">
        <f>+'Estimate Details'!#REF!</f>
        <v>#REF!</v>
      </c>
      <c r="P903" s="682" t="e">
        <f>+'Estimate Details'!#REF!</f>
        <v>#REF!</v>
      </c>
      <c r="Q903" s="683" t="e">
        <f>+'Estimate Details'!#REF!</f>
        <v>#REF!</v>
      </c>
      <c r="R903" s="684" t="e">
        <f>+'Estimate Details'!#REF!</f>
        <v>#REF!</v>
      </c>
      <c r="S903" s="685"/>
      <c r="T903" s="684" t="e">
        <f>+'Estimate Details'!#REF!</f>
        <v>#REF!</v>
      </c>
      <c r="U903" s="686" t="s">
        <v>1311</v>
      </c>
      <c r="V903" s="682" t="e">
        <f>+'Estimate Details'!#REF!</f>
        <v>#REF!</v>
      </c>
      <c r="W903" s="686" t="s">
        <v>1311</v>
      </c>
      <c r="X903" s="682" t="e">
        <f>+'Estimate Details'!#REF!</f>
        <v>#REF!</v>
      </c>
      <c r="Y903" s="682" t="e">
        <f>+'Estimate Details'!#REF!</f>
        <v>#REF!</v>
      </c>
      <c r="Z903" s="684" t="e">
        <f>+'Estimate Details'!#REF!</f>
        <v>#REF!</v>
      </c>
      <c r="AA903" s="686"/>
      <c r="AB903" s="687" t="e">
        <f>+'Estimate Details'!#REF!</f>
        <v>#REF!</v>
      </c>
      <c r="AC903" s="688"/>
      <c r="AD903" s="696" t="e">
        <f>+'Estimate Details'!#REF!</f>
        <v>#REF!</v>
      </c>
      <c r="AE903" s="156"/>
      <c r="AF903" s="372"/>
      <c r="AG903" s="156"/>
      <c r="AH903" s="156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</row>
    <row r="904" spans="1:44" s="30" customFormat="1" ht="14.1" customHeight="1">
      <c r="A904" s="673" t="e">
        <f>+'Estimate Details'!#REF!</f>
        <v>#REF!</v>
      </c>
      <c r="B904" s="673"/>
      <c r="C904" s="673"/>
      <c r="D904" s="674"/>
      <c r="E904" s="675" t="e">
        <f>+'Estimate Details'!#REF!</f>
        <v>#REF!</v>
      </c>
      <c r="F904" s="676"/>
      <c r="G904" s="677" t="e">
        <f>+'Estimate Details'!#REF!</f>
        <v>#REF!</v>
      </c>
      <c r="H904" s="678" t="e">
        <f>+'Estimate Details'!#REF!</f>
        <v>#REF!</v>
      </c>
      <c r="I904" s="679" t="e">
        <f>+'Estimate Details'!#REF!</f>
        <v>#REF!</v>
      </c>
      <c r="J904" s="680" t="e">
        <f>+'Estimate Details'!#REF!</f>
        <v>#REF!</v>
      </c>
      <c r="K904" s="673" t="e">
        <f>+'Estimate Details'!#REF!</f>
        <v>#REF!</v>
      </c>
      <c r="L904" s="673" t="e">
        <f>+'Estimate Details'!#REF!</f>
        <v>#REF!</v>
      </c>
      <c r="M904" s="236" t="e">
        <f>+'Estimate Details'!#REF!</f>
        <v>#REF!</v>
      </c>
      <c r="N904" s="699" t="e">
        <f>+'Estimate Details'!#REF!</f>
        <v>#REF!</v>
      </c>
      <c r="O904" s="681" t="e">
        <f>+'Estimate Details'!#REF!</f>
        <v>#REF!</v>
      </c>
      <c r="P904" s="682" t="e">
        <f>+'Estimate Details'!#REF!</f>
        <v>#REF!</v>
      </c>
      <c r="Q904" s="683" t="e">
        <f>+'Estimate Details'!#REF!</f>
        <v>#REF!</v>
      </c>
      <c r="R904" s="684" t="e">
        <f>+'Estimate Details'!#REF!</f>
        <v>#REF!</v>
      </c>
      <c r="S904" s="685"/>
      <c r="T904" s="684" t="e">
        <f>+'Estimate Details'!#REF!</f>
        <v>#REF!</v>
      </c>
      <c r="U904" s="686" t="s">
        <v>1311</v>
      </c>
      <c r="V904" s="682" t="e">
        <f>+'Estimate Details'!#REF!</f>
        <v>#REF!</v>
      </c>
      <c r="W904" s="686" t="s">
        <v>1311</v>
      </c>
      <c r="X904" s="682" t="e">
        <f>+'Estimate Details'!#REF!</f>
        <v>#REF!</v>
      </c>
      <c r="Y904" s="682" t="e">
        <f>+'Estimate Details'!#REF!</f>
        <v>#REF!</v>
      </c>
      <c r="Z904" s="684" t="e">
        <f>+'Estimate Details'!#REF!</f>
        <v>#REF!</v>
      </c>
      <c r="AA904" s="686"/>
      <c r="AB904" s="687" t="e">
        <f>+'Estimate Details'!#REF!</f>
        <v>#REF!</v>
      </c>
      <c r="AC904" s="688"/>
      <c r="AD904" s="696" t="e">
        <f>+'Estimate Details'!#REF!</f>
        <v>#REF!</v>
      </c>
      <c r="AE904" s="156"/>
      <c r="AF904" s="372"/>
      <c r="AG904" s="156"/>
      <c r="AH904" s="156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</row>
    <row r="905" spans="1:44" s="30" customFormat="1" ht="14.1" customHeight="1">
      <c r="A905" s="673" t="e">
        <f>+'Estimate Details'!#REF!</f>
        <v>#REF!</v>
      </c>
      <c r="B905" s="673"/>
      <c r="C905" s="673"/>
      <c r="D905" s="674"/>
      <c r="E905" s="675" t="e">
        <f>+'Estimate Details'!#REF!</f>
        <v>#REF!</v>
      </c>
      <c r="F905" s="676"/>
      <c r="G905" s="677" t="e">
        <f>+'Estimate Details'!#REF!</f>
        <v>#REF!</v>
      </c>
      <c r="H905" s="678" t="e">
        <f>+'Estimate Details'!#REF!</f>
        <v>#REF!</v>
      </c>
      <c r="I905" s="679" t="e">
        <f>+'Estimate Details'!#REF!</f>
        <v>#REF!</v>
      </c>
      <c r="J905" s="680" t="e">
        <f>+'Estimate Details'!#REF!</f>
        <v>#REF!</v>
      </c>
      <c r="K905" s="673" t="e">
        <f>+'Estimate Details'!#REF!</f>
        <v>#REF!</v>
      </c>
      <c r="L905" s="673" t="e">
        <f>+'Estimate Details'!#REF!</f>
        <v>#REF!</v>
      </c>
      <c r="M905" s="236" t="e">
        <f>+'Estimate Details'!#REF!</f>
        <v>#REF!</v>
      </c>
      <c r="N905" s="699" t="e">
        <f>+'Estimate Details'!#REF!</f>
        <v>#REF!</v>
      </c>
      <c r="O905" s="681" t="e">
        <f>+'Estimate Details'!#REF!</f>
        <v>#REF!</v>
      </c>
      <c r="P905" s="682" t="e">
        <f>+'Estimate Details'!#REF!</f>
        <v>#REF!</v>
      </c>
      <c r="Q905" s="683" t="e">
        <f>+'Estimate Details'!#REF!</f>
        <v>#REF!</v>
      </c>
      <c r="R905" s="684" t="e">
        <f>+'Estimate Details'!#REF!</f>
        <v>#REF!</v>
      </c>
      <c r="S905" s="685"/>
      <c r="T905" s="684" t="e">
        <f>+'Estimate Details'!#REF!</f>
        <v>#REF!</v>
      </c>
      <c r="U905" s="686" t="s">
        <v>1311</v>
      </c>
      <c r="V905" s="682" t="e">
        <f>+'Estimate Details'!#REF!</f>
        <v>#REF!</v>
      </c>
      <c r="W905" s="686" t="s">
        <v>1311</v>
      </c>
      <c r="X905" s="682" t="e">
        <f>+'Estimate Details'!#REF!</f>
        <v>#REF!</v>
      </c>
      <c r="Y905" s="682" t="e">
        <f>+'Estimate Details'!#REF!</f>
        <v>#REF!</v>
      </c>
      <c r="Z905" s="684" t="e">
        <f>+'Estimate Details'!#REF!</f>
        <v>#REF!</v>
      </c>
      <c r="AA905" s="686"/>
      <c r="AB905" s="687" t="e">
        <f>+'Estimate Details'!#REF!</f>
        <v>#REF!</v>
      </c>
      <c r="AC905" s="688"/>
      <c r="AD905" s="696" t="e">
        <f>+'Estimate Details'!#REF!</f>
        <v>#REF!</v>
      </c>
      <c r="AE905" s="156"/>
      <c r="AF905" s="372"/>
      <c r="AG905" s="156"/>
      <c r="AH905" s="156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</row>
    <row r="906" spans="1:44" s="30" customFormat="1" ht="14.25" customHeight="1">
      <c r="A906" s="673" t="e">
        <f>+'Estimate Details'!#REF!</f>
        <v>#REF!</v>
      </c>
      <c r="B906" s="673"/>
      <c r="C906" s="673"/>
      <c r="D906" s="674"/>
      <c r="E906" s="675" t="e">
        <f>+'Estimate Details'!#REF!</f>
        <v>#REF!</v>
      </c>
      <c r="F906" s="676"/>
      <c r="G906" s="677" t="e">
        <f>+'Estimate Details'!#REF!</f>
        <v>#REF!</v>
      </c>
      <c r="H906" s="678" t="e">
        <f>+'Estimate Details'!#REF!</f>
        <v>#REF!</v>
      </c>
      <c r="I906" s="679" t="e">
        <f>+'Estimate Details'!#REF!</f>
        <v>#REF!</v>
      </c>
      <c r="J906" s="680" t="e">
        <f>+'Estimate Details'!#REF!</f>
        <v>#REF!</v>
      </c>
      <c r="K906" s="673" t="e">
        <f>+'Estimate Details'!#REF!</f>
        <v>#REF!</v>
      </c>
      <c r="L906" s="673" t="e">
        <f>+'Estimate Details'!#REF!</f>
        <v>#REF!</v>
      </c>
      <c r="M906" s="236" t="e">
        <f>+'Estimate Details'!#REF!</f>
        <v>#REF!</v>
      </c>
      <c r="N906" s="699" t="e">
        <f>+'Estimate Details'!#REF!</f>
        <v>#REF!</v>
      </c>
      <c r="O906" s="681" t="e">
        <f>+'Estimate Details'!#REF!</f>
        <v>#REF!</v>
      </c>
      <c r="P906" s="682" t="e">
        <f>+'Estimate Details'!#REF!</f>
        <v>#REF!</v>
      </c>
      <c r="Q906" s="683" t="e">
        <f>+'Estimate Details'!#REF!</f>
        <v>#REF!</v>
      </c>
      <c r="R906" s="684" t="e">
        <f>+'Estimate Details'!#REF!</f>
        <v>#REF!</v>
      </c>
      <c r="S906" s="685"/>
      <c r="T906" s="684" t="e">
        <f>+'Estimate Details'!#REF!</f>
        <v>#REF!</v>
      </c>
      <c r="U906" s="686" t="s">
        <v>1311</v>
      </c>
      <c r="V906" s="682" t="e">
        <f>+'Estimate Details'!#REF!</f>
        <v>#REF!</v>
      </c>
      <c r="W906" s="686" t="s">
        <v>1311</v>
      </c>
      <c r="X906" s="682" t="e">
        <f>+'Estimate Details'!#REF!</f>
        <v>#REF!</v>
      </c>
      <c r="Y906" s="682" t="e">
        <f>+'Estimate Details'!#REF!</f>
        <v>#REF!</v>
      </c>
      <c r="Z906" s="684" t="e">
        <f>+'Estimate Details'!#REF!</f>
        <v>#REF!</v>
      </c>
      <c r="AA906" s="686"/>
      <c r="AB906" s="687" t="e">
        <f>+'Estimate Details'!#REF!</f>
        <v>#REF!</v>
      </c>
      <c r="AC906" s="688"/>
      <c r="AD906" s="696" t="e">
        <f>+'Estimate Details'!#REF!</f>
        <v>#REF!</v>
      </c>
      <c r="AE906" s="156"/>
      <c r="AF906" s="372"/>
      <c r="AG906" s="156"/>
      <c r="AH906" s="156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</row>
    <row r="907" spans="1:44" s="30" customFormat="1" ht="14.1" customHeight="1">
      <c r="A907" s="673" t="e">
        <f>+'Estimate Details'!#REF!</f>
        <v>#REF!</v>
      </c>
      <c r="B907" s="673"/>
      <c r="C907" s="673"/>
      <c r="D907" s="674"/>
      <c r="E907" s="675" t="e">
        <f>+'Estimate Details'!#REF!</f>
        <v>#REF!</v>
      </c>
      <c r="F907" s="676"/>
      <c r="G907" s="677" t="e">
        <f>+'Estimate Details'!#REF!</f>
        <v>#REF!</v>
      </c>
      <c r="H907" s="678" t="e">
        <f>+'Estimate Details'!#REF!</f>
        <v>#REF!</v>
      </c>
      <c r="I907" s="679" t="e">
        <f>+'Estimate Details'!#REF!</f>
        <v>#REF!</v>
      </c>
      <c r="J907" s="680" t="e">
        <f>+'Estimate Details'!#REF!</f>
        <v>#REF!</v>
      </c>
      <c r="K907" s="673" t="e">
        <f>+'Estimate Details'!#REF!</f>
        <v>#REF!</v>
      </c>
      <c r="L907" s="673" t="e">
        <f>+'Estimate Details'!#REF!</f>
        <v>#REF!</v>
      </c>
      <c r="M907" s="236" t="e">
        <f>+'Estimate Details'!#REF!</f>
        <v>#REF!</v>
      </c>
      <c r="N907" s="699" t="e">
        <f>+'Estimate Details'!#REF!</f>
        <v>#REF!</v>
      </c>
      <c r="O907" s="681" t="e">
        <f>+'Estimate Details'!#REF!</f>
        <v>#REF!</v>
      </c>
      <c r="P907" s="682" t="e">
        <f>+'Estimate Details'!#REF!</f>
        <v>#REF!</v>
      </c>
      <c r="Q907" s="683" t="e">
        <f>+'Estimate Details'!#REF!</f>
        <v>#REF!</v>
      </c>
      <c r="R907" s="684" t="e">
        <f>+'Estimate Details'!#REF!</f>
        <v>#REF!</v>
      </c>
      <c r="S907" s="685"/>
      <c r="T907" s="684" t="e">
        <f>+'Estimate Details'!#REF!</f>
        <v>#REF!</v>
      </c>
      <c r="U907" s="686" t="s">
        <v>1311</v>
      </c>
      <c r="V907" s="682" t="e">
        <f>+'Estimate Details'!#REF!</f>
        <v>#REF!</v>
      </c>
      <c r="W907" s="686" t="s">
        <v>1311</v>
      </c>
      <c r="X907" s="682" t="e">
        <f>+'Estimate Details'!#REF!</f>
        <v>#REF!</v>
      </c>
      <c r="Y907" s="682" t="e">
        <f>+'Estimate Details'!#REF!</f>
        <v>#REF!</v>
      </c>
      <c r="Z907" s="684" t="e">
        <f>+'Estimate Details'!#REF!</f>
        <v>#REF!</v>
      </c>
      <c r="AA907" s="686"/>
      <c r="AB907" s="687" t="e">
        <f>+'Estimate Details'!#REF!</f>
        <v>#REF!</v>
      </c>
      <c r="AC907" s="688"/>
      <c r="AD907" s="696" t="e">
        <f>+'Estimate Details'!#REF!</f>
        <v>#REF!</v>
      </c>
      <c r="AE907" s="156"/>
      <c r="AF907" s="372"/>
      <c r="AG907" s="156"/>
      <c r="AH907" s="156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</row>
    <row r="908" spans="1:44" s="30" customFormat="1" ht="14.25" customHeight="1">
      <c r="A908" s="673" t="e">
        <f>+'Estimate Details'!#REF!</f>
        <v>#REF!</v>
      </c>
      <c r="B908" s="673"/>
      <c r="C908" s="673"/>
      <c r="D908" s="674"/>
      <c r="E908" s="675" t="e">
        <f>+'Estimate Details'!#REF!</f>
        <v>#REF!</v>
      </c>
      <c r="F908" s="676"/>
      <c r="G908" s="677" t="e">
        <f>+'Estimate Details'!#REF!</f>
        <v>#REF!</v>
      </c>
      <c r="H908" s="678" t="e">
        <f>+'Estimate Details'!#REF!</f>
        <v>#REF!</v>
      </c>
      <c r="I908" s="679" t="e">
        <f>+'Estimate Details'!#REF!</f>
        <v>#REF!</v>
      </c>
      <c r="J908" s="680" t="e">
        <f>+'Estimate Details'!#REF!</f>
        <v>#REF!</v>
      </c>
      <c r="K908" s="673" t="e">
        <f>+'Estimate Details'!#REF!</f>
        <v>#REF!</v>
      </c>
      <c r="L908" s="673" t="e">
        <f>+'Estimate Details'!#REF!</f>
        <v>#REF!</v>
      </c>
      <c r="M908" s="236" t="e">
        <f>+'Estimate Details'!#REF!</f>
        <v>#REF!</v>
      </c>
      <c r="N908" s="699" t="e">
        <f>+'Estimate Details'!#REF!</f>
        <v>#REF!</v>
      </c>
      <c r="O908" s="681" t="e">
        <f>+'Estimate Details'!#REF!</f>
        <v>#REF!</v>
      </c>
      <c r="P908" s="682" t="e">
        <f>+'Estimate Details'!#REF!</f>
        <v>#REF!</v>
      </c>
      <c r="Q908" s="683" t="e">
        <f>+'Estimate Details'!#REF!</f>
        <v>#REF!</v>
      </c>
      <c r="R908" s="684" t="e">
        <f>+'Estimate Details'!#REF!</f>
        <v>#REF!</v>
      </c>
      <c r="S908" s="685"/>
      <c r="T908" s="684" t="e">
        <f>+'Estimate Details'!#REF!</f>
        <v>#REF!</v>
      </c>
      <c r="U908" s="686" t="s">
        <v>1311</v>
      </c>
      <c r="V908" s="682" t="e">
        <f>+'Estimate Details'!#REF!</f>
        <v>#REF!</v>
      </c>
      <c r="W908" s="686" t="s">
        <v>1311</v>
      </c>
      <c r="X908" s="682" t="e">
        <f>+'Estimate Details'!#REF!</f>
        <v>#REF!</v>
      </c>
      <c r="Y908" s="682" t="e">
        <f>+'Estimate Details'!#REF!</f>
        <v>#REF!</v>
      </c>
      <c r="Z908" s="684" t="e">
        <f>+'Estimate Details'!#REF!</f>
        <v>#REF!</v>
      </c>
      <c r="AA908" s="686"/>
      <c r="AB908" s="687" t="e">
        <f>+'Estimate Details'!#REF!</f>
        <v>#REF!</v>
      </c>
      <c r="AC908" s="688"/>
      <c r="AD908" s="696" t="e">
        <f>+'Estimate Details'!#REF!</f>
        <v>#REF!</v>
      </c>
      <c r="AE908" s="156"/>
      <c r="AF908" s="372"/>
      <c r="AG908" s="156"/>
      <c r="AH908" s="156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</row>
    <row r="909" spans="1:44" s="30" customFormat="1" ht="14.1" customHeight="1">
      <c r="A909" s="673" t="e">
        <f>+'Estimate Details'!#REF!</f>
        <v>#REF!</v>
      </c>
      <c r="B909" s="673"/>
      <c r="C909" s="673"/>
      <c r="D909" s="674"/>
      <c r="E909" s="675" t="e">
        <f>+'Estimate Details'!#REF!</f>
        <v>#REF!</v>
      </c>
      <c r="F909" s="676"/>
      <c r="G909" s="677" t="e">
        <f>+'Estimate Details'!#REF!</f>
        <v>#REF!</v>
      </c>
      <c r="H909" s="678" t="e">
        <f>+'Estimate Details'!#REF!</f>
        <v>#REF!</v>
      </c>
      <c r="I909" s="679" t="e">
        <f>+'Estimate Details'!#REF!</f>
        <v>#REF!</v>
      </c>
      <c r="J909" s="680" t="e">
        <f>+'Estimate Details'!#REF!</f>
        <v>#REF!</v>
      </c>
      <c r="K909" s="673" t="e">
        <f>+'Estimate Details'!#REF!</f>
        <v>#REF!</v>
      </c>
      <c r="L909" s="673" t="e">
        <f>+'Estimate Details'!#REF!</f>
        <v>#REF!</v>
      </c>
      <c r="M909" s="236" t="e">
        <f>+'Estimate Details'!#REF!</f>
        <v>#REF!</v>
      </c>
      <c r="N909" s="699" t="e">
        <f>+'Estimate Details'!#REF!</f>
        <v>#REF!</v>
      </c>
      <c r="O909" s="681" t="e">
        <f>+'Estimate Details'!#REF!</f>
        <v>#REF!</v>
      </c>
      <c r="P909" s="682" t="e">
        <f>+'Estimate Details'!#REF!</f>
        <v>#REF!</v>
      </c>
      <c r="Q909" s="683" t="e">
        <f>+'Estimate Details'!#REF!</f>
        <v>#REF!</v>
      </c>
      <c r="R909" s="684" t="e">
        <f>+'Estimate Details'!#REF!</f>
        <v>#REF!</v>
      </c>
      <c r="S909" s="685"/>
      <c r="T909" s="684" t="e">
        <f>+'Estimate Details'!#REF!</f>
        <v>#REF!</v>
      </c>
      <c r="U909" s="686" t="s">
        <v>1311</v>
      </c>
      <c r="V909" s="682" t="e">
        <f>+'Estimate Details'!#REF!</f>
        <v>#REF!</v>
      </c>
      <c r="W909" s="686" t="s">
        <v>1311</v>
      </c>
      <c r="X909" s="682" t="e">
        <f>+'Estimate Details'!#REF!</f>
        <v>#REF!</v>
      </c>
      <c r="Y909" s="682" t="e">
        <f>+'Estimate Details'!#REF!</f>
        <v>#REF!</v>
      </c>
      <c r="Z909" s="684" t="e">
        <f>+'Estimate Details'!#REF!</f>
        <v>#REF!</v>
      </c>
      <c r="AA909" s="686"/>
      <c r="AB909" s="687" t="e">
        <f>+'Estimate Details'!#REF!</f>
        <v>#REF!</v>
      </c>
      <c r="AC909" s="688"/>
      <c r="AD909" s="696" t="e">
        <f>+'Estimate Details'!#REF!</f>
        <v>#REF!</v>
      </c>
      <c r="AE909" s="156"/>
      <c r="AF909" s="372"/>
      <c r="AG909" s="156"/>
      <c r="AH909" s="156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</row>
    <row r="910" spans="1:44" s="30" customFormat="1" ht="14.1" customHeight="1">
      <c r="A910" s="673" t="e">
        <f>+'Estimate Details'!#REF!</f>
        <v>#REF!</v>
      </c>
      <c r="B910" s="673"/>
      <c r="C910" s="673"/>
      <c r="D910" s="674"/>
      <c r="E910" s="675" t="e">
        <f>+'Estimate Details'!#REF!</f>
        <v>#REF!</v>
      </c>
      <c r="F910" s="676"/>
      <c r="G910" s="677" t="e">
        <f>+'Estimate Details'!#REF!</f>
        <v>#REF!</v>
      </c>
      <c r="H910" s="678" t="e">
        <f>+'Estimate Details'!#REF!</f>
        <v>#REF!</v>
      </c>
      <c r="I910" s="679" t="e">
        <f>+'Estimate Details'!#REF!</f>
        <v>#REF!</v>
      </c>
      <c r="J910" s="680" t="e">
        <f>+'Estimate Details'!#REF!</f>
        <v>#REF!</v>
      </c>
      <c r="K910" s="673" t="e">
        <f>+'Estimate Details'!#REF!</f>
        <v>#REF!</v>
      </c>
      <c r="L910" s="673" t="e">
        <f>+'Estimate Details'!#REF!</f>
        <v>#REF!</v>
      </c>
      <c r="M910" s="236" t="e">
        <f>+'Estimate Details'!#REF!</f>
        <v>#REF!</v>
      </c>
      <c r="N910" s="699" t="e">
        <f>+'Estimate Details'!#REF!</f>
        <v>#REF!</v>
      </c>
      <c r="O910" s="681" t="e">
        <f>+'Estimate Details'!#REF!</f>
        <v>#REF!</v>
      </c>
      <c r="P910" s="682" t="e">
        <f>+'Estimate Details'!#REF!</f>
        <v>#REF!</v>
      </c>
      <c r="Q910" s="683" t="e">
        <f>+'Estimate Details'!#REF!</f>
        <v>#REF!</v>
      </c>
      <c r="R910" s="684" t="e">
        <f>+'Estimate Details'!#REF!</f>
        <v>#REF!</v>
      </c>
      <c r="S910" s="685"/>
      <c r="T910" s="684" t="e">
        <f>+'Estimate Details'!#REF!</f>
        <v>#REF!</v>
      </c>
      <c r="U910" s="686" t="s">
        <v>1311</v>
      </c>
      <c r="V910" s="682" t="e">
        <f>+'Estimate Details'!#REF!</f>
        <v>#REF!</v>
      </c>
      <c r="W910" s="686" t="s">
        <v>1311</v>
      </c>
      <c r="X910" s="682" t="e">
        <f>+'Estimate Details'!#REF!</f>
        <v>#REF!</v>
      </c>
      <c r="Y910" s="682" t="e">
        <f>+'Estimate Details'!#REF!</f>
        <v>#REF!</v>
      </c>
      <c r="Z910" s="684" t="e">
        <f>+'Estimate Details'!#REF!</f>
        <v>#REF!</v>
      </c>
      <c r="AA910" s="686"/>
      <c r="AB910" s="687" t="e">
        <f>+'Estimate Details'!#REF!</f>
        <v>#REF!</v>
      </c>
      <c r="AC910" s="688"/>
      <c r="AD910" s="696" t="e">
        <f>+'Estimate Details'!#REF!</f>
        <v>#REF!</v>
      </c>
      <c r="AE910" s="156"/>
      <c r="AF910" s="372"/>
      <c r="AG910" s="156"/>
      <c r="AH910" s="156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</row>
    <row r="911" spans="1:44" s="30" customFormat="1" ht="14.1" customHeight="1">
      <c r="A911" s="673" t="e">
        <f>+'Estimate Details'!#REF!</f>
        <v>#REF!</v>
      </c>
      <c r="B911" s="673"/>
      <c r="C911" s="673"/>
      <c r="D911" s="674"/>
      <c r="E911" s="675" t="e">
        <f>+'Estimate Details'!#REF!</f>
        <v>#REF!</v>
      </c>
      <c r="F911" s="676"/>
      <c r="G911" s="677" t="e">
        <f>+'Estimate Details'!#REF!</f>
        <v>#REF!</v>
      </c>
      <c r="H911" s="678" t="e">
        <f>+'Estimate Details'!#REF!</f>
        <v>#REF!</v>
      </c>
      <c r="I911" s="679" t="e">
        <f>+'Estimate Details'!#REF!</f>
        <v>#REF!</v>
      </c>
      <c r="J911" s="680" t="e">
        <f>+'Estimate Details'!#REF!</f>
        <v>#REF!</v>
      </c>
      <c r="K911" s="673" t="e">
        <f>+'Estimate Details'!#REF!</f>
        <v>#REF!</v>
      </c>
      <c r="L911" s="673" t="e">
        <f>+'Estimate Details'!#REF!</f>
        <v>#REF!</v>
      </c>
      <c r="M911" s="236" t="e">
        <f>+'Estimate Details'!#REF!</f>
        <v>#REF!</v>
      </c>
      <c r="N911" s="699" t="e">
        <f>+'Estimate Details'!#REF!</f>
        <v>#REF!</v>
      </c>
      <c r="O911" s="681" t="e">
        <f>+'Estimate Details'!#REF!</f>
        <v>#REF!</v>
      </c>
      <c r="P911" s="682" t="e">
        <f>+'Estimate Details'!#REF!</f>
        <v>#REF!</v>
      </c>
      <c r="Q911" s="683" t="e">
        <f>+'Estimate Details'!#REF!</f>
        <v>#REF!</v>
      </c>
      <c r="R911" s="684" t="e">
        <f>+'Estimate Details'!#REF!</f>
        <v>#REF!</v>
      </c>
      <c r="S911" s="685"/>
      <c r="T911" s="684" t="e">
        <f>+'Estimate Details'!#REF!</f>
        <v>#REF!</v>
      </c>
      <c r="U911" s="686" t="s">
        <v>1311</v>
      </c>
      <c r="V911" s="682" t="e">
        <f>+'Estimate Details'!#REF!</f>
        <v>#REF!</v>
      </c>
      <c r="W911" s="686" t="s">
        <v>1311</v>
      </c>
      <c r="X911" s="682" t="e">
        <f>+'Estimate Details'!#REF!</f>
        <v>#REF!</v>
      </c>
      <c r="Y911" s="682" t="e">
        <f>+'Estimate Details'!#REF!</f>
        <v>#REF!</v>
      </c>
      <c r="Z911" s="684" t="e">
        <f>+'Estimate Details'!#REF!</f>
        <v>#REF!</v>
      </c>
      <c r="AA911" s="686"/>
      <c r="AB911" s="687" t="e">
        <f>+'Estimate Details'!#REF!</f>
        <v>#REF!</v>
      </c>
      <c r="AC911" s="688"/>
      <c r="AD911" s="696" t="e">
        <f>+'Estimate Details'!#REF!</f>
        <v>#REF!</v>
      </c>
      <c r="AE911" s="156"/>
      <c r="AF911" s="372"/>
      <c r="AG911" s="156"/>
      <c r="AH911" s="156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</row>
    <row r="912" spans="1:44" s="30" customFormat="1" ht="14.1" customHeight="1">
      <c r="A912" s="673" t="e">
        <f>+'Estimate Details'!#REF!</f>
        <v>#REF!</v>
      </c>
      <c r="B912" s="673"/>
      <c r="C912" s="673"/>
      <c r="D912" s="674"/>
      <c r="E912" s="675">
        <f>+'Estimate Details'!A58</f>
        <v>47</v>
      </c>
      <c r="F912" s="676"/>
      <c r="G912" s="677" t="e">
        <f>+'Estimate Details'!#REF!</f>
        <v>#REF!</v>
      </c>
      <c r="H912" s="678" t="str">
        <f>+'Estimate Details'!D58</f>
        <v xml:space="preserve">Cable - Medium Voltage  (15kV 1C Cable) </v>
      </c>
      <c r="I912" s="679">
        <f>+'Estimate Details'!E58</f>
        <v>50000</v>
      </c>
      <c r="J912" s="680" t="str">
        <f>+'Estimate Details'!F58</f>
        <v>lf</v>
      </c>
      <c r="K912" s="673" t="str">
        <f>+'Estimate Details'!G58</f>
        <v>Contr</v>
      </c>
      <c r="L912" s="673" t="str">
        <f>+'Estimate Details'!H58</f>
        <v>Contr</v>
      </c>
      <c r="M912" s="236" t="e">
        <f>+'Estimate Details'!#REF!</f>
        <v>#REF!</v>
      </c>
      <c r="N912" s="699" t="e">
        <f>+'Estimate Details'!#REF!</f>
        <v>#REF!</v>
      </c>
      <c r="O912" s="681" t="e">
        <f>+'Estimate Details'!#REF!</f>
        <v>#REF!</v>
      </c>
      <c r="P912" s="682" t="e">
        <f>+'Estimate Details'!#REF!</f>
        <v>#REF!</v>
      </c>
      <c r="Q912" s="683" t="e">
        <f>+'Estimate Details'!#REF!</f>
        <v>#REF!</v>
      </c>
      <c r="R912" s="684" t="str">
        <f>+'Estimate Details'!N58</f>
        <v>0</v>
      </c>
      <c r="S912" s="685"/>
      <c r="T912" s="684">
        <f>+'Estimate Details'!O58</f>
        <v>980000.00000000012</v>
      </c>
      <c r="U912" s="686" t="s">
        <v>1311</v>
      </c>
      <c r="V912" s="682">
        <f>+'Estimate Details'!R58</f>
        <v>529596.72434603027</v>
      </c>
      <c r="W912" s="686" t="s">
        <v>1311</v>
      </c>
      <c r="X912" s="682" t="e">
        <f>+'Estimate Details'!#REF!</f>
        <v>#REF!</v>
      </c>
      <c r="Y912" s="682" t="e">
        <f>+'Estimate Details'!#REF!</f>
        <v>#REF!</v>
      </c>
      <c r="Z912" s="684" t="str">
        <f>+'Estimate Details'!U58</f>
        <v>0</v>
      </c>
      <c r="AA912" s="686"/>
      <c r="AB912" s="687">
        <f>+'Estimate Details'!V58</f>
        <v>1509596.7243460305</v>
      </c>
      <c r="AC912" s="688"/>
      <c r="AD912" s="696" t="str">
        <f>+'Estimate Details'!X58</f>
        <v>HDR|CB Estimated Quantity &amp; Cost</v>
      </c>
      <c r="AE912" s="156"/>
      <c r="AF912" s="372"/>
      <c r="AG912" s="156"/>
      <c r="AH912" s="156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</row>
    <row r="913" spans="1:44" s="30" customFormat="1" ht="14.1" customHeight="1">
      <c r="A913" s="673" t="e">
        <f>+'Estimate Details'!#REF!</f>
        <v>#REF!</v>
      </c>
      <c r="B913" s="673"/>
      <c r="C913" s="673"/>
      <c r="D913" s="674"/>
      <c r="E913" s="675">
        <f>+'Estimate Details'!A59</f>
        <v>48</v>
      </c>
      <c r="F913" s="676"/>
      <c r="G913" s="677" t="e">
        <f>+'Estimate Details'!#REF!</f>
        <v>#REF!</v>
      </c>
      <c r="H913" s="678" t="str">
        <f>+'Estimate Details'!D59</f>
        <v>Cable Terminations - 15kV</v>
      </c>
      <c r="I913" s="679">
        <f>+'Estimate Details'!E59</f>
        <v>60</v>
      </c>
      <c r="J913" s="680" t="str">
        <f>+'Estimate Details'!F59</f>
        <v>ea</v>
      </c>
      <c r="K913" s="673" t="str">
        <f>+'Estimate Details'!G59</f>
        <v>Contr</v>
      </c>
      <c r="L913" s="673" t="str">
        <f>+'Estimate Details'!H59</f>
        <v>Contr</v>
      </c>
      <c r="M913" s="236" t="e">
        <f>+'Estimate Details'!#REF!</f>
        <v>#REF!</v>
      </c>
      <c r="N913" s="699" t="e">
        <f>+'Estimate Details'!#REF!</f>
        <v>#REF!</v>
      </c>
      <c r="O913" s="681" t="e">
        <f>+'Estimate Details'!#REF!</f>
        <v>#REF!</v>
      </c>
      <c r="P913" s="682" t="e">
        <f>+'Estimate Details'!#REF!</f>
        <v>#REF!</v>
      </c>
      <c r="Q913" s="683" t="e">
        <f>+'Estimate Details'!#REF!</f>
        <v>#REF!</v>
      </c>
      <c r="R913" s="684" t="str">
        <f>+'Estimate Details'!N59</f>
        <v>0</v>
      </c>
      <c r="S913" s="685"/>
      <c r="T913" s="684">
        <f>+'Estimate Details'!O59</f>
        <v>11700</v>
      </c>
      <c r="U913" s="686" t="s">
        <v>1311</v>
      </c>
      <c r="V913" s="682">
        <f>+'Estimate Details'!R59</f>
        <v>38130.964152914181</v>
      </c>
      <c r="W913" s="686" t="s">
        <v>1311</v>
      </c>
      <c r="X913" s="682" t="e">
        <f>+'Estimate Details'!#REF!</f>
        <v>#REF!</v>
      </c>
      <c r="Y913" s="682" t="e">
        <f>+'Estimate Details'!#REF!</f>
        <v>#REF!</v>
      </c>
      <c r="Z913" s="684" t="str">
        <f>+'Estimate Details'!U59</f>
        <v>0</v>
      </c>
      <c r="AA913" s="686"/>
      <c r="AB913" s="687">
        <f>+'Estimate Details'!V59</f>
        <v>49830.964152914181</v>
      </c>
      <c r="AC913" s="688"/>
      <c r="AD913" s="696" t="str">
        <f>+'Estimate Details'!X59</f>
        <v>HDR|CB Estimated Quantity &amp; Cost</v>
      </c>
      <c r="AE913" s="156"/>
      <c r="AF913" s="372"/>
      <c r="AG913" s="156"/>
      <c r="AH913" s="156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</row>
    <row r="914" spans="1:44" s="30" customFormat="1" ht="14.1" customHeight="1">
      <c r="A914" s="673" t="e">
        <f>+'Estimate Details'!#REF!</f>
        <v>#REF!</v>
      </c>
      <c r="B914" s="673"/>
      <c r="C914" s="673"/>
      <c r="D914" s="674"/>
      <c r="E914" s="675">
        <f>+'Estimate Details'!A60</f>
        <v>49</v>
      </c>
      <c r="F914" s="676"/>
      <c r="G914" s="677" t="e">
        <f>+'Estimate Details'!#REF!</f>
        <v>#REF!</v>
      </c>
      <c r="H914" s="678" t="str">
        <f>+'Estimate Details'!D60</f>
        <v>Cable 600V Power 1/C</v>
      </c>
      <c r="I914" s="679">
        <f>+'Estimate Details'!E60</f>
        <v>124000</v>
      </c>
      <c r="J914" s="680" t="str">
        <f>+'Estimate Details'!F60</f>
        <v>lf</v>
      </c>
      <c r="K914" s="673" t="str">
        <f>+'Estimate Details'!G60</f>
        <v>Contr</v>
      </c>
      <c r="L914" s="673" t="str">
        <f>+'Estimate Details'!H60</f>
        <v>Contr</v>
      </c>
      <c r="M914" s="236" t="e">
        <f>+'Estimate Details'!#REF!</f>
        <v>#REF!</v>
      </c>
      <c r="N914" s="699" t="e">
        <f>+'Estimate Details'!#REF!</f>
        <v>#REF!</v>
      </c>
      <c r="O914" s="681" t="e">
        <f>+'Estimate Details'!#REF!</f>
        <v>#REF!</v>
      </c>
      <c r="P914" s="682" t="e">
        <f>+'Estimate Details'!#REF!</f>
        <v>#REF!</v>
      </c>
      <c r="Q914" s="683" t="e">
        <f>+'Estimate Details'!#REF!</f>
        <v>#REF!</v>
      </c>
      <c r="R914" s="684" t="str">
        <f>+'Estimate Details'!N60</f>
        <v>0</v>
      </c>
      <c r="S914" s="685"/>
      <c r="T914" s="684">
        <f>+'Estimate Details'!O60</f>
        <v>812200</v>
      </c>
      <c r="U914" s="686" t="s">
        <v>1311</v>
      </c>
      <c r="V914" s="682">
        <f>+'Estimate Details'!R60</f>
        <v>985049.90728361625</v>
      </c>
      <c r="W914" s="686" t="s">
        <v>1311</v>
      </c>
      <c r="X914" s="682" t="e">
        <f>+'Estimate Details'!#REF!</f>
        <v>#REF!</v>
      </c>
      <c r="Y914" s="682" t="e">
        <f>+'Estimate Details'!#REF!</f>
        <v>#REF!</v>
      </c>
      <c r="Z914" s="684" t="str">
        <f>+'Estimate Details'!U60</f>
        <v>0</v>
      </c>
      <c r="AA914" s="686"/>
      <c r="AB914" s="687">
        <f>+'Estimate Details'!V60</f>
        <v>1797249.9072836163</v>
      </c>
      <c r="AC914" s="688"/>
      <c r="AD914" s="696" t="str">
        <f>+'Estimate Details'!X60</f>
        <v>HDR|CB Estimated Quantity &amp; Cost</v>
      </c>
      <c r="AE914" s="156"/>
      <c r="AF914" s="372"/>
      <c r="AG914" s="156"/>
      <c r="AH914" s="156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</row>
    <row r="915" spans="1:44" s="30" customFormat="1" ht="14.1" customHeight="1">
      <c r="A915" s="673" t="e">
        <f>+'Estimate Details'!#REF!</f>
        <v>#REF!</v>
      </c>
      <c r="B915" s="673"/>
      <c r="C915" s="673"/>
      <c r="D915" s="674"/>
      <c r="E915" s="675">
        <f>+'Estimate Details'!A61</f>
        <v>50</v>
      </c>
      <c r="F915" s="676"/>
      <c r="G915" s="677" t="e">
        <f>+'Estimate Details'!#REF!</f>
        <v>#REF!</v>
      </c>
      <c r="H915" s="678" t="str">
        <f>+'Estimate Details'!D61</f>
        <v>Wire 600V Power 3/c # 10 ave. size</v>
      </c>
      <c r="I915" s="679">
        <f>+'Estimate Details'!E61</f>
        <v>1000</v>
      </c>
      <c r="J915" s="680" t="str">
        <f>+'Estimate Details'!F61</f>
        <v>lf</v>
      </c>
      <c r="K915" s="673" t="str">
        <f>+'Estimate Details'!G61</f>
        <v>Contr</v>
      </c>
      <c r="L915" s="673" t="str">
        <f>+'Estimate Details'!H61</f>
        <v>Contr</v>
      </c>
      <c r="M915" s="236" t="e">
        <f>+'Estimate Details'!#REF!</f>
        <v>#REF!</v>
      </c>
      <c r="N915" s="699" t="e">
        <f>+'Estimate Details'!#REF!</f>
        <v>#REF!</v>
      </c>
      <c r="O915" s="681" t="e">
        <f>+'Estimate Details'!#REF!</f>
        <v>#REF!</v>
      </c>
      <c r="P915" s="682" t="e">
        <f>+'Estimate Details'!#REF!</f>
        <v>#REF!</v>
      </c>
      <c r="Q915" s="683" t="e">
        <f>+'Estimate Details'!#REF!</f>
        <v>#REF!</v>
      </c>
      <c r="R915" s="684" t="str">
        <f>+'Estimate Details'!N61</f>
        <v>0</v>
      </c>
      <c r="S915" s="685"/>
      <c r="T915" s="684">
        <f>+'Estimate Details'!O61</f>
        <v>270</v>
      </c>
      <c r="U915" s="686" t="s">
        <v>1311</v>
      </c>
      <c r="V915" s="682">
        <f>+'Estimate Details'!R61</f>
        <v>979.75394004015595</v>
      </c>
      <c r="W915" s="686" t="s">
        <v>1311</v>
      </c>
      <c r="X915" s="682" t="e">
        <f>+'Estimate Details'!#REF!</f>
        <v>#REF!</v>
      </c>
      <c r="Y915" s="682" t="e">
        <f>+'Estimate Details'!#REF!</f>
        <v>#REF!</v>
      </c>
      <c r="Z915" s="684" t="str">
        <f>+'Estimate Details'!U61</f>
        <v>0</v>
      </c>
      <c r="AA915" s="686"/>
      <c r="AB915" s="687">
        <f>+'Estimate Details'!V61</f>
        <v>1249.7539400401561</v>
      </c>
      <c r="AC915" s="688"/>
      <c r="AD915" s="696" t="str">
        <f>+'Estimate Details'!X61</f>
        <v>HDR|CB Estimated Quantity &amp; Cost</v>
      </c>
      <c r="AE915" s="156"/>
      <c r="AF915" s="372"/>
      <c r="AG915" s="156"/>
      <c r="AH915" s="156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</row>
    <row r="916" spans="1:44" s="30" customFormat="1" ht="14.1" customHeight="1">
      <c r="A916" s="673" t="e">
        <f>+'Estimate Details'!#REF!</f>
        <v>#REF!</v>
      </c>
      <c r="B916" s="673"/>
      <c r="C916" s="673"/>
      <c r="D916" s="674"/>
      <c r="E916" s="675" t="e">
        <f>+'Estimate Details'!#REF!</f>
        <v>#REF!</v>
      </c>
      <c r="F916" s="676"/>
      <c r="G916" s="677" t="e">
        <f>+'Estimate Details'!#REF!</f>
        <v>#REF!</v>
      </c>
      <c r="H916" s="678" t="e">
        <f>+'Estimate Details'!#REF!</f>
        <v>#REF!</v>
      </c>
      <c r="I916" s="679" t="e">
        <f>+'Estimate Details'!#REF!</f>
        <v>#REF!</v>
      </c>
      <c r="J916" s="680" t="e">
        <f>+'Estimate Details'!#REF!</f>
        <v>#REF!</v>
      </c>
      <c r="K916" s="673" t="e">
        <f>+'Estimate Details'!#REF!</f>
        <v>#REF!</v>
      </c>
      <c r="L916" s="673" t="e">
        <f>+'Estimate Details'!#REF!</f>
        <v>#REF!</v>
      </c>
      <c r="M916" s="236" t="e">
        <f>+'Estimate Details'!#REF!</f>
        <v>#REF!</v>
      </c>
      <c r="N916" s="699" t="e">
        <f>+'Estimate Details'!#REF!</f>
        <v>#REF!</v>
      </c>
      <c r="O916" s="681" t="e">
        <f>+'Estimate Details'!#REF!</f>
        <v>#REF!</v>
      </c>
      <c r="P916" s="682" t="e">
        <f>+'Estimate Details'!#REF!</f>
        <v>#REF!</v>
      </c>
      <c r="Q916" s="683" t="e">
        <f>+'Estimate Details'!#REF!</f>
        <v>#REF!</v>
      </c>
      <c r="R916" s="684" t="e">
        <f>+'Estimate Details'!#REF!</f>
        <v>#REF!</v>
      </c>
      <c r="S916" s="685"/>
      <c r="T916" s="684" t="e">
        <f>+'Estimate Details'!#REF!</f>
        <v>#REF!</v>
      </c>
      <c r="U916" s="686" t="s">
        <v>1311</v>
      </c>
      <c r="V916" s="682" t="e">
        <f>+'Estimate Details'!#REF!</f>
        <v>#REF!</v>
      </c>
      <c r="W916" s="686" t="s">
        <v>1311</v>
      </c>
      <c r="X916" s="682" t="e">
        <f>+'Estimate Details'!#REF!</f>
        <v>#REF!</v>
      </c>
      <c r="Y916" s="682" t="e">
        <f>+'Estimate Details'!#REF!</f>
        <v>#REF!</v>
      </c>
      <c r="Z916" s="684" t="e">
        <f>+'Estimate Details'!#REF!</f>
        <v>#REF!</v>
      </c>
      <c r="AA916" s="686"/>
      <c r="AB916" s="687" t="e">
        <f>+'Estimate Details'!#REF!</f>
        <v>#REF!</v>
      </c>
      <c r="AC916" s="688"/>
      <c r="AD916" s="696" t="e">
        <f>+'Estimate Details'!#REF!</f>
        <v>#REF!</v>
      </c>
      <c r="AE916" s="156"/>
      <c r="AF916" s="372"/>
      <c r="AG916" s="156"/>
      <c r="AH916" s="156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</row>
    <row r="917" spans="1:44" s="30" customFormat="1" ht="14.1" customHeight="1">
      <c r="A917" s="673" t="e">
        <f>+'Estimate Details'!#REF!</f>
        <v>#REF!</v>
      </c>
      <c r="B917" s="673"/>
      <c r="C917" s="673"/>
      <c r="D917" s="674"/>
      <c r="E917" s="675" t="e">
        <f>+'Estimate Details'!#REF!</f>
        <v>#REF!</v>
      </c>
      <c r="F917" s="676"/>
      <c r="G917" s="677" t="e">
        <f>+'Estimate Details'!#REF!</f>
        <v>#REF!</v>
      </c>
      <c r="H917" s="678" t="e">
        <f>+'Estimate Details'!#REF!</f>
        <v>#REF!</v>
      </c>
      <c r="I917" s="679" t="e">
        <f>+'Estimate Details'!#REF!</f>
        <v>#REF!</v>
      </c>
      <c r="J917" s="680" t="e">
        <f>+'Estimate Details'!#REF!</f>
        <v>#REF!</v>
      </c>
      <c r="K917" s="673" t="e">
        <f>+'Estimate Details'!#REF!</f>
        <v>#REF!</v>
      </c>
      <c r="L917" s="673" t="e">
        <f>+'Estimate Details'!#REF!</f>
        <v>#REF!</v>
      </c>
      <c r="M917" s="236" t="e">
        <f>+'Estimate Details'!#REF!</f>
        <v>#REF!</v>
      </c>
      <c r="N917" s="699" t="e">
        <f>+'Estimate Details'!#REF!</f>
        <v>#REF!</v>
      </c>
      <c r="O917" s="681" t="e">
        <f>+'Estimate Details'!#REF!</f>
        <v>#REF!</v>
      </c>
      <c r="P917" s="682" t="e">
        <f>+'Estimate Details'!#REF!</f>
        <v>#REF!</v>
      </c>
      <c r="Q917" s="683" t="e">
        <f>+'Estimate Details'!#REF!</f>
        <v>#REF!</v>
      </c>
      <c r="R917" s="684" t="e">
        <f>+'Estimate Details'!#REF!</f>
        <v>#REF!</v>
      </c>
      <c r="S917" s="685"/>
      <c r="T917" s="684" t="e">
        <f>+'Estimate Details'!#REF!</f>
        <v>#REF!</v>
      </c>
      <c r="U917" s="686" t="s">
        <v>1311</v>
      </c>
      <c r="V917" s="682" t="e">
        <f>+'Estimate Details'!#REF!</f>
        <v>#REF!</v>
      </c>
      <c r="W917" s="686" t="s">
        <v>1311</v>
      </c>
      <c r="X917" s="682" t="e">
        <f>+'Estimate Details'!#REF!</f>
        <v>#REF!</v>
      </c>
      <c r="Y917" s="682" t="e">
        <f>+'Estimate Details'!#REF!</f>
        <v>#REF!</v>
      </c>
      <c r="Z917" s="684" t="e">
        <f>+'Estimate Details'!#REF!</f>
        <v>#REF!</v>
      </c>
      <c r="AA917" s="686"/>
      <c r="AB917" s="687" t="e">
        <f>+'Estimate Details'!#REF!</f>
        <v>#REF!</v>
      </c>
      <c r="AC917" s="688"/>
      <c r="AD917" s="696" t="e">
        <f>+'Estimate Details'!#REF!</f>
        <v>#REF!</v>
      </c>
      <c r="AE917" s="156"/>
      <c r="AF917" s="372"/>
      <c r="AG917" s="156"/>
      <c r="AH917" s="156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</row>
    <row r="918" spans="1:44" s="30" customFormat="1" ht="14.1" customHeight="1">
      <c r="A918" s="673" t="e">
        <f>+'Estimate Details'!#REF!</f>
        <v>#REF!</v>
      </c>
      <c r="B918" s="673"/>
      <c r="C918" s="673"/>
      <c r="D918" s="674"/>
      <c r="E918" s="675" t="e">
        <f>+'Estimate Details'!#REF!</f>
        <v>#REF!</v>
      </c>
      <c r="F918" s="676"/>
      <c r="G918" s="677" t="e">
        <f>+'Estimate Details'!#REF!</f>
        <v>#REF!</v>
      </c>
      <c r="H918" s="678" t="e">
        <f>+'Estimate Details'!#REF!</f>
        <v>#REF!</v>
      </c>
      <c r="I918" s="679" t="e">
        <f>+'Estimate Details'!#REF!</f>
        <v>#REF!</v>
      </c>
      <c r="J918" s="680" t="e">
        <f>+'Estimate Details'!#REF!</f>
        <v>#REF!</v>
      </c>
      <c r="K918" s="673" t="e">
        <f>+'Estimate Details'!#REF!</f>
        <v>#REF!</v>
      </c>
      <c r="L918" s="673" t="e">
        <f>+'Estimate Details'!#REF!</f>
        <v>#REF!</v>
      </c>
      <c r="M918" s="236" t="e">
        <f>+'Estimate Details'!#REF!</f>
        <v>#REF!</v>
      </c>
      <c r="N918" s="699" t="e">
        <f>+'Estimate Details'!#REF!</f>
        <v>#REF!</v>
      </c>
      <c r="O918" s="681" t="e">
        <f>+'Estimate Details'!#REF!</f>
        <v>#REF!</v>
      </c>
      <c r="P918" s="682" t="e">
        <f>+'Estimate Details'!#REF!</f>
        <v>#REF!</v>
      </c>
      <c r="Q918" s="683" t="e">
        <f>+'Estimate Details'!#REF!</f>
        <v>#REF!</v>
      </c>
      <c r="R918" s="684" t="e">
        <f>+'Estimate Details'!#REF!</f>
        <v>#REF!</v>
      </c>
      <c r="S918" s="685"/>
      <c r="T918" s="684" t="e">
        <f>+'Estimate Details'!#REF!</f>
        <v>#REF!</v>
      </c>
      <c r="U918" s="686" t="s">
        <v>1311</v>
      </c>
      <c r="V918" s="682" t="e">
        <f>+'Estimate Details'!#REF!</f>
        <v>#REF!</v>
      </c>
      <c r="W918" s="686" t="s">
        <v>1311</v>
      </c>
      <c r="X918" s="682" t="e">
        <f>+'Estimate Details'!#REF!</f>
        <v>#REF!</v>
      </c>
      <c r="Y918" s="682" t="e">
        <f>+'Estimate Details'!#REF!</f>
        <v>#REF!</v>
      </c>
      <c r="Z918" s="684" t="e">
        <f>+'Estimate Details'!#REF!</f>
        <v>#REF!</v>
      </c>
      <c r="AA918" s="686"/>
      <c r="AB918" s="687" t="e">
        <f>+'Estimate Details'!#REF!</f>
        <v>#REF!</v>
      </c>
      <c r="AC918" s="688"/>
      <c r="AD918" s="696" t="e">
        <f>+'Estimate Details'!#REF!</f>
        <v>#REF!</v>
      </c>
      <c r="AE918" s="156"/>
      <c r="AF918" s="372"/>
      <c r="AG918" s="156"/>
      <c r="AH918" s="156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</row>
    <row r="919" spans="1:44" s="30" customFormat="1" ht="14.1" customHeight="1">
      <c r="A919" s="673" t="e">
        <f>+'Estimate Details'!#REF!</f>
        <v>#REF!</v>
      </c>
      <c r="B919" s="673"/>
      <c r="C919" s="673"/>
      <c r="D919" s="674"/>
      <c r="E919" s="675" t="e">
        <f>+'Estimate Details'!#REF!</f>
        <v>#REF!</v>
      </c>
      <c r="F919" s="676"/>
      <c r="G919" s="677" t="e">
        <f>+'Estimate Details'!#REF!</f>
        <v>#REF!</v>
      </c>
      <c r="H919" s="678" t="e">
        <f>+'Estimate Details'!#REF!</f>
        <v>#REF!</v>
      </c>
      <c r="I919" s="679" t="e">
        <f>+'Estimate Details'!#REF!</f>
        <v>#REF!</v>
      </c>
      <c r="J919" s="680" t="e">
        <f>+'Estimate Details'!#REF!</f>
        <v>#REF!</v>
      </c>
      <c r="K919" s="673" t="e">
        <f>+'Estimate Details'!#REF!</f>
        <v>#REF!</v>
      </c>
      <c r="L919" s="673" t="e">
        <f>+'Estimate Details'!#REF!</f>
        <v>#REF!</v>
      </c>
      <c r="M919" s="236" t="e">
        <f>+'Estimate Details'!#REF!</f>
        <v>#REF!</v>
      </c>
      <c r="N919" s="699" t="e">
        <f>+'Estimate Details'!#REF!</f>
        <v>#REF!</v>
      </c>
      <c r="O919" s="681" t="e">
        <f>+'Estimate Details'!#REF!</f>
        <v>#REF!</v>
      </c>
      <c r="P919" s="682" t="e">
        <f>+'Estimate Details'!#REF!</f>
        <v>#REF!</v>
      </c>
      <c r="Q919" s="683" t="e">
        <f>+'Estimate Details'!#REF!</f>
        <v>#REF!</v>
      </c>
      <c r="R919" s="684" t="e">
        <f>+'Estimate Details'!#REF!</f>
        <v>#REF!</v>
      </c>
      <c r="S919" s="685"/>
      <c r="T919" s="684" t="e">
        <f>+'Estimate Details'!#REF!</f>
        <v>#REF!</v>
      </c>
      <c r="U919" s="686" t="s">
        <v>1311</v>
      </c>
      <c r="V919" s="682" t="e">
        <f>+'Estimate Details'!#REF!</f>
        <v>#REF!</v>
      </c>
      <c r="W919" s="686" t="s">
        <v>1311</v>
      </c>
      <c r="X919" s="682" t="e">
        <f>+'Estimate Details'!#REF!</f>
        <v>#REF!</v>
      </c>
      <c r="Y919" s="682" t="e">
        <f>+'Estimate Details'!#REF!</f>
        <v>#REF!</v>
      </c>
      <c r="Z919" s="684" t="e">
        <f>+'Estimate Details'!#REF!</f>
        <v>#REF!</v>
      </c>
      <c r="AA919" s="686"/>
      <c r="AB919" s="687" t="e">
        <f>+'Estimate Details'!#REF!</f>
        <v>#REF!</v>
      </c>
      <c r="AC919" s="688"/>
      <c r="AD919" s="696" t="e">
        <f>+'Estimate Details'!#REF!</f>
        <v>#REF!</v>
      </c>
      <c r="AE919" s="156"/>
      <c r="AF919" s="372"/>
      <c r="AG919" s="156"/>
      <c r="AH919" s="156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</row>
    <row r="920" spans="1:44" s="30" customFormat="1" ht="14.1" customHeight="1">
      <c r="A920" s="673" t="e">
        <f>+'Estimate Details'!#REF!</f>
        <v>#REF!</v>
      </c>
      <c r="B920" s="673"/>
      <c r="C920" s="673"/>
      <c r="D920" s="674"/>
      <c r="E920" s="675" t="e">
        <f>+'Estimate Details'!#REF!</f>
        <v>#REF!</v>
      </c>
      <c r="F920" s="676"/>
      <c r="G920" s="677" t="e">
        <f>+'Estimate Details'!#REF!</f>
        <v>#REF!</v>
      </c>
      <c r="H920" s="678" t="e">
        <f>+'Estimate Details'!#REF!</f>
        <v>#REF!</v>
      </c>
      <c r="I920" s="679" t="e">
        <f>+'Estimate Details'!#REF!</f>
        <v>#REF!</v>
      </c>
      <c r="J920" s="680" t="e">
        <f>+'Estimate Details'!#REF!</f>
        <v>#REF!</v>
      </c>
      <c r="K920" s="673" t="e">
        <f>+'Estimate Details'!#REF!</f>
        <v>#REF!</v>
      </c>
      <c r="L920" s="673" t="e">
        <f>+'Estimate Details'!#REF!</f>
        <v>#REF!</v>
      </c>
      <c r="M920" s="236" t="e">
        <f>+'Estimate Details'!#REF!</f>
        <v>#REF!</v>
      </c>
      <c r="N920" s="699" t="e">
        <f>+'Estimate Details'!#REF!</f>
        <v>#REF!</v>
      </c>
      <c r="O920" s="681" t="e">
        <f>+'Estimate Details'!#REF!</f>
        <v>#REF!</v>
      </c>
      <c r="P920" s="682" t="e">
        <f>+'Estimate Details'!#REF!</f>
        <v>#REF!</v>
      </c>
      <c r="Q920" s="683" t="e">
        <f>+'Estimate Details'!#REF!</f>
        <v>#REF!</v>
      </c>
      <c r="R920" s="684" t="e">
        <f>+'Estimate Details'!#REF!</f>
        <v>#REF!</v>
      </c>
      <c r="S920" s="685"/>
      <c r="T920" s="684" t="e">
        <f>+'Estimate Details'!#REF!</f>
        <v>#REF!</v>
      </c>
      <c r="U920" s="686" t="s">
        <v>1311</v>
      </c>
      <c r="V920" s="682" t="e">
        <f>+'Estimate Details'!#REF!</f>
        <v>#REF!</v>
      </c>
      <c r="W920" s="686" t="s">
        <v>1311</v>
      </c>
      <c r="X920" s="682" t="e">
        <f>+'Estimate Details'!#REF!</f>
        <v>#REF!</v>
      </c>
      <c r="Y920" s="682" t="e">
        <f>+'Estimate Details'!#REF!</f>
        <v>#REF!</v>
      </c>
      <c r="Z920" s="684" t="e">
        <f>+'Estimate Details'!#REF!</f>
        <v>#REF!</v>
      </c>
      <c r="AA920" s="686"/>
      <c r="AB920" s="687" t="e">
        <f>+'Estimate Details'!#REF!</f>
        <v>#REF!</v>
      </c>
      <c r="AC920" s="688"/>
      <c r="AD920" s="696" t="e">
        <f>+'Estimate Details'!#REF!</f>
        <v>#REF!</v>
      </c>
      <c r="AE920" s="156"/>
      <c r="AF920" s="372"/>
      <c r="AG920" s="156"/>
      <c r="AH920" s="156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</row>
    <row r="921" spans="1:44" s="30" customFormat="1" ht="14.1" customHeight="1">
      <c r="A921" s="673" t="e">
        <f>+'Estimate Details'!#REF!</f>
        <v>#REF!</v>
      </c>
      <c r="B921" s="673"/>
      <c r="C921" s="673"/>
      <c r="D921" s="674"/>
      <c r="E921" s="675" t="e">
        <f>+'Estimate Details'!#REF!</f>
        <v>#REF!</v>
      </c>
      <c r="F921" s="676"/>
      <c r="G921" s="677" t="e">
        <f>+'Estimate Details'!#REF!</f>
        <v>#REF!</v>
      </c>
      <c r="H921" s="678" t="e">
        <f>+'Estimate Details'!#REF!</f>
        <v>#REF!</v>
      </c>
      <c r="I921" s="679" t="e">
        <f>+'Estimate Details'!#REF!</f>
        <v>#REF!</v>
      </c>
      <c r="J921" s="680" t="e">
        <f>+'Estimate Details'!#REF!</f>
        <v>#REF!</v>
      </c>
      <c r="K921" s="673" t="e">
        <f>+'Estimate Details'!#REF!</f>
        <v>#REF!</v>
      </c>
      <c r="L921" s="673" t="e">
        <f>+'Estimate Details'!#REF!</f>
        <v>#REF!</v>
      </c>
      <c r="M921" s="236" t="e">
        <f>+'Estimate Details'!#REF!</f>
        <v>#REF!</v>
      </c>
      <c r="N921" s="699" t="e">
        <f>+'Estimate Details'!#REF!</f>
        <v>#REF!</v>
      </c>
      <c r="O921" s="681" t="e">
        <f>+'Estimate Details'!#REF!</f>
        <v>#REF!</v>
      </c>
      <c r="P921" s="682" t="e">
        <f>+'Estimate Details'!#REF!</f>
        <v>#REF!</v>
      </c>
      <c r="Q921" s="683" t="e">
        <f>+'Estimate Details'!#REF!</f>
        <v>#REF!</v>
      </c>
      <c r="R921" s="684" t="e">
        <f>+'Estimate Details'!#REF!</f>
        <v>#REF!</v>
      </c>
      <c r="S921" s="685"/>
      <c r="T921" s="684" t="e">
        <f>+'Estimate Details'!#REF!</f>
        <v>#REF!</v>
      </c>
      <c r="U921" s="686" t="s">
        <v>1311</v>
      </c>
      <c r="V921" s="682" t="e">
        <f>+'Estimate Details'!#REF!</f>
        <v>#REF!</v>
      </c>
      <c r="W921" s="686" t="s">
        <v>1311</v>
      </c>
      <c r="X921" s="682" t="e">
        <f>+'Estimate Details'!#REF!</f>
        <v>#REF!</v>
      </c>
      <c r="Y921" s="682" t="e">
        <f>+'Estimate Details'!#REF!</f>
        <v>#REF!</v>
      </c>
      <c r="Z921" s="684" t="e">
        <f>+'Estimate Details'!#REF!</f>
        <v>#REF!</v>
      </c>
      <c r="AA921" s="686"/>
      <c r="AB921" s="687" t="e">
        <f>+'Estimate Details'!#REF!</f>
        <v>#REF!</v>
      </c>
      <c r="AC921" s="688"/>
      <c r="AD921" s="696" t="e">
        <f>+'Estimate Details'!#REF!</f>
        <v>#REF!</v>
      </c>
      <c r="AE921" s="156"/>
      <c r="AF921" s="372"/>
      <c r="AG921" s="156"/>
      <c r="AH921" s="156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</row>
    <row r="922" spans="1:44" s="30" customFormat="1" ht="13.5" customHeight="1">
      <c r="A922" s="673" t="e">
        <f>+'Estimate Details'!#REF!</f>
        <v>#REF!</v>
      </c>
      <c r="B922" s="673"/>
      <c r="C922" s="673"/>
      <c r="D922" s="674"/>
      <c r="E922" s="675" t="e">
        <f>+'Estimate Details'!#REF!</f>
        <v>#REF!</v>
      </c>
      <c r="F922" s="676"/>
      <c r="G922" s="677" t="e">
        <f>+'Estimate Details'!#REF!</f>
        <v>#REF!</v>
      </c>
      <c r="H922" s="678" t="e">
        <f>+'Estimate Details'!#REF!</f>
        <v>#REF!</v>
      </c>
      <c r="I922" s="679" t="e">
        <f>+'Estimate Details'!#REF!</f>
        <v>#REF!</v>
      </c>
      <c r="J922" s="680" t="e">
        <f>+'Estimate Details'!#REF!</f>
        <v>#REF!</v>
      </c>
      <c r="K922" s="673" t="e">
        <f>+'Estimate Details'!#REF!</f>
        <v>#REF!</v>
      </c>
      <c r="L922" s="673" t="e">
        <f>+'Estimate Details'!#REF!</f>
        <v>#REF!</v>
      </c>
      <c r="M922" s="236" t="e">
        <f>+'Estimate Details'!#REF!</f>
        <v>#REF!</v>
      </c>
      <c r="N922" s="699" t="e">
        <f>+'Estimate Details'!#REF!</f>
        <v>#REF!</v>
      </c>
      <c r="O922" s="681" t="e">
        <f>+'Estimate Details'!#REF!</f>
        <v>#REF!</v>
      </c>
      <c r="P922" s="682" t="e">
        <f>+'Estimate Details'!#REF!</f>
        <v>#REF!</v>
      </c>
      <c r="Q922" s="683" t="e">
        <f>+'Estimate Details'!#REF!</f>
        <v>#REF!</v>
      </c>
      <c r="R922" s="684" t="e">
        <f>+'Estimate Details'!#REF!</f>
        <v>#REF!</v>
      </c>
      <c r="S922" s="685"/>
      <c r="T922" s="684" t="e">
        <f>+'Estimate Details'!#REF!</f>
        <v>#REF!</v>
      </c>
      <c r="U922" s="686" t="s">
        <v>1311</v>
      </c>
      <c r="V922" s="682" t="e">
        <f>+'Estimate Details'!#REF!</f>
        <v>#REF!</v>
      </c>
      <c r="W922" s="686" t="s">
        <v>1311</v>
      </c>
      <c r="X922" s="682" t="e">
        <f>+'Estimate Details'!#REF!</f>
        <v>#REF!</v>
      </c>
      <c r="Y922" s="682" t="e">
        <f>+'Estimate Details'!#REF!</f>
        <v>#REF!</v>
      </c>
      <c r="Z922" s="684" t="e">
        <f>+'Estimate Details'!#REF!</f>
        <v>#REF!</v>
      </c>
      <c r="AA922" s="686"/>
      <c r="AB922" s="687" t="e">
        <f>+'Estimate Details'!#REF!</f>
        <v>#REF!</v>
      </c>
      <c r="AC922" s="688"/>
      <c r="AD922" s="696" t="e">
        <f>+'Estimate Details'!#REF!</f>
        <v>#REF!</v>
      </c>
      <c r="AE922" s="156"/>
      <c r="AF922" s="372"/>
      <c r="AG922" s="156"/>
      <c r="AH922" s="156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</row>
    <row r="923" spans="1:44" s="30" customFormat="1" ht="14.1" customHeight="1">
      <c r="A923" s="673" t="e">
        <f>+'Estimate Details'!#REF!</f>
        <v>#REF!</v>
      </c>
      <c r="B923" s="673"/>
      <c r="C923" s="673"/>
      <c r="D923" s="674"/>
      <c r="E923" s="675">
        <f>+'Estimate Details'!A62</f>
        <v>51</v>
      </c>
      <c r="F923" s="676"/>
      <c r="G923" s="677" t="e">
        <f>+'Estimate Details'!#REF!</f>
        <v>#REF!</v>
      </c>
      <c r="H923" s="678" t="str">
        <f>+'Estimate Details'!D62</f>
        <v>Cable Terminations - low voltage</v>
      </c>
      <c r="I923" s="679">
        <f>+'Estimate Details'!E62</f>
        <v>15000</v>
      </c>
      <c r="J923" s="680" t="str">
        <f>+'Estimate Details'!F62</f>
        <v>ea</v>
      </c>
      <c r="K923" s="673" t="str">
        <f>+'Estimate Details'!G62</f>
        <v>Contr</v>
      </c>
      <c r="L923" s="673" t="str">
        <f>+'Estimate Details'!H62</f>
        <v>Contr</v>
      </c>
      <c r="M923" s="236" t="e">
        <f>+'Estimate Details'!#REF!</f>
        <v>#REF!</v>
      </c>
      <c r="N923" s="699" t="e">
        <f>+'Estimate Details'!#REF!</f>
        <v>#REF!</v>
      </c>
      <c r="O923" s="681" t="e">
        <f>+'Estimate Details'!#REF!</f>
        <v>#REF!</v>
      </c>
      <c r="P923" s="682" t="e">
        <f>+'Estimate Details'!#REF!</f>
        <v>#REF!</v>
      </c>
      <c r="Q923" s="683" t="e">
        <f>+'Estimate Details'!#REF!</f>
        <v>#REF!</v>
      </c>
      <c r="R923" s="684" t="str">
        <f>+'Estimate Details'!N62</f>
        <v>0</v>
      </c>
      <c r="S923" s="685"/>
      <c r="T923" s="684">
        <f>+'Estimate Details'!O62</f>
        <v>12750</v>
      </c>
      <c r="U923" s="686" t="s">
        <v>1311</v>
      </c>
      <c r="V923" s="682">
        <f>+'Estimate Details'!R62</f>
        <v>238318.52595571365</v>
      </c>
      <c r="W923" s="686" t="s">
        <v>1311</v>
      </c>
      <c r="X923" s="682" t="e">
        <f>+'Estimate Details'!#REF!</f>
        <v>#REF!</v>
      </c>
      <c r="Y923" s="682" t="e">
        <f>+'Estimate Details'!#REF!</f>
        <v>#REF!</v>
      </c>
      <c r="Z923" s="684" t="str">
        <f>+'Estimate Details'!U62</f>
        <v>0</v>
      </c>
      <c r="AA923" s="686"/>
      <c r="AB923" s="687">
        <f>+'Estimate Details'!V62</f>
        <v>251068.52595571365</v>
      </c>
      <c r="AC923" s="688"/>
      <c r="AD923" s="696" t="str">
        <f>+'Estimate Details'!X62</f>
        <v>HDR|CB Estimated Quantity &amp; Cost</v>
      </c>
      <c r="AE923" s="156"/>
      <c r="AF923" s="372"/>
      <c r="AG923" s="156"/>
      <c r="AH923" s="156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</row>
    <row r="924" spans="1:44" s="30" customFormat="1" ht="14.1" customHeight="1">
      <c r="A924" s="673" t="e">
        <f>+'Estimate Details'!#REF!</f>
        <v>#REF!</v>
      </c>
      <c r="B924" s="673"/>
      <c r="C924" s="673"/>
      <c r="D924" s="674"/>
      <c r="E924" s="675" t="e">
        <f>+'Estimate Details'!#REF!</f>
        <v>#REF!</v>
      </c>
      <c r="F924" s="676"/>
      <c r="G924" s="677" t="e">
        <f>+'Estimate Details'!#REF!</f>
        <v>#REF!</v>
      </c>
      <c r="H924" s="678" t="e">
        <f>+'Estimate Details'!#REF!</f>
        <v>#REF!</v>
      </c>
      <c r="I924" s="679" t="e">
        <f>+'Estimate Details'!#REF!</f>
        <v>#REF!</v>
      </c>
      <c r="J924" s="680" t="e">
        <f>+'Estimate Details'!#REF!</f>
        <v>#REF!</v>
      </c>
      <c r="K924" s="673" t="e">
        <f>+'Estimate Details'!#REF!</f>
        <v>#REF!</v>
      </c>
      <c r="L924" s="673" t="e">
        <f>+'Estimate Details'!#REF!</f>
        <v>#REF!</v>
      </c>
      <c r="M924" s="236" t="e">
        <f>+'Estimate Details'!#REF!</f>
        <v>#REF!</v>
      </c>
      <c r="N924" s="699" t="e">
        <f>+'Estimate Details'!#REF!</f>
        <v>#REF!</v>
      </c>
      <c r="O924" s="681" t="e">
        <f>+'Estimate Details'!#REF!</f>
        <v>#REF!</v>
      </c>
      <c r="P924" s="682" t="e">
        <f>+'Estimate Details'!#REF!</f>
        <v>#REF!</v>
      </c>
      <c r="Q924" s="683" t="e">
        <f>+'Estimate Details'!#REF!</f>
        <v>#REF!</v>
      </c>
      <c r="R924" s="684" t="e">
        <f>+'Estimate Details'!#REF!</f>
        <v>#REF!</v>
      </c>
      <c r="S924" s="685"/>
      <c r="T924" s="684" t="e">
        <f>+'Estimate Details'!#REF!</f>
        <v>#REF!</v>
      </c>
      <c r="U924" s="686" t="s">
        <v>1311</v>
      </c>
      <c r="V924" s="682" t="e">
        <f>+'Estimate Details'!#REF!</f>
        <v>#REF!</v>
      </c>
      <c r="W924" s="686" t="s">
        <v>1311</v>
      </c>
      <c r="X924" s="682" t="e">
        <f>+'Estimate Details'!#REF!</f>
        <v>#REF!</v>
      </c>
      <c r="Y924" s="682" t="e">
        <f>+'Estimate Details'!#REF!</f>
        <v>#REF!</v>
      </c>
      <c r="Z924" s="684" t="e">
        <f>+'Estimate Details'!#REF!</f>
        <v>#REF!</v>
      </c>
      <c r="AA924" s="686"/>
      <c r="AB924" s="687" t="e">
        <f>+'Estimate Details'!#REF!</f>
        <v>#REF!</v>
      </c>
      <c r="AC924" s="688"/>
      <c r="AD924" s="696" t="e">
        <f>+'Estimate Details'!#REF!</f>
        <v>#REF!</v>
      </c>
      <c r="AE924" s="156"/>
      <c r="AF924" s="372"/>
      <c r="AG924" s="156"/>
      <c r="AH924" s="156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</row>
    <row r="925" spans="1:44" s="30" customFormat="1" ht="14.1" customHeight="1">
      <c r="A925" s="673" t="e">
        <f>+'Estimate Details'!#REF!</f>
        <v>#REF!</v>
      </c>
      <c r="B925" s="673"/>
      <c r="C925" s="673"/>
      <c r="D925" s="674"/>
      <c r="E925" s="675" t="e">
        <f>+'Estimate Details'!#REF!</f>
        <v>#REF!</v>
      </c>
      <c r="F925" s="676"/>
      <c r="G925" s="677" t="e">
        <f>+'Estimate Details'!#REF!</f>
        <v>#REF!</v>
      </c>
      <c r="H925" s="678" t="e">
        <f>+'Estimate Details'!#REF!</f>
        <v>#REF!</v>
      </c>
      <c r="I925" s="679" t="e">
        <f>+'Estimate Details'!#REF!</f>
        <v>#REF!</v>
      </c>
      <c r="J925" s="680" t="e">
        <f>+'Estimate Details'!#REF!</f>
        <v>#REF!</v>
      </c>
      <c r="K925" s="673" t="e">
        <f>+'Estimate Details'!#REF!</f>
        <v>#REF!</v>
      </c>
      <c r="L925" s="673" t="e">
        <f>+'Estimate Details'!#REF!</f>
        <v>#REF!</v>
      </c>
      <c r="M925" s="236" t="e">
        <f>+'Estimate Details'!#REF!</f>
        <v>#REF!</v>
      </c>
      <c r="N925" s="699" t="e">
        <f>+'Estimate Details'!#REF!</f>
        <v>#REF!</v>
      </c>
      <c r="O925" s="681" t="e">
        <f>+'Estimate Details'!#REF!</f>
        <v>#REF!</v>
      </c>
      <c r="P925" s="682" t="e">
        <f>+'Estimate Details'!#REF!</f>
        <v>#REF!</v>
      </c>
      <c r="Q925" s="683" t="e">
        <f>+'Estimate Details'!#REF!</f>
        <v>#REF!</v>
      </c>
      <c r="R925" s="684" t="e">
        <f>+'Estimate Details'!#REF!</f>
        <v>#REF!</v>
      </c>
      <c r="S925" s="685"/>
      <c r="T925" s="684" t="e">
        <f>+'Estimate Details'!#REF!</f>
        <v>#REF!</v>
      </c>
      <c r="U925" s="686" t="s">
        <v>1311</v>
      </c>
      <c r="V925" s="682" t="e">
        <f>+'Estimate Details'!#REF!</f>
        <v>#REF!</v>
      </c>
      <c r="W925" s="686" t="s">
        <v>1311</v>
      </c>
      <c r="X925" s="682" t="e">
        <f>+'Estimate Details'!#REF!</f>
        <v>#REF!</v>
      </c>
      <c r="Y925" s="682" t="e">
        <f>+'Estimate Details'!#REF!</f>
        <v>#REF!</v>
      </c>
      <c r="Z925" s="684" t="e">
        <f>+'Estimate Details'!#REF!</f>
        <v>#REF!</v>
      </c>
      <c r="AA925" s="686"/>
      <c r="AB925" s="687" t="e">
        <f>+'Estimate Details'!#REF!</f>
        <v>#REF!</v>
      </c>
      <c r="AC925" s="688"/>
      <c r="AD925" s="696" t="e">
        <f>+'Estimate Details'!#REF!</f>
        <v>#REF!</v>
      </c>
      <c r="AE925" s="156"/>
      <c r="AF925" s="372"/>
      <c r="AG925" s="156"/>
      <c r="AH925" s="156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</row>
    <row r="926" spans="1:44" s="30" customFormat="1" ht="14.1" customHeight="1">
      <c r="A926" s="673" t="e">
        <f>+'Estimate Details'!#REF!</f>
        <v>#REF!</v>
      </c>
      <c r="B926" s="673"/>
      <c r="C926" s="673"/>
      <c r="D926" s="674"/>
      <c r="E926" s="675" t="e">
        <f>+'Estimate Details'!#REF!</f>
        <v>#REF!</v>
      </c>
      <c r="F926" s="676"/>
      <c r="G926" s="677" t="e">
        <f>+'Estimate Details'!#REF!</f>
        <v>#REF!</v>
      </c>
      <c r="H926" s="678" t="e">
        <f>+'Estimate Details'!#REF!</f>
        <v>#REF!</v>
      </c>
      <c r="I926" s="679" t="e">
        <f>+'Estimate Details'!#REF!</f>
        <v>#REF!</v>
      </c>
      <c r="J926" s="680" t="e">
        <f>+'Estimate Details'!#REF!</f>
        <v>#REF!</v>
      </c>
      <c r="K926" s="673" t="e">
        <f>+'Estimate Details'!#REF!</f>
        <v>#REF!</v>
      </c>
      <c r="L926" s="673" t="e">
        <f>+'Estimate Details'!#REF!</f>
        <v>#REF!</v>
      </c>
      <c r="M926" s="236" t="e">
        <f>+'Estimate Details'!#REF!</f>
        <v>#REF!</v>
      </c>
      <c r="N926" s="699" t="e">
        <f>+'Estimate Details'!#REF!</f>
        <v>#REF!</v>
      </c>
      <c r="O926" s="681" t="e">
        <f>+'Estimate Details'!#REF!</f>
        <v>#REF!</v>
      </c>
      <c r="P926" s="682" t="e">
        <f>+'Estimate Details'!#REF!</f>
        <v>#REF!</v>
      </c>
      <c r="Q926" s="683" t="e">
        <f>+'Estimate Details'!#REF!</f>
        <v>#REF!</v>
      </c>
      <c r="R926" s="684" t="e">
        <f>+'Estimate Details'!#REF!</f>
        <v>#REF!</v>
      </c>
      <c r="S926" s="685"/>
      <c r="T926" s="684" t="e">
        <f>+'Estimate Details'!#REF!</f>
        <v>#REF!</v>
      </c>
      <c r="U926" s="686" t="s">
        <v>1311</v>
      </c>
      <c r="V926" s="682" t="e">
        <f>+'Estimate Details'!#REF!</f>
        <v>#REF!</v>
      </c>
      <c r="W926" s="686" t="s">
        <v>1311</v>
      </c>
      <c r="X926" s="682" t="e">
        <f>+'Estimate Details'!#REF!</f>
        <v>#REF!</v>
      </c>
      <c r="Y926" s="682" t="e">
        <f>+'Estimate Details'!#REF!</f>
        <v>#REF!</v>
      </c>
      <c r="Z926" s="684" t="e">
        <f>+'Estimate Details'!#REF!</f>
        <v>#REF!</v>
      </c>
      <c r="AA926" s="686"/>
      <c r="AB926" s="687" t="e">
        <f>+'Estimate Details'!#REF!</f>
        <v>#REF!</v>
      </c>
      <c r="AC926" s="688"/>
      <c r="AD926" s="696" t="e">
        <f>+'Estimate Details'!#REF!</f>
        <v>#REF!</v>
      </c>
      <c r="AE926" s="156"/>
      <c r="AF926" s="372"/>
      <c r="AG926" s="156"/>
      <c r="AH926" s="156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</row>
    <row r="927" spans="1:44" s="30" customFormat="1" ht="14.1" customHeight="1">
      <c r="A927" s="673" t="e">
        <f>+'Estimate Details'!#REF!</f>
        <v>#REF!</v>
      </c>
      <c r="B927" s="673"/>
      <c r="C927" s="673"/>
      <c r="D927" s="674"/>
      <c r="E927" s="675">
        <f>+'Estimate Details'!A63</f>
        <v>52</v>
      </c>
      <c r="F927" s="676"/>
      <c r="G927" s="677" t="e">
        <f>+'Estimate Details'!#REF!</f>
        <v>#REF!</v>
      </c>
      <c r="H927" s="678" t="str">
        <f>+'Estimate Details'!D63</f>
        <v>Wire - Lighting 1/C No 12</v>
      </c>
      <c r="I927" s="679">
        <f>+'Estimate Details'!E63</f>
        <v>4800</v>
      </c>
      <c r="J927" s="680" t="str">
        <f>+'Estimate Details'!F63</f>
        <v>lf</v>
      </c>
      <c r="K927" s="673" t="str">
        <f>+'Estimate Details'!G63</f>
        <v>Contr</v>
      </c>
      <c r="L927" s="673" t="str">
        <f>+'Estimate Details'!H63</f>
        <v>Contr</v>
      </c>
      <c r="M927" s="236" t="e">
        <f>+'Estimate Details'!#REF!</f>
        <v>#REF!</v>
      </c>
      <c r="N927" s="699" t="e">
        <f>+'Estimate Details'!#REF!</f>
        <v>#REF!</v>
      </c>
      <c r="O927" s="681" t="e">
        <f>+'Estimate Details'!#REF!</f>
        <v>#REF!</v>
      </c>
      <c r="P927" s="682" t="e">
        <f>+'Estimate Details'!#REF!</f>
        <v>#REF!</v>
      </c>
      <c r="Q927" s="683" t="e">
        <f>+'Estimate Details'!#REF!</f>
        <v>#REF!</v>
      </c>
      <c r="R927" s="684" t="str">
        <f>+'Estimate Details'!N63</f>
        <v>0</v>
      </c>
      <c r="S927" s="685"/>
      <c r="T927" s="684">
        <f>+'Estimate Details'!O63</f>
        <v>844.8</v>
      </c>
      <c r="U927" s="686" t="s">
        <v>1311</v>
      </c>
      <c r="V927" s="682">
        <f>+'Estimate Details'!R63</f>
        <v>4575.7156983497007</v>
      </c>
      <c r="W927" s="686" t="s">
        <v>1311</v>
      </c>
      <c r="X927" s="682" t="e">
        <f>+'Estimate Details'!#REF!</f>
        <v>#REF!</v>
      </c>
      <c r="Y927" s="682" t="e">
        <f>+'Estimate Details'!#REF!</f>
        <v>#REF!</v>
      </c>
      <c r="Z927" s="684" t="str">
        <f>+'Estimate Details'!U63</f>
        <v>0</v>
      </c>
      <c r="AA927" s="686"/>
      <c r="AB927" s="687">
        <f>+'Estimate Details'!V63</f>
        <v>5420.5156983497009</v>
      </c>
      <c r="AC927" s="688"/>
      <c r="AD927" s="696" t="str">
        <f>+'Estimate Details'!X63</f>
        <v>HDR|CB Estimated Quantity &amp; Cost</v>
      </c>
      <c r="AE927" s="156"/>
      <c r="AF927" s="372"/>
      <c r="AG927" s="156"/>
      <c r="AH927" s="156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</row>
    <row r="928" spans="1:44" s="30" customFormat="1" ht="14.1" customHeight="1">
      <c r="A928" s="673" t="e">
        <f>+'Estimate Details'!#REF!</f>
        <v>#REF!</v>
      </c>
      <c r="B928" s="673"/>
      <c r="C928" s="673"/>
      <c r="D928" s="674"/>
      <c r="E928" s="675" t="e">
        <f>+'Estimate Details'!#REF!</f>
        <v>#REF!</v>
      </c>
      <c r="F928" s="676"/>
      <c r="G928" s="677" t="e">
        <f>+'Estimate Details'!#REF!</f>
        <v>#REF!</v>
      </c>
      <c r="H928" s="678" t="e">
        <f>+'Estimate Details'!#REF!</f>
        <v>#REF!</v>
      </c>
      <c r="I928" s="679" t="e">
        <f>+'Estimate Details'!#REF!</f>
        <v>#REF!</v>
      </c>
      <c r="J928" s="680" t="e">
        <f>+'Estimate Details'!#REF!</f>
        <v>#REF!</v>
      </c>
      <c r="K928" s="673" t="e">
        <f>+'Estimate Details'!#REF!</f>
        <v>#REF!</v>
      </c>
      <c r="L928" s="673" t="e">
        <f>+'Estimate Details'!#REF!</f>
        <v>#REF!</v>
      </c>
      <c r="M928" s="236" t="e">
        <f>+'Estimate Details'!#REF!</f>
        <v>#REF!</v>
      </c>
      <c r="N928" s="699" t="e">
        <f>+'Estimate Details'!#REF!</f>
        <v>#REF!</v>
      </c>
      <c r="O928" s="681" t="e">
        <f>+'Estimate Details'!#REF!</f>
        <v>#REF!</v>
      </c>
      <c r="P928" s="682" t="e">
        <f>+'Estimate Details'!#REF!</f>
        <v>#REF!</v>
      </c>
      <c r="Q928" s="683" t="e">
        <f>+'Estimate Details'!#REF!</f>
        <v>#REF!</v>
      </c>
      <c r="R928" s="684" t="e">
        <f>+'Estimate Details'!#REF!</f>
        <v>#REF!</v>
      </c>
      <c r="S928" s="685"/>
      <c r="T928" s="684" t="e">
        <f>+'Estimate Details'!#REF!</f>
        <v>#REF!</v>
      </c>
      <c r="U928" s="686" t="s">
        <v>1311</v>
      </c>
      <c r="V928" s="682" t="e">
        <f>+'Estimate Details'!#REF!</f>
        <v>#REF!</v>
      </c>
      <c r="W928" s="686" t="s">
        <v>1311</v>
      </c>
      <c r="X928" s="682" t="e">
        <f>+'Estimate Details'!#REF!</f>
        <v>#REF!</v>
      </c>
      <c r="Y928" s="682" t="e">
        <f>+'Estimate Details'!#REF!</f>
        <v>#REF!</v>
      </c>
      <c r="Z928" s="684" t="e">
        <f>+'Estimate Details'!#REF!</f>
        <v>#REF!</v>
      </c>
      <c r="AA928" s="686"/>
      <c r="AB928" s="687" t="e">
        <f>+'Estimate Details'!#REF!</f>
        <v>#REF!</v>
      </c>
      <c r="AC928" s="688"/>
      <c r="AD928" s="696" t="e">
        <f>+'Estimate Details'!#REF!</f>
        <v>#REF!</v>
      </c>
      <c r="AE928" s="156"/>
      <c r="AF928" s="372"/>
      <c r="AG928" s="156"/>
      <c r="AH928" s="156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</row>
    <row r="929" spans="1:44" s="30" customFormat="1" ht="14.1" customHeight="1">
      <c r="A929" s="673" t="e">
        <f>+'Estimate Details'!#REF!</f>
        <v>#REF!</v>
      </c>
      <c r="B929" s="673"/>
      <c r="C929" s="673"/>
      <c r="D929" s="674"/>
      <c r="E929" s="675">
        <f>+'Estimate Details'!A64</f>
        <v>53</v>
      </c>
      <c r="F929" s="676"/>
      <c r="G929" s="677" t="e">
        <f>+'Estimate Details'!#REF!</f>
        <v>#REF!</v>
      </c>
      <c r="H929" s="678" t="str">
        <f>+'Estimate Details'!D64</f>
        <v>Lighting - Outdoor Fixtures, pole</v>
      </c>
      <c r="I929" s="679">
        <f>+'Estimate Details'!E64</f>
        <v>4</v>
      </c>
      <c r="J929" s="680" t="str">
        <f>+'Estimate Details'!F64</f>
        <v>ea</v>
      </c>
      <c r="K929" s="673" t="str">
        <f>+'Estimate Details'!G64</f>
        <v>Contr</v>
      </c>
      <c r="L929" s="673" t="str">
        <f>+'Estimate Details'!H64</f>
        <v>Contr</v>
      </c>
      <c r="M929" s="236" t="e">
        <f>+'Estimate Details'!#REF!</f>
        <v>#REF!</v>
      </c>
      <c r="N929" s="699" t="e">
        <f>+'Estimate Details'!#REF!</f>
        <v>#REF!</v>
      </c>
      <c r="O929" s="681" t="e">
        <f>+'Estimate Details'!#REF!</f>
        <v>#REF!</v>
      </c>
      <c r="P929" s="682" t="e">
        <f>+'Estimate Details'!#REF!</f>
        <v>#REF!</v>
      </c>
      <c r="Q929" s="683" t="e">
        <f>+'Estimate Details'!#REF!</f>
        <v>#REF!</v>
      </c>
      <c r="R929" s="684" t="str">
        <f>+'Estimate Details'!N64</f>
        <v>0</v>
      </c>
      <c r="S929" s="685"/>
      <c r="T929" s="684">
        <f>+'Estimate Details'!O64</f>
        <v>6400</v>
      </c>
      <c r="U929" s="686" t="s">
        <v>1311</v>
      </c>
      <c r="V929" s="682">
        <f>+'Estimate Details'!R64</f>
        <v>2542.0642768609455</v>
      </c>
      <c r="W929" s="686" t="s">
        <v>1311</v>
      </c>
      <c r="X929" s="682" t="e">
        <f>+'Estimate Details'!#REF!</f>
        <v>#REF!</v>
      </c>
      <c r="Y929" s="682" t="e">
        <f>+'Estimate Details'!#REF!</f>
        <v>#REF!</v>
      </c>
      <c r="Z929" s="684" t="str">
        <f>+'Estimate Details'!U64</f>
        <v>0</v>
      </c>
      <c r="AA929" s="686"/>
      <c r="AB929" s="687">
        <f>+'Estimate Details'!V64</f>
        <v>8942.064276860945</v>
      </c>
      <c r="AC929" s="688"/>
      <c r="AD929" s="696" t="str">
        <f>+'Estimate Details'!X64</f>
        <v>HDR|CB Estimated Quantity &amp; Cost</v>
      </c>
      <c r="AE929" s="156"/>
      <c r="AF929" s="372"/>
      <c r="AG929" s="156"/>
      <c r="AH929" s="156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</row>
    <row r="930" spans="1:44" s="30" customFormat="1" ht="14.1" customHeight="1">
      <c r="A930" s="673" t="e">
        <f>+'Estimate Details'!#REF!</f>
        <v>#REF!</v>
      </c>
      <c r="B930" s="673"/>
      <c r="C930" s="673"/>
      <c r="D930" s="674"/>
      <c r="E930" s="675" t="e">
        <f>+'Estimate Details'!#REF!</f>
        <v>#REF!</v>
      </c>
      <c r="F930" s="676"/>
      <c r="G930" s="677" t="e">
        <f>+'Estimate Details'!#REF!</f>
        <v>#REF!</v>
      </c>
      <c r="H930" s="678" t="e">
        <f>+'Estimate Details'!#REF!</f>
        <v>#REF!</v>
      </c>
      <c r="I930" s="679" t="e">
        <f>+'Estimate Details'!#REF!</f>
        <v>#REF!</v>
      </c>
      <c r="J930" s="680" t="e">
        <f>+'Estimate Details'!#REF!</f>
        <v>#REF!</v>
      </c>
      <c r="K930" s="673" t="e">
        <f>+'Estimate Details'!#REF!</f>
        <v>#REF!</v>
      </c>
      <c r="L930" s="673" t="e">
        <f>+'Estimate Details'!#REF!</f>
        <v>#REF!</v>
      </c>
      <c r="M930" s="236" t="e">
        <f>+'Estimate Details'!#REF!</f>
        <v>#REF!</v>
      </c>
      <c r="N930" s="699" t="e">
        <f>+'Estimate Details'!#REF!</f>
        <v>#REF!</v>
      </c>
      <c r="O930" s="681" t="e">
        <f>+'Estimate Details'!#REF!</f>
        <v>#REF!</v>
      </c>
      <c r="P930" s="682" t="e">
        <f>+'Estimate Details'!#REF!</f>
        <v>#REF!</v>
      </c>
      <c r="Q930" s="683" t="e">
        <f>+'Estimate Details'!#REF!</f>
        <v>#REF!</v>
      </c>
      <c r="R930" s="684" t="e">
        <f>+'Estimate Details'!#REF!</f>
        <v>#REF!</v>
      </c>
      <c r="S930" s="685"/>
      <c r="T930" s="684" t="e">
        <f>+'Estimate Details'!#REF!</f>
        <v>#REF!</v>
      </c>
      <c r="U930" s="686" t="s">
        <v>1311</v>
      </c>
      <c r="V930" s="682" t="e">
        <f>+'Estimate Details'!#REF!</f>
        <v>#REF!</v>
      </c>
      <c r="W930" s="686" t="s">
        <v>1311</v>
      </c>
      <c r="X930" s="682" t="e">
        <f>+'Estimate Details'!#REF!</f>
        <v>#REF!</v>
      </c>
      <c r="Y930" s="682" t="e">
        <f>+'Estimate Details'!#REF!</f>
        <v>#REF!</v>
      </c>
      <c r="Z930" s="684" t="e">
        <f>+'Estimate Details'!#REF!</f>
        <v>#REF!</v>
      </c>
      <c r="AA930" s="686"/>
      <c r="AB930" s="687" t="e">
        <f>+'Estimate Details'!#REF!</f>
        <v>#REF!</v>
      </c>
      <c r="AC930" s="688"/>
      <c r="AD930" s="696" t="e">
        <f>+'Estimate Details'!#REF!</f>
        <v>#REF!</v>
      </c>
      <c r="AE930" s="156"/>
      <c r="AF930" s="372"/>
      <c r="AG930" s="156"/>
      <c r="AH930" s="156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</row>
    <row r="931" spans="1:44" s="30" customFormat="1" ht="14.1" customHeight="1">
      <c r="A931" s="673" t="e">
        <f>+'Estimate Details'!#REF!</f>
        <v>#REF!</v>
      </c>
      <c r="B931" s="673"/>
      <c r="C931" s="673"/>
      <c r="D931" s="674"/>
      <c r="E931" s="675" t="e">
        <f>+'Estimate Details'!#REF!</f>
        <v>#REF!</v>
      </c>
      <c r="F931" s="676"/>
      <c r="G931" s="677" t="e">
        <f>+'Estimate Details'!#REF!</f>
        <v>#REF!</v>
      </c>
      <c r="H931" s="678" t="e">
        <f>+'Estimate Details'!#REF!</f>
        <v>#REF!</v>
      </c>
      <c r="I931" s="679" t="e">
        <f>+'Estimate Details'!#REF!</f>
        <v>#REF!</v>
      </c>
      <c r="J931" s="680" t="e">
        <f>+'Estimate Details'!#REF!</f>
        <v>#REF!</v>
      </c>
      <c r="K931" s="673" t="e">
        <f>+'Estimate Details'!#REF!</f>
        <v>#REF!</v>
      </c>
      <c r="L931" s="673" t="e">
        <f>+'Estimate Details'!#REF!</f>
        <v>#REF!</v>
      </c>
      <c r="M931" s="236" t="e">
        <f>+'Estimate Details'!#REF!</f>
        <v>#REF!</v>
      </c>
      <c r="N931" s="699" t="e">
        <f>+'Estimate Details'!#REF!</f>
        <v>#REF!</v>
      </c>
      <c r="O931" s="681" t="e">
        <f>+'Estimate Details'!#REF!</f>
        <v>#REF!</v>
      </c>
      <c r="P931" s="682" t="e">
        <f>+'Estimate Details'!#REF!</f>
        <v>#REF!</v>
      </c>
      <c r="Q931" s="683" t="e">
        <f>+'Estimate Details'!#REF!</f>
        <v>#REF!</v>
      </c>
      <c r="R931" s="684" t="e">
        <f>+'Estimate Details'!#REF!</f>
        <v>#REF!</v>
      </c>
      <c r="S931" s="685"/>
      <c r="T931" s="684" t="e">
        <f>+'Estimate Details'!#REF!</f>
        <v>#REF!</v>
      </c>
      <c r="U931" s="686" t="s">
        <v>1311</v>
      </c>
      <c r="V931" s="682" t="e">
        <f>+'Estimate Details'!#REF!</f>
        <v>#REF!</v>
      </c>
      <c r="W931" s="686" t="s">
        <v>1311</v>
      </c>
      <c r="X931" s="682" t="e">
        <f>+'Estimate Details'!#REF!</f>
        <v>#REF!</v>
      </c>
      <c r="Y931" s="682" t="e">
        <f>+'Estimate Details'!#REF!</f>
        <v>#REF!</v>
      </c>
      <c r="Z931" s="684" t="e">
        <f>+'Estimate Details'!#REF!</f>
        <v>#REF!</v>
      </c>
      <c r="AA931" s="686"/>
      <c r="AB931" s="687" t="e">
        <f>+'Estimate Details'!#REF!</f>
        <v>#REF!</v>
      </c>
      <c r="AC931" s="688"/>
      <c r="AD931" s="696" t="e">
        <f>+'Estimate Details'!#REF!</f>
        <v>#REF!</v>
      </c>
      <c r="AE931" s="156"/>
      <c r="AF931" s="372"/>
      <c r="AG931" s="156"/>
      <c r="AH931" s="156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</row>
    <row r="932" spans="1:44" s="30" customFormat="1" ht="14.1" customHeight="1">
      <c r="A932" s="673" t="e">
        <f>+'Estimate Details'!#REF!</f>
        <v>#REF!</v>
      </c>
      <c r="B932" s="673"/>
      <c r="C932" s="673"/>
      <c r="D932" s="674"/>
      <c r="E932" s="675" t="e">
        <f>+'Estimate Details'!#REF!</f>
        <v>#REF!</v>
      </c>
      <c r="F932" s="676"/>
      <c r="G932" s="677" t="e">
        <f>+'Estimate Details'!#REF!</f>
        <v>#REF!</v>
      </c>
      <c r="H932" s="678" t="e">
        <f>+'Estimate Details'!#REF!</f>
        <v>#REF!</v>
      </c>
      <c r="I932" s="679" t="e">
        <f>+'Estimate Details'!#REF!</f>
        <v>#REF!</v>
      </c>
      <c r="J932" s="680" t="e">
        <f>+'Estimate Details'!#REF!</f>
        <v>#REF!</v>
      </c>
      <c r="K932" s="673" t="e">
        <f>+'Estimate Details'!#REF!</f>
        <v>#REF!</v>
      </c>
      <c r="L932" s="673" t="e">
        <f>+'Estimate Details'!#REF!</f>
        <v>#REF!</v>
      </c>
      <c r="M932" s="236" t="e">
        <f>+'Estimate Details'!#REF!</f>
        <v>#REF!</v>
      </c>
      <c r="N932" s="699" t="e">
        <f>+'Estimate Details'!#REF!</f>
        <v>#REF!</v>
      </c>
      <c r="O932" s="681" t="e">
        <f>+'Estimate Details'!#REF!</f>
        <v>#REF!</v>
      </c>
      <c r="P932" s="682" t="e">
        <f>+'Estimate Details'!#REF!</f>
        <v>#REF!</v>
      </c>
      <c r="Q932" s="683" t="e">
        <f>+'Estimate Details'!#REF!</f>
        <v>#REF!</v>
      </c>
      <c r="R932" s="684" t="e">
        <f>+'Estimate Details'!#REF!</f>
        <v>#REF!</v>
      </c>
      <c r="S932" s="685"/>
      <c r="T932" s="684" t="e">
        <f>+'Estimate Details'!#REF!</f>
        <v>#REF!</v>
      </c>
      <c r="U932" s="686" t="s">
        <v>1311</v>
      </c>
      <c r="V932" s="682" t="e">
        <f>+'Estimate Details'!#REF!</f>
        <v>#REF!</v>
      </c>
      <c r="W932" s="686" t="s">
        <v>1311</v>
      </c>
      <c r="X932" s="682" t="e">
        <f>+'Estimate Details'!#REF!</f>
        <v>#REF!</v>
      </c>
      <c r="Y932" s="682" t="e">
        <f>+'Estimate Details'!#REF!</f>
        <v>#REF!</v>
      </c>
      <c r="Z932" s="684" t="e">
        <f>+'Estimate Details'!#REF!</f>
        <v>#REF!</v>
      </c>
      <c r="AA932" s="686"/>
      <c r="AB932" s="687" t="e">
        <f>+'Estimate Details'!#REF!</f>
        <v>#REF!</v>
      </c>
      <c r="AC932" s="688"/>
      <c r="AD932" s="696" t="e">
        <f>+'Estimate Details'!#REF!</f>
        <v>#REF!</v>
      </c>
      <c r="AE932" s="156"/>
      <c r="AF932" s="372"/>
      <c r="AG932" s="156"/>
      <c r="AH932" s="156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</row>
    <row r="933" spans="1:44" s="30" customFormat="1" ht="14.1" customHeight="1">
      <c r="A933" s="673" t="e">
        <f>+'Estimate Details'!#REF!</f>
        <v>#REF!</v>
      </c>
      <c r="B933" s="673"/>
      <c r="C933" s="673"/>
      <c r="D933" s="674"/>
      <c r="E933" s="675" t="e">
        <f>+'Estimate Details'!#REF!</f>
        <v>#REF!</v>
      </c>
      <c r="F933" s="676"/>
      <c r="G933" s="677" t="e">
        <f>+'Estimate Details'!#REF!</f>
        <v>#REF!</v>
      </c>
      <c r="H933" s="678" t="e">
        <f>+'Estimate Details'!#REF!</f>
        <v>#REF!</v>
      </c>
      <c r="I933" s="679" t="e">
        <f>+'Estimate Details'!#REF!</f>
        <v>#REF!</v>
      </c>
      <c r="J933" s="680" t="e">
        <f>+'Estimate Details'!#REF!</f>
        <v>#REF!</v>
      </c>
      <c r="K933" s="673" t="e">
        <f>+'Estimate Details'!#REF!</f>
        <v>#REF!</v>
      </c>
      <c r="L933" s="673" t="e">
        <f>+'Estimate Details'!#REF!</f>
        <v>#REF!</v>
      </c>
      <c r="M933" s="236" t="e">
        <f>+'Estimate Details'!#REF!</f>
        <v>#REF!</v>
      </c>
      <c r="N933" s="699" t="e">
        <f>+'Estimate Details'!#REF!</f>
        <v>#REF!</v>
      </c>
      <c r="O933" s="681" t="e">
        <f>+'Estimate Details'!#REF!</f>
        <v>#REF!</v>
      </c>
      <c r="P933" s="682" t="e">
        <f>+'Estimate Details'!#REF!</f>
        <v>#REF!</v>
      </c>
      <c r="Q933" s="683" t="e">
        <f>+'Estimate Details'!#REF!</f>
        <v>#REF!</v>
      </c>
      <c r="R933" s="684" t="e">
        <f>+'Estimate Details'!#REF!</f>
        <v>#REF!</v>
      </c>
      <c r="S933" s="685"/>
      <c r="T933" s="684" t="e">
        <f>+'Estimate Details'!#REF!</f>
        <v>#REF!</v>
      </c>
      <c r="U933" s="686" t="s">
        <v>1311</v>
      </c>
      <c r="V933" s="682" t="e">
        <f>+'Estimate Details'!#REF!</f>
        <v>#REF!</v>
      </c>
      <c r="W933" s="686" t="s">
        <v>1311</v>
      </c>
      <c r="X933" s="682" t="e">
        <f>+'Estimate Details'!#REF!</f>
        <v>#REF!</v>
      </c>
      <c r="Y933" s="682" t="e">
        <f>+'Estimate Details'!#REF!</f>
        <v>#REF!</v>
      </c>
      <c r="Z933" s="684" t="e">
        <f>+'Estimate Details'!#REF!</f>
        <v>#REF!</v>
      </c>
      <c r="AA933" s="686"/>
      <c r="AB933" s="687" t="e">
        <f>+'Estimate Details'!#REF!</f>
        <v>#REF!</v>
      </c>
      <c r="AC933" s="688"/>
      <c r="AD933" s="696" t="e">
        <f>+'Estimate Details'!#REF!</f>
        <v>#REF!</v>
      </c>
      <c r="AE933" s="156"/>
      <c r="AF933" s="372"/>
      <c r="AG933" s="156"/>
      <c r="AH933" s="156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</row>
    <row r="934" spans="1:44" s="30" customFormat="1" ht="14.1" customHeight="1">
      <c r="A934" s="673" t="e">
        <f>+'Estimate Details'!#REF!</f>
        <v>#REF!</v>
      </c>
      <c r="B934" s="673"/>
      <c r="C934" s="673"/>
      <c r="D934" s="674"/>
      <c r="E934" s="675" t="e">
        <f>+'Estimate Details'!#REF!</f>
        <v>#REF!</v>
      </c>
      <c r="F934" s="676"/>
      <c r="G934" s="677" t="e">
        <f>+'Estimate Details'!#REF!</f>
        <v>#REF!</v>
      </c>
      <c r="H934" s="678" t="e">
        <f>+'Estimate Details'!#REF!</f>
        <v>#REF!</v>
      </c>
      <c r="I934" s="679" t="e">
        <f>+'Estimate Details'!#REF!</f>
        <v>#REF!</v>
      </c>
      <c r="J934" s="680" t="e">
        <f>+'Estimate Details'!#REF!</f>
        <v>#REF!</v>
      </c>
      <c r="K934" s="673" t="e">
        <f>+'Estimate Details'!#REF!</f>
        <v>#REF!</v>
      </c>
      <c r="L934" s="673" t="e">
        <f>+'Estimate Details'!#REF!</f>
        <v>#REF!</v>
      </c>
      <c r="M934" s="236" t="e">
        <f>+'Estimate Details'!#REF!</f>
        <v>#REF!</v>
      </c>
      <c r="N934" s="699" t="e">
        <f>+'Estimate Details'!#REF!</f>
        <v>#REF!</v>
      </c>
      <c r="O934" s="681" t="e">
        <f>+'Estimate Details'!#REF!</f>
        <v>#REF!</v>
      </c>
      <c r="P934" s="682" t="e">
        <f>+'Estimate Details'!#REF!</f>
        <v>#REF!</v>
      </c>
      <c r="Q934" s="683" t="e">
        <f>+'Estimate Details'!#REF!</f>
        <v>#REF!</v>
      </c>
      <c r="R934" s="684" t="e">
        <f>+'Estimate Details'!#REF!</f>
        <v>#REF!</v>
      </c>
      <c r="S934" s="685"/>
      <c r="T934" s="684" t="e">
        <f>+'Estimate Details'!#REF!</f>
        <v>#REF!</v>
      </c>
      <c r="U934" s="686" t="s">
        <v>1311</v>
      </c>
      <c r="V934" s="682" t="e">
        <f>+'Estimate Details'!#REF!</f>
        <v>#REF!</v>
      </c>
      <c r="W934" s="686" t="s">
        <v>1311</v>
      </c>
      <c r="X934" s="682" t="e">
        <f>+'Estimate Details'!#REF!</f>
        <v>#REF!</v>
      </c>
      <c r="Y934" s="682" t="e">
        <f>+'Estimate Details'!#REF!</f>
        <v>#REF!</v>
      </c>
      <c r="Z934" s="684" t="e">
        <f>+'Estimate Details'!#REF!</f>
        <v>#REF!</v>
      </c>
      <c r="AA934" s="686"/>
      <c r="AB934" s="687" t="e">
        <f>+'Estimate Details'!#REF!</f>
        <v>#REF!</v>
      </c>
      <c r="AC934" s="688"/>
      <c r="AD934" s="696" t="e">
        <f>+'Estimate Details'!#REF!</f>
        <v>#REF!</v>
      </c>
      <c r="AE934" s="156"/>
      <c r="AF934" s="372"/>
      <c r="AG934" s="156"/>
      <c r="AH934" s="156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</row>
    <row r="935" spans="1:44" s="30" customFormat="1" ht="14.1" customHeight="1">
      <c r="A935" s="673" t="e">
        <f>+'Estimate Details'!#REF!</f>
        <v>#REF!</v>
      </c>
      <c r="B935" s="673"/>
      <c r="C935" s="673"/>
      <c r="D935" s="674"/>
      <c r="E935" s="675" t="e">
        <f>+'Estimate Details'!#REF!</f>
        <v>#REF!</v>
      </c>
      <c r="F935" s="676"/>
      <c r="G935" s="677" t="e">
        <f>+'Estimate Details'!#REF!</f>
        <v>#REF!</v>
      </c>
      <c r="H935" s="678" t="e">
        <f>+'Estimate Details'!#REF!</f>
        <v>#REF!</v>
      </c>
      <c r="I935" s="679" t="e">
        <f>+'Estimate Details'!#REF!</f>
        <v>#REF!</v>
      </c>
      <c r="J935" s="680" t="e">
        <f>+'Estimate Details'!#REF!</f>
        <v>#REF!</v>
      </c>
      <c r="K935" s="673" t="e">
        <f>+'Estimate Details'!#REF!</f>
        <v>#REF!</v>
      </c>
      <c r="L935" s="673" t="e">
        <f>+'Estimate Details'!#REF!</f>
        <v>#REF!</v>
      </c>
      <c r="M935" s="236" t="e">
        <f>+'Estimate Details'!#REF!</f>
        <v>#REF!</v>
      </c>
      <c r="N935" s="699" t="e">
        <f>+'Estimate Details'!#REF!</f>
        <v>#REF!</v>
      </c>
      <c r="O935" s="681" t="e">
        <f>+'Estimate Details'!#REF!</f>
        <v>#REF!</v>
      </c>
      <c r="P935" s="682" t="e">
        <f>+'Estimate Details'!#REF!</f>
        <v>#REF!</v>
      </c>
      <c r="Q935" s="683" t="e">
        <f>+'Estimate Details'!#REF!</f>
        <v>#REF!</v>
      </c>
      <c r="R935" s="684" t="e">
        <f>+'Estimate Details'!#REF!</f>
        <v>#REF!</v>
      </c>
      <c r="S935" s="685"/>
      <c r="T935" s="684" t="e">
        <f>+'Estimate Details'!#REF!</f>
        <v>#REF!</v>
      </c>
      <c r="U935" s="686" t="s">
        <v>1311</v>
      </c>
      <c r="V935" s="682" t="e">
        <f>+'Estimate Details'!#REF!</f>
        <v>#REF!</v>
      </c>
      <c r="W935" s="686" t="s">
        <v>1311</v>
      </c>
      <c r="X935" s="682" t="e">
        <f>+'Estimate Details'!#REF!</f>
        <v>#REF!</v>
      </c>
      <c r="Y935" s="682" t="e">
        <f>+'Estimate Details'!#REF!</f>
        <v>#REF!</v>
      </c>
      <c r="Z935" s="684" t="e">
        <f>+'Estimate Details'!#REF!</f>
        <v>#REF!</v>
      </c>
      <c r="AA935" s="686"/>
      <c r="AB935" s="687" t="e">
        <f>+'Estimate Details'!#REF!</f>
        <v>#REF!</v>
      </c>
      <c r="AC935" s="688"/>
      <c r="AD935" s="696" t="e">
        <f>+'Estimate Details'!#REF!</f>
        <v>#REF!</v>
      </c>
      <c r="AE935" s="156"/>
      <c r="AF935" s="372"/>
      <c r="AG935" s="156"/>
      <c r="AH935" s="156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</row>
    <row r="936" spans="1:44" ht="14.1" customHeight="1">
      <c r="A936" s="673" t="e">
        <f>+'Estimate Details'!#REF!</f>
        <v>#REF!</v>
      </c>
      <c r="B936" s="673"/>
      <c r="C936" s="673"/>
      <c r="D936" s="674"/>
      <c r="E936" s="675" t="e">
        <f>+'Estimate Details'!#REF!</f>
        <v>#REF!</v>
      </c>
      <c r="F936" s="676"/>
      <c r="G936" s="677" t="e">
        <f>+'Estimate Details'!#REF!</f>
        <v>#REF!</v>
      </c>
      <c r="H936" s="678" t="e">
        <f>+'Estimate Details'!#REF!</f>
        <v>#REF!</v>
      </c>
      <c r="I936" s="679" t="e">
        <f>+'Estimate Details'!#REF!</f>
        <v>#REF!</v>
      </c>
      <c r="J936" s="680" t="e">
        <f>+'Estimate Details'!#REF!</f>
        <v>#REF!</v>
      </c>
      <c r="K936" s="673" t="e">
        <f>+'Estimate Details'!#REF!</f>
        <v>#REF!</v>
      </c>
      <c r="L936" s="673" t="e">
        <f>+'Estimate Details'!#REF!</f>
        <v>#REF!</v>
      </c>
      <c r="M936" s="236" t="e">
        <f>+'Estimate Details'!#REF!</f>
        <v>#REF!</v>
      </c>
      <c r="N936" s="699" t="e">
        <f>+'Estimate Details'!#REF!</f>
        <v>#REF!</v>
      </c>
      <c r="O936" s="681" t="e">
        <f>+'Estimate Details'!#REF!</f>
        <v>#REF!</v>
      </c>
      <c r="P936" s="682" t="e">
        <f>+'Estimate Details'!#REF!</f>
        <v>#REF!</v>
      </c>
      <c r="Q936" s="683" t="e">
        <f>+'Estimate Details'!#REF!</f>
        <v>#REF!</v>
      </c>
      <c r="R936" s="684" t="e">
        <f>+'Estimate Details'!#REF!</f>
        <v>#REF!</v>
      </c>
      <c r="S936" s="685"/>
      <c r="T936" s="684" t="e">
        <f>+'Estimate Details'!#REF!</f>
        <v>#REF!</v>
      </c>
      <c r="U936" s="686" t="s">
        <v>1311</v>
      </c>
      <c r="V936" s="682" t="e">
        <f>+'Estimate Details'!#REF!</f>
        <v>#REF!</v>
      </c>
      <c r="W936" s="686" t="s">
        <v>1311</v>
      </c>
      <c r="X936" s="682" t="e">
        <f>+'Estimate Details'!#REF!</f>
        <v>#REF!</v>
      </c>
      <c r="Y936" s="682" t="e">
        <f>+'Estimate Details'!#REF!</f>
        <v>#REF!</v>
      </c>
      <c r="Z936" s="684" t="e">
        <f>+'Estimate Details'!#REF!</f>
        <v>#REF!</v>
      </c>
      <c r="AA936" s="686"/>
      <c r="AB936" s="687" t="e">
        <f>+'Estimate Details'!#REF!</f>
        <v>#REF!</v>
      </c>
      <c r="AC936" s="688"/>
      <c r="AD936" s="696" t="e">
        <f>+'Estimate Details'!#REF!</f>
        <v>#REF!</v>
      </c>
      <c r="AE936" s="156"/>
      <c r="AF936" s="156"/>
      <c r="AG936" s="156"/>
      <c r="AH936" s="156"/>
      <c r="AI936" s="29"/>
      <c r="AJ936" s="29"/>
      <c r="AK936" s="29"/>
      <c r="AL936" s="29"/>
    </row>
    <row r="937" spans="1:44">
      <c r="A937" s="673" t="e">
        <f>+'Estimate Details'!#REF!</f>
        <v>#REF!</v>
      </c>
      <c r="B937" s="673"/>
      <c r="C937" s="673"/>
      <c r="D937" s="674"/>
      <c r="E937" s="675" t="e">
        <f>+'Estimate Details'!#REF!</f>
        <v>#REF!</v>
      </c>
      <c r="F937" s="676"/>
      <c r="G937" s="677" t="e">
        <f>+'Estimate Details'!#REF!</f>
        <v>#REF!</v>
      </c>
      <c r="H937" s="678" t="e">
        <f>+'Estimate Details'!#REF!</f>
        <v>#REF!</v>
      </c>
      <c r="I937" s="679" t="e">
        <f>+'Estimate Details'!#REF!</f>
        <v>#REF!</v>
      </c>
      <c r="J937" s="680" t="e">
        <f>+'Estimate Details'!#REF!</f>
        <v>#REF!</v>
      </c>
      <c r="K937" s="673" t="e">
        <f>+'Estimate Details'!#REF!</f>
        <v>#REF!</v>
      </c>
      <c r="L937" s="673" t="e">
        <f>+'Estimate Details'!#REF!</f>
        <v>#REF!</v>
      </c>
      <c r="M937" s="236" t="e">
        <f>+'Estimate Details'!#REF!</f>
        <v>#REF!</v>
      </c>
      <c r="N937" s="699" t="e">
        <f>+'Estimate Details'!#REF!</f>
        <v>#REF!</v>
      </c>
      <c r="O937" s="681" t="e">
        <f>+'Estimate Details'!#REF!</f>
        <v>#REF!</v>
      </c>
      <c r="P937" s="682" t="e">
        <f>+'Estimate Details'!#REF!</f>
        <v>#REF!</v>
      </c>
      <c r="Q937" s="683" t="e">
        <f>+'Estimate Details'!#REF!</f>
        <v>#REF!</v>
      </c>
      <c r="R937" s="684" t="e">
        <f>+'Estimate Details'!#REF!</f>
        <v>#REF!</v>
      </c>
      <c r="S937" s="685"/>
      <c r="T937" s="684" t="e">
        <f>+'Estimate Details'!#REF!</f>
        <v>#REF!</v>
      </c>
      <c r="U937" s="686" t="s">
        <v>1311</v>
      </c>
      <c r="V937" s="682" t="e">
        <f>+'Estimate Details'!#REF!</f>
        <v>#REF!</v>
      </c>
      <c r="W937" s="686" t="s">
        <v>1311</v>
      </c>
      <c r="X937" s="682" t="e">
        <f>+'Estimate Details'!#REF!</f>
        <v>#REF!</v>
      </c>
      <c r="Y937" s="682" t="e">
        <f>+'Estimate Details'!#REF!</f>
        <v>#REF!</v>
      </c>
      <c r="Z937" s="684" t="e">
        <f>+'Estimate Details'!#REF!</f>
        <v>#REF!</v>
      </c>
      <c r="AA937" s="686"/>
      <c r="AB937" s="687" t="e">
        <f>+'Estimate Details'!#REF!</f>
        <v>#REF!</v>
      </c>
      <c r="AC937" s="688"/>
      <c r="AD937" s="696" t="e">
        <f>+'Estimate Details'!#REF!</f>
        <v>#REF!</v>
      </c>
      <c r="AE937" s="156"/>
      <c r="AF937" s="156"/>
      <c r="AG937" s="156"/>
      <c r="AH937" s="156"/>
      <c r="AI937" s="29"/>
      <c r="AJ937" s="29"/>
      <c r="AK937" s="29"/>
      <c r="AL937" s="29"/>
    </row>
    <row r="938" spans="1:44" s="30" customFormat="1">
      <c r="A938" s="673" t="e">
        <f>+'Estimate Details'!#REF!</f>
        <v>#REF!</v>
      </c>
      <c r="B938" s="673"/>
      <c r="C938" s="673"/>
      <c r="D938" s="674"/>
      <c r="E938" s="675" t="e">
        <f>+'Estimate Details'!#REF!</f>
        <v>#REF!</v>
      </c>
      <c r="F938" s="676"/>
      <c r="G938" s="677" t="e">
        <f>+'Estimate Details'!#REF!</f>
        <v>#REF!</v>
      </c>
      <c r="H938" s="678" t="e">
        <f>+'Estimate Details'!#REF!</f>
        <v>#REF!</v>
      </c>
      <c r="I938" s="679" t="e">
        <f>+'Estimate Details'!#REF!</f>
        <v>#REF!</v>
      </c>
      <c r="J938" s="680" t="e">
        <f>+'Estimate Details'!#REF!</f>
        <v>#REF!</v>
      </c>
      <c r="K938" s="673" t="e">
        <f>+'Estimate Details'!#REF!</f>
        <v>#REF!</v>
      </c>
      <c r="L938" s="673" t="e">
        <f>+'Estimate Details'!#REF!</f>
        <v>#REF!</v>
      </c>
      <c r="M938" s="236" t="e">
        <f>+'Estimate Details'!#REF!</f>
        <v>#REF!</v>
      </c>
      <c r="N938" s="699" t="e">
        <f>+'Estimate Details'!#REF!</f>
        <v>#REF!</v>
      </c>
      <c r="O938" s="681" t="e">
        <f>+'Estimate Details'!#REF!</f>
        <v>#REF!</v>
      </c>
      <c r="P938" s="682" t="e">
        <f>+'Estimate Details'!#REF!</f>
        <v>#REF!</v>
      </c>
      <c r="Q938" s="683" t="e">
        <f>+'Estimate Details'!#REF!</f>
        <v>#REF!</v>
      </c>
      <c r="R938" s="684" t="e">
        <f>+'Estimate Details'!#REF!</f>
        <v>#REF!</v>
      </c>
      <c r="S938" s="685"/>
      <c r="T938" s="684" t="e">
        <f>+'Estimate Details'!#REF!</f>
        <v>#REF!</v>
      </c>
      <c r="U938" s="686" t="s">
        <v>1311</v>
      </c>
      <c r="V938" s="682" t="e">
        <f>+'Estimate Details'!#REF!</f>
        <v>#REF!</v>
      </c>
      <c r="W938" s="686" t="s">
        <v>1311</v>
      </c>
      <c r="X938" s="682" t="e">
        <f>+'Estimate Details'!#REF!</f>
        <v>#REF!</v>
      </c>
      <c r="Y938" s="682" t="e">
        <f>+'Estimate Details'!#REF!</f>
        <v>#REF!</v>
      </c>
      <c r="Z938" s="684" t="e">
        <f>+'Estimate Details'!#REF!</f>
        <v>#REF!</v>
      </c>
      <c r="AA938" s="686"/>
      <c r="AB938" s="687" t="e">
        <f>+'Estimate Details'!#REF!</f>
        <v>#REF!</v>
      </c>
      <c r="AC938" s="688"/>
      <c r="AD938" s="696" t="e">
        <f>+'Estimate Details'!#REF!</f>
        <v>#REF!</v>
      </c>
      <c r="AE938" s="156"/>
      <c r="AF938" s="156"/>
      <c r="AG938" s="156"/>
      <c r="AH938" s="156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</row>
    <row r="939" spans="1:44" s="30" customFormat="1" ht="14.1" customHeight="1">
      <c r="A939" s="673" t="e">
        <f>+'Estimate Details'!#REF!</f>
        <v>#REF!</v>
      </c>
      <c r="B939" s="673"/>
      <c r="C939" s="673"/>
      <c r="D939" s="674"/>
      <c r="E939" s="675" t="e">
        <f>+'Estimate Details'!#REF!</f>
        <v>#REF!</v>
      </c>
      <c r="F939" s="676"/>
      <c r="G939" s="677" t="e">
        <f>+'Estimate Details'!#REF!</f>
        <v>#REF!</v>
      </c>
      <c r="H939" s="678" t="e">
        <f>+'Estimate Details'!#REF!</f>
        <v>#REF!</v>
      </c>
      <c r="I939" s="679" t="e">
        <f>+'Estimate Details'!#REF!</f>
        <v>#REF!</v>
      </c>
      <c r="J939" s="680" t="e">
        <f>+'Estimate Details'!#REF!</f>
        <v>#REF!</v>
      </c>
      <c r="K939" s="673" t="e">
        <f>+'Estimate Details'!#REF!</f>
        <v>#REF!</v>
      </c>
      <c r="L939" s="673" t="e">
        <f>+'Estimate Details'!#REF!</f>
        <v>#REF!</v>
      </c>
      <c r="M939" s="236" t="e">
        <f>+'Estimate Details'!#REF!</f>
        <v>#REF!</v>
      </c>
      <c r="N939" s="699" t="e">
        <f>+'Estimate Details'!#REF!</f>
        <v>#REF!</v>
      </c>
      <c r="O939" s="681" t="e">
        <f>+'Estimate Details'!#REF!</f>
        <v>#REF!</v>
      </c>
      <c r="P939" s="682" t="e">
        <f>+'Estimate Details'!#REF!</f>
        <v>#REF!</v>
      </c>
      <c r="Q939" s="683" t="e">
        <f>+'Estimate Details'!#REF!</f>
        <v>#REF!</v>
      </c>
      <c r="R939" s="684" t="e">
        <f>+'Estimate Details'!#REF!</f>
        <v>#REF!</v>
      </c>
      <c r="S939" s="685"/>
      <c r="T939" s="684" t="e">
        <f>+'Estimate Details'!#REF!</f>
        <v>#REF!</v>
      </c>
      <c r="U939" s="686" t="s">
        <v>1311</v>
      </c>
      <c r="V939" s="682" t="e">
        <f>+'Estimate Details'!#REF!</f>
        <v>#REF!</v>
      </c>
      <c r="W939" s="686" t="s">
        <v>1311</v>
      </c>
      <c r="X939" s="682" t="e">
        <f>+'Estimate Details'!#REF!</f>
        <v>#REF!</v>
      </c>
      <c r="Y939" s="682" t="e">
        <f>+'Estimate Details'!#REF!</f>
        <v>#REF!</v>
      </c>
      <c r="Z939" s="684" t="e">
        <f>+'Estimate Details'!#REF!</f>
        <v>#REF!</v>
      </c>
      <c r="AA939" s="686"/>
      <c r="AB939" s="687" t="e">
        <f>+'Estimate Details'!#REF!</f>
        <v>#REF!</v>
      </c>
      <c r="AC939" s="688"/>
      <c r="AD939" s="696" t="e">
        <f>+'Estimate Details'!#REF!</f>
        <v>#REF!</v>
      </c>
      <c r="AE939" s="156"/>
      <c r="AF939" s="373"/>
      <c r="AG939" s="156"/>
      <c r="AH939" s="156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</row>
    <row r="940" spans="1:44" s="30" customFormat="1" ht="14.1" customHeight="1">
      <c r="A940" s="673" t="e">
        <f>+'Estimate Details'!#REF!</f>
        <v>#REF!</v>
      </c>
      <c r="B940" s="673"/>
      <c r="C940" s="673"/>
      <c r="D940" s="674"/>
      <c r="E940" s="675" t="e">
        <f>+'Estimate Details'!#REF!</f>
        <v>#REF!</v>
      </c>
      <c r="F940" s="676"/>
      <c r="G940" s="677" t="e">
        <f>+'Estimate Details'!#REF!</f>
        <v>#REF!</v>
      </c>
      <c r="H940" s="678" t="e">
        <f>+'Estimate Details'!#REF!</f>
        <v>#REF!</v>
      </c>
      <c r="I940" s="679" t="e">
        <f>+'Estimate Details'!#REF!</f>
        <v>#REF!</v>
      </c>
      <c r="J940" s="680" t="e">
        <f>+'Estimate Details'!#REF!</f>
        <v>#REF!</v>
      </c>
      <c r="K940" s="673" t="e">
        <f>+'Estimate Details'!#REF!</f>
        <v>#REF!</v>
      </c>
      <c r="L940" s="673" t="e">
        <f>+'Estimate Details'!#REF!</f>
        <v>#REF!</v>
      </c>
      <c r="M940" s="236" t="e">
        <f>+'Estimate Details'!#REF!</f>
        <v>#REF!</v>
      </c>
      <c r="N940" s="699" t="e">
        <f>+'Estimate Details'!#REF!</f>
        <v>#REF!</v>
      </c>
      <c r="O940" s="681" t="e">
        <f>+'Estimate Details'!#REF!</f>
        <v>#REF!</v>
      </c>
      <c r="P940" s="682" t="e">
        <f>+'Estimate Details'!#REF!</f>
        <v>#REF!</v>
      </c>
      <c r="Q940" s="683" t="e">
        <f>+'Estimate Details'!#REF!</f>
        <v>#REF!</v>
      </c>
      <c r="R940" s="684" t="e">
        <f>+'Estimate Details'!#REF!</f>
        <v>#REF!</v>
      </c>
      <c r="S940" s="685"/>
      <c r="T940" s="684" t="e">
        <f>+'Estimate Details'!#REF!</f>
        <v>#REF!</v>
      </c>
      <c r="U940" s="686" t="s">
        <v>1311</v>
      </c>
      <c r="V940" s="682" t="e">
        <f>+'Estimate Details'!#REF!</f>
        <v>#REF!</v>
      </c>
      <c r="W940" s="686" t="s">
        <v>1311</v>
      </c>
      <c r="X940" s="682" t="e">
        <f>+'Estimate Details'!#REF!</f>
        <v>#REF!</v>
      </c>
      <c r="Y940" s="682" t="e">
        <f>+'Estimate Details'!#REF!</f>
        <v>#REF!</v>
      </c>
      <c r="Z940" s="684" t="e">
        <f>+'Estimate Details'!#REF!</f>
        <v>#REF!</v>
      </c>
      <c r="AA940" s="686"/>
      <c r="AB940" s="687" t="e">
        <f>+'Estimate Details'!#REF!</f>
        <v>#REF!</v>
      </c>
      <c r="AC940" s="688"/>
      <c r="AD940" s="696" t="e">
        <f>+'Estimate Details'!#REF!</f>
        <v>#REF!</v>
      </c>
      <c r="AE940" s="156"/>
      <c r="AF940" s="373"/>
      <c r="AG940" s="156"/>
      <c r="AH940" s="156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</row>
    <row r="941" spans="1:44" s="30" customFormat="1" ht="14.1" customHeight="1">
      <c r="A941" s="673" t="e">
        <f>+'Estimate Details'!#REF!</f>
        <v>#REF!</v>
      </c>
      <c r="B941" s="673"/>
      <c r="C941" s="673"/>
      <c r="D941" s="674"/>
      <c r="E941" s="675">
        <f>+'Estimate Details'!A65</f>
        <v>54</v>
      </c>
      <c r="F941" s="676"/>
      <c r="G941" s="677" t="e">
        <f>+'Estimate Details'!#REF!</f>
        <v>#REF!</v>
      </c>
      <c r="H941" s="678" t="str">
        <f>+'Estimate Details'!D65</f>
        <v>Electrical Circuit Testing</v>
      </c>
      <c r="I941" s="679">
        <f>+'Estimate Details'!E65</f>
        <v>1500</v>
      </c>
      <c r="J941" s="680" t="str">
        <f>+'Estimate Details'!F65</f>
        <v>ea</v>
      </c>
      <c r="K941" s="673" t="str">
        <f>+'Estimate Details'!G65</f>
        <v>Contr</v>
      </c>
      <c r="L941" s="673" t="str">
        <f>+'Estimate Details'!H65</f>
        <v>Contr</v>
      </c>
      <c r="M941" s="236" t="e">
        <f>+'Estimate Details'!#REF!</f>
        <v>#REF!</v>
      </c>
      <c r="N941" s="699" t="e">
        <f>+'Estimate Details'!#REF!</f>
        <v>#REF!</v>
      </c>
      <c r="O941" s="681" t="e">
        <f>+'Estimate Details'!#REF!</f>
        <v>#REF!</v>
      </c>
      <c r="P941" s="682" t="e">
        <f>+'Estimate Details'!#REF!</f>
        <v>#REF!</v>
      </c>
      <c r="Q941" s="683" t="e">
        <f>+'Estimate Details'!#REF!</f>
        <v>#REF!</v>
      </c>
      <c r="R941" s="684" t="str">
        <f>+'Estimate Details'!N65</f>
        <v>0</v>
      </c>
      <c r="S941" s="685"/>
      <c r="T941" s="684">
        <f>+'Estimate Details'!O65</f>
        <v>0</v>
      </c>
      <c r="U941" s="686" t="s">
        <v>1311</v>
      </c>
      <c r="V941" s="682">
        <f>+'Estimate Details'!R65</f>
        <v>158879.01730380906</v>
      </c>
      <c r="W941" s="686" t="s">
        <v>1311</v>
      </c>
      <c r="X941" s="682" t="e">
        <f>+'Estimate Details'!#REF!</f>
        <v>#REF!</v>
      </c>
      <c r="Y941" s="682" t="e">
        <f>+'Estimate Details'!#REF!</f>
        <v>#REF!</v>
      </c>
      <c r="Z941" s="684" t="str">
        <f>+'Estimate Details'!U65</f>
        <v>0</v>
      </c>
      <c r="AA941" s="686"/>
      <c r="AB941" s="687">
        <f>+'Estimate Details'!V65</f>
        <v>158879.01730380906</v>
      </c>
      <c r="AC941" s="688"/>
      <c r="AD941" s="696" t="str">
        <f>+'Estimate Details'!X65</f>
        <v>HDR|CB Estimated Quantity &amp; Cost</v>
      </c>
      <c r="AE941" s="156"/>
      <c r="AF941" s="373"/>
      <c r="AG941" s="156"/>
      <c r="AH941" s="156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</row>
    <row r="942" spans="1:44" s="30" customFormat="1" ht="14.1" customHeight="1">
      <c r="A942" s="673" t="e">
        <f>+'Estimate Details'!#REF!</f>
        <v>#REF!</v>
      </c>
      <c r="B942" s="673"/>
      <c r="C942" s="673"/>
      <c r="D942" s="674"/>
      <c r="E942" s="675" t="e">
        <f>+'Estimate Details'!#REF!</f>
        <v>#REF!</v>
      </c>
      <c r="F942" s="676"/>
      <c r="G942" s="677"/>
      <c r="H942" s="678" t="e">
        <f>+'Estimate Details'!#REF!</f>
        <v>#REF!</v>
      </c>
      <c r="I942" s="679" t="e">
        <f>+'Estimate Details'!#REF!</f>
        <v>#REF!</v>
      </c>
      <c r="J942" s="680" t="e">
        <f>+'Estimate Details'!#REF!</f>
        <v>#REF!</v>
      </c>
      <c r="K942" s="673" t="e">
        <f>+'Estimate Details'!#REF!</f>
        <v>#REF!</v>
      </c>
      <c r="L942" s="673" t="e">
        <f>+'Estimate Details'!#REF!</f>
        <v>#REF!</v>
      </c>
      <c r="M942" s="236"/>
      <c r="N942" s="699"/>
      <c r="O942" s="681"/>
      <c r="P942" s="682"/>
      <c r="Q942" s="683"/>
      <c r="R942" s="684" t="e">
        <f>+'Estimate Details'!#REF!</f>
        <v>#REF!</v>
      </c>
      <c r="S942" s="685"/>
      <c r="T942" s="684" t="e">
        <f>+'Estimate Details'!#REF!</f>
        <v>#REF!</v>
      </c>
      <c r="U942" s="686" t="s">
        <v>1311</v>
      </c>
      <c r="V942" s="682" t="e">
        <f>+'Estimate Details'!#REF!</f>
        <v>#REF!</v>
      </c>
      <c r="W942" s="686" t="s">
        <v>1311</v>
      </c>
      <c r="X942" s="682"/>
      <c r="Y942" s="682"/>
      <c r="Z942" s="684" t="e">
        <f>+'Estimate Details'!#REF!</f>
        <v>#REF!</v>
      </c>
      <c r="AA942" s="686"/>
      <c r="AB942" s="687" t="e">
        <f>+'Estimate Details'!#REF!</f>
        <v>#REF!</v>
      </c>
      <c r="AC942" s="688"/>
      <c r="AD942" s="696" t="e">
        <f>+'Estimate Details'!#REF!</f>
        <v>#REF!</v>
      </c>
      <c r="AE942" s="156"/>
      <c r="AF942" s="373"/>
      <c r="AG942" s="156"/>
      <c r="AH942" s="156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</row>
    <row r="943" spans="1:44" s="30" customFormat="1" ht="14.1" customHeight="1">
      <c r="A943" s="673" t="e">
        <f>+'Estimate Details'!#REF!</f>
        <v>#REF!</v>
      </c>
      <c r="B943" s="673"/>
      <c r="C943" s="673"/>
      <c r="D943" s="674"/>
      <c r="E943" s="675" t="e">
        <f>+'Estimate Details'!#REF!</f>
        <v>#REF!</v>
      </c>
      <c r="F943" s="676"/>
      <c r="G943" s="677"/>
      <c r="H943" s="678" t="e">
        <f>+'Estimate Details'!#REF!</f>
        <v>#REF!</v>
      </c>
      <c r="I943" s="679" t="e">
        <f>+'Estimate Details'!#REF!</f>
        <v>#REF!</v>
      </c>
      <c r="J943" s="680" t="e">
        <f>+'Estimate Details'!#REF!</f>
        <v>#REF!</v>
      </c>
      <c r="K943" s="673" t="e">
        <f>+'Estimate Details'!#REF!</f>
        <v>#REF!</v>
      </c>
      <c r="L943" s="673" t="e">
        <f>+'Estimate Details'!#REF!</f>
        <v>#REF!</v>
      </c>
      <c r="M943" s="236"/>
      <c r="N943" s="699"/>
      <c r="O943" s="681"/>
      <c r="P943" s="682"/>
      <c r="Q943" s="683"/>
      <c r="R943" s="684" t="e">
        <f>+'Estimate Details'!#REF!</f>
        <v>#REF!</v>
      </c>
      <c r="S943" s="685"/>
      <c r="T943" s="684" t="e">
        <f>+'Estimate Details'!#REF!</f>
        <v>#REF!</v>
      </c>
      <c r="U943" s="686" t="s">
        <v>1300</v>
      </c>
      <c r="V943" s="682" t="e">
        <f>+'Estimate Details'!#REF!</f>
        <v>#REF!</v>
      </c>
      <c r="W943" s="686" t="s">
        <v>1311</v>
      </c>
      <c r="X943" s="682"/>
      <c r="Y943" s="682"/>
      <c r="Z943" s="684" t="e">
        <f>+'Estimate Details'!#REF!</f>
        <v>#REF!</v>
      </c>
      <c r="AA943" s="686"/>
      <c r="AB943" s="687" t="e">
        <f>+'Estimate Details'!#REF!</f>
        <v>#REF!</v>
      </c>
      <c r="AC943" s="688"/>
      <c r="AD943" s="696" t="e">
        <f>+'Estimate Details'!#REF!</f>
        <v>#REF!</v>
      </c>
      <c r="AE943" s="156"/>
      <c r="AF943" s="373"/>
      <c r="AG943" s="156"/>
      <c r="AH943" s="156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</row>
    <row r="944" spans="1:44" s="30" customFormat="1" ht="14.1" customHeight="1">
      <c r="A944" s="673" t="e">
        <f>+'Estimate Details'!#REF!</f>
        <v>#REF!</v>
      </c>
      <c r="B944" s="673"/>
      <c r="C944" s="673"/>
      <c r="D944" s="674"/>
      <c r="E944" s="675" t="e">
        <f>+'Estimate Details'!#REF!</f>
        <v>#REF!</v>
      </c>
      <c r="F944" s="676"/>
      <c r="G944" s="677"/>
      <c r="H944" s="678" t="e">
        <f>+'Estimate Details'!#REF!</f>
        <v>#REF!</v>
      </c>
      <c r="I944" s="679" t="e">
        <f>+'Estimate Details'!#REF!</f>
        <v>#REF!</v>
      </c>
      <c r="J944" s="680" t="e">
        <f>+'Estimate Details'!#REF!</f>
        <v>#REF!</v>
      </c>
      <c r="K944" s="673" t="e">
        <f>+'Estimate Details'!#REF!</f>
        <v>#REF!</v>
      </c>
      <c r="L944" s="673" t="e">
        <f>+'Estimate Details'!#REF!</f>
        <v>#REF!</v>
      </c>
      <c r="M944" s="236"/>
      <c r="N944" s="699"/>
      <c r="O944" s="681"/>
      <c r="P944" s="682"/>
      <c r="Q944" s="683"/>
      <c r="R944" s="684" t="e">
        <f>+'Estimate Details'!#REF!</f>
        <v>#REF!</v>
      </c>
      <c r="S944" s="685"/>
      <c r="T944" s="684" t="e">
        <f>+'Estimate Details'!#REF!</f>
        <v>#REF!</v>
      </c>
      <c r="U944" s="686" t="s">
        <v>1310</v>
      </c>
      <c r="V944" s="682" t="e">
        <f>+'Estimate Details'!#REF!</f>
        <v>#REF!</v>
      </c>
      <c r="W944" s="686" t="s">
        <v>1311</v>
      </c>
      <c r="X944" s="682"/>
      <c r="Y944" s="682"/>
      <c r="Z944" s="684" t="e">
        <f>+'Estimate Details'!#REF!</f>
        <v>#REF!</v>
      </c>
      <c r="AA944" s="686"/>
      <c r="AB944" s="687" t="e">
        <f>+'Estimate Details'!#REF!</f>
        <v>#REF!</v>
      </c>
      <c r="AC944" s="688"/>
      <c r="AD944" s="696" t="e">
        <f>+'Estimate Details'!#REF!</f>
        <v>#REF!</v>
      </c>
      <c r="AE944" s="156"/>
      <c r="AF944" s="373"/>
      <c r="AG944" s="156"/>
      <c r="AH944" s="156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</row>
    <row r="945" spans="1:44" s="30" customFormat="1" ht="14.1" customHeight="1">
      <c r="A945" s="673" t="e">
        <f>+'Estimate Details'!#REF!</f>
        <v>#REF!</v>
      </c>
      <c r="B945" s="673"/>
      <c r="C945" s="673"/>
      <c r="D945" s="674"/>
      <c r="E945" s="675" t="e">
        <f>+'Estimate Details'!#REF!</f>
        <v>#REF!</v>
      </c>
      <c r="F945" s="676"/>
      <c r="G945" s="677"/>
      <c r="H945" s="678" t="e">
        <f>+'Estimate Details'!#REF!</f>
        <v>#REF!</v>
      </c>
      <c r="I945" s="679" t="e">
        <f>+'Estimate Details'!#REF!</f>
        <v>#REF!</v>
      </c>
      <c r="J945" s="680" t="e">
        <f>+'Estimate Details'!#REF!</f>
        <v>#REF!</v>
      </c>
      <c r="K945" s="673" t="e">
        <f>+'Estimate Details'!#REF!</f>
        <v>#REF!</v>
      </c>
      <c r="L945" s="673" t="e">
        <f>+'Estimate Details'!#REF!</f>
        <v>#REF!</v>
      </c>
      <c r="M945" s="236"/>
      <c r="N945" s="699"/>
      <c r="O945" s="681"/>
      <c r="P945" s="682"/>
      <c r="Q945" s="683"/>
      <c r="R945" s="684" t="e">
        <f>+'Estimate Details'!#REF!</f>
        <v>#REF!</v>
      </c>
      <c r="S945" s="685"/>
      <c r="T945" s="684" t="e">
        <f>+'Estimate Details'!#REF!</f>
        <v>#REF!</v>
      </c>
      <c r="U945" s="686" t="s">
        <v>1300</v>
      </c>
      <c r="V945" s="682" t="e">
        <f>+'Estimate Details'!#REF!</f>
        <v>#REF!</v>
      </c>
      <c r="W945" s="686"/>
      <c r="X945" s="682"/>
      <c r="Y945" s="682"/>
      <c r="Z945" s="684" t="e">
        <f>+'Estimate Details'!#REF!</f>
        <v>#REF!</v>
      </c>
      <c r="AA945" s="686"/>
      <c r="AB945" s="687" t="e">
        <f>+'Estimate Details'!#REF!</f>
        <v>#REF!</v>
      </c>
      <c r="AC945" s="688"/>
      <c r="AD945" s="696" t="e">
        <f>+'Estimate Details'!#REF!</f>
        <v>#REF!</v>
      </c>
      <c r="AE945" s="156"/>
      <c r="AF945" s="373"/>
      <c r="AG945" s="156"/>
      <c r="AH945" s="156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</row>
    <row r="946" spans="1:44" s="30" customFormat="1" ht="14.1" customHeight="1">
      <c r="A946" s="673" t="e">
        <f>+'Estimate Details'!#REF!</f>
        <v>#REF!</v>
      </c>
      <c r="B946" s="673"/>
      <c r="C946" s="673"/>
      <c r="D946" s="674"/>
      <c r="E946" s="675" t="e">
        <f>+'Estimate Details'!#REF!</f>
        <v>#REF!</v>
      </c>
      <c r="F946" s="676"/>
      <c r="G946" s="677"/>
      <c r="H946" s="678" t="e">
        <f>+'Estimate Details'!#REF!</f>
        <v>#REF!</v>
      </c>
      <c r="I946" s="679" t="e">
        <f>+'Estimate Details'!#REF!</f>
        <v>#REF!</v>
      </c>
      <c r="J946" s="680" t="e">
        <f>+'Estimate Details'!#REF!</f>
        <v>#REF!</v>
      </c>
      <c r="K946" s="673" t="e">
        <f>+'Estimate Details'!#REF!</f>
        <v>#REF!</v>
      </c>
      <c r="L946" s="673" t="e">
        <f>+'Estimate Details'!#REF!</f>
        <v>#REF!</v>
      </c>
      <c r="M946" s="236"/>
      <c r="N946" s="699"/>
      <c r="O946" s="681"/>
      <c r="P946" s="682"/>
      <c r="Q946" s="683"/>
      <c r="R946" s="684" t="e">
        <f>+'Estimate Details'!#REF!</f>
        <v>#REF!</v>
      </c>
      <c r="S946" s="685"/>
      <c r="T946" s="684" t="e">
        <f>+'Estimate Details'!#REF!</f>
        <v>#REF!</v>
      </c>
      <c r="U946" s="686" t="s">
        <v>1300</v>
      </c>
      <c r="V946" s="682" t="e">
        <f>+'Estimate Details'!#REF!</f>
        <v>#REF!</v>
      </c>
      <c r="W946" s="686"/>
      <c r="X946" s="682"/>
      <c r="Y946" s="682"/>
      <c r="Z946" s="684" t="e">
        <f>+'Estimate Details'!#REF!</f>
        <v>#REF!</v>
      </c>
      <c r="AA946" s="686"/>
      <c r="AB946" s="687" t="e">
        <f>+'Estimate Details'!#REF!</f>
        <v>#REF!</v>
      </c>
      <c r="AC946" s="688"/>
      <c r="AD946" s="696" t="e">
        <f>+'Estimate Details'!#REF!</f>
        <v>#REF!</v>
      </c>
      <c r="AE946" s="156"/>
      <c r="AF946" s="373"/>
      <c r="AG946" s="156"/>
      <c r="AH946" s="156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</row>
    <row r="947" spans="1:44" s="30" customFormat="1" ht="14.1" customHeight="1">
      <c r="A947" s="673" t="e">
        <f>+'Estimate Details'!#REF!</f>
        <v>#REF!</v>
      </c>
      <c r="B947" s="673"/>
      <c r="C947" s="673"/>
      <c r="D947" s="674"/>
      <c r="E947" s="675" t="e">
        <f>+'Estimate Details'!#REF!</f>
        <v>#REF!</v>
      </c>
      <c r="F947" s="676"/>
      <c r="G947" s="677"/>
      <c r="H947" s="678" t="e">
        <f>+'Estimate Details'!#REF!</f>
        <v>#REF!</v>
      </c>
      <c r="I947" s="679" t="e">
        <f>+'Estimate Details'!#REF!</f>
        <v>#REF!</v>
      </c>
      <c r="J947" s="680" t="e">
        <f>+'Estimate Details'!#REF!</f>
        <v>#REF!</v>
      </c>
      <c r="K947" s="673" t="e">
        <f>+'Estimate Details'!#REF!</f>
        <v>#REF!</v>
      </c>
      <c r="L947" s="673" t="e">
        <f>+'Estimate Details'!#REF!</f>
        <v>#REF!</v>
      </c>
      <c r="M947" s="236"/>
      <c r="N947" s="699"/>
      <c r="O947" s="681"/>
      <c r="P947" s="682"/>
      <c r="Q947" s="683"/>
      <c r="R947" s="684" t="e">
        <f>+'Estimate Details'!#REF!</f>
        <v>#REF!</v>
      </c>
      <c r="S947" s="685"/>
      <c r="T947" s="684" t="e">
        <f>+'Estimate Details'!#REF!</f>
        <v>#REF!</v>
      </c>
      <c r="U947" s="686" t="s">
        <v>1300</v>
      </c>
      <c r="V947" s="682" t="e">
        <f>+'Estimate Details'!#REF!</f>
        <v>#REF!</v>
      </c>
      <c r="W947" s="686" t="s">
        <v>1311</v>
      </c>
      <c r="X947" s="682"/>
      <c r="Y947" s="682"/>
      <c r="Z947" s="684" t="e">
        <f>+'Estimate Details'!#REF!</f>
        <v>#REF!</v>
      </c>
      <c r="AA947" s="686"/>
      <c r="AB947" s="687" t="e">
        <f>+'Estimate Details'!#REF!</f>
        <v>#REF!</v>
      </c>
      <c r="AC947" s="688"/>
      <c r="AD947" s="696" t="e">
        <f>+'Estimate Details'!#REF!</f>
        <v>#REF!</v>
      </c>
      <c r="AE947" s="156"/>
      <c r="AF947" s="373"/>
      <c r="AG947" s="156"/>
      <c r="AH947" s="156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</row>
    <row r="948" spans="1:44" s="30" customFormat="1" ht="14.1" customHeight="1">
      <c r="A948" s="673" t="e">
        <f>+'Estimate Details'!#REF!</f>
        <v>#REF!</v>
      </c>
      <c r="B948" s="673"/>
      <c r="C948" s="673"/>
      <c r="D948" s="674"/>
      <c r="E948" s="675" t="e">
        <f>+'Estimate Details'!#REF!</f>
        <v>#REF!</v>
      </c>
      <c r="F948" s="676"/>
      <c r="G948" s="677"/>
      <c r="H948" s="678" t="e">
        <f>+'Estimate Details'!#REF!</f>
        <v>#REF!</v>
      </c>
      <c r="I948" s="679" t="e">
        <f>+'Estimate Details'!#REF!</f>
        <v>#REF!</v>
      </c>
      <c r="J948" s="680" t="e">
        <f>+'Estimate Details'!#REF!</f>
        <v>#REF!</v>
      </c>
      <c r="K948" s="673" t="e">
        <f>+'Estimate Details'!#REF!</f>
        <v>#REF!</v>
      </c>
      <c r="L948" s="673" t="e">
        <f>+'Estimate Details'!#REF!</f>
        <v>#REF!</v>
      </c>
      <c r="M948" s="236"/>
      <c r="N948" s="699"/>
      <c r="O948" s="681"/>
      <c r="P948" s="682"/>
      <c r="Q948" s="683"/>
      <c r="R948" s="684" t="e">
        <f>+'Estimate Details'!#REF!</f>
        <v>#REF!</v>
      </c>
      <c r="S948" s="685"/>
      <c r="T948" s="684" t="e">
        <f>+'Estimate Details'!#REF!</f>
        <v>#REF!</v>
      </c>
      <c r="U948" s="686" t="s">
        <v>1300</v>
      </c>
      <c r="V948" s="682" t="e">
        <f>+'Estimate Details'!#REF!</f>
        <v>#REF!</v>
      </c>
      <c r="W948" s="686" t="s">
        <v>1311</v>
      </c>
      <c r="X948" s="682"/>
      <c r="Y948" s="682"/>
      <c r="Z948" s="684" t="e">
        <f>+'Estimate Details'!#REF!</f>
        <v>#REF!</v>
      </c>
      <c r="AA948" s="686"/>
      <c r="AB948" s="687" t="e">
        <f>+'Estimate Details'!#REF!</f>
        <v>#REF!</v>
      </c>
      <c r="AC948" s="688"/>
      <c r="AD948" s="696" t="e">
        <f>+'Estimate Details'!#REF!</f>
        <v>#REF!</v>
      </c>
      <c r="AE948" s="156"/>
      <c r="AF948" s="373"/>
      <c r="AG948" s="156"/>
      <c r="AH948" s="156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</row>
    <row r="949" spans="1:44" s="30" customFormat="1" ht="14.1" customHeight="1">
      <c r="A949" s="673" t="e">
        <f>+'Estimate Details'!#REF!</f>
        <v>#REF!</v>
      </c>
      <c r="B949" s="673"/>
      <c r="C949" s="673"/>
      <c r="D949" s="674"/>
      <c r="E949" s="675" t="e">
        <f>+'Estimate Details'!#REF!</f>
        <v>#REF!</v>
      </c>
      <c r="F949" s="676"/>
      <c r="G949" s="677"/>
      <c r="H949" s="678" t="e">
        <f>+'Estimate Details'!#REF!</f>
        <v>#REF!</v>
      </c>
      <c r="I949" s="679" t="e">
        <f>+'Estimate Details'!#REF!</f>
        <v>#REF!</v>
      </c>
      <c r="J949" s="680" t="e">
        <f>+'Estimate Details'!#REF!</f>
        <v>#REF!</v>
      </c>
      <c r="K949" s="673" t="e">
        <f>+'Estimate Details'!#REF!</f>
        <v>#REF!</v>
      </c>
      <c r="L949" s="673" t="e">
        <f>+'Estimate Details'!#REF!</f>
        <v>#REF!</v>
      </c>
      <c r="M949" s="236"/>
      <c r="N949" s="699"/>
      <c r="O949" s="681"/>
      <c r="P949" s="682"/>
      <c r="Q949" s="683"/>
      <c r="R949" s="684" t="e">
        <f>+'Estimate Details'!#REF!</f>
        <v>#REF!</v>
      </c>
      <c r="S949" s="685"/>
      <c r="T949" s="684" t="e">
        <f>+'Estimate Details'!#REF!</f>
        <v>#REF!</v>
      </c>
      <c r="U949" s="686" t="s">
        <v>1310</v>
      </c>
      <c r="V949" s="682" t="e">
        <f>+'Estimate Details'!#REF!</f>
        <v>#REF!</v>
      </c>
      <c r="W949" s="686" t="s">
        <v>1311</v>
      </c>
      <c r="X949" s="682"/>
      <c r="Y949" s="682"/>
      <c r="Z949" s="684" t="e">
        <f>+'Estimate Details'!#REF!</f>
        <v>#REF!</v>
      </c>
      <c r="AA949" s="686"/>
      <c r="AB949" s="687" t="e">
        <f>+'Estimate Details'!#REF!</f>
        <v>#REF!</v>
      </c>
      <c r="AC949" s="688"/>
      <c r="AD949" s="696" t="e">
        <f>+'Estimate Details'!#REF!</f>
        <v>#REF!</v>
      </c>
      <c r="AE949" s="156"/>
      <c r="AF949" s="373"/>
      <c r="AG949" s="156"/>
      <c r="AH949" s="156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</row>
    <row r="950" spans="1:44" s="30" customFormat="1" ht="14.1" customHeight="1">
      <c r="A950" s="673" t="e">
        <f>+'Estimate Details'!#REF!</f>
        <v>#REF!</v>
      </c>
      <c r="B950" s="673"/>
      <c r="C950" s="673"/>
      <c r="D950" s="674"/>
      <c r="E950" s="675" t="e">
        <f>+'Estimate Details'!#REF!</f>
        <v>#REF!</v>
      </c>
      <c r="F950" s="676"/>
      <c r="G950" s="677"/>
      <c r="H950" s="678" t="e">
        <f>+'Estimate Details'!#REF!</f>
        <v>#REF!</v>
      </c>
      <c r="I950" s="679" t="e">
        <f>+'Estimate Details'!#REF!</f>
        <v>#REF!</v>
      </c>
      <c r="J950" s="680" t="e">
        <f>+'Estimate Details'!#REF!</f>
        <v>#REF!</v>
      </c>
      <c r="K950" s="673" t="e">
        <f>+'Estimate Details'!#REF!</f>
        <v>#REF!</v>
      </c>
      <c r="L950" s="673" t="e">
        <f>+'Estimate Details'!#REF!</f>
        <v>#REF!</v>
      </c>
      <c r="M950" s="236"/>
      <c r="N950" s="699"/>
      <c r="O950" s="681"/>
      <c r="P950" s="682"/>
      <c r="Q950" s="683"/>
      <c r="R950" s="684" t="e">
        <f>+'Estimate Details'!#REF!</f>
        <v>#REF!</v>
      </c>
      <c r="S950" s="685"/>
      <c r="T950" s="684" t="e">
        <f>+'Estimate Details'!#REF!</f>
        <v>#REF!</v>
      </c>
      <c r="U950" s="686" t="s">
        <v>1311</v>
      </c>
      <c r="V950" s="682" t="e">
        <f>+'Estimate Details'!#REF!</f>
        <v>#REF!</v>
      </c>
      <c r="W950" s="686" t="s">
        <v>1311</v>
      </c>
      <c r="X950" s="682"/>
      <c r="Y950" s="682"/>
      <c r="Z950" s="684" t="e">
        <f>+'Estimate Details'!#REF!</f>
        <v>#REF!</v>
      </c>
      <c r="AA950" s="686"/>
      <c r="AB950" s="687" t="e">
        <f>+'Estimate Details'!#REF!</f>
        <v>#REF!</v>
      </c>
      <c r="AC950" s="688"/>
      <c r="AD950" s="696" t="e">
        <f>+'Estimate Details'!#REF!</f>
        <v>#REF!</v>
      </c>
      <c r="AE950" s="156"/>
      <c r="AF950" s="373"/>
      <c r="AG950" s="156"/>
      <c r="AH950" s="156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</row>
    <row r="951" spans="1:44" s="30" customFormat="1" ht="14.1" customHeight="1">
      <c r="A951" s="673" t="e">
        <f>+'Estimate Details'!#REF!</f>
        <v>#REF!</v>
      </c>
      <c r="B951" s="673"/>
      <c r="C951" s="673"/>
      <c r="D951" s="674"/>
      <c r="E951" s="675" t="e">
        <f>+'Estimate Details'!#REF!</f>
        <v>#REF!</v>
      </c>
      <c r="F951" s="676"/>
      <c r="G951" s="677"/>
      <c r="H951" s="678" t="e">
        <f>+'Estimate Details'!#REF!</f>
        <v>#REF!</v>
      </c>
      <c r="I951" s="679" t="e">
        <f>+'Estimate Details'!#REF!</f>
        <v>#REF!</v>
      </c>
      <c r="J951" s="680" t="e">
        <f>+'Estimate Details'!#REF!</f>
        <v>#REF!</v>
      </c>
      <c r="K951" s="673" t="e">
        <f>+'Estimate Details'!#REF!</f>
        <v>#REF!</v>
      </c>
      <c r="L951" s="673" t="e">
        <f>+'Estimate Details'!#REF!</f>
        <v>#REF!</v>
      </c>
      <c r="M951" s="236"/>
      <c r="N951" s="699"/>
      <c r="O951" s="681"/>
      <c r="P951" s="682"/>
      <c r="Q951" s="683"/>
      <c r="R951" s="684" t="e">
        <f>+'Estimate Details'!#REF!</f>
        <v>#REF!</v>
      </c>
      <c r="S951" s="685"/>
      <c r="T951" s="684" t="e">
        <f>+'Estimate Details'!#REF!</f>
        <v>#REF!</v>
      </c>
      <c r="U951" s="686" t="s">
        <v>1311</v>
      </c>
      <c r="V951" s="682" t="e">
        <f>+'Estimate Details'!#REF!</f>
        <v>#REF!</v>
      </c>
      <c r="W951" s="686" t="s">
        <v>1311</v>
      </c>
      <c r="X951" s="682"/>
      <c r="Y951" s="682"/>
      <c r="Z951" s="684" t="e">
        <f>+'Estimate Details'!#REF!</f>
        <v>#REF!</v>
      </c>
      <c r="AA951" s="686"/>
      <c r="AB951" s="687" t="e">
        <f>+'Estimate Details'!#REF!</f>
        <v>#REF!</v>
      </c>
      <c r="AC951" s="688"/>
      <c r="AD951" s="696" t="e">
        <f>+'Estimate Details'!#REF!</f>
        <v>#REF!</v>
      </c>
      <c r="AE951" s="156"/>
      <c r="AF951" s="373"/>
      <c r="AG951" s="156"/>
      <c r="AH951" s="156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</row>
    <row r="952" spans="1:44" s="30" customFormat="1" ht="14.1" customHeight="1">
      <c r="A952" s="673" t="e">
        <f>+'Estimate Details'!#REF!</f>
        <v>#REF!</v>
      </c>
      <c r="B952" s="673"/>
      <c r="C952" s="673"/>
      <c r="D952" s="674"/>
      <c r="E952" s="675" t="e">
        <f>+'Estimate Details'!#REF!</f>
        <v>#REF!</v>
      </c>
      <c r="F952" s="676"/>
      <c r="G952" s="677"/>
      <c r="H952" s="678" t="e">
        <f>+'Estimate Details'!#REF!</f>
        <v>#REF!</v>
      </c>
      <c r="I952" s="679" t="e">
        <f>+'Estimate Details'!#REF!</f>
        <v>#REF!</v>
      </c>
      <c r="J952" s="680" t="e">
        <f>+'Estimate Details'!#REF!</f>
        <v>#REF!</v>
      </c>
      <c r="K952" s="673" t="e">
        <f>+'Estimate Details'!#REF!</f>
        <v>#REF!</v>
      </c>
      <c r="L952" s="673" t="e">
        <f>+'Estimate Details'!#REF!</f>
        <v>#REF!</v>
      </c>
      <c r="M952" s="236"/>
      <c r="N952" s="699"/>
      <c r="O952" s="681"/>
      <c r="P952" s="682"/>
      <c r="Q952" s="683"/>
      <c r="R952" s="684" t="e">
        <f>+'Estimate Details'!#REF!</f>
        <v>#REF!</v>
      </c>
      <c r="S952" s="685"/>
      <c r="T952" s="684" t="e">
        <f>+'Estimate Details'!#REF!</f>
        <v>#REF!</v>
      </c>
      <c r="U952" s="686" t="s">
        <v>1311</v>
      </c>
      <c r="V952" s="682" t="e">
        <f>+'Estimate Details'!#REF!</f>
        <v>#REF!</v>
      </c>
      <c r="W952" s="686" t="s">
        <v>1311</v>
      </c>
      <c r="X952" s="682"/>
      <c r="Y952" s="682"/>
      <c r="Z952" s="684" t="e">
        <f>+'Estimate Details'!#REF!</f>
        <v>#REF!</v>
      </c>
      <c r="AA952" s="686"/>
      <c r="AB952" s="687" t="e">
        <f>+'Estimate Details'!#REF!</f>
        <v>#REF!</v>
      </c>
      <c r="AC952" s="688"/>
      <c r="AD952" s="696" t="e">
        <f>+'Estimate Details'!#REF!</f>
        <v>#REF!</v>
      </c>
      <c r="AE952" s="156"/>
      <c r="AF952" s="373"/>
      <c r="AG952" s="156"/>
      <c r="AH952" s="156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</row>
    <row r="953" spans="1:44" s="30" customFormat="1" ht="14.1" customHeight="1">
      <c r="A953" s="673" t="e">
        <f>+'Estimate Details'!#REF!</f>
        <v>#REF!</v>
      </c>
      <c r="B953" s="673"/>
      <c r="C953" s="673"/>
      <c r="D953" s="674"/>
      <c r="E953" s="675" t="e">
        <f>+'Estimate Details'!#REF!</f>
        <v>#REF!</v>
      </c>
      <c r="F953" s="676"/>
      <c r="G953" s="677"/>
      <c r="H953" s="678" t="e">
        <f>+'Estimate Details'!#REF!</f>
        <v>#REF!</v>
      </c>
      <c r="I953" s="679" t="e">
        <f>+'Estimate Details'!#REF!</f>
        <v>#REF!</v>
      </c>
      <c r="J953" s="680" t="e">
        <f>+'Estimate Details'!#REF!</f>
        <v>#REF!</v>
      </c>
      <c r="K953" s="673" t="e">
        <f>+'Estimate Details'!#REF!</f>
        <v>#REF!</v>
      </c>
      <c r="L953" s="673" t="e">
        <f>+'Estimate Details'!#REF!</f>
        <v>#REF!</v>
      </c>
      <c r="M953" s="236"/>
      <c r="N953" s="699"/>
      <c r="O953" s="681"/>
      <c r="P953" s="682"/>
      <c r="Q953" s="683"/>
      <c r="R953" s="684" t="e">
        <f>+'Estimate Details'!#REF!</f>
        <v>#REF!</v>
      </c>
      <c r="S953" s="685"/>
      <c r="T953" s="684" t="e">
        <f>+'Estimate Details'!#REF!</f>
        <v>#REF!</v>
      </c>
      <c r="U953" s="686" t="s">
        <v>1311</v>
      </c>
      <c r="V953" s="682" t="e">
        <f>+'Estimate Details'!#REF!</f>
        <v>#REF!</v>
      </c>
      <c r="W953" s="686" t="s">
        <v>1311</v>
      </c>
      <c r="X953" s="682"/>
      <c r="Y953" s="682"/>
      <c r="Z953" s="684" t="e">
        <f>+'Estimate Details'!#REF!</f>
        <v>#REF!</v>
      </c>
      <c r="AA953" s="686"/>
      <c r="AB953" s="687" t="e">
        <f>+'Estimate Details'!#REF!</f>
        <v>#REF!</v>
      </c>
      <c r="AC953" s="688"/>
      <c r="AD953" s="696" t="e">
        <f>+'Estimate Details'!#REF!</f>
        <v>#REF!</v>
      </c>
      <c r="AE953" s="156"/>
      <c r="AF953" s="373"/>
      <c r="AG953" s="156"/>
      <c r="AH953" s="156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</row>
    <row r="954" spans="1:44" s="30" customFormat="1" ht="14.1" customHeight="1">
      <c r="A954" s="673" t="e">
        <f>+'Estimate Details'!#REF!</f>
        <v>#REF!</v>
      </c>
      <c r="B954" s="673"/>
      <c r="C954" s="673"/>
      <c r="D954" s="674"/>
      <c r="E954" s="675" t="e">
        <f>+'Estimate Details'!#REF!</f>
        <v>#REF!</v>
      </c>
      <c r="F954" s="676"/>
      <c r="G954" s="677"/>
      <c r="H954" s="678" t="e">
        <f>+'Estimate Details'!#REF!</f>
        <v>#REF!</v>
      </c>
      <c r="I954" s="679" t="e">
        <f>+'Estimate Details'!#REF!</f>
        <v>#REF!</v>
      </c>
      <c r="J954" s="680" t="e">
        <f>+'Estimate Details'!#REF!</f>
        <v>#REF!</v>
      </c>
      <c r="K954" s="673" t="e">
        <f>+'Estimate Details'!#REF!</f>
        <v>#REF!</v>
      </c>
      <c r="L954" s="673" t="e">
        <f>+'Estimate Details'!#REF!</f>
        <v>#REF!</v>
      </c>
      <c r="M954" s="236"/>
      <c r="N954" s="699"/>
      <c r="O954" s="681"/>
      <c r="P954" s="682"/>
      <c r="Q954" s="683"/>
      <c r="R954" s="684" t="e">
        <f>+'Estimate Details'!#REF!</f>
        <v>#REF!</v>
      </c>
      <c r="S954" s="685"/>
      <c r="T954" s="684" t="e">
        <f>+'Estimate Details'!#REF!</f>
        <v>#REF!</v>
      </c>
      <c r="U954" s="686" t="s">
        <v>1311</v>
      </c>
      <c r="V954" s="682" t="e">
        <f>+'Estimate Details'!#REF!</f>
        <v>#REF!</v>
      </c>
      <c r="W954" s="686" t="s">
        <v>1311</v>
      </c>
      <c r="X954" s="682"/>
      <c r="Y954" s="682"/>
      <c r="Z954" s="684" t="e">
        <f>+'Estimate Details'!#REF!</f>
        <v>#REF!</v>
      </c>
      <c r="AA954" s="686"/>
      <c r="AB954" s="687" t="e">
        <f>+'Estimate Details'!#REF!</f>
        <v>#REF!</v>
      </c>
      <c r="AC954" s="688"/>
      <c r="AD954" s="696" t="e">
        <f>+'Estimate Details'!#REF!</f>
        <v>#REF!</v>
      </c>
      <c r="AE954" s="156"/>
      <c r="AF954" s="373"/>
      <c r="AG954" s="156"/>
      <c r="AH954" s="156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</row>
    <row r="955" spans="1:44" s="30" customFormat="1" ht="13.5" customHeight="1">
      <c r="A955" s="673" t="e">
        <f>+'Estimate Details'!#REF!</f>
        <v>#REF!</v>
      </c>
      <c r="B955" s="673"/>
      <c r="C955" s="673"/>
      <c r="D955" s="674"/>
      <c r="E955" s="675" t="e">
        <f>+'Estimate Details'!#REF!</f>
        <v>#REF!</v>
      </c>
      <c r="F955" s="676"/>
      <c r="G955" s="677"/>
      <c r="H955" s="678" t="e">
        <f>+'Estimate Details'!#REF!</f>
        <v>#REF!</v>
      </c>
      <c r="I955" s="679" t="e">
        <f>+'Estimate Details'!#REF!</f>
        <v>#REF!</v>
      </c>
      <c r="J955" s="680" t="e">
        <f>+'Estimate Details'!#REF!</f>
        <v>#REF!</v>
      </c>
      <c r="K955" s="673" t="e">
        <f>+'Estimate Details'!#REF!</f>
        <v>#REF!</v>
      </c>
      <c r="L955" s="673" t="e">
        <f>+'Estimate Details'!#REF!</f>
        <v>#REF!</v>
      </c>
      <c r="M955" s="236"/>
      <c r="N955" s="699"/>
      <c r="O955" s="681"/>
      <c r="P955" s="682"/>
      <c r="Q955" s="683"/>
      <c r="R955" s="684" t="e">
        <f>+'Estimate Details'!#REF!</f>
        <v>#REF!</v>
      </c>
      <c r="S955" s="685"/>
      <c r="T955" s="684" t="e">
        <f>+'Estimate Details'!#REF!</f>
        <v>#REF!</v>
      </c>
      <c r="U955" s="686" t="s">
        <v>1311</v>
      </c>
      <c r="V955" s="682" t="e">
        <f>+'Estimate Details'!#REF!</f>
        <v>#REF!</v>
      </c>
      <c r="W955" s="686" t="s">
        <v>1311</v>
      </c>
      <c r="X955" s="682"/>
      <c r="Y955" s="682"/>
      <c r="Z955" s="684" t="e">
        <f>+'Estimate Details'!#REF!</f>
        <v>#REF!</v>
      </c>
      <c r="AA955" s="686"/>
      <c r="AB955" s="687" t="e">
        <f>+'Estimate Details'!#REF!</f>
        <v>#REF!</v>
      </c>
      <c r="AC955" s="688"/>
      <c r="AD955" s="696" t="e">
        <f>+'Estimate Details'!#REF!</f>
        <v>#REF!</v>
      </c>
      <c r="AE955" s="156"/>
      <c r="AF955" s="373"/>
      <c r="AG955" s="156"/>
      <c r="AH955" s="156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</row>
    <row r="956" spans="1:44" s="30" customFormat="1" ht="13.5" customHeight="1" thickBot="1">
      <c r="A956" s="673" t="e">
        <f>+'Estimate Details'!#REF!</f>
        <v>#REF!</v>
      </c>
      <c r="B956" s="673"/>
      <c r="C956" s="673"/>
      <c r="D956" s="674"/>
      <c r="E956" s="675" t="e">
        <f>+'Estimate Details'!#REF!</f>
        <v>#REF!</v>
      </c>
      <c r="F956" s="676"/>
      <c r="G956" s="677"/>
      <c r="H956" s="678" t="e">
        <f>+'Estimate Details'!#REF!</f>
        <v>#REF!</v>
      </c>
      <c r="I956" s="679" t="e">
        <f>+'Estimate Details'!#REF!</f>
        <v>#REF!</v>
      </c>
      <c r="J956" s="680" t="e">
        <f>+'Estimate Details'!#REF!</f>
        <v>#REF!</v>
      </c>
      <c r="K956" s="673" t="e">
        <f>+'Estimate Details'!#REF!</f>
        <v>#REF!</v>
      </c>
      <c r="L956" s="673" t="e">
        <f>+'Estimate Details'!#REF!</f>
        <v>#REF!</v>
      </c>
      <c r="M956" s="236"/>
      <c r="N956" s="699"/>
      <c r="O956" s="681"/>
      <c r="P956" s="682"/>
      <c r="Q956" s="683"/>
      <c r="R956" s="684" t="e">
        <f>+'Estimate Details'!#REF!</f>
        <v>#REF!</v>
      </c>
      <c r="S956" s="685"/>
      <c r="T956" s="684" t="e">
        <f>+'Estimate Details'!#REF!</f>
        <v>#REF!</v>
      </c>
      <c r="U956" s="686" t="s">
        <v>1311</v>
      </c>
      <c r="V956" s="682" t="e">
        <f>+'Estimate Details'!#REF!</f>
        <v>#REF!</v>
      </c>
      <c r="W956" s="686" t="s">
        <v>1311</v>
      </c>
      <c r="X956" s="682"/>
      <c r="Y956" s="682"/>
      <c r="Z956" s="684" t="e">
        <f>+'Estimate Details'!#REF!</f>
        <v>#REF!</v>
      </c>
      <c r="AA956" s="686"/>
      <c r="AB956" s="687" t="e">
        <f>+'Estimate Details'!#REF!</f>
        <v>#REF!</v>
      </c>
      <c r="AC956" s="688"/>
      <c r="AD956" s="696" t="e">
        <f>+'Estimate Details'!#REF!</f>
        <v>#REF!</v>
      </c>
      <c r="AE956" s="156"/>
      <c r="AF956" s="373"/>
      <c r="AG956" s="156"/>
      <c r="AH956" s="156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</row>
    <row r="957" spans="1:44" s="30" customFormat="1" ht="16.2" thickBot="1">
      <c r="A957" s="442"/>
      <c r="B957" s="442"/>
      <c r="C957" s="442"/>
      <c r="D957" s="442"/>
      <c r="E957" s="443"/>
      <c r="F957" s="444"/>
      <c r="G957" s="445"/>
      <c r="H957" s="528" t="s">
        <v>1859</v>
      </c>
      <c r="I957" s="424"/>
      <c r="J957" s="425"/>
      <c r="K957" s="421"/>
      <c r="L957" s="421"/>
      <c r="M957" s="426"/>
      <c r="N957" s="427"/>
      <c r="O957" s="428"/>
      <c r="P957" s="429"/>
      <c r="Q957" s="430"/>
      <c r="R957" s="476" t="e">
        <f>SUM(R622:R956)</f>
        <v>#REF!</v>
      </c>
      <c r="S957" s="508"/>
      <c r="T957" s="476" t="e">
        <f>SUM(T622:T956)</f>
        <v>#REF!</v>
      </c>
      <c r="U957" s="480"/>
      <c r="V957" s="476" t="e">
        <f>SUM(V622:V956)</f>
        <v>#REF!</v>
      </c>
      <c r="W957" s="480"/>
      <c r="X957" s="429"/>
      <c r="Y957" s="429"/>
      <c r="Z957" s="476" t="e">
        <f>SUM(Z622:Z956)</f>
        <v>#REF!</v>
      </c>
      <c r="AA957" s="527"/>
      <c r="AB957" s="526" t="s">
        <v>1997</v>
      </c>
      <c r="AC957" s="476"/>
      <c r="AD957" s="432" t="e">
        <f>SUM(AB622:AB956)</f>
        <v>#REF!</v>
      </c>
      <c r="AE957" s="178" t="e">
        <f>SUM(R957:Z957)</f>
        <v>#REF!</v>
      </c>
      <c r="AF957" s="373"/>
      <c r="AG957" s="156"/>
      <c r="AH957" s="156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</row>
    <row r="958" spans="1:44" s="30" customFormat="1" ht="16.2" thickBot="1">
      <c r="A958" s="295"/>
      <c r="B958" s="295"/>
      <c r="C958" s="295"/>
      <c r="D958" s="295"/>
      <c r="E958" s="344"/>
      <c r="F958" s="156"/>
      <c r="G958" s="433"/>
      <c r="H958" s="29"/>
      <c r="I958" s="373"/>
      <c r="J958" s="435"/>
      <c r="K958" s="344"/>
      <c r="L958" s="344"/>
      <c r="M958" s="436"/>
      <c r="N958" s="437"/>
      <c r="O958" s="438"/>
      <c r="P958" s="244"/>
      <c r="Q958" s="439"/>
      <c r="R958" s="440"/>
      <c r="S958" s="510"/>
      <c r="T958" s="440"/>
      <c r="U958" s="488"/>
      <c r="V958" s="434"/>
      <c r="W958" s="488"/>
      <c r="X958" s="244"/>
      <c r="Y958" s="244"/>
      <c r="Z958" s="440"/>
      <c r="AA958" s="488"/>
      <c r="AB958" s="178"/>
      <c r="AC958" s="441"/>
      <c r="AD958" s="441"/>
      <c r="AE958" s="156"/>
      <c r="AF958" s="373"/>
      <c r="AG958" s="156"/>
      <c r="AH958" s="156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</row>
    <row r="959" spans="1:44" s="30" customFormat="1" ht="16.2" thickBot="1">
      <c r="A959" s="295"/>
      <c r="B959" s="295"/>
      <c r="C959" s="295"/>
      <c r="D959" s="295"/>
      <c r="E959" s="344"/>
      <c r="F959" s="156"/>
      <c r="G959" s="433"/>
      <c r="H959" s="29"/>
      <c r="I959" s="373"/>
      <c r="J959" s="435"/>
      <c r="K959" s="344"/>
      <c r="L959" s="344"/>
      <c r="M959" s="436"/>
      <c r="N959" s="437"/>
      <c r="O959" s="438"/>
      <c r="P959" s="244"/>
      <c r="Q959" s="439"/>
      <c r="R959" s="440"/>
      <c r="S959" s="510"/>
      <c r="T959" s="440"/>
      <c r="U959" s="488"/>
      <c r="V959" s="454"/>
      <c r="W959" s="480"/>
      <c r="X959" s="429"/>
      <c r="Y959" s="429"/>
      <c r="Z959" s="451" t="s">
        <v>1860</v>
      </c>
      <c r="AA959" s="480"/>
      <c r="AB959" s="476" t="e">
        <f>SUM(AB13:AB956)</f>
        <v>#REF!</v>
      </c>
      <c r="AC959" s="476"/>
      <c r="AD959" s="432" t="e">
        <f>SUM(AD957,AD619,AD285)</f>
        <v>#REF!</v>
      </c>
      <c r="AE959" s="156"/>
      <c r="AF959" s="373"/>
      <c r="AG959" s="156"/>
      <c r="AH959" s="156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</row>
    <row r="960" spans="1:44" s="30" customFormat="1">
      <c r="A960" s="295"/>
      <c r="B960" s="295"/>
      <c r="C960" s="295"/>
      <c r="D960" s="295"/>
      <c r="E960" s="344"/>
      <c r="F960" s="156"/>
      <c r="G960" s="433"/>
      <c r="H960" s="29"/>
      <c r="I960" s="373"/>
      <c r="J960" s="435"/>
      <c r="K960" s="344"/>
      <c r="L960" s="344"/>
      <c r="M960" s="436"/>
      <c r="N960" s="437"/>
      <c r="O960" s="438"/>
      <c r="P960" s="244"/>
      <c r="Q960" s="439"/>
      <c r="R960" s="440"/>
      <c r="S960" s="510"/>
      <c r="T960" s="458"/>
      <c r="U960" s="453"/>
      <c r="V960" s="453"/>
      <c r="W960" s="453" t="s">
        <v>1863</v>
      </c>
      <c r="X960" s="244"/>
      <c r="Y960" s="453"/>
      <c r="Z960" s="457"/>
      <c r="AA960" s="670"/>
      <c r="AB960" s="671" t="e">
        <f>SUM(AB959-'Estimate Details'!V113)+AB997+AB1009</f>
        <v>#REF!</v>
      </c>
      <c r="AC960" s="441"/>
      <c r="AD960" s="453"/>
      <c r="AE960" s="156"/>
      <c r="AF960" s="373"/>
      <c r="AG960" s="156"/>
      <c r="AH960" s="156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</row>
    <row r="961" spans="1:44" s="30" customFormat="1" ht="16.2" thickBot="1">
      <c r="A961" s="295"/>
      <c r="B961" s="295"/>
      <c r="C961" s="295"/>
      <c r="D961" s="295"/>
      <c r="E961" s="344"/>
      <c r="F961" s="156"/>
      <c r="G961" s="433"/>
      <c r="H961" s="29"/>
      <c r="I961" s="373"/>
      <c r="J961" s="435"/>
      <c r="K961" s="344"/>
      <c r="L961" s="344"/>
      <c r="M961" s="436"/>
      <c r="N961" s="437"/>
      <c r="O961" s="438"/>
      <c r="P961" s="244"/>
      <c r="Q961" s="439"/>
      <c r="R961" s="440"/>
      <c r="S961" s="510"/>
      <c r="T961" s="440"/>
      <c r="U961" s="458"/>
      <c r="V961" s="434"/>
      <c r="W961" s="488"/>
      <c r="X961" s="244"/>
      <c r="Y961" s="244"/>
      <c r="AA961" s="488"/>
      <c r="AB961" s="243"/>
      <c r="AC961" s="441"/>
      <c r="AD961" s="453"/>
      <c r="AE961" s="156"/>
      <c r="AF961" s="373"/>
      <c r="AG961" s="156"/>
      <c r="AH961" s="156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</row>
    <row r="962" spans="1:44" s="30" customFormat="1">
      <c r="A962" s="295"/>
      <c r="B962" s="295"/>
      <c r="C962" s="295"/>
      <c r="D962" s="295"/>
      <c r="E962" s="344"/>
      <c r="F962" s="156"/>
      <c r="G962" s="433"/>
      <c r="H962" s="29"/>
      <c r="I962" s="373"/>
      <c r="J962" s="435"/>
      <c r="K962" s="344"/>
      <c r="L962" s="344"/>
      <c r="M962" s="436"/>
      <c r="N962" s="437"/>
      <c r="O962" s="438"/>
      <c r="P962" s="244"/>
      <c r="Q962" s="439"/>
      <c r="R962" s="440"/>
      <c r="S962" s="510"/>
      <c r="T962" s="440"/>
      <c r="U962" s="488"/>
      <c r="V962" s="465" t="s">
        <v>1861</v>
      </c>
      <c r="W962" s="467" t="e">
        <f>SUM(AD962/AD964)</f>
        <v>#REF!</v>
      </c>
      <c r="X962" s="561"/>
      <c r="Y962" s="446"/>
      <c r="Z962" s="460"/>
      <c r="AA962" s="487"/>
      <c r="AB962" s="461" t="s">
        <v>1864</v>
      </c>
      <c r="AC962" s="571"/>
      <c r="AD962" s="447" t="e">
        <f>SUM(AD957,AD285)</f>
        <v>#REF!</v>
      </c>
      <c r="AE962" s="156"/>
      <c r="AF962" s="373"/>
      <c r="AG962" s="156"/>
      <c r="AH962" s="156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</row>
    <row r="963" spans="1:44" s="30" customFormat="1">
      <c r="A963" s="295"/>
      <c r="B963" s="295"/>
      <c r="C963" s="295"/>
      <c r="D963" s="295"/>
      <c r="E963" s="344"/>
      <c r="F963" s="156"/>
      <c r="G963" s="433"/>
      <c r="H963" s="29"/>
      <c r="I963" s="373"/>
      <c r="J963" s="435"/>
      <c r="K963" s="344"/>
      <c r="L963" s="344"/>
      <c r="M963" s="436"/>
      <c r="N963" s="437"/>
      <c r="O963" s="438"/>
      <c r="P963" s="244"/>
      <c r="Q963" s="439"/>
      <c r="R963" s="440"/>
      <c r="S963" s="510"/>
      <c r="T963" s="440"/>
      <c r="U963" s="488"/>
      <c r="V963" s="455"/>
      <c r="W963" s="468" t="e">
        <f>SUM(AD963/AD964)</f>
        <v>#REF!</v>
      </c>
      <c r="Y963" s="244"/>
      <c r="Z963" s="452"/>
      <c r="AA963" s="488"/>
      <c r="AB963" s="462" t="s">
        <v>1686</v>
      </c>
      <c r="AC963" s="441"/>
      <c r="AD963" s="466" t="e">
        <f>SUM(AD619)</f>
        <v>#REF!</v>
      </c>
      <c r="AE963" s="156"/>
      <c r="AF963" s="373"/>
      <c r="AG963" s="156"/>
      <c r="AH963" s="156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</row>
    <row r="964" spans="1:44" s="30" customFormat="1" ht="16.2" thickBot="1">
      <c r="A964" s="295"/>
      <c r="B964" s="295"/>
      <c r="C964" s="295"/>
      <c r="D964" s="295"/>
      <c r="E964" s="344"/>
      <c r="F964" s="156"/>
      <c r="G964" s="433"/>
      <c r="I964" s="373"/>
      <c r="J964" s="435"/>
      <c r="K964" s="344"/>
      <c r="L964" s="344"/>
      <c r="M964" s="436"/>
      <c r="N964" s="437"/>
      <c r="O964" s="438"/>
      <c r="P964" s="244"/>
      <c r="Q964" s="439"/>
      <c r="R964" s="440"/>
      <c r="S964" s="510"/>
      <c r="T964" s="440"/>
      <c r="U964" s="488"/>
      <c r="V964" s="456"/>
      <c r="W964" s="499"/>
      <c r="X964" s="448"/>
      <c r="Y964" s="448"/>
      <c r="Z964" s="450"/>
      <c r="AA964" s="499"/>
      <c r="AB964" s="463" t="s">
        <v>1865</v>
      </c>
      <c r="AC964" s="572"/>
      <c r="AD964" s="449" t="e">
        <f>SUM(AD962:AD963)</f>
        <v>#REF!</v>
      </c>
      <c r="AE964" s="156"/>
      <c r="AF964" s="373"/>
      <c r="AG964" s="156"/>
      <c r="AH964" s="156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</row>
    <row r="965" spans="1:44" s="30" customFormat="1">
      <c r="A965" s="295"/>
      <c r="B965" s="295"/>
      <c r="C965" s="295"/>
      <c r="D965" s="295"/>
      <c r="E965" s="344"/>
      <c r="F965" s="156"/>
      <c r="G965" s="433"/>
      <c r="I965" s="373"/>
      <c r="J965" s="435"/>
      <c r="K965" s="344"/>
      <c r="L965" s="344"/>
      <c r="M965" s="436"/>
      <c r="N965" s="437"/>
      <c r="O965" s="438"/>
      <c r="P965" s="244"/>
      <c r="Q965" s="439"/>
      <c r="R965" s="440"/>
      <c r="S965" s="513"/>
      <c r="T965" s="440"/>
      <c r="U965" s="453"/>
      <c r="V965" s="452"/>
      <c r="W965" s="453"/>
      <c r="X965" s="244"/>
      <c r="Y965" s="244"/>
      <c r="Z965" s="452"/>
      <c r="AA965" s="453"/>
      <c r="AB965" s="462"/>
      <c r="AC965" s="441"/>
      <c r="AD965" s="441"/>
      <c r="AE965" s="156"/>
      <c r="AF965" s="373"/>
      <c r="AG965" s="156"/>
      <c r="AH965" s="156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</row>
    <row r="966" spans="1:44" s="30" customFormat="1">
      <c r="A966" s="295"/>
      <c r="B966" s="295"/>
      <c r="C966" s="295"/>
      <c r="D966" s="295"/>
      <c r="E966" s="344"/>
      <c r="F966" s="156"/>
      <c r="G966" s="433"/>
      <c r="H966" s="459" t="s">
        <v>245</v>
      </c>
      <c r="I966" s="373"/>
      <c r="J966" s="435"/>
      <c r="K966" s="344"/>
      <c r="L966" s="344"/>
      <c r="M966" s="436"/>
      <c r="N966" s="437"/>
      <c r="O966" s="438"/>
      <c r="P966" s="244"/>
      <c r="Q966" s="439"/>
      <c r="R966" s="440"/>
      <c r="S966" s="513"/>
      <c r="T966" s="562"/>
      <c r="U966" s="453"/>
      <c r="V966" s="562"/>
      <c r="W966" s="453"/>
      <c r="X966" s="244"/>
      <c r="Y966" s="244"/>
      <c r="Z966" s="562"/>
      <c r="AA966" s="453"/>
      <c r="AB966" s="178"/>
      <c r="AC966" s="488" t="s">
        <v>266</v>
      </c>
      <c r="AD966" s="441"/>
      <c r="AE966" s="156"/>
      <c r="AF966" s="373"/>
      <c r="AG966" s="156"/>
      <c r="AH966" s="156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</row>
    <row r="967" spans="1:44" ht="14.1" customHeight="1">
      <c r="A967" s="42" t="e">
        <f>+'Estimate Details'!#REF!</f>
        <v>#REF!</v>
      </c>
      <c r="B967" s="42"/>
      <c r="C967" s="42"/>
      <c r="D967" s="248"/>
      <c r="E967" s="42">
        <f>+'Estimate Details'!A91</f>
        <v>80</v>
      </c>
      <c r="F967" s="216"/>
      <c r="G967" s="116" t="str">
        <f>+'Estimate Details'!C91</f>
        <v>Project Indirects</v>
      </c>
      <c r="H967" s="377" t="str">
        <f>+'Estimate Details'!D91</f>
        <v xml:space="preserve">       - Power Plant Design Engineering</v>
      </c>
      <c r="I967" s="108">
        <f>+'Estimate Details'!E91</f>
        <v>1</v>
      </c>
      <c r="J967" s="168" t="str">
        <f>+'Estimate Details'!F91</f>
        <v>ls</v>
      </c>
      <c r="K967" s="42" t="str">
        <f>+'Estimate Details'!G91</f>
        <v>Contr</v>
      </c>
      <c r="L967" s="301">
        <f>+'Estimate Details'!H91</f>
        <v>0.09</v>
      </c>
      <c r="M967" s="245">
        <f>+'Estimate Details'!I91</f>
        <v>2159271.432121817</v>
      </c>
      <c r="N967" s="245">
        <f>+'Estimate Details'!J91</f>
        <v>0</v>
      </c>
      <c r="O967" s="241">
        <f>+'Estimate Details'!K91</f>
        <v>0</v>
      </c>
      <c r="P967" s="241">
        <f>+'Estimate Details'!L91</f>
        <v>0</v>
      </c>
      <c r="Q967" s="172">
        <f>+'Estimate Details'!M91</f>
        <v>0</v>
      </c>
      <c r="R967" s="246">
        <f>+'Estimate Details'!N91</f>
        <v>0</v>
      </c>
      <c r="S967" s="511"/>
      <c r="T967" s="246">
        <f>+'Estimate Details'!O91</f>
        <v>0</v>
      </c>
      <c r="U967" s="489"/>
      <c r="V967" s="241">
        <f>+'Estimate Details'!R91</f>
        <v>0</v>
      </c>
      <c r="W967" s="489"/>
      <c r="X967" s="241">
        <f>+'Estimate Details'!S91</f>
        <v>0</v>
      </c>
      <c r="Y967" s="241">
        <f>+'Estimate Details'!T91</f>
        <v>0</v>
      </c>
      <c r="Z967" s="246">
        <f>+'Estimate Details'!U91</f>
        <v>2159271.432121817</v>
      </c>
      <c r="AA967" s="489"/>
      <c r="AB967" s="175">
        <f>+'Estimate Details'!V91</f>
        <v>2159271.432121817</v>
      </c>
      <c r="AC967" s="573" t="s">
        <v>1314</v>
      </c>
      <c r="AD967" s="176" t="str">
        <f>+'Estimate Details'!X91</f>
        <v xml:space="preserve">% of the Total Construction Cost  </v>
      </c>
      <c r="AE967" s="156"/>
      <c r="AF967" s="367"/>
      <c r="AG967" s="156"/>
      <c r="AH967" s="156"/>
      <c r="AI967" s="29"/>
      <c r="AJ967" s="29"/>
      <c r="AK967" s="29"/>
      <c r="AL967" s="29"/>
    </row>
    <row r="968" spans="1:44" ht="14.1" customHeight="1">
      <c r="A968" s="42" t="e">
        <f>+'Estimate Details'!#REF!</f>
        <v>#REF!</v>
      </c>
      <c r="B968" s="42"/>
      <c r="C968" s="42"/>
      <c r="D968" s="248"/>
      <c r="E968" s="158">
        <f>+'Estimate Details'!A92</f>
        <v>81</v>
      </c>
      <c r="F968" s="216"/>
      <c r="G968" s="116" t="str">
        <f>+'Estimate Details'!C92</f>
        <v>Project Indirects</v>
      </c>
      <c r="H968" s="377" t="str">
        <f>+'Estimate Details'!D92</f>
        <v xml:space="preserve">       - Geotechnical Investigation</v>
      </c>
      <c r="I968" s="108">
        <f>+'Estimate Details'!E92</f>
        <v>1</v>
      </c>
      <c r="J968" s="168" t="str">
        <f>+'Estimate Details'!F92</f>
        <v>ls</v>
      </c>
      <c r="K968" s="42" t="str">
        <f>+'Estimate Details'!G92</f>
        <v>Contr</v>
      </c>
      <c r="L968" s="301" t="str">
        <f>+'Estimate Details'!H92</f>
        <v xml:space="preserve"> </v>
      </c>
      <c r="M968" s="245">
        <f>+'Estimate Details'!I92</f>
        <v>150000</v>
      </c>
      <c r="N968" s="245">
        <f>+'Estimate Details'!J92</f>
        <v>0</v>
      </c>
      <c r="O968" s="241">
        <f>+'Estimate Details'!K92</f>
        <v>0</v>
      </c>
      <c r="P968" s="241">
        <f>+'Estimate Details'!L92</f>
        <v>0</v>
      </c>
      <c r="Q968" s="172">
        <f>+'Estimate Details'!M92</f>
        <v>0</v>
      </c>
      <c r="R968" s="246">
        <f>+'Estimate Details'!N92</f>
        <v>0</v>
      </c>
      <c r="S968" s="511"/>
      <c r="T968" s="246">
        <f>+'Estimate Details'!O92</f>
        <v>0</v>
      </c>
      <c r="U968" s="489"/>
      <c r="V968" s="241">
        <f>+'Estimate Details'!R92</f>
        <v>0</v>
      </c>
      <c r="W968" s="489"/>
      <c r="X968" s="241">
        <f>+'Estimate Details'!S92</f>
        <v>0</v>
      </c>
      <c r="Y968" s="241">
        <f>+'Estimate Details'!T92</f>
        <v>0</v>
      </c>
      <c r="Z968" s="246">
        <f>+'Estimate Details'!U92</f>
        <v>150000</v>
      </c>
      <c r="AA968" s="489"/>
      <c r="AB968" s="175">
        <f>+'Estimate Details'!V92</f>
        <v>150000</v>
      </c>
      <c r="AC968" s="573" t="s">
        <v>1314</v>
      </c>
      <c r="AD968" s="176" t="str">
        <f>+'Estimate Details'!X92</f>
        <v>Included in Engineering Contract</v>
      </c>
      <c r="AE968" s="156"/>
      <c r="AF968" s="369"/>
      <c r="AG968" s="156"/>
      <c r="AH968" s="156"/>
      <c r="AI968" s="29"/>
      <c r="AJ968" s="29"/>
      <c r="AK968" s="29"/>
      <c r="AL968" s="29"/>
    </row>
    <row r="969" spans="1:44" ht="14.1" customHeight="1">
      <c r="A969" s="42"/>
      <c r="B969" s="42"/>
      <c r="C969" s="42"/>
      <c r="D969" s="248"/>
      <c r="E969" s="158"/>
      <c r="F969" s="216"/>
      <c r="G969" s="116"/>
      <c r="H969" s="377"/>
      <c r="I969" s="108"/>
      <c r="J969" s="168"/>
      <c r="K969" s="42"/>
      <c r="L969" s="301"/>
      <c r="M969" s="245"/>
      <c r="N969" s="245"/>
      <c r="O969" s="241"/>
      <c r="P969" s="241"/>
      <c r="Q969" s="172"/>
      <c r="R969" s="246"/>
      <c r="S969" s="511"/>
      <c r="T969" s="246"/>
      <c r="U969" s="489"/>
      <c r="V969" s="241"/>
      <c r="W969" s="489"/>
      <c r="X969" s="241"/>
      <c r="Y969" s="241"/>
      <c r="Z969" s="246"/>
      <c r="AA969" s="489"/>
      <c r="AB969" s="175"/>
      <c r="AC969" s="573"/>
      <c r="AD969" s="586">
        <f>SUM(AB967:AB968)</f>
        <v>2309271.432121817</v>
      </c>
      <c r="AE969" s="156"/>
      <c r="AF969" s="369"/>
      <c r="AG969" s="156"/>
      <c r="AH969" s="156"/>
      <c r="AI969" s="29"/>
      <c r="AJ969" s="29"/>
      <c r="AK969" s="29"/>
      <c r="AL969" s="29"/>
    </row>
    <row r="970" spans="1:44" ht="14.1" customHeight="1">
      <c r="A970" s="42" t="e">
        <f>+'Estimate Details'!#REF!</f>
        <v>#REF!</v>
      </c>
      <c r="B970" s="42"/>
      <c r="C970" s="42"/>
      <c r="D970" s="248"/>
      <c r="E970" s="158">
        <f>+'Estimate Details'!A83</f>
        <v>72</v>
      </c>
      <c r="F970" s="216"/>
      <c r="G970" s="116" t="str">
        <f>+'Estimate Details'!C83</f>
        <v>Const Indirects</v>
      </c>
      <c r="H970" s="118" t="str">
        <f>+'Estimate Details'!D83</f>
        <v>Construction Field Indirects</v>
      </c>
      <c r="I970" s="108">
        <f>+'Estimate Details'!E83</f>
        <v>0.15</v>
      </c>
      <c r="J970" s="168" t="str">
        <f>+'Estimate Details'!F83</f>
        <v>%</v>
      </c>
      <c r="K970" s="42" t="str">
        <f>+'Estimate Details'!G83</f>
        <v>Contr</v>
      </c>
      <c r="L970" s="42" t="str">
        <f>+'Estimate Details'!H83</f>
        <v>Contr</v>
      </c>
      <c r="M970" s="245" t="str">
        <f>+'Estimate Details'!I83</f>
        <v xml:space="preserve"> </v>
      </c>
      <c r="N970" s="245">
        <f>+'Estimate Details'!J83</f>
        <v>0</v>
      </c>
      <c r="O970" s="245">
        <f>+'Estimate Details'!K83</f>
        <v>0</v>
      </c>
      <c r="P970" s="245" t="str">
        <f>+'Estimate Details'!L83</f>
        <v xml:space="preserve"> </v>
      </c>
      <c r="Q970" s="173" t="str">
        <f>+'Estimate Details'!M83</f>
        <v xml:space="preserve"> </v>
      </c>
      <c r="R970" s="246">
        <f>+'Estimate Details'!N83</f>
        <v>0</v>
      </c>
      <c r="S970" s="511"/>
      <c r="T970" s="246">
        <f>+'Estimate Details'!O83</f>
        <v>0</v>
      </c>
      <c r="U970" s="489"/>
      <c r="V970" s="241" t="str">
        <f>+'Estimate Details'!R83</f>
        <v xml:space="preserve"> </v>
      </c>
      <c r="W970" s="489"/>
      <c r="X970" s="172" t="str">
        <f>+'Estimate Details'!S83</f>
        <v xml:space="preserve"> </v>
      </c>
      <c r="Y970" s="241" t="str">
        <f>+'Estimate Details'!T83</f>
        <v xml:space="preserve"> </v>
      </c>
      <c r="Z970" s="246">
        <f>+'Estimate Details'!U83</f>
        <v>3129378.8871330679</v>
      </c>
      <c r="AA970" s="489"/>
      <c r="AB970" s="175">
        <f>+'Estimate Details'!V83</f>
        <v>3129378.8871330679</v>
      </c>
      <c r="AC970" s="672" t="s">
        <v>1570</v>
      </c>
      <c r="AD970" s="176" t="str">
        <f>+'Estimate Details'!X83</f>
        <v xml:space="preserve"> </v>
      </c>
      <c r="AE970" s="156"/>
      <c r="AF970" s="367"/>
      <c r="AG970" s="156"/>
      <c r="AH970" s="156"/>
      <c r="AI970" s="29"/>
      <c r="AJ970" s="29"/>
      <c r="AK970" s="29"/>
      <c r="AL970" s="29"/>
    </row>
    <row r="971" spans="1:44" ht="14.1" customHeight="1">
      <c r="A971" s="42"/>
      <c r="B971" s="42"/>
      <c r="C971" s="42"/>
      <c r="D971" s="248"/>
      <c r="E971" s="158"/>
      <c r="F971" s="216"/>
      <c r="G971" s="116"/>
      <c r="H971" s="118"/>
      <c r="I971" s="108"/>
      <c r="J971" s="168"/>
      <c r="K971" s="42"/>
      <c r="L971" s="42"/>
      <c r="M971" s="245"/>
      <c r="N971" s="245"/>
      <c r="O971" s="245"/>
      <c r="P971" s="245"/>
      <c r="Q971" s="173"/>
      <c r="R971" s="246"/>
      <c r="S971" s="511"/>
      <c r="T971" s="246"/>
      <c r="U971" s="489"/>
      <c r="V971" s="241"/>
      <c r="W971" s="489"/>
      <c r="X971" s="172"/>
      <c r="Y971" s="241"/>
      <c r="Z971" s="246"/>
      <c r="AA971" s="489"/>
      <c r="AB971" s="175"/>
      <c r="AC971" s="573"/>
      <c r="AD971" s="586">
        <f>+AB970</f>
        <v>3129378.8871330679</v>
      </c>
      <c r="AE971" s="156"/>
      <c r="AF971" s="367"/>
      <c r="AG971" s="156"/>
      <c r="AH971" s="156"/>
      <c r="AI971" s="29"/>
      <c r="AJ971" s="29"/>
      <c r="AK971" s="29"/>
      <c r="AL971" s="29"/>
    </row>
    <row r="972" spans="1:44" ht="14.1" customHeight="1">
      <c r="A972" s="42" t="e">
        <f>+'Estimate Details'!#REF!</f>
        <v>#REF!</v>
      </c>
      <c r="B972" s="42"/>
      <c r="C972" s="42"/>
      <c r="D972" s="248"/>
      <c r="E972" s="158" t="e">
        <f>+'Estimate Details'!#REF!</f>
        <v>#REF!</v>
      </c>
      <c r="F972" s="216"/>
      <c r="G972" s="116" t="e">
        <f>+'Estimate Details'!#REF!</f>
        <v>#REF!</v>
      </c>
      <c r="H972" s="118" t="e">
        <f>+'Estimate Details'!#REF!</f>
        <v>#REF!</v>
      </c>
      <c r="I972" s="108" t="e">
        <f>+'Estimate Details'!#REF!</f>
        <v>#REF!</v>
      </c>
      <c r="J972" s="168" t="e">
        <f>+'Estimate Details'!#REF!</f>
        <v>#REF!</v>
      </c>
      <c r="K972" s="42" t="e">
        <f>+'Estimate Details'!#REF!</f>
        <v>#REF!</v>
      </c>
      <c r="L972" s="42" t="e">
        <f>+'Estimate Details'!#REF!</f>
        <v>#REF!</v>
      </c>
      <c r="M972" s="245" t="e">
        <f>+'Estimate Details'!#REF!</f>
        <v>#REF!</v>
      </c>
      <c r="N972" s="245" t="e">
        <f>+'Estimate Details'!#REF!</f>
        <v>#REF!</v>
      </c>
      <c r="O972" s="241" t="e">
        <f>+'Estimate Details'!#REF!</f>
        <v>#REF!</v>
      </c>
      <c r="P972" s="241" t="e">
        <f>+'Estimate Details'!#REF!</f>
        <v>#REF!</v>
      </c>
      <c r="Q972" s="173" t="e">
        <f>+'Estimate Details'!#REF!</f>
        <v>#REF!</v>
      </c>
      <c r="R972" s="246" t="e">
        <f>+'Estimate Details'!#REF!</f>
        <v>#REF!</v>
      </c>
      <c r="S972" s="511"/>
      <c r="T972" s="246" t="e">
        <f>+'Estimate Details'!#REF!</f>
        <v>#REF!</v>
      </c>
      <c r="U972" s="489"/>
      <c r="V972" s="241" t="e">
        <f>+'Estimate Details'!#REF!</f>
        <v>#REF!</v>
      </c>
      <c r="W972" s="489"/>
      <c r="X972" s="172" t="e">
        <f>+'Estimate Details'!#REF!</f>
        <v>#REF!</v>
      </c>
      <c r="Y972" s="241" t="e">
        <f>+'Estimate Details'!#REF!</f>
        <v>#REF!</v>
      </c>
      <c r="Z972" s="246" t="e">
        <f>+'Estimate Details'!#REF!</f>
        <v>#REF!</v>
      </c>
      <c r="AA972" s="489"/>
      <c r="AB972" s="175" t="e">
        <f>+'Estimate Details'!#REF!</f>
        <v>#REF!</v>
      </c>
      <c r="AC972" s="672" t="s">
        <v>1571</v>
      </c>
      <c r="AD972" s="176" t="e">
        <f>+'Estimate Details'!#REF!</f>
        <v>#REF!</v>
      </c>
      <c r="AE972" s="156"/>
      <c r="AF972" s="367"/>
      <c r="AG972" s="156"/>
      <c r="AH972" s="156"/>
      <c r="AI972" s="29"/>
      <c r="AJ972" s="29"/>
      <c r="AK972" s="29"/>
      <c r="AL972" s="29"/>
    </row>
    <row r="973" spans="1:44" ht="14.1" customHeight="1">
      <c r="A973" s="42" t="e">
        <f>+'Estimate Details'!#REF!</f>
        <v>#REF!</v>
      </c>
      <c r="B973" s="42"/>
      <c r="C973" s="42"/>
      <c r="D973" s="248"/>
      <c r="E973" s="158" t="e">
        <f>+'Estimate Details'!#REF!</f>
        <v>#REF!</v>
      </c>
      <c r="F973" s="216"/>
      <c r="G973" s="116" t="e">
        <f>+'Estimate Details'!#REF!</f>
        <v>#REF!</v>
      </c>
      <c r="H973" s="118" t="e">
        <f>+'Estimate Details'!#REF!</f>
        <v>#REF!</v>
      </c>
      <c r="I973" s="108" t="e">
        <f>+'Estimate Details'!#REF!</f>
        <v>#REF!</v>
      </c>
      <c r="J973" s="168" t="e">
        <f>+'Estimate Details'!#REF!</f>
        <v>#REF!</v>
      </c>
      <c r="K973" s="42" t="e">
        <f>+'Estimate Details'!#REF!</f>
        <v>#REF!</v>
      </c>
      <c r="L973" s="42" t="e">
        <f>+'Estimate Details'!#REF!</f>
        <v>#REF!</v>
      </c>
      <c r="M973" s="245" t="e">
        <f>+'Estimate Details'!#REF!</f>
        <v>#REF!</v>
      </c>
      <c r="N973" s="245" t="e">
        <f>+'Estimate Details'!#REF!</f>
        <v>#REF!</v>
      </c>
      <c r="O973" s="241" t="e">
        <f>+'Estimate Details'!#REF!</f>
        <v>#REF!</v>
      </c>
      <c r="P973" s="241" t="e">
        <f>+'Estimate Details'!#REF!</f>
        <v>#REF!</v>
      </c>
      <c r="Q973" s="173" t="e">
        <f>+'Estimate Details'!#REF!</f>
        <v>#REF!</v>
      </c>
      <c r="R973" s="246" t="e">
        <f>+'Estimate Details'!#REF!</f>
        <v>#REF!</v>
      </c>
      <c r="S973" s="511"/>
      <c r="T973" s="246" t="e">
        <f>+'Estimate Details'!#REF!</f>
        <v>#REF!</v>
      </c>
      <c r="U973" s="489"/>
      <c r="V973" s="241" t="e">
        <f>+'Estimate Details'!#REF!</f>
        <v>#REF!</v>
      </c>
      <c r="W973" s="489"/>
      <c r="X973" s="172" t="e">
        <f>+'Estimate Details'!#REF!</f>
        <v>#REF!</v>
      </c>
      <c r="Y973" s="241" t="e">
        <f>+'Estimate Details'!#REF!</f>
        <v>#REF!</v>
      </c>
      <c r="Z973" s="246" t="e">
        <f>+'Estimate Details'!#REF!</f>
        <v>#REF!</v>
      </c>
      <c r="AA973" s="489"/>
      <c r="AB973" s="175" t="e">
        <f>+'Estimate Details'!#REF!</f>
        <v>#REF!</v>
      </c>
      <c r="AC973" s="672" t="s">
        <v>1571</v>
      </c>
      <c r="AD973" s="176" t="e">
        <f>+'Estimate Details'!#REF!</f>
        <v>#REF!</v>
      </c>
      <c r="AE973" s="156"/>
      <c r="AF973" s="367"/>
      <c r="AG973" s="156"/>
      <c r="AH973" s="156"/>
      <c r="AI973" s="29"/>
      <c r="AJ973" s="29"/>
      <c r="AK973" s="29"/>
      <c r="AL973" s="29"/>
    </row>
    <row r="974" spans="1:44" ht="14.1" customHeight="1">
      <c r="A974" s="42"/>
      <c r="B974" s="42"/>
      <c r="C974" s="42"/>
      <c r="D974" s="248"/>
      <c r="E974" s="158"/>
      <c r="F974" s="216"/>
      <c r="G974" s="116"/>
      <c r="H974" s="118"/>
      <c r="I974" s="108"/>
      <c r="J974" s="168"/>
      <c r="K974" s="42"/>
      <c r="L974" s="42"/>
      <c r="M974" s="245"/>
      <c r="N974" s="245"/>
      <c r="O974" s="241"/>
      <c r="P974" s="241"/>
      <c r="Q974" s="173"/>
      <c r="R974" s="246"/>
      <c r="S974" s="511"/>
      <c r="T974" s="246"/>
      <c r="U974" s="489"/>
      <c r="V974" s="241"/>
      <c r="W974" s="489"/>
      <c r="X974" s="172"/>
      <c r="Y974" s="241"/>
      <c r="Z974" s="246"/>
      <c r="AA974" s="489"/>
      <c r="AB974" s="175"/>
      <c r="AC974" s="573"/>
      <c r="AD974" s="586" t="e">
        <f>SUM(AB972:AB973)</f>
        <v>#REF!</v>
      </c>
      <c r="AE974" s="156"/>
      <c r="AF974" s="367"/>
      <c r="AG974" s="156"/>
      <c r="AH974" s="156"/>
      <c r="AI974" s="29"/>
      <c r="AJ974" s="29"/>
      <c r="AK974" s="29"/>
      <c r="AL974" s="29"/>
    </row>
    <row r="975" spans="1:44" ht="14.1" customHeight="1">
      <c r="A975" s="42" t="e">
        <f>+'Estimate Details'!#REF!</f>
        <v>#REF!</v>
      </c>
      <c r="B975" s="42"/>
      <c r="C975" s="42"/>
      <c r="D975" s="248"/>
      <c r="E975" s="158" t="e">
        <f>+'Estimate Details'!#REF!</f>
        <v>#REF!</v>
      </c>
      <c r="F975" s="216"/>
      <c r="G975" s="116" t="e">
        <f>+'Estimate Details'!#REF!</f>
        <v>#REF!</v>
      </c>
      <c r="H975" s="118" t="e">
        <f>+'Estimate Details'!#REF!</f>
        <v>#REF!</v>
      </c>
      <c r="I975" s="108" t="e">
        <f>+'Estimate Details'!#REF!</f>
        <v>#REF!</v>
      </c>
      <c r="J975" s="168" t="e">
        <f>+'Estimate Details'!#REF!</f>
        <v>#REF!</v>
      </c>
      <c r="K975" s="42" t="e">
        <f>+'Estimate Details'!#REF!</f>
        <v>#REF!</v>
      </c>
      <c r="L975" s="42" t="e">
        <f>+'Estimate Details'!#REF!</f>
        <v>#REF!</v>
      </c>
      <c r="M975" s="245" t="e">
        <f>+'Estimate Details'!#REF!</f>
        <v>#REF!</v>
      </c>
      <c r="N975" s="245" t="e">
        <f>+'Estimate Details'!#REF!</f>
        <v>#REF!</v>
      </c>
      <c r="O975" s="302" t="e">
        <f>+'Estimate Details'!#REF!</f>
        <v>#REF!</v>
      </c>
      <c r="P975" s="245" t="e">
        <f>+'Estimate Details'!#REF!</f>
        <v>#REF!</v>
      </c>
      <c r="Q975" s="173" t="e">
        <f>+'Estimate Details'!#REF!</f>
        <v>#REF!</v>
      </c>
      <c r="R975" s="245" t="e">
        <f>+'Estimate Details'!#REF!</f>
        <v>#REF!</v>
      </c>
      <c r="S975" s="512"/>
      <c r="T975" s="245" t="e">
        <f>+'Estimate Details'!#REF!</f>
        <v>#REF!</v>
      </c>
      <c r="U975" s="490"/>
      <c r="V975" s="245" t="e">
        <f>+'Estimate Details'!#REF!</f>
        <v>#REF!</v>
      </c>
      <c r="W975" s="490"/>
      <c r="X975" s="172" t="e">
        <f>+'Estimate Details'!#REF!</f>
        <v>#REF!</v>
      </c>
      <c r="Y975" s="241" t="e">
        <f>+'Estimate Details'!#REF!</f>
        <v>#REF!</v>
      </c>
      <c r="Z975" s="245" t="e">
        <f>+'Estimate Details'!#REF!</f>
        <v>#REF!</v>
      </c>
      <c r="AA975" s="490"/>
      <c r="AB975" s="175" t="e">
        <f>+'Estimate Details'!#REF!</f>
        <v>#REF!</v>
      </c>
      <c r="AC975" s="573" t="s">
        <v>1313</v>
      </c>
      <c r="AD975" s="176" t="e">
        <f>+'Estimate Details'!#REF!</f>
        <v>#REF!</v>
      </c>
      <c r="AE975" s="156"/>
      <c r="AF975" s="367"/>
      <c r="AG975" s="156"/>
      <c r="AH975" s="156"/>
      <c r="AI975" s="29"/>
      <c r="AJ975" s="29"/>
      <c r="AK975" s="29"/>
      <c r="AL975" s="29"/>
    </row>
    <row r="976" spans="1:44" ht="14.1" customHeight="1">
      <c r="A976" s="42" t="e">
        <f>+'Estimate Details'!#REF!</f>
        <v>#REF!</v>
      </c>
      <c r="B976" s="42"/>
      <c r="C976" s="42"/>
      <c r="D976" s="248"/>
      <c r="E976" s="158" t="e">
        <f>+'Estimate Details'!#REF!</f>
        <v>#REF!</v>
      </c>
      <c r="F976" s="216"/>
      <c r="G976" s="116" t="e">
        <f>+'Estimate Details'!#REF!</f>
        <v>#REF!</v>
      </c>
      <c r="H976" s="118" t="e">
        <f>+'Estimate Details'!#REF!</f>
        <v>#REF!</v>
      </c>
      <c r="I976" s="108" t="e">
        <f>+'Estimate Details'!#REF!</f>
        <v>#REF!</v>
      </c>
      <c r="J976" s="168" t="e">
        <f>+'Estimate Details'!#REF!</f>
        <v>#REF!</v>
      </c>
      <c r="K976" s="42" t="e">
        <f>+'Estimate Details'!#REF!</f>
        <v>#REF!</v>
      </c>
      <c r="L976" s="42" t="e">
        <f>+'Estimate Details'!#REF!</f>
        <v>#REF!</v>
      </c>
      <c r="M976" s="245" t="e">
        <f>+'Estimate Details'!#REF!</f>
        <v>#REF!</v>
      </c>
      <c r="N976" s="241" t="e">
        <f>+'Estimate Details'!#REF!</f>
        <v>#REF!</v>
      </c>
      <c r="O976" s="302" t="e">
        <f>+'Estimate Details'!#REF!</f>
        <v>#REF!</v>
      </c>
      <c r="P976" s="241" t="e">
        <f>+'Estimate Details'!#REF!</f>
        <v>#REF!</v>
      </c>
      <c r="Q976" s="173" t="e">
        <f>+'Estimate Details'!#REF!</f>
        <v>#REF!</v>
      </c>
      <c r="R976" s="245" t="e">
        <f>+'Estimate Details'!#REF!</f>
        <v>#REF!</v>
      </c>
      <c r="S976" s="512"/>
      <c r="T976" s="245" t="e">
        <f>+'Estimate Details'!#REF!</f>
        <v>#REF!</v>
      </c>
      <c r="U976" s="490"/>
      <c r="V976" s="245" t="e">
        <f>+'Estimate Details'!#REF!</f>
        <v>#REF!</v>
      </c>
      <c r="W976" s="490"/>
      <c r="X976" s="172" t="e">
        <f>+'Estimate Details'!#REF!</f>
        <v>#REF!</v>
      </c>
      <c r="Y976" s="241" t="e">
        <f>+'Estimate Details'!#REF!</f>
        <v>#REF!</v>
      </c>
      <c r="Z976" s="245" t="e">
        <f>+'Estimate Details'!#REF!</f>
        <v>#REF!</v>
      </c>
      <c r="AA976" s="490"/>
      <c r="AB976" s="175" t="e">
        <f>+'Estimate Details'!#REF!</f>
        <v>#REF!</v>
      </c>
      <c r="AC976" s="573" t="s">
        <v>1313</v>
      </c>
      <c r="AD976" s="181" t="e">
        <f>+'Estimate Details'!#REF!</f>
        <v>#REF!</v>
      </c>
      <c r="AE976" s="156"/>
      <c r="AF976" s="367"/>
      <c r="AG976" s="156"/>
      <c r="AH976" s="156"/>
      <c r="AI976" s="29"/>
      <c r="AJ976" s="29"/>
      <c r="AK976" s="29"/>
      <c r="AL976" s="29"/>
    </row>
    <row r="977" spans="1:38" ht="14.1" customHeight="1">
      <c r="A977" s="42" t="e">
        <f>+'Estimate Details'!#REF!</f>
        <v>#REF!</v>
      </c>
      <c r="B977" s="42"/>
      <c r="C977" s="42"/>
      <c r="D977" s="248"/>
      <c r="E977" s="158" t="e">
        <f>+'Estimate Details'!#REF!</f>
        <v>#REF!</v>
      </c>
      <c r="F977" s="216"/>
      <c r="G977" s="116" t="e">
        <f>+'Estimate Details'!#REF!</f>
        <v>#REF!</v>
      </c>
      <c r="H977" s="118" t="e">
        <f>+'Estimate Details'!#REF!</f>
        <v>#REF!</v>
      </c>
      <c r="I977" s="239" t="e">
        <f>+'Estimate Details'!#REF!</f>
        <v>#REF!</v>
      </c>
      <c r="J977" s="247" t="e">
        <f>+'Estimate Details'!#REF!</f>
        <v>#REF!</v>
      </c>
      <c r="K977" s="42" t="e">
        <f>+'Estimate Details'!#REF!</f>
        <v>#REF!</v>
      </c>
      <c r="L977" s="42" t="e">
        <f>+'Estimate Details'!#REF!</f>
        <v>#REF!</v>
      </c>
      <c r="M977" s="245" t="e">
        <f>+'Estimate Details'!#REF!</f>
        <v>#REF!</v>
      </c>
      <c r="N977" s="245" t="e">
        <f>+'Estimate Details'!#REF!</f>
        <v>#REF!</v>
      </c>
      <c r="O977" s="245" t="e">
        <f>+'Estimate Details'!#REF!</f>
        <v>#REF!</v>
      </c>
      <c r="P977" s="245" t="e">
        <f>+'Estimate Details'!#REF!</f>
        <v>#REF!</v>
      </c>
      <c r="Q977" s="173" t="e">
        <f>+'Estimate Details'!#REF!</f>
        <v>#REF!</v>
      </c>
      <c r="R977" s="246" t="e">
        <f>+'Estimate Details'!#REF!</f>
        <v>#REF!</v>
      </c>
      <c r="S977" s="511"/>
      <c r="T977" s="246" t="e">
        <f>+'Estimate Details'!#REF!</f>
        <v>#REF!</v>
      </c>
      <c r="U977" s="489"/>
      <c r="V977" s="241" t="e">
        <f>+'Estimate Details'!#REF!</f>
        <v>#REF!</v>
      </c>
      <c r="W977" s="489"/>
      <c r="X977" s="172" t="e">
        <f>+'Estimate Details'!#REF!</f>
        <v>#REF!</v>
      </c>
      <c r="Y977" s="241" t="e">
        <f>+'Estimate Details'!#REF!</f>
        <v>#REF!</v>
      </c>
      <c r="Z977" s="246" t="e">
        <f>+'Estimate Details'!#REF!</f>
        <v>#REF!</v>
      </c>
      <c r="AA977" s="489"/>
      <c r="AB977" s="175" t="e">
        <f>+'Estimate Details'!#REF!</f>
        <v>#REF!</v>
      </c>
      <c r="AC977" s="573" t="s">
        <v>1313</v>
      </c>
      <c r="AD977" s="176" t="e">
        <f>+'Estimate Details'!#REF!</f>
        <v>#REF!</v>
      </c>
      <c r="AE977" s="156"/>
      <c r="AF977" s="367"/>
      <c r="AG977" s="156"/>
      <c r="AH977" s="156"/>
      <c r="AI977" s="29"/>
      <c r="AJ977" s="29"/>
      <c r="AK977" s="29"/>
      <c r="AL977" s="29"/>
    </row>
    <row r="978" spans="1:38" ht="14.1" customHeight="1">
      <c r="A978" s="42" t="e">
        <f>+'Estimate Details'!#REF!</f>
        <v>#REF!</v>
      </c>
      <c r="B978" s="307"/>
      <c r="C978" s="307"/>
      <c r="D978" s="317"/>
      <c r="E978" s="158" t="e">
        <f>+'Estimate Details'!#REF!</f>
        <v>#REF!</v>
      </c>
      <c r="F978" s="216"/>
      <c r="G978" s="116" t="e">
        <f>+'Estimate Details'!#REF!</f>
        <v>#REF!</v>
      </c>
      <c r="H978" s="118" t="e">
        <f>+'Estimate Details'!#REF!</f>
        <v>#REF!</v>
      </c>
      <c r="I978" s="108" t="e">
        <f>+'Estimate Details'!#REF!</f>
        <v>#REF!</v>
      </c>
      <c r="J978" s="168" t="e">
        <f>+'Estimate Details'!#REF!</f>
        <v>#REF!</v>
      </c>
      <c r="K978" s="42" t="e">
        <f>+'Estimate Details'!#REF!</f>
        <v>#REF!</v>
      </c>
      <c r="L978" s="42" t="e">
        <f>+'Estimate Details'!#REF!</f>
        <v>#REF!</v>
      </c>
      <c r="M978" s="245" t="e">
        <f>+'Estimate Details'!#REF!</f>
        <v>#REF!</v>
      </c>
      <c r="N978" s="245" t="e">
        <f>+'Estimate Details'!#REF!</f>
        <v>#REF!</v>
      </c>
      <c r="O978" s="302" t="e">
        <f>+'Estimate Details'!#REF!</f>
        <v>#REF!</v>
      </c>
      <c r="P978" s="245" t="e">
        <f>+'Estimate Details'!#REF!</f>
        <v>#REF!</v>
      </c>
      <c r="Q978" s="173" t="e">
        <f>+'Estimate Details'!#REF!</f>
        <v>#REF!</v>
      </c>
      <c r="R978" s="246" t="e">
        <f>+'Estimate Details'!#REF!</f>
        <v>#REF!</v>
      </c>
      <c r="S978" s="511"/>
      <c r="T978" s="245" t="e">
        <f>+'Estimate Details'!#REF!</f>
        <v>#REF!</v>
      </c>
      <c r="U978" s="489"/>
      <c r="V978" s="172" t="e">
        <f>+'Estimate Details'!#REF!</f>
        <v>#REF!</v>
      </c>
      <c r="W978" s="489"/>
      <c r="X978" s="172" t="e">
        <f>+'Estimate Details'!#REF!</f>
        <v>#REF!</v>
      </c>
      <c r="Y978" s="241" t="e">
        <f>+'Estimate Details'!#REF!</f>
        <v>#REF!</v>
      </c>
      <c r="Z978" s="246" t="e">
        <f>+'Estimate Details'!#REF!</f>
        <v>#REF!</v>
      </c>
      <c r="AA978" s="489"/>
      <c r="AB978" s="175" t="e">
        <f>+'Estimate Details'!#REF!</f>
        <v>#REF!</v>
      </c>
      <c r="AC978" s="573" t="s">
        <v>1313</v>
      </c>
      <c r="AD978" s="176" t="e">
        <f>+'Estimate Details'!#REF!</f>
        <v>#REF!</v>
      </c>
      <c r="AE978" s="156"/>
      <c r="AF978" s="367"/>
      <c r="AG978" s="156"/>
      <c r="AH978" s="156"/>
      <c r="AI978" s="29"/>
      <c r="AJ978" s="29"/>
      <c r="AK978" s="29"/>
      <c r="AL978" s="29"/>
    </row>
    <row r="979" spans="1:38" ht="14.1" customHeight="1">
      <c r="A979" s="42" t="e">
        <f>+'Estimate Details'!#REF!</f>
        <v>#REF!</v>
      </c>
      <c r="B979" s="307"/>
      <c r="C979" s="307"/>
      <c r="D979" s="317"/>
      <c r="E979" s="158" t="e">
        <f>+'Estimate Details'!#REF!</f>
        <v>#REF!</v>
      </c>
      <c r="F979" s="216"/>
      <c r="G979" s="116" t="e">
        <f>+'Estimate Details'!#REF!</f>
        <v>#REF!</v>
      </c>
      <c r="H979" s="118" t="e">
        <f>+'Estimate Details'!#REF!</f>
        <v>#REF!</v>
      </c>
      <c r="I979" s="108" t="e">
        <f>+'Estimate Details'!#REF!</f>
        <v>#REF!</v>
      </c>
      <c r="J979" s="168" t="e">
        <f>+'Estimate Details'!#REF!</f>
        <v>#REF!</v>
      </c>
      <c r="K979" s="42" t="e">
        <f>+'Estimate Details'!#REF!</f>
        <v>#REF!</v>
      </c>
      <c r="L979" s="42" t="e">
        <f>+'Estimate Details'!#REF!</f>
        <v>#REF!</v>
      </c>
      <c r="M979" s="245" t="e">
        <f>+'Estimate Details'!#REF!</f>
        <v>#REF!</v>
      </c>
      <c r="N979" s="241" t="e">
        <f>+'Estimate Details'!#REF!</f>
        <v>#REF!</v>
      </c>
      <c r="O979" s="302" t="e">
        <f>+'Estimate Details'!#REF!</f>
        <v>#REF!</v>
      </c>
      <c r="P979" s="241" t="e">
        <f>+'Estimate Details'!#REF!</f>
        <v>#REF!</v>
      </c>
      <c r="Q979" s="173" t="e">
        <f>+'Estimate Details'!#REF!</f>
        <v>#REF!</v>
      </c>
      <c r="R979" s="246" t="e">
        <f>+'Estimate Details'!#REF!</f>
        <v>#REF!</v>
      </c>
      <c r="S979" s="511"/>
      <c r="T979" s="246" t="e">
        <f>+'Estimate Details'!#REF!</f>
        <v>#REF!</v>
      </c>
      <c r="U979" s="489"/>
      <c r="V979" s="241" t="e">
        <f>+'Estimate Details'!#REF!</f>
        <v>#REF!</v>
      </c>
      <c r="W979" s="489"/>
      <c r="X979" s="172" t="e">
        <f>+'Estimate Details'!#REF!</f>
        <v>#REF!</v>
      </c>
      <c r="Y979" s="241" t="e">
        <f>+'Estimate Details'!#REF!</f>
        <v>#REF!</v>
      </c>
      <c r="Z979" s="246" t="e">
        <f>+'Estimate Details'!#REF!</f>
        <v>#REF!</v>
      </c>
      <c r="AA979" s="489"/>
      <c r="AB979" s="175" t="e">
        <f>+'Estimate Details'!#REF!</f>
        <v>#REF!</v>
      </c>
      <c r="AC979" s="573" t="s">
        <v>1313</v>
      </c>
      <c r="AD979" s="176" t="e">
        <f>+'Estimate Details'!#REF!</f>
        <v>#REF!</v>
      </c>
      <c r="AE979" s="156"/>
      <c r="AF979" s="367"/>
      <c r="AG979" s="156"/>
      <c r="AH979" s="156"/>
      <c r="AI979" s="29"/>
      <c r="AJ979" s="29"/>
      <c r="AK979" s="29"/>
      <c r="AL979" s="29"/>
    </row>
    <row r="980" spans="1:38" ht="14.1" customHeight="1">
      <c r="A980" s="42" t="e">
        <f>+'Estimate Details'!#REF!</f>
        <v>#REF!</v>
      </c>
      <c r="B980" s="307"/>
      <c r="C980" s="307"/>
      <c r="D980" s="317"/>
      <c r="E980" s="158" t="e">
        <f>+'Estimate Details'!#REF!</f>
        <v>#REF!</v>
      </c>
      <c r="F980" s="216"/>
      <c r="G980" s="116" t="e">
        <f>+'Estimate Details'!#REF!</f>
        <v>#REF!</v>
      </c>
      <c r="H980" s="118" t="e">
        <f>+'Estimate Details'!#REF!</f>
        <v>#REF!</v>
      </c>
      <c r="I980" s="108" t="e">
        <f>+'Estimate Details'!#REF!</f>
        <v>#REF!</v>
      </c>
      <c r="J980" s="168" t="e">
        <f>+'Estimate Details'!#REF!</f>
        <v>#REF!</v>
      </c>
      <c r="K980" s="42" t="e">
        <f>+'Estimate Details'!#REF!</f>
        <v>#REF!</v>
      </c>
      <c r="L980" s="42" t="e">
        <f>+'Estimate Details'!#REF!</f>
        <v>#REF!</v>
      </c>
      <c r="M980" s="245" t="e">
        <f>+'Estimate Details'!#REF!</f>
        <v>#REF!</v>
      </c>
      <c r="N980" s="241" t="e">
        <f>+'Estimate Details'!#REF!</f>
        <v>#REF!</v>
      </c>
      <c r="O980" s="302" t="e">
        <f>+'Estimate Details'!#REF!</f>
        <v>#REF!</v>
      </c>
      <c r="P980" s="241" t="e">
        <f>+'Estimate Details'!#REF!</f>
        <v>#REF!</v>
      </c>
      <c r="Q980" s="173" t="e">
        <f>+'Estimate Details'!#REF!</f>
        <v>#REF!</v>
      </c>
      <c r="R980" s="246" t="e">
        <f>+'Estimate Details'!#REF!</f>
        <v>#REF!</v>
      </c>
      <c r="S980" s="511"/>
      <c r="T980" s="246" t="e">
        <f>+'Estimate Details'!#REF!</f>
        <v>#REF!</v>
      </c>
      <c r="U980" s="489"/>
      <c r="V980" s="172" t="e">
        <f>+'Estimate Details'!#REF!</f>
        <v>#REF!</v>
      </c>
      <c r="W980" s="489"/>
      <c r="X980" s="172" t="e">
        <f>+'Estimate Details'!#REF!</f>
        <v>#REF!</v>
      </c>
      <c r="Y980" s="241" t="e">
        <f>+'Estimate Details'!#REF!</f>
        <v>#REF!</v>
      </c>
      <c r="Z980" s="246" t="e">
        <f>+'Estimate Details'!#REF!</f>
        <v>#REF!</v>
      </c>
      <c r="AA980" s="489"/>
      <c r="AB980" s="175" t="e">
        <f>+'Estimate Details'!#REF!</f>
        <v>#REF!</v>
      </c>
      <c r="AC980" s="573" t="s">
        <v>1313</v>
      </c>
      <c r="AD980" s="176" t="e">
        <f>+'Estimate Details'!#REF!</f>
        <v>#REF!</v>
      </c>
      <c r="AE980" s="156"/>
      <c r="AF980" s="215"/>
      <c r="AG980" s="156"/>
      <c r="AH980" s="156"/>
      <c r="AI980" s="29"/>
      <c r="AJ980" s="29"/>
      <c r="AK980" s="29"/>
      <c r="AL980" s="29"/>
    </row>
    <row r="981" spans="1:38" ht="14.1" customHeight="1">
      <c r="A981" s="42" t="e">
        <f>+'Estimate Details'!#REF!</f>
        <v>#REF!</v>
      </c>
      <c r="B981" s="307"/>
      <c r="C981" s="307"/>
      <c r="D981" s="317"/>
      <c r="E981" s="158" t="e">
        <f>+'Estimate Details'!#REF!</f>
        <v>#REF!</v>
      </c>
      <c r="F981" s="216"/>
      <c r="G981" s="116" t="e">
        <f>+'Estimate Details'!#REF!</f>
        <v>#REF!</v>
      </c>
      <c r="H981" s="118" t="e">
        <f>+'Estimate Details'!#REF!</f>
        <v>#REF!</v>
      </c>
      <c r="I981" s="108" t="e">
        <f>+'Estimate Details'!#REF!</f>
        <v>#REF!</v>
      </c>
      <c r="J981" s="168" t="e">
        <f>+'Estimate Details'!#REF!</f>
        <v>#REF!</v>
      </c>
      <c r="K981" s="42" t="e">
        <f>+'Estimate Details'!#REF!</f>
        <v>#REF!</v>
      </c>
      <c r="L981" s="42" t="e">
        <f>+'Estimate Details'!#REF!</f>
        <v>#REF!</v>
      </c>
      <c r="M981" s="245" t="e">
        <f>+'Estimate Details'!#REF!</f>
        <v>#REF!</v>
      </c>
      <c r="N981" s="245" t="e">
        <f>+'Estimate Details'!#REF!</f>
        <v>#REF!</v>
      </c>
      <c r="O981" s="302" t="e">
        <f>+'Estimate Details'!#REF!</f>
        <v>#REF!</v>
      </c>
      <c r="P981" s="245" t="e">
        <f>+'Estimate Details'!#REF!</f>
        <v>#REF!</v>
      </c>
      <c r="Q981" s="173" t="e">
        <f>+'Estimate Details'!#REF!</f>
        <v>#REF!</v>
      </c>
      <c r="R981" s="245" t="e">
        <f>+'Estimate Details'!#REF!</f>
        <v>#REF!</v>
      </c>
      <c r="S981" s="512"/>
      <c r="T981" s="245" t="e">
        <f>+'Estimate Details'!#REF!</f>
        <v>#REF!</v>
      </c>
      <c r="U981" s="490"/>
      <c r="V981" s="172" t="e">
        <f>+'Estimate Details'!#REF!</f>
        <v>#REF!</v>
      </c>
      <c r="W981" s="490"/>
      <c r="X981" s="172" t="e">
        <f>+'Estimate Details'!#REF!</f>
        <v>#REF!</v>
      </c>
      <c r="Y981" s="241" t="e">
        <f>+'Estimate Details'!#REF!</f>
        <v>#REF!</v>
      </c>
      <c r="Z981" s="245" t="e">
        <f>+'Estimate Details'!#REF!</f>
        <v>#REF!</v>
      </c>
      <c r="AA981" s="490"/>
      <c r="AB981" s="175" t="e">
        <f>+'Estimate Details'!#REF!</f>
        <v>#REF!</v>
      </c>
      <c r="AC981" s="573" t="s">
        <v>1313</v>
      </c>
      <c r="AD981" s="176" t="e">
        <f>+'Estimate Details'!#REF!</f>
        <v>#REF!</v>
      </c>
      <c r="AE981" s="156"/>
      <c r="AF981" s="367"/>
      <c r="AG981" s="156"/>
      <c r="AH981" s="156"/>
      <c r="AI981" s="29"/>
      <c r="AJ981" s="29"/>
      <c r="AK981" s="29"/>
      <c r="AL981" s="29"/>
    </row>
    <row r="982" spans="1:38" ht="14.1" customHeight="1">
      <c r="A982" s="42" t="e">
        <f>+'Estimate Details'!#REF!</f>
        <v>#REF!</v>
      </c>
      <c r="B982" s="307"/>
      <c r="C982" s="307"/>
      <c r="D982" s="317"/>
      <c r="E982" s="158" t="e">
        <f>+'Estimate Details'!#REF!</f>
        <v>#REF!</v>
      </c>
      <c r="F982" s="216"/>
      <c r="G982" s="116" t="e">
        <f>+'Estimate Details'!#REF!</f>
        <v>#REF!</v>
      </c>
      <c r="H982" s="118" t="e">
        <f>+'Estimate Details'!#REF!</f>
        <v>#REF!</v>
      </c>
      <c r="I982" s="239" t="e">
        <f>+'Estimate Details'!#REF!</f>
        <v>#REF!</v>
      </c>
      <c r="J982" s="247" t="e">
        <f>+'Estimate Details'!#REF!</f>
        <v>#REF!</v>
      </c>
      <c r="K982" s="42" t="e">
        <f>+'Estimate Details'!#REF!</f>
        <v>#REF!</v>
      </c>
      <c r="L982" s="42" t="e">
        <f>+'Estimate Details'!#REF!</f>
        <v>#REF!</v>
      </c>
      <c r="M982" s="245" t="e">
        <f>+'Estimate Details'!#REF!</f>
        <v>#REF!</v>
      </c>
      <c r="N982" s="245" t="e">
        <f>+'Estimate Details'!#REF!</f>
        <v>#REF!</v>
      </c>
      <c r="O982" s="245" t="e">
        <f>+'Estimate Details'!#REF!</f>
        <v>#REF!</v>
      </c>
      <c r="P982" s="241" t="e">
        <f>+'Estimate Details'!#REF!</f>
        <v>#REF!</v>
      </c>
      <c r="Q982" s="173" t="e">
        <f>+'Estimate Details'!#REF!</f>
        <v>#REF!</v>
      </c>
      <c r="R982" s="246" t="e">
        <f>+'Estimate Details'!#REF!</f>
        <v>#REF!</v>
      </c>
      <c r="S982" s="511"/>
      <c r="T982" s="246" t="e">
        <f>+'Estimate Details'!#REF!</f>
        <v>#REF!</v>
      </c>
      <c r="U982" s="489"/>
      <c r="V982" s="241" t="e">
        <f>+'Estimate Details'!#REF!</f>
        <v>#REF!</v>
      </c>
      <c r="W982" s="489"/>
      <c r="X982" s="172" t="e">
        <f>+'Estimate Details'!#REF!</f>
        <v>#REF!</v>
      </c>
      <c r="Y982" s="241" t="e">
        <f>+'Estimate Details'!#REF!</f>
        <v>#REF!</v>
      </c>
      <c r="Z982" s="246" t="e">
        <f>+'Estimate Details'!#REF!</f>
        <v>#REF!</v>
      </c>
      <c r="AA982" s="489"/>
      <c r="AB982" s="175" t="e">
        <f>+'Estimate Details'!#REF!</f>
        <v>#REF!</v>
      </c>
      <c r="AC982" s="573" t="s">
        <v>1313</v>
      </c>
      <c r="AD982" s="176" t="e">
        <f>+'Estimate Details'!#REF!</f>
        <v>#REF!</v>
      </c>
      <c r="AE982" s="156"/>
      <c r="AF982" s="367"/>
      <c r="AG982" s="156"/>
      <c r="AH982" s="156"/>
      <c r="AI982" s="29"/>
      <c r="AJ982" s="29"/>
      <c r="AK982" s="29"/>
      <c r="AL982" s="29"/>
    </row>
    <row r="983" spans="1:38" ht="14.1" customHeight="1">
      <c r="A983" s="42" t="e">
        <f>+'Estimate Details'!#REF!</f>
        <v>#REF!</v>
      </c>
      <c r="B983" s="307"/>
      <c r="C983" s="307"/>
      <c r="D983" s="317"/>
      <c r="E983" s="158" t="e">
        <f>+'Estimate Details'!#REF!</f>
        <v>#REF!</v>
      </c>
      <c r="F983" s="216"/>
      <c r="G983" s="116" t="e">
        <f>+'Estimate Details'!#REF!</f>
        <v>#REF!</v>
      </c>
      <c r="H983" s="118" t="e">
        <f>+'Estimate Details'!#REF!</f>
        <v>#REF!</v>
      </c>
      <c r="I983" s="108" t="e">
        <f>+'Estimate Details'!#REF!</f>
        <v>#REF!</v>
      </c>
      <c r="J983" s="168" t="e">
        <f>+'Estimate Details'!#REF!</f>
        <v>#REF!</v>
      </c>
      <c r="K983" s="42" t="e">
        <f>+'Estimate Details'!#REF!</f>
        <v>#REF!</v>
      </c>
      <c r="L983" s="42" t="e">
        <f>+'Estimate Details'!#REF!</f>
        <v>#REF!</v>
      </c>
      <c r="M983" s="245" t="e">
        <f>+'Estimate Details'!#REF!</f>
        <v>#REF!</v>
      </c>
      <c r="N983" s="241" t="e">
        <f>+'Estimate Details'!#REF!</f>
        <v>#REF!</v>
      </c>
      <c r="O983" s="239" t="e">
        <f>+'Estimate Details'!#REF!</f>
        <v>#REF!</v>
      </c>
      <c r="P983" s="241" t="e">
        <f>+'Estimate Details'!#REF!</f>
        <v>#REF!</v>
      </c>
      <c r="Q983" s="173" t="e">
        <f>+'Estimate Details'!#REF!</f>
        <v>#REF!</v>
      </c>
      <c r="R983" s="246" t="e">
        <f>+'Estimate Details'!#REF!</f>
        <v>#REF!</v>
      </c>
      <c r="S983" s="511"/>
      <c r="T983" s="246" t="e">
        <f>+'Estimate Details'!#REF!</f>
        <v>#REF!</v>
      </c>
      <c r="U983" s="489"/>
      <c r="V983" s="241" t="e">
        <f>+'Estimate Details'!#REF!</f>
        <v>#REF!</v>
      </c>
      <c r="W983" s="489"/>
      <c r="X983" s="172" t="e">
        <f>+'Estimate Details'!#REF!</f>
        <v>#REF!</v>
      </c>
      <c r="Y983" s="241" t="e">
        <f>+'Estimate Details'!#REF!</f>
        <v>#REF!</v>
      </c>
      <c r="Z983" s="246" t="e">
        <f>+'Estimate Details'!#REF!</f>
        <v>#REF!</v>
      </c>
      <c r="AA983" s="489"/>
      <c r="AB983" s="175" t="e">
        <f>+'Estimate Details'!#REF!</f>
        <v>#REF!</v>
      </c>
      <c r="AC983" s="573" t="s">
        <v>1313</v>
      </c>
      <c r="AD983" s="176" t="e">
        <f>+'Estimate Details'!#REF!</f>
        <v>#REF!</v>
      </c>
      <c r="AE983" s="156"/>
      <c r="AF983" s="367"/>
      <c r="AG983" s="156"/>
      <c r="AH983" s="156"/>
      <c r="AI983" s="29"/>
      <c r="AJ983" s="29"/>
      <c r="AK983" s="29"/>
      <c r="AL983" s="29"/>
    </row>
    <row r="984" spans="1:38" ht="13.5" customHeight="1">
      <c r="A984" s="42" t="e">
        <f>+'Estimate Details'!#REF!</f>
        <v>#REF!</v>
      </c>
      <c r="B984" s="307"/>
      <c r="C984" s="307"/>
      <c r="D984" s="307"/>
      <c r="E984" s="158" t="e">
        <f>+'Estimate Details'!#REF!</f>
        <v>#REF!</v>
      </c>
      <c r="F984" s="216"/>
      <c r="G984" s="116" t="e">
        <f>+'Estimate Details'!#REF!</f>
        <v>#REF!</v>
      </c>
      <c r="H984" s="118" t="e">
        <f>+'Estimate Details'!#REF!</f>
        <v>#REF!</v>
      </c>
      <c r="I984" s="108" t="e">
        <f>+'Estimate Details'!#REF!</f>
        <v>#REF!</v>
      </c>
      <c r="J984" s="168" t="e">
        <f>+'Estimate Details'!#REF!</f>
        <v>#REF!</v>
      </c>
      <c r="K984" s="42" t="e">
        <f>+'Estimate Details'!#REF!</f>
        <v>#REF!</v>
      </c>
      <c r="L984" s="42" t="e">
        <f>+'Estimate Details'!#REF!</f>
        <v>#REF!</v>
      </c>
      <c r="M984" s="245" t="e">
        <f>+'Estimate Details'!#REF!</f>
        <v>#REF!</v>
      </c>
      <c r="N984" s="245" t="e">
        <f>+'Estimate Details'!#REF!</f>
        <v>#REF!</v>
      </c>
      <c r="O984" s="302" t="e">
        <f>+'Estimate Details'!#REF!</f>
        <v>#REF!</v>
      </c>
      <c r="P984" s="245" t="e">
        <f>+'Estimate Details'!#REF!</f>
        <v>#REF!</v>
      </c>
      <c r="Q984" s="173" t="e">
        <f>+'Estimate Details'!#REF!</f>
        <v>#REF!</v>
      </c>
      <c r="R984" s="245" t="e">
        <f>+'Estimate Details'!#REF!</f>
        <v>#REF!</v>
      </c>
      <c r="S984" s="512"/>
      <c r="T984" s="245" t="e">
        <f>+'Estimate Details'!#REF!</f>
        <v>#REF!</v>
      </c>
      <c r="U984" s="490"/>
      <c r="V984" s="172" t="e">
        <f>+'Estimate Details'!#REF!</f>
        <v>#REF!</v>
      </c>
      <c r="W984" s="490"/>
      <c r="X984" s="172" t="e">
        <f>+'Estimate Details'!#REF!</f>
        <v>#REF!</v>
      </c>
      <c r="Y984" s="241" t="e">
        <f>+'Estimate Details'!#REF!</f>
        <v>#REF!</v>
      </c>
      <c r="Z984" s="245" t="e">
        <f>+'Estimate Details'!#REF!</f>
        <v>#REF!</v>
      </c>
      <c r="AA984" s="490"/>
      <c r="AB984" s="175" t="e">
        <f>+'Estimate Details'!#REF!</f>
        <v>#REF!</v>
      </c>
      <c r="AC984" s="573" t="s">
        <v>1313</v>
      </c>
      <c r="AD984" s="176" t="e">
        <f>+'Estimate Details'!#REF!</f>
        <v>#REF!</v>
      </c>
      <c r="AE984" s="156"/>
      <c r="AF984" s="215"/>
      <c r="AG984" s="156"/>
      <c r="AH984" s="156"/>
      <c r="AI984" s="29"/>
      <c r="AJ984" s="29"/>
      <c r="AK984" s="29"/>
      <c r="AL984" s="29"/>
    </row>
    <row r="985" spans="1:38" ht="14.1" customHeight="1">
      <c r="A985" s="42" t="e">
        <f>+'Estimate Details'!#REF!</f>
        <v>#REF!</v>
      </c>
      <c r="B985" s="307"/>
      <c r="C985" s="307"/>
      <c r="D985" s="317"/>
      <c r="E985" s="158" t="e">
        <f>+'Estimate Details'!#REF!</f>
        <v>#REF!</v>
      </c>
      <c r="F985" s="216"/>
      <c r="G985" s="116" t="e">
        <f>+'Estimate Details'!#REF!</f>
        <v>#REF!</v>
      </c>
      <c r="H985" s="118" t="e">
        <f>+'Estimate Details'!#REF!</f>
        <v>#REF!</v>
      </c>
      <c r="I985" s="108" t="e">
        <f>+'Estimate Details'!#REF!</f>
        <v>#REF!</v>
      </c>
      <c r="J985" s="168" t="e">
        <f>+'Estimate Details'!#REF!</f>
        <v>#REF!</v>
      </c>
      <c r="K985" s="42" t="e">
        <f>+'Estimate Details'!#REF!</f>
        <v>#REF!</v>
      </c>
      <c r="L985" s="42" t="e">
        <f>+'Estimate Details'!#REF!</f>
        <v>#REF!</v>
      </c>
      <c r="M985" s="245" t="e">
        <f>+'Estimate Details'!#REF!</f>
        <v>#REF!</v>
      </c>
      <c r="N985" s="245" t="e">
        <f>+'Estimate Details'!#REF!</f>
        <v>#REF!</v>
      </c>
      <c r="O985" s="302" t="e">
        <f>+'Estimate Details'!#REF!</f>
        <v>#REF!</v>
      </c>
      <c r="P985" s="245" t="e">
        <f>+'Estimate Details'!#REF!</f>
        <v>#REF!</v>
      </c>
      <c r="Q985" s="173" t="e">
        <f>+'Estimate Details'!#REF!</f>
        <v>#REF!</v>
      </c>
      <c r="R985" s="245" t="e">
        <f>+'Estimate Details'!#REF!</f>
        <v>#REF!</v>
      </c>
      <c r="S985" s="512"/>
      <c r="T985" s="245" t="e">
        <f>+'Estimate Details'!#REF!</f>
        <v>#REF!</v>
      </c>
      <c r="U985" s="490"/>
      <c r="V985" s="172" t="e">
        <f>+'Estimate Details'!#REF!</f>
        <v>#REF!</v>
      </c>
      <c r="W985" s="490"/>
      <c r="X985" s="172" t="e">
        <f>+'Estimate Details'!#REF!</f>
        <v>#REF!</v>
      </c>
      <c r="Y985" s="241" t="e">
        <f>+'Estimate Details'!#REF!</f>
        <v>#REF!</v>
      </c>
      <c r="Z985" s="245" t="e">
        <f>+'Estimate Details'!#REF!</f>
        <v>#REF!</v>
      </c>
      <c r="AA985" s="490"/>
      <c r="AB985" s="175" t="e">
        <f>+'Estimate Details'!#REF!</f>
        <v>#REF!</v>
      </c>
      <c r="AC985" s="573" t="s">
        <v>1313</v>
      </c>
      <c r="AD985" s="176" t="e">
        <f>+'Estimate Details'!#REF!</f>
        <v>#REF!</v>
      </c>
      <c r="AE985" s="156"/>
      <c r="AF985" s="368"/>
      <c r="AG985" s="156"/>
      <c r="AH985" s="156"/>
      <c r="AI985" s="29"/>
      <c r="AJ985" s="29"/>
      <c r="AK985" s="29"/>
      <c r="AL985" s="29"/>
    </row>
    <row r="986" spans="1:38" ht="14.1" customHeight="1">
      <c r="A986" s="42" t="e">
        <f>+'Estimate Details'!#REF!</f>
        <v>#REF!</v>
      </c>
      <c r="B986" s="307"/>
      <c r="C986" s="307"/>
      <c r="D986" s="317"/>
      <c r="E986" s="158" t="e">
        <f>+'Estimate Details'!#REF!</f>
        <v>#REF!</v>
      </c>
      <c r="F986" s="216"/>
      <c r="G986" s="116" t="e">
        <f>+'Estimate Details'!#REF!</f>
        <v>#REF!</v>
      </c>
      <c r="H986" s="118" t="e">
        <f>+'Estimate Details'!#REF!</f>
        <v>#REF!</v>
      </c>
      <c r="I986" s="108" t="e">
        <f>+'Estimate Details'!#REF!</f>
        <v>#REF!</v>
      </c>
      <c r="J986" s="168" t="e">
        <f>+'Estimate Details'!#REF!</f>
        <v>#REF!</v>
      </c>
      <c r="K986" s="42" t="e">
        <f>+'Estimate Details'!#REF!</f>
        <v>#REF!</v>
      </c>
      <c r="L986" s="42" t="e">
        <f>+'Estimate Details'!#REF!</f>
        <v>#REF!</v>
      </c>
      <c r="M986" s="245" t="e">
        <f>+'Estimate Details'!#REF!</f>
        <v>#REF!</v>
      </c>
      <c r="N986" s="245" t="e">
        <f>+'Estimate Details'!#REF!</f>
        <v>#REF!</v>
      </c>
      <c r="O986" s="302" t="e">
        <f>+'Estimate Details'!#REF!</f>
        <v>#REF!</v>
      </c>
      <c r="P986" s="245" t="e">
        <f>+'Estimate Details'!#REF!</f>
        <v>#REF!</v>
      </c>
      <c r="Q986" s="173" t="e">
        <f>+'Estimate Details'!#REF!</f>
        <v>#REF!</v>
      </c>
      <c r="R986" s="246" t="e">
        <f>+'Estimate Details'!#REF!</f>
        <v>#REF!</v>
      </c>
      <c r="S986" s="511"/>
      <c r="T986" s="245" t="e">
        <f>+'Estimate Details'!#REF!</f>
        <v>#REF!</v>
      </c>
      <c r="U986" s="489"/>
      <c r="V986" s="172" t="e">
        <f>+'Estimate Details'!#REF!</f>
        <v>#REF!</v>
      </c>
      <c r="W986" s="489"/>
      <c r="X986" s="172" t="e">
        <f>+'Estimate Details'!#REF!</f>
        <v>#REF!</v>
      </c>
      <c r="Y986" s="241" t="e">
        <f>+'Estimate Details'!#REF!</f>
        <v>#REF!</v>
      </c>
      <c r="Z986" s="245" t="e">
        <f>+'Estimate Details'!#REF!</f>
        <v>#REF!</v>
      </c>
      <c r="AA986" s="489"/>
      <c r="AB986" s="175" t="e">
        <f>+'Estimate Details'!#REF!</f>
        <v>#REF!</v>
      </c>
      <c r="AC986" s="573" t="s">
        <v>1313</v>
      </c>
      <c r="AD986" s="176" t="e">
        <f>+'Estimate Details'!#REF!</f>
        <v>#REF!</v>
      </c>
      <c r="AE986" s="156"/>
      <c r="AF986" s="368"/>
      <c r="AG986" s="156"/>
      <c r="AH986" s="156"/>
      <c r="AI986" s="29"/>
      <c r="AJ986" s="29"/>
      <c r="AK986" s="29"/>
      <c r="AL986" s="29"/>
    </row>
    <row r="987" spans="1:38" ht="14.1" customHeight="1">
      <c r="A987" s="42" t="e">
        <f>+'Estimate Details'!#REF!</f>
        <v>#REF!</v>
      </c>
      <c r="B987" s="307"/>
      <c r="C987" s="307"/>
      <c r="D987" s="317"/>
      <c r="E987" s="158" t="e">
        <f>+'Estimate Details'!#REF!</f>
        <v>#REF!</v>
      </c>
      <c r="F987" s="216"/>
      <c r="G987" s="116"/>
      <c r="H987" s="118" t="e">
        <f>+'Estimate Details'!#REF!</f>
        <v>#REF!</v>
      </c>
      <c r="I987" s="108" t="e">
        <f>+'Estimate Details'!#REF!</f>
        <v>#REF!</v>
      </c>
      <c r="J987" s="168" t="e">
        <f>+'Estimate Details'!#REF!</f>
        <v>#REF!</v>
      </c>
      <c r="K987" s="42" t="e">
        <f>+'Estimate Details'!#REF!</f>
        <v>#REF!</v>
      </c>
      <c r="L987" s="42" t="e">
        <f>+'Estimate Details'!#REF!</f>
        <v>#REF!</v>
      </c>
      <c r="M987" s="245" t="e">
        <f>+'Estimate Details'!#REF!</f>
        <v>#REF!</v>
      </c>
      <c r="N987" s="245" t="e">
        <f>+'Estimate Details'!#REF!</f>
        <v>#REF!</v>
      </c>
      <c r="O987" s="302" t="e">
        <f>+'Estimate Details'!#REF!</f>
        <v>#REF!</v>
      </c>
      <c r="P987" s="245" t="e">
        <f>+'Estimate Details'!#REF!</f>
        <v>#REF!</v>
      </c>
      <c r="Q987" s="173" t="e">
        <f>+'Estimate Details'!#REF!</f>
        <v>#REF!</v>
      </c>
      <c r="R987" s="246" t="e">
        <f>+'Estimate Details'!#REF!</f>
        <v>#REF!</v>
      </c>
      <c r="S987" s="511"/>
      <c r="T987" s="245" t="e">
        <f>+'Estimate Details'!#REF!</f>
        <v>#REF!</v>
      </c>
      <c r="U987" s="489"/>
      <c r="V987" s="172" t="e">
        <f>+'Estimate Details'!#REF!</f>
        <v>#REF!</v>
      </c>
      <c r="W987" s="489"/>
      <c r="X987" s="172"/>
      <c r="Y987" s="241"/>
      <c r="Z987" s="245" t="e">
        <f>+'Estimate Details'!#REF!</f>
        <v>#REF!</v>
      </c>
      <c r="AA987" s="489"/>
      <c r="AB987" s="175" t="e">
        <f>+'Estimate Details'!#REF!</f>
        <v>#REF!</v>
      </c>
      <c r="AC987" s="573" t="s">
        <v>15</v>
      </c>
      <c r="AD987" s="176" t="e">
        <f>+'Estimate Details'!#REF!</f>
        <v>#REF!</v>
      </c>
      <c r="AE987" s="156"/>
      <c r="AF987" s="368"/>
      <c r="AG987" s="156"/>
      <c r="AH987" s="156"/>
      <c r="AI987" s="29"/>
      <c r="AJ987" s="29"/>
      <c r="AK987" s="29"/>
      <c r="AL987" s="29"/>
    </row>
    <row r="988" spans="1:38" ht="14.1" customHeight="1">
      <c r="A988" s="42" t="e">
        <f>+'Estimate Details'!#REF!</f>
        <v>#REF!</v>
      </c>
      <c r="B988" s="307"/>
      <c r="C988" s="307"/>
      <c r="D988" s="317"/>
      <c r="E988" s="158">
        <f>+'Estimate Details'!A100</f>
        <v>89</v>
      </c>
      <c r="F988" s="216"/>
      <c r="G988" s="116" t="str">
        <f>+'Estimate Details'!C100</f>
        <v>EPC Indirects</v>
      </c>
      <c r="H988" s="377" t="str">
        <f>+'Estimate Details'!D100</f>
        <v xml:space="preserve">       - Comprehensive General Liability (CGL) Insurance</v>
      </c>
      <c r="I988" s="223">
        <f>+'Estimate Details'!E100</f>
        <v>1</v>
      </c>
      <c r="J988" s="168" t="str">
        <f>+'Estimate Details'!F100</f>
        <v>ls</v>
      </c>
      <c r="K988" s="42" t="str">
        <f>+'Estimate Details'!G100</f>
        <v>Contr</v>
      </c>
      <c r="L988" s="298">
        <f>+'Estimate Details'!H100</f>
        <v>5.0000000000000001E-3</v>
      </c>
      <c r="M988" s="238">
        <f>+'Estimate Details'!I100</f>
        <v>119959.52400676761</v>
      </c>
      <c r="N988" s="194">
        <f>+'Estimate Details'!J100</f>
        <v>0</v>
      </c>
      <c r="O988" s="171">
        <f>+'Estimate Details'!K100</f>
        <v>0</v>
      </c>
      <c r="P988" s="172">
        <f>+'Estimate Details'!L100</f>
        <v>0</v>
      </c>
      <c r="Q988" s="172">
        <f>+'Estimate Details'!M100</f>
        <v>0</v>
      </c>
      <c r="R988" s="174">
        <f>+'Estimate Details'!N100</f>
        <v>0</v>
      </c>
      <c r="S988" s="507"/>
      <c r="T988" s="174">
        <f>+'Estimate Details'!O100</f>
        <v>0</v>
      </c>
      <c r="U988" s="481"/>
      <c r="V988" s="172">
        <f>+'Estimate Details'!R100</f>
        <v>0</v>
      </c>
      <c r="W988" s="481"/>
      <c r="X988" s="172">
        <f>+'Estimate Details'!S100</f>
        <v>0</v>
      </c>
      <c r="Y988" s="172">
        <f>+'Estimate Details'!T100</f>
        <v>0</v>
      </c>
      <c r="Z988" s="246">
        <f>+'Estimate Details'!U100</f>
        <v>119959.52400676761</v>
      </c>
      <c r="AA988" s="481"/>
      <c r="AB988" s="175">
        <f>+'Estimate Details'!V100</f>
        <v>119959.52400676761</v>
      </c>
      <c r="AC988" s="573" t="s">
        <v>1313</v>
      </c>
      <c r="AD988" s="176" t="str">
        <f>+'Estimate Details'!X100</f>
        <v>Allowance based on info from other projects</v>
      </c>
      <c r="AE988" s="156"/>
      <c r="AF988" s="367"/>
      <c r="AG988" s="156"/>
      <c r="AH988" s="156"/>
      <c r="AI988" s="29"/>
      <c r="AJ988" s="29"/>
      <c r="AK988" s="29"/>
      <c r="AL988" s="29"/>
    </row>
    <row r="989" spans="1:38" ht="13.5" customHeight="1">
      <c r="A989" s="42" t="e">
        <f>+'Estimate Details'!#REF!</f>
        <v>#REF!</v>
      </c>
      <c r="B989" s="307"/>
      <c r="C989" s="307"/>
      <c r="D989" s="317"/>
      <c r="E989" s="158">
        <f>+'Estimate Details'!A101</f>
        <v>90</v>
      </c>
      <c r="F989" s="216"/>
      <c r="G989" s="116" t="str">
        <f>+'Estimate Details'!C101</f>
        <v>EPC Indirects</v>
      </c>
      <c r="H989" s="377" t="str">
        <f>+'Estimate Details'!D101</f>
        <v xml:space="preserve">       - Warranty Reserve</v>
      </c>
      <c r="I989" s="108">
        <f>+'Estimate Details'!E101</f>
        <v>1</v>
      </c>
      <c r="J989" s="168" t="str">
        <f>+'Estimate Details'!F101</f>
        <v>ls</v>
      </c>
      <c r="K989" s="42" t="str">
        <f>+'Estimate Details'!G101</f>
        <v>Contr</v>
      </c>
      <c r="L989" s="168">
        <f>+'Estimate Details'!H101</f>
        <v>0</v>
      </c>
      <c r="M989" s="238">
        <f>+'Estimate Details'!I101</f>
        <v>50000</v>
      </c>
      <c r="N989" s="194">
        <f>+'Estimate Details'!J101</f>
        <v>0</v>
      </c>
      <c r="O989" s="171">
        <f>+'Estimate Details'!K101</f>
        <v>0</v>
      </c>
      <c r="P989" s="172">
        <f>+'Estimate Details'!L101</f>
        <v>0</v>
      </c>
      <c r="Q989" s="172">
        <f>+'Estimate Details'!M101</f>
        <v>0</v>
      </c>
      <c r="R989" s="174">
        <f>+'Estimate Details'!N101</f>
        <v>0</v>
      </c>
      <c r="S989" s="507"/>
      <c r="T989" s="174">
        <f>+'Estimate Details'!O101</f>
        <v>0</v>
      </c>
      <c r="U989" s="481"/>
      <c r="V989" s="172">
        <f>+'Estimate Details'!R101</f>
        <v>0</v>
      </c>
      <c r="W989" s="481"/>
      <c r="X989" s="172">
        <f>+'Estimate Details'!S101</f>
        <v>0</v>
      </c>
      <c r="Y989" s="172">
        <f>+'Estimate Details'!T101</f>
        <v>0</v>
      </c>
      <c r="Z989" s="246">
        <f>+'Estimate Details'!U101</f>
        <v>50000</v>
      </c>
      <c r="AA989" s="481"/>
      <c r="AB989" s="175">
        <f>+'Estimate Details'!V101</f>
        <v>50000</v>
      </c>
      <c r="AC989" s="573" t="s">
        <v>1313</v>
      </c>
      <c r="AD989" s="176" t="str">
        <f>+'Estimate Details'!X101</f>
        <v>Allowance based on info from other projects</v>
      </c>
      <c r="AE989" s="156"/>
      <c r="AF989" s="367"/>
      <c r="AG989" s="156"/>
      <c r="AH989" s="156"/>
      <c r="AI989" s="29"/>
      <c r="AJ989" s="29"/>
      <c r="AK989" s="29"/>
      <c r="AL989" s="29"/>
    </row>
    <row r="990" spans="1:38" ht="13.5" customHeight="1">
      <c r="A990" s="42"/>
      <c r="B990" s="307"/>
      <c r="C990" s="307"/>
      <c r="D990" s="317"/>
      <c r="E990" s="158"/>
      <c r="F990" s="216"/>
      <c r="G990" s="116"/>
      <c r="H990" s="377"/>
      <c r="I990" s="108"/>
      <c r="J990" s="168"/>
      <c r="K990" s="42"/>
      <c r="L990" s="168"/>
      <c r="M990" s="238"/>
      <c r="N990" s="194"/>
      <c r="O990" s="171"/>
      <c r="P990" s="172"/>
      <c r="Q990" s="172"/>
      <c r="R990" s="174"/>
      <c r="S990" s="507"/>
      <c r="T990" s="174"/>
      <c r="U990" s="481"/>
      <c r="V990" s="172"/>
      <c r="W990" s="481"/>
      <c r="X990" s="172"/>
      <c r="Y990" s="172"/>
      <c r="Z990" s="246"/>
      <c r="AA990" s="481"/>
      <c r="AB990" s="175"/>
      <c r="AC990" s="573"/>
      <c r="AD990" s="586" t="e">
        <f>SUM(AB975:AB989)-AB987</f>
        <v>#REF!</v>
      </c>
      <c r="AE990" s="156"/>
      <c r="AF990" s="367"/>
      <c r="AG990" s="156"/>
      <c r="AH990" s="156"/>
      <c r="AI990" s="29"/>
      <c r="AJ990" s="29"/>
      <c r="AK990" s="29"/>
      <c r="AL990" s="29"/>
    </row>
    <row r="991" spans="1:38">
      <c r="A991" s="42" t="e">
        <f>+'Estimate Details'!#REF!</f>
        <v>#REF!</v>
      </c>
      <c r="B991" s="307"/>
      <c r="C991" s="307"/>
      <c r="D991" s="317"/>
      <c r="E991" s="158" t="e">
        <f>+'Estimate Details'!#REF!</f>
        <v>#REF!</v>
      </c>
      <c r="F991" s="216"/>
      <c r="G991" s="116" t="e">
        <f>+'Estimate Details'!#REF!</f>
        <v>#REF!</v>
      </c>
      <c r="H991" s="376" t="e">
        <f>+'Estimate Details'!#REF!</f>
        <v>#REF!</v>
      </c>
      <c r="I991" s="261" t="e">
        <f>+'Estimate Details'!#REF!</f>
        <v>#REF!</v>
      </c>
      <c r="J991" s="168" t="e">
        <f>+'Estimate Details'!#REF!</f>
        <v>#REF!</v>
      </c>
      <c r="K991" s="168" t="e">
        <f>+'Estimate Details'!#REF!</f>
        <v>#REF!</v>
      </c>
      <c r="L991" s="168" t="e">
        <f>+'Estimate Details'!#REF!</f>
        <v>#REF!</v>
      </c>
      <c r="M991" s="235" t="e">
        <f>+'Estimate Details'!#REF!</f>
        <v>#REF!</v>
      </c>
      <c r="N991" s="261" t="e">
        <f>+'Estimate Details'!#REF!</f>
        <v>#REF!</v>
      </c>
      <c r="O991" s="300" t="e">
        <f>+'Estimate Details'!#REF!</f>
        <v>#REF!</v>
      </c>
      <c r="P991" s="300" t="e">
        <f>+'Estimate Details'!#REF!</f>
        <v>#REF!</v>
      </c>
      <c r="Q991" s="172" t="e">
        <f>+'Estimate Details'!#REF!</f>
        <v>#REF!</v>
      </c>
      <c r="R991" s="174" t="e">
        <f>+'Estimate Details'!#REF!</f>
        <v>#REF!</v>
      </c>
      <c r="S991" s="507"/>
      <c r="T991" s="174" t="e">
        <f>+'Estimate Details'!#REF!</f>
        <v>#REF!</v>
      </c>
      <c r="U991" s="481" t="s">
        <v>1316</v>
      </c>
      <c r="V991" s="174" t="e">
        <f>+'Estimate Details'!#REF!</f>
        <v>#REF!</v>
      </c>
      <c r="W991" s="481" t="s">
        <v>1315</v>
      </c>
      <c r="X991" s="174" t="e">
        <f>+'Estimate Details'!#REF!</f>
        <v>#REF!</v>
      </c>
      <c r="Y991" s="172" t="e">
        <f>+'Estimate Details'!#REF!</f>
        <v>#REF!</v>
      </c>
      <c r="Z991" s="174" t="e">
        <f>+'Estimate Details'!#REF!</f>
        <v>#REF!</v>
      </c>
      <c r="AA991" s="481" t="s">
        <v>1316</v>
      </c>
      <c r="AB991" s="241" t="e">
        <f>+'Estimate Details'!#REF!</f>
        <v>#REF!</v>
      </c>
      <c r="AC991" s="573" t="s">
        <v>172</v>
      </c>
      <c r="AD991" s="176" t="e">
        <f>+'Estimate Details'!#REF!</f>
        <v>#REF!</v>
      </c>
      <c r="AE991" s="156"/>
      <c r="AF991" s="367"/>
      <c r="AG991" s="156"/>
      <c r="AH991" s="156"/>
      <c r="AI991" s="29"/>
      <c r="AJ991" s="29"/>
      <c r="AK991" s="29"/>
      <c r="AL991" s="29"/>
    </row>
    <row r="992" spans="1:38">
      <c r="A992" s="42"/>
      <c r="B992" s="307"/>
      <c r="C992" s="307"/>
      <c r="D992" s="317"/>
      <c r="E992" s="158"/>
      <c r="F992" s="216"/>
      <c r="G992" s="116"/>
      <c r="H992" s="376"/>
      <c r="I992" s="261"/>
      <c r="J992" s="168"/>
      <c r="K992" s="168"/>
      <c r="L992" s="168"/>
      <c r="M992" s="235"/>
      <c r="N992" s="261"/>
      <c r="O992" s="300"/>
      <c r="P992" s="300"/>
      <c r="Q992" s="172"/>
      <c r="R992" s="174"/>
      <c r="S992" s="507"/>
      <c r="T992" s="174"/>
      <c r="U992" s="481"/>
      <c r="V992" s="174"/>
      <c r="W992" s="481"/>
      <c r="X992" s="174"/>
      <c r="Y992" s="172"/>
      <c r="Z992" s="174"/>
      <c r="AA992" s="481"/>
      <c r="AB992" s="241"/>
      <c r="AC992" s="573"/>
      <c r="AD992" s="586" t="e">
        <f>+T991+Z991</f>
        <v>#REF!</v>
      </c>
      <c r="AE992" s="156"/>
      <c r="AF992" s="367"/>
      <c r="AG992" s="156"/>
      <c r="AH992" s="156"/>
      <c r="AI992" s="29"/>
      <c r="AJ992" s="29"/>
      <c r="AK992" s="29"/>
      <c r="AL992" s="29"/>
    </row>
    <row r="993" spans="1:44">
      <c r="A993" s="42" t="e">
        <f>+'Estimate Details'!#REF!</f>
        <v>#REF!</v>
      </c>
      <c r="B993" s="307"/>
      <c r="C993" s="307"/>
      <c r="D993" s="317"/>
      <c r="E993" s="158" t="e">
        <f>+'Estimate Details'!#REF!</f>
        <v>#REF!</v>
      </c>
      <c r="F993" s="216"/>
      <c r="G993" s="116" t="e">
        <f>+'Estimate Details'!#REF!</f>
        <v>#REF!</v>
      </c>
      <c r="H993" s="377" t="e">
        <f>+'Estimate Details'!#REF!</f>
        <v>#REF!</v>
      </c>
      <c r="I993" s="299" t="e">
        <f>+'Estimate Details'!#REF!</f>
        <v>#REF!</v>
      </c>
      <c r="J993" s="168" t="e">
        <f>+'Estimate Details'!#REF!</f>
        <v>#REF!</v>
      </c>
      <c r="K993" s="42" t="e">
        <f>+'Estimate Details'!#REF!</f>
        <v>#REF!</v>
      </c>
      <c r="L993" s="168" t="e">
        <f>+'Estimate Details'!#REF!</f>
        <v>#REF!</v>
      </c>
      <c r="M993" s="300" t="e">
        <f>+'Estimate Details'!#REF!</f>
        <v>#REF!</v>
      </c>
      <c r="N993" s="261" t="e">
        <f>+'Estimate Details'!#REF!</f>
        <v>#REF!</v>
      </c>
      <c r="O993" s="300" t="e">
        <f>+'Estimate Details'!#REF!</f>
        <v>#REF!</v>
      </c>
      <c r="P993" s="300" t="e">
        <f>+'Estimate Details'!#REF!</f>
        <v>#REF!</v>
      </c>
      <c r="Q993" s="172" t="e">
        <f>+'Estimate Details'!#REF!</f>
        <v>#REF!</v>
      </c>
      <c r="R993" s="174" t="e">
        <f>+'Estimate Details'!#REF!</f>
        <v>#REF!</v>
      </c>
      <c r="S993" s="507"/>
      <c r="T993" s="174" t="e">
        <f>+'Estimate Details'!#REF!</f>
        <v>#REF!</v>
      </c>
      <c r="U993" s="481"/>
      <c r="V993" s="172" t="e">
        <f>+'Estimate Details'!#REF!</f>
        <v>#REF!</v>
      </c>
      <c r="W993" s="481"/>
      <c r="X993" s="172" t="e">
        <f>+'Estimate Details'!#REF!</f>
        <v>#REF!</v>
      </c>
      <c r="Y993" s="172" t="e">
        <f>+'Estimate Details'!#REF!</f>
        <v>#REF!</v>
      </c>
      <c r="Z993" s="174" t="e">
        <f>+'Estimate Details'!#REF!</f>
        <v>#REF!</v>
      </c>
      <c r="AA993" s="481"/>
      <c r="AB993" s="241" t="e">
        <f>+'Estimate Details'!#REF!</f>
        <v>#REF!</v>
      </c>
      <c r="AC993" s="672" t="s">
        <v>1572</v>
      </c>
      <c r="AD993" s="176" t="e">
        <f>+'Estimate Details'!#REF!</f>
        <v>#REF!</v>
      </c>
      <c r="AE993" s="156"/>
      <c r="AF993" s="367"/>
      <c r="AG993" s="156"/>
      <c r="AH993" s="156"/>
      <c r="AI993" s="29"/>
      <c r="AJ993" s="29"/>
      <c r="AK993" s="29"/>
      <c r="AL993" s="29"/>
    </row>
    <row r="994" spans="1:44">
      <c r="A994" s="42" t="e">
        <f>+'Estimate Details'!#REF!</f>
        <v>#REF!</v>
      </c>
      <c r="B994" s="307"/>
      <c r="C994" s="307"/>
      <c r="D994" s="317"/>
      <c r="E994" s="158" t="e">
        <f>+'Estimate Details'!#REF!</f>
        <v>#REF!</v>
      </c>
      <c r="F994" s="216"/>
      <c r="G994" s="116" t="e">
        <f>+'Estimate Details'!#REF!</f>
        <v>#REF!</v>
      </c>
      <c r="H994" s="377" t="e">
        <f>+'Estimate Details'!#REF!</f>
        <v>#REF!</v>
      </c>
      <c r="I994" s="261" t="e">
        <f>+'Estimate Details'!#REF!</f>
        <v>#REF!</v>
      </c>
      <c r="J994" s="168" t="e">
        <f>+'Estimate Details'!#REF!</f>
        <v>#REF!</v>
      </c>
      <c r="K994" s="42" t="e">
        <f>+'Estimate Details'!#REF!</f>
        <v>#REF!</v>
      </c>
      <c r="L994" s="168" t="e">
        <f>+'Estimate Details'!#REF!</f>
        <v>#REF!</v>
      </c>
      <c r="M994" s="300" t="e">
        <f>+'Estimate Details'!#REF!</f>
        <v>#REF!</v>
      </c>
      <c r="N994" s="300" t="e">
        <f>+'Estimate Details'!#REF!</f>
        <v>#REF!</v>
      </c>
      <c r="O994" s="300" t="e">
        <f>+'Estimate Details'!#REF!</f>
        <v>#REF!</v>
      </c>
      <c r="P994" s="300" t="e">
        <f>+'Estimate Details'!#REF!</f>
        <v>#REF!</v>
      </c>
      <c r="Q994" s="172" t="e">
        <f>+'Estimate Details'!#REF!</f>
        <v>#REF!</v>
      </c>
      <c r="R994" s="174" t="e">
        <f>+'Estimate Details'!#REF!</f>
        <v>#REF!</v>
      </c>
      <c r="S994" s="507"/>
      <c r="T994" s="174" t="e">
        <f>+'Estimate Details'!#REF!</f>
        <v>#REF!</v>
      </c>
      <c r="U994" s="481"/>
      <c r="V994" s="172" t="e">
        <f>+'Estimate Details'!#REF!</f>
        <v>#REF!</v>
      </c>
      <c r="W994" s="481"/>
      <c r="X994" s="172" t="e">
        <f>+'Estimate Details'!#REF!</f>
        <v>#REF!</v>
      </c>
      <c r="Y994" s="172" t="e">
        <f>+'Estimate Details'!#REF!</f>
        <v>#REF!</v>
      </c>
      <c r="Z994" s="174" t="e">
        <f>+'Estimate Details'!#REF!</f>
        <v>#REF!</v>
      </c>
      <c r="AA994" s="481"/>
      <c r="AB994" s="241" t="e">
        <f>+'Estimate Details'!#REF!</f>
        <v>#REF!</v>
      </c>
      <c r="AC994" s="672" t="s">
        <v>1572</v>
      </c>
      <c r="AD994" s="176" t="e">
        <f>+'Estimate Details'!#REF!</f>
        <v>#REF!</v>
      </c>
      <c r="AE994" s="156"/>
      <c r="AF994" s="215"/>
      <c r="AG994" s="156"/>
      <c r="AH994" s="156"/>
      <c r="AI994" s="29"/>
      <c r="AJ994" s="29"/>
      <c r="AK994" s="29"/>
      <c r="AL994" s="29"/>
    </row>
    <row r="995" spans="1:44">
      <c r="A995" s="42"/>
      <c r="B995" s="307"/>
      <c r="C995" s="307"/>
      <c r="D995" s="317"/>
      <c r="E995" s="158"/>
      <c r="F995" s="216"/>
      <c r="G995" s="116"/>
      <c r="H995" s="377"/>
      <c r="I995" s="261"/>
      <c r="J995" s="168"/>
      <c r="K995" s="42"/>
      <c r="L995" s="168"/>
      <c r="M995" s="300"/>
      <c r="N995" s="300"/>
      <c r="O995" s="300"/>
      <c r="P995" s="300"/>
      <c r="Q995" s="172"/>
      <c r="R995" s="174"/>
      <c r="S995" s="507"/>
      <c r="T995" s="174"/>
      <c r="U995" s="481"/>
      <c r="V995" s="172"/>
      <c r="W995" s="481"/>
      <c r="X995" s="172"/>
      <c r="Y995" s="172"/>
      <c r="Z995" s="174"/>
      <c r="AA995" s="481"/>
      <c r="AB995" s="241"/>
      <c r="AC995" s="573"/>
      <c r="AD995" s="586" t="e">
        <f>SUM(AB993:AB994)</f>
        <v>#REF!</v>
      </c>
      <c r="AE995" s="156"/>
      <c r="AF995" s="215"/>
      <c r="AG995" s="156"/>
      <c r="AH995" s="156"/>
      <c r="AI995" s="29"/>
      <c r="AJ995" s="29"/>
      <c r="AK995" s="29"/>
      <c r="AL995" s="29"/>
    </row>
    <row r="996" spans="1:44" ht="16.2" thickBot="1">
      <c r="A996" s="42"/>
      <c r="B996" s="224"/>
      <c r="C996" s="224"/>
      <c r="D996" s="249"/>
      <c r="E996" s="42"/>
      <c r="F996" s="216"/>
      <c r="G996" s="116"/>
      <c r="H996" s="118"/>
      <c r="I996" s="108"/>
      <c r="J996" s="168"/>
      <c r="K996" s="42"/>
      <c r="L996" s="42"/>
      <c r="M996" s="245"/>
      <c r="N996" s="245"/>
      <c r="O996" s="302"/>
      <c r="P996" s="245"/>
      <c r="Q996" s="173"/>
      <c r="R996" s="246"/>
      <c r="S996" s="511"/>
      <c r="T996" s="584"/>
      <c r="U996" s="585"/>
      <c r="V996" s="191"/>
      <c r="W996" s="585"/>
      <c r="X996" s="191"/>
      <c r="Y996" s="378"/>
      <c r="Z996" s="584"/>
      <c r="AA996" s="585"/>
      <c r="AB996" s="230"/>
      <c r="AC996" s="577"/>
      <c r="AD996" s="667"/>
      <c r="AE996" s="156"/>
      <c r="AF996" s="368"/>
      <c r="AG996" s="156"/>
      <c r="AH996" s="156"/>
      <c r="AI996" s="29"/>
      <c r="AJ996" s="29"/>
      <c r="AK996" s="29"/>
      <c r="AL996" s="29"/>
    </row>
    <row r="997" spans="1:44" s="30" customFormat="1" ht="16.2" thickBot="1">
      <c r="A997" s="295"/>
      <c r="B997" s="295"/>
      <c r="C997" s="295"/>
      <c r="D997" s="295"/>
      <c r="E997" s="344"/>
      <c r="F997" s="156"/>
      <c r="G997" s="433"/>
      <c r="I997" s="373"/>
      <c r="J997" s="435"/>
      <c r="K997" s="344"/>
      <c r="L997" s="344"/>
      <c r="M997" s="436"/>
      <c r="N997" s="437"/>
      <c r="O997" s="438"/>
      <c r="P997" s="244"/>
      <c r="Q997" s="439"/>
      <c r="R997" s="440"/>
      <c r="S997" s="513"/>
      <c r="T997" s="563" t="e">
        <f>SUM(T967:T996)</f>
        <v>#REF!</v>
      </c>
      <c r="U997" s="477"/>
      <c r="V997" s="563" t="e">
        <f>SUM(V967:V996)</f>
        <v>#REF!</v>
      </c>
      <c r="W997" s="477"/>
      <c r="X997" s="408"/>
      <c r="Y997" s="408"/>
      <c r="Z997" s="563" t="e">
        <f>SUM(Z967:Z996)</f>
        <v>#REF!</v>
      </c>
      <c r="AA997" s="477"/>
      <c r="AB997" s="564" t="e">
        <f>SUM(AB967:AB994)</f>
        <v>#REF!</v>
      </c>
      <c r="AC997" s="476"/>
      <c r="AD997" s="464" t="s">
        <v>1862</v>
      </c>
      <c r="AE997" s="178"/>
      <c r="AF997" s="373"/>
      <c r="AG997" s="156"/>
      <c r="AH997" s="156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</row>
    <row r="998" spans="1:44" s="30" customFormat="1" ht="16.2" thickBot="1">
      <c r="A998" s="295"/>
      <c r="B998" s="295"/>
      <c r="C998" s="295"/>
      <c r="D998" s="295"/>
      <c r="E998" s="344"/>
      <c r="F998" s="156"/>
      <c r="G998" s="433"/>
      <c r="I998" s="373"/>
      <c r="J998" s="435"/>
      <c r="K998" s="344"/>
      <c r="L998" s="344"/>
      <c r="M998" s="436"/>
      <c r="N998" s="437"/>
      <c r="O998" s="438"/>
      <c r="P998" s="244"/>
      <c r="Q998" s="439"/>
      <c r="R998" s="440"/>
      <c r="S998" s="513"/>
      <c r="T998" s="440"/>
      <c r="U998" s="453"/>
      <c r="V998" s="452"/>
      <c r="W998" s="453"/>
      <c r="X998" s="244"/>
      <c r="Y998" s="244"/>
      <c r="Z998" s="475"/>
      <c r="AA998" s="453"/>
      <c r="AB998" s="243"/>
      <c r="AC998" s="441"/>
      <c r="AD998" s="452"/>
      <c r="AE998" s="156"/>
      <c r="AF998" s="373"/>
      <c r="AG998" s="156"/>
      <c r="AH998" s="156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</row>
    <row r="999" spans="1:44" s="30" customFormat="1">
      <c r="A999" s="295"/>
      <c r="B999" s="295"/>
      <c r="C999" s="295"/>
      <c r="D999" s="295"/>
      <c r="E999" s="344"/>
      <c r="F999" s="156"/>
      <c r="G999" s="433"/>
      <c r="I999" s="373"/>
      <c r="J999" s="435"/>
      <c r="K999" s="344"/>
      <c r="L999" s="344"/>
      <c r="M999" s="436"/>
      <c r="N999" s="437"/>
      <c r="O999" s="438"/>
      <c r="P999" s="244"/>
      <c r="Q999" s="439"/>
      <c r="R999" s="440"/>
      <c r="S999" s="513"/>
      <c r="T999" s="440"/>
      <c r="U999" s="453"/>
      <c r="V999" s="465" t="s">
        <v>1861</v>
      </c>
      <c r="W999" s="467" t="e">
        <f>SUM(AD999/AD1001)</f>
        <v>#REF!</v>
      </c>
      <c r="X999" s="561"/>
      <c r="Y999" s="446"/>
      <c r="Z999" s="460"/>
      <c r="AA999" s="500"/>
      <c r="AB999" s="461" t="s">
        <v>1864</v>
      </c>
      <c r="AC999" s="571"/>
      <c r="AD999" s="447" t="e">
        <f>SUM(AB997*0.6)+AD962</f>
        <v>#REF!</v>
      </c>
      <c r="AE999" s="156"/>
      <c r="AF999" s="373"/>
      <c r="AG999" s="156"/>
      <c r="AH999" s="156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</row>
    <row r="1000" spans="1:44" s="30" customFormat="1">
      <c r="A1000" s="295"/>
      <c r="B1000" s="295"/>
      <c r="C1000" s="295"/>
      <c r="D1000" s="295"/>
      <c r="E1000" s="344"/>
      <c r="F1000" s="156"/>
      <c r="G1000" s="433"/>
      <c r="I1000" s="373"/>
      <c r="J1000" s="435"/>
      <c r="K1000" s="344"/>
      <c r="L1000" s="344"/>
      <c r="M1000" s="436"/>
      <c r="N1000" s="437"/>
      <c r="O1000" s="438"/>
      <c r="P1000" s="244"/>
      <c r="Q1000" s="439"/>
      <c r="R1000" s="440"/>
      <c r="S1000" s="513"/>
      <c r="T1000" s="440"/>
      <c r="U1000" s="453"/>
      <c r="V1000" s="455"/>
      <c r="W1000" s="468" t="e">
        <f>SUM(AD1000/AD1001)</f>
        <v>#REF!</v>
      </c>
      <c r="Y1000" s="244"/>
      <c r="Z1000" s="452"/>
      <c r="AA1000" s="453"/>
      <c r="AB1000" s="462" t="s">
        <v>1686</v>
      </c>
      <c r="AC1000" s="441"/>
      <c r="AD1000" s="466" t="e">
        <f>SUM(AB997*0.4)+AD963</f>
        <v>#REF!</v>
      </c>
      <c r="AE1000" s="156"/>
      <c r="AF1000" s="373"/>
      <c r="AG1000" s="156"/>
      <c r="AH1000" s="156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</row>
    <row r="1001" spans="1:44" s="30" customFormat="1" ht="16.2" thickBot="1">
      <c r="A1001" s="295"/>
      <c r="B1001" s="295"/>
      <c r="C1001" s="295"/>
      <c r="D1001" s="295"/>
      <c r="E1001" s="344"/>
      <c r="F1001" s="156"/>
      <c r="G1001" s="433"/>
      <c r="I1001" s="373"/>
      <c r="J1001" s="435"/>
      <c r="K1001" s="344"/>
      <c r="L1001" s="344"/>
      <c r="M1001" s="436"/>
      <c r="N1001" s="437"/>
      <c r="O1001" s="438"/>
      <c r="P1001" s="244"/>
      <c r="Q1001" s="439"/>
      <c r="R1001" s="440"/>
      <c r="S1001" s="513"/>
      <c r="T1001" s="440"/>
      <c r="U1001" s="453"/>
      <c r="V1001" s="456"/>
      <c r="W1001" s="501"/>
      <c r="X1001" s="448"/>
      <c r="Y1001" s="448"/>
      <c r="Z1001" s="450"/>
      <c r="AA1001" s="501"/>
      <c r="AB1001" s="463" t="s">
        <v>1865</v>
      </c>
      <c r="AC1001" s="572"/>
      <c r="AD1001" s="449" t="e">
        <f>SUM(AD999:AD1000)</f>
        <v>#REF!</v>
      </c>
      <c r="AE1001" s="156"/>
      <c r="AF1001" s="373"/>
      <c r="AG1001" s="156"/>
      <c r="AH1001" s="156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</row>
    <row r="1002" spans="1:44" s="30" customFormat="1" ht="16.2" thickBot="1">
      <c r="A1002" s="295"/>
      <c r="B1002" s="295"/>
      <c r="C1002" s="295"/>
      <c r="D1002" s="295"/>
      <c r="E1002" s="344"/>
      <c r="F1002" s="156"/>
      <c r="G1002" s="433"/>
      <c r="I1002" s="373"/>
      <c r="J1002" s="435"/>
      <c r="K1002" s="344"/>
      <c r="L1002" s="344"/>
      <c r="M1002" s="436"/>
      <c r="N1002" s="437"/>
      <c r="O1002" s="438"/>
      <c r="P1002" s="244"/>
      <c r="Q1002" s="439"/>
      <c r="R1002" s="440"/>
      <c r="S1002" s="513"/>
      <c r="T1002" s="440"/>
      <c r="U1002" s="453"/>
      <c r="V1002" s="452"/>
      <c r="W1002" s="453"/>
      <c r="X1002" s="244"/>
      <c r="Y1002" s="244"/>
      <c r="Z1002" s="440"/>
      <c r="AA1002" s="453"/>
      <c r="AB1002" s="178"/>
      <c r="AC1002" s="441"/>
      <c r="AD1002" s="476"/>
      <c r="AE1002" s="156"/>
      <c r="AF1002" s="373"/>
      <c r="AG1002" s="156"/>
      <c r="AH1002" s="156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</row>
    <row r="1003" spans="1:44" s="30" customFormat="1" ht="16.2" thickBot="1">
      <c r="A1003" s="295"/>
      <c r="B1003" s="295"/>
      <c r="C1003" s="295"/>
      <c r="D1003" s="295"/>
      <c r="E1003" s="344"/>
      <c r="F1003" s="156"/>
      <c r="G1003" s="433"/>
      <c r="I1003" s="373"/>
      <c r="J1003" s="435"/>
      <c r="K1003" s="344"/>
      <c r="L1003" s="344"/>
      <c r="M1003" s="436"/>
      <c r="N1003" s="437"/>
      <c r="O1003" s="438"/>
      <c r="P1003" s="244"/>
      <c r="Q1003" s="439"/>
      <c r="R1003" s="440"/>
      <c r="S1003" s="513"/>
      <c r="T1003" s="440"/>
      <c r="U1003" s="453"/>
      <c r="V1003" s="452"/>
      <c r="W1003" s="453"/>
      <c r="X1003" s="244"/>
      <c r="Y1003" s="244"/>
      <c r="Z1003" s="470"/>
      <c r="AA1003" s="477"/>
      <c r="AB1003" s="410" t="e">
        <f>SUM(AB997,AB959)</f>
        <v>#REF!</v>
      </c>
      <c r="AC1003" s="476"/>
      <c r="AD1003" s="471" t="s">
        <v>930</v>
      </c>
      <c r="AE1003" s="156"/>
      <c r="AF1003" s="373"/>
      <c r="AG1003" s="156"/>
      <c r="AH1003" s="156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</row>
    <row r="1004" spans="1:44" s="30" customFormat="1">
      <c r="A1004" s="295"/>
      <c r="B1004" s="295"/>
      <c r="C1004" s="295"/>
      <c r="D1004" s="295"/>
      <c r="E1004" s="344"/>
      <c r="F1004" s="156"/>
      <c r="G1004" s="433"/>
      <c r="I1004" s="373"/>
      <c r="J1004" s="435"/>
      <c r="K1004" s="344"/>
      <c r="L1004" s="344"/>
      <c r="M1004" s="436"/>
      <c r="N1004" s="437"/>
      <c r="O1004" s="438"/>
      <c r="P1004" s="244"/>
      <c r="Q1004" s="439"/>
      <c r="R1004" s="440"/>
      <c r="S1004" s="513"/>
      <c r="T1004" s="440"/>
      <c r="U1004" s="453"/>
      <c r="V1004" s="458"/>
      <c r="W1004" s="453"/>
      <c r="X1004" s="244"/>
      <c r="Y1004" s="453" t="s">
        <v>924</v>
      </c>
      <c r="Z1004" s="473"/>
      <c r="AA1004" s="662"/>
      <c r="AB1004" s="663" t="e">
        <f>SUM(AB1003-'Estimate Details'!V113)+AB1009</f>
        <v>#REF!</v>
      </c>
      <c r="AC1004" s="441"/>
      <c r="AD1004" s="664" t="s">
        <v>1200</v>
      </c>
      <c r="AE1004" s="156"/>
      <c r="AF1004" s="373"/>
      <c r="AG1004" s="156"/>
      <c r="AH1004" s="156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</row>
    <row r="1005" spans="1:44" s="30" customFormat="1">
      <c r="A1005" s="295"/>
      <c r="B1005" s="295"/>
      <c r="C1005" s="295"/>
      <c r="D1005" s="295"/>
      <c r="E1005" s="344"/>
      <c r="F1005" s="156"/>
      <c r="G1005" s="433"/>
      <c r="I1005" s="373"/>
      <c r="J1005" s="435"/>
      <c r="K1005" s="344"/>
      <c r="L1005" s="344"/>
      <c r="M1005" s="436"/>
      <c r="N1005" s="437"/>
      <c r="O1005" s="438"/>
      <c r="P1005" s="244"/>
      <c r="Q1005" s="439"/>
      <c r="R1005" s="440"/>
      <c r="S1005" s="513"/>
      <c r="T1005" s="440"/>
      <c r="U1005" s="453"/>
      <c r="V1005" s="458"/>
      <c r="W1005" s="453"/>
      <c r="X1005" s="244"/>
      <c r="Y1005" s="453"/>
      <c r="Z1005" s="473"/>
      <c r="AA1005" s="453"/>
      <c r="AB1005" s="243"/>
      <c r="AC1005" s="441"/>
      <c r="AD1005" s="472"/>
      <c r="AE1005" s="156"/>
      <c r="AF1005" s="373"/>
      <c r="AG1005" s="156"/>
      <c r="AH1005" s="156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</row>
    <row r="1006" spans="1:44" s="30" customFormat="1">
      <c r="A1006" s="295"/>
      <c r="B1006" s="295"/>
      <c r="C1006" s="295"/>
      <c r="D1006" s="295"/>
      <c r="E1006" s="344"/>
      <c r="F1006" s="156"/>
      <c r="G1006" s="433"/>
      <c r="I1006" s="373"/>
      <c r="J1006" s="435"/>
      <c r="K1006" s="344"/>
      <c r="L1006" s="344"/>
      <c r="M1006" s="436"/>
      <c r="N1006" s="437"/>
      <c r="O1006" s="438"/>
      <c r="P1006" s="244"/>
      <c r="Q1006" s="439"/>
      <c r="R1006" s="440"/>
      <c r="S1006" s="513"/>
      <c r="T1006" s="440"/>
      <c r="U1006" s="453"/>
      <c r="V1006" s="458"/>
      <c r="W1006" s="453"/>
      <c r="X1006" s="244"/>
      <c r="Y1006" s="453"/>
      <c r="Z1006" s="473"/>
      <c r="AA1006" s="453"/>
      <c r="AB1006" s="243"/>
      <c r="AC1006" s="3178" t="s">
        <v>1456</v>
      </c>
      <c r="AD1006" s="472"/>
      <c r="AE1006" s="156"/>
      <c r="AF1006" s="373"/>
      <c r="AG1006" s="156"/>
      <c r="AH1006" s="156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</row>
    <row r="1007" spans="1:44" s="30" customFormat="1" ht="15.75" customHeight="1">
      <c r="A1007" s="295"/>
      <c r="B1007" s="295"/>
      <c r="C1007" s="295"/>
      <c r="D1007" s="295"/>
      <c r="E1007" s="344"/>
      <c r="F1007" s="156"/>
      <c r="G1007" s="433"/>
      <c r="I1007" s="373"/>
      <c r="J1007" s="435"/>
      <c r="K1007" s="344"/>
      <c r="L1007" s="344"/>
      <c r="M1007" s="436"/>
      <c r="N1007" s="437"/>
      <c r="O1007" s="438"/>
      <c r="P1007" s="244"/>
      <c r="Q1007" s="439"/>
      <c r="R1007" s="440"/>
      <c r="S1007" s="513"/>
      <c r="T1007" s="440"/>
      <c r="U1007" s="453"/>
      <c r="V1007" s="458"/>
      <c r="W1007" s="453"/>
      <c r="X1007" s="244"/>
      <c r="Y1007" s="453"/>
      <c r="Z1007" s="473"/>
      <c r="AA1007" s="453"/>
      <c r="AB1007" s="243"/>
      <c r="AC1007" s="3179"/>
      <c r="AD1007" s="472"/>
      <c r="AE1007" s="156"/>
      <c r="AF1007" s="373"/>
      <c r="AG1007" s="156"/>
      <c r="AH1007" s="156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</row>
    <row r="1008" spans="1:44" s="30" customFormat="1" ht="13.5" customHeight="1" thickBot="1">
      <c r="A1008" s="209"/>
      <c r="B1008" s="210"/>
      <c r="C1008" s="210"/>
      <c r="D1008" s="210"/>
      <c r="E1008" s="317"/>
      <c r="F1008" s="411"/>
      <c r="G1008" s="412"/>
      <c r="H1008" s="469" t="s">
        <v>868</v>
      </c>
      <c r="I1008" s="414"/>
      <c r="J1008" s="390"/>
      <c r="K1008" s="317"/>
      <c r="L1008" s="317"/>
      <c r="M1008" s="415"/>
      <c r="N1008" s="416"/>
      <c r="O1008" s="417"/>
      <c r="P1008" s="392"/>
      <c r="Q1008" s="418"/>
      <c r="R1008" s="393"/>
      <c r="S1008" s="514"/>
      <c r="T1008" s="393"/>
      <c r="U1008" s="491"/>
      <c r="V1008" s="392"/>
      <c r="W1008" s="491"/>
      <c r="X1008" s="392"/>
      <c r="Y1008" s="392"/>
      <c r="Z1008" s="393"/>
      <c r="AA1008" s="491"/>
      <c r="AB1008" s="395"/>
      <c r="AC1008" s="3180"/>
      <c r="AD1008" s="395"/>
      <c r="AE1008" s="156"/>
      <c r="AF1008" s="373"/>
      <c r="AG1008" s="156"/>
      <c r="AH1008" s="156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</row>
    <row r="1009" spans="1:44" ht="16.2" thickTop="1">
      <c r="A1009" s="42" t="e">
        <f>+'Estimate Details'!#REF!</f>
        <v>#REF!</v>
      </c>
      <c r="B1009" s="307"/>
      <c r="C1009" s="307"/>
      <c r="D1009" s="317"/>
      <c r="E1009" s="158">
        <f>+'Estimate Details'!A99</f>
        <v>88</v>
      </c>
      <c r="F1009" s="216"/>
      <c r="G1009" s="116" t="str">
        <f>+'Estimate Details'!C99</f>
        <v>EPC Indirects</v>
      </c>
      <c r="H1009" s="226" t="str">
        <f>+'Estimate Details'!D99</f>
        <v xml:space="preserve">       - Builders Risk Insurance</v>
      </c>
      <c r="I1009" s="223">
        <f>+'Estimate Details'!E99</f>
        <v>1</v>
      </c>
      <c r="J1009" s="168" t="str">
        <f>+'Estimate Details'!F99</f>
        <v>ls</v>
      </c>
      <c r="K1009" s="42" t="str">
        <f>+'Estimate Details'!G99</f>
        <v>Contr</v>
      </c>
      <c r="L1009" s="298">
        <f>+'Estimate Details'!H99</f>
        <v>5.0000000000000001E-3</v>
      </c>
      <c r="M1009" s="238">
        <f>+'Estimate Details'!I99</f>
        <v>119959.52400676761</v>
      </c>
      <c r="N1009" s="218">
        <f>+'Estimate Details'!J99</f>
        <v>0</v>
      </c>
      <c r="O1009" s="171">
        <f>+'Estimate Details'!K99</f>
        <v>0</v>
      </c>
      <c r="P1009" s="172">
        <f>+'Estimate Details'!L99</f>
        <v>0</v>
      </c>
      <c r="Q1009" s="172">
        <f>+'Estimate Details'!M99</f>
        <v>0</v>
      </c>
      <c r="R1009" s="174">
        <f>+'Estimate Details'!N99</f>
        <v>0</v>
      </c>
      <c r="S1009" s="507"/>
      <c r="T1009" s="174">
        <f>+'Estimate Details'!O99</f>
        <v>0</v>
      </c>
      <c r="U1009" s="481"/>
      <c r="V1009" s="172">
        <f>+'Estimate Details'!R99</f>
        <v>0</v>
      </c>
      <c r="W1009" s="481"/>
      <c r="X1009" s="172">
        <f>+'Estimate Details'!S99</f>
        <v>0</v>
      </c>
      <c r="Y1009" s="172">
        <f>+'Estimate Details'!T99</f>
        <v>0</v>
      </c>
      <c r="Z1009" s="246">
        <f>+'Estimate Details'!U99</f>
        <v>119959.52400676761</v>
      </c>
      <c r="AA1009" s="481"/>
      <c r="AB1009" s="175">
        <f>+'Estimate Details'!V99</f>
        <v>119959.52400676761</v>
      </c>
      <c r="AC1009" s="573" t="s">
        <v>1593</v>
      </c>
      <c r="AD1009" s="176" t="str">
        <f>+'Estimate Details'!X99</f>
        <v xml:space="preserve">Allowance based on info from other projects  </v>
      </c>
      <c r="AE1009" s="156"/>
      <c r="AF1009" s="367"/>
      <c r="AG1009" s="156"/>
      <c r="AH1009" s="156"/>
      <c r="AI1009" s="29"/>
      <c r="AJ1009" s="29"/>
      <c r="AK1009" s="29"/>
      <c r="AL1009" s="29"/>
    </row>
    <row r="1010" spans="1:44" s="30" customFormat="1" ht="14.1" customHeight="1">
      <c r="A1010" s="209" t="e">
        <f>+'Estimate Details'!#REF!</f>
        <v>#REF!</v>
      </c>
      <c r="B1010" s="210"/>
      <c r="C1010" s="210"/>
      <c r="D1010" s="347"/>
      <c r="E1010" s="158" t="e">
        <f>+'Estimate Details'!#REF!</f>
        <v>#REF!</v>
      </c>
      <c r="F1010" s="216"/>
      <c r="G1010" s="116" t="e">
        <f>+'Estimate Details'!#REF!</f>
        <v>#REF!</v>
      </c>
      <c r="H1010" s="264" t="e">
        <f>+'Estimate Details'!#REF!</f>
        <v>#REF!</v>
      </c>
      <c r="I1010" s="108" t="e">
        <f>+'Estimate Details'!#REF!</f>
        <v>#REF!</v>
      </c>
      <c r="J1010" s="168" t="e">
        <f>+'Estimate Details'!#REF!</f>
        <v>#REF!</v>
      </c>
      <c r="K1010" s="168" t="e">
        <f>+'Estimate Details'!#REF!</f>
        <v>#REF!</v>
      </c>
      <c r="L1010" s="168" t="e">
        <f>+'Estimate Details'!#REF!</f>
        <v>#REF!</v>
      </c>
      <c r="M1010" s="204" t="e">
        <f>+'Estimate Details'!#REF!</f>
        <v>#REF!</v>
      </c>
      <c r="N1010" s="194" t="e">
        <f>+'Estimate Details'!#REF!</f>
        <v>#REF!</v>
      </c>
      <c r="O1010" s="171" t="e">
        <f>+'Estimate Details'!#REF!</f>
        <v>#REF!</v>
      </c>
      <c r="P1010" s="172" t="e">
        <f>+'Estimate Details'!#REF!</f>
        <v>#REF!</v>
      </c>
      <c r="Q1010" s="172" t="e">
        <f>+'Estimate Details'!#REF!</f>
        <v>#REF!</v>
      </c>
      <c r="R1010" s="174" t="e">
        <f>+'Estimate Details'!#REF!</f>
        <v>#REF!</v>
      </c>
      <c r="S1010" s="515"/>
      <c r="T1010" s="174" t="e">
        <f>+'Estimate Details'!#REF!</f>
        <v>#REF!</v>
      </c>
      <c r="U1010" s="492"/>
      <c r="V1010" s="172" t="e">
        <f>+'Estimate Details'!#REF!</f>
        <v>#REF!</v>
      </c>
      <c r="W1010" s="492"/>
      <c r="X1010" s="172" t="e">
        <f>+'Estimate Details'!#REF!</f>
        <v>#REF!</v>
      </c>
      <c r="Y1010" s="172" t="e">
        <f>+'Estimate Details'!#REF!</f>
        <v>#REF!</v>
      </c>
      <c r="Z1010" s="174" t="e">
        <f>+'Estimate Details'!#REF!</f>
        <v>#REF!</v>
      </c>
      <c r="AA1010" s="492"/>
      <c r="AB1010" s="175" t="e">
        <f>+'Estimate Details'!#REF!</f>
        <v>#REF!</v>
      </c>
      <c r="AC1010" s="573"/>
      <c r="AD1010" s="176" t="e">
        <f>+'Estimate Details'!#REF!</f>
        <v>#REF!</v>
      </c>
      <c r="AE1010" s="156"/>
      <c r="AF1010" s="156"/>
      <c r="AG1010" s="156"/>
      <c r="AH1010" s="156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</row>
    <row r="1011" spans="1:44" s="30" customFormat="1" ht="14.1" customHeight="1">
      <c r="A1011" s="42" t="e">
        <f>+'Estimate Details'!#REF!</f>
        <v>#REF!</v>
      </c>
      <c r="B1011" s="42"/>
      <c r="C1011" s="42"/>
      <c r="D1011" s="248"/>
      <c r="E1011" s="158">
        <f>+'Estimate Details'!A118</f>
        <v>107</v>
      </c>
      <c r="F1011" s="216"/>
      <c r="G1011" s="166" t="str">
        <f>+'Estimate Details'!C118</f>
        <v>Owner Indirects</v>
      </c>
      <c r="H1011" s="226" t="str">
        <f>+'Estimate Details'!D118</f>
        <v>Project Development</v>
      </c>
      <c r="I1011" s="265">
        <f>+'Estimate Details'!E118</f>
        <v>1</v>
      </c>
      <c r="J1011" s="168" t="str">
        <f>+'Estimate Details'!F118</f>
        <v>ls</v>
      </c>
      <c r="K1011" s="168" t="str">
        <f>+'Estimate Details'!G118</f>
        <v>Owner</v>
      </c>
      <c r="L1011" s="168">
        <f>+'Estimate Details'!H118</f>
        <v>0</v>
      </c>
      <c r="M1011" s="245" t="str">
        <f>+'Estimate Details'!I118</f>
        <v xml:space="preserve"> </v>
      </c>
      <c r="N1011" s="245">
        <f>+'Estimate Details'!J118</f>
        <v>0</v>
      </c>
      <c r="O1011" s="241">
        <f>+'Estimate Details'!K118</f>
        <v>0</v>
      </c>
      <c r="P1011" s="241">
        <f>+'Estimate Details'!L118</f>
        <v>0</v>
      </c>
      <c r="Q1011" s="172">
        <f>+'Estimate Details'!M118</f>
        <v>0</v>
      </c>
      <c r="R1011" s="246">
        <f>+'Estimate Details'!N118</f>
        <v>0</v>
      </c>
      <c r="S1011" s="516"/>
      <c r="T1011" s="246">
        <f>+'Estimate Details'!O118</f>
        <v>0</v>
      </c>
      <c r="U1011" s="240"/>
      <c r="V1011" s="241">
        <f>+'Estimate Details'!R118</f>
        <v>0</v>
      </c>
      <c r="W1011" s="240"/>
      <c r="X1011" s="241">
        <f>+'Estimate Details'!S118</f>
        <v>0</v>
      </c>
      <c r="Y1011" s="241">
        <f>+'Estimate Details'!T118</f>
        <v>0</v>
      </c>
      <c r="Z1011" s="174">
        <f>+'Estimate Details'!U118</f>
        <v>650000</v>
      </c>
      <c r="AA1011" s="240"/>
      <c r="AB1011" s="175">
        <f>+'Estimate Details'!V118</f>
        <v>650000</v>
      </c>
      <c r="AC1011" s="573" t="s">
        <v>1312</v>
      </c>
      <c r="AD1011" s="176" t="str">
        <f>+'Estimate Details'!X118</f>
        <v>Budget provided by LG&amp;E</v>
      </c>
      <c r="AE1011" s="156"/>
      <c r="AF1011" s="156"/>
      <c r="AG1011" s="156"/>
      <c r="AH1011" s="156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</row>
    <row r="1012" spans="1:44" s="30" customFormat="1" ht="14.1" customHeight="1">
      <c r="A1012" s="42" t="e">
        <f>+'Estimate Details'!#REF!</f>
        <v>#REF!</v>
      </c>
      <c r="B1012" s="42"/>
      <c r="C1012" s="42"/>
      <c r="D1012" s="248"/>
      <c r="E1012" s="158" t="e">
        <f>+'Estimate Details'!#REF!</f>
        <v>#REF!</v>
      </c>
      <c r="F1012" s="216"/>
      <c r="G1012" s="166" t="str">
        <f>+'Estimate Details'!C121</f>
        <v>Owner Indirects</v>
      </c>
      <c r="H1012" s="226" t="str">
        <f>+'Estimate Details'!D121</f>
        <v xml:space="preserve">Owners Project Management </v>
      </c>
      <c r="I1012" s="265">
        <f>+'Estimate Details'!E121</f>
        <v>1</v>
      </c>
      <c r="J1012" s="168" t="str">
        <f>+'Estimate Details'!F121</f>
        <v>ls</v>
      </c>
      <c r="K1012" s="168" t="str">
        <f>+'Estimate Details'!G121</f>
        <v>Owner</v>
      </c>
      <c r="L1012" s="168">
        <f>+'Estimate Details'!H121</f>
        <v>0</v>
      </c>
      <c r="M1012" s="245" t="str">
        <f>+'Estimate Details'!I121</f>
        <v xml:space="preserve"> </v>
      </c>
      <c r="N1012" s="245">
        <f>+'Estimate Details'!J121</f>
        <v>0</v>
      </c>
      <c r="O1012" s="241">
        <f>+'Estimate Details'!K121</f>
        <v>0</v>
      </c>
      <c r="P1012" s="241">
        <f>+'Estimate Details'!L121</f>
        <v>0</v>
      </c>
      <c r="Q1012" s="172">
        <f>+'Estimate Details'!M121</f>
        <v>0</v>
      </c>
      <c r="R1012" s="246">
        <f>+'Estimate Details'!N121</f>
        <v>0</v>
      </c>
      <c r="S1012" s="516"/>
      <c r="T1012" s="246">
        <f>+'Estimate Details'!O121</f>
        <v>0</v>
      </c>
      <c r="U1012" s="240"/>
      <c r="V1012" s="241">
        <f>+'Estimate Details'!R121</f>
        <v>0</v>
      </c>
      <c r="W1012" s="240"/>
      <c r="X1012" s="241">
        <f>+'Estimate Details'!S121</f>
        <v>0</v>
      </c>
      <c r="Y1012" s="241">
        <f>+'Estimate Details'!T121</f>
        <v>0</v>
      </c>
      <c r="Z1012" s="174">
        <f>+'Estimate Details'!U121</f>
        <v>500000</v>
      </c>
      <c r="AA1012" s="240"/>
      <c r="AB1012" s="175">
        <f>+'Estimate Details'!V121</f>
        <v>500000</v>
      </c>
      <c r="AC1012" s="573" t="s">
        <v>1317</v>
      </c>
      <c r="AD1012" s="176" t="str">
        <f>+'Estimate Details'!X121</f>
        <v>Budget provided by LG&amp;E</v>
      </c>
      <c r="AE1012" s="156"/>
      <c r="AF1012" s="156"/>
      <c r="AG1012" s="156"/>
      <c r="AH1012" s="156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</row>
    <row r="1013" spans="1:44" s="30" customFormat="1" ht="14.1" customHeight="1">
      <c r="A1013" s="116" t="e">
        <f>+'Estimate Details'!#REF!</f>
        <v>#REF!</v>
      </c>
      <c r="B1013" s="116"/>
      <c r="C1013" s="116"/>
      <c r="D1013" s="166"/>
      <c r="E1013" s="158" t="e">
        <f>+'Estimate Details'!#REF!</f>
        <v>#REF!</v>
      </c>
      <c r="F1013" s="41"/>
      <c r="G1013" s="117" t="e">
        <f>+'Estimate Details'!#REF!</f>
        <v>#REF!</v>
      </c>
      <c r="H1013" s="118" t="e">
        <f>+'Estimate Details'!#REF!</f>
        <v>#REF!</v>
      </c>
      <c r="I1013" s="108" t="e">
        <f>+'Estimate Details'!#REF!</f>
        <v>#REF!</v>
      </c>
      <c r="J1013" s="168" t="e">
        <f>+'Estimate Details'!#REF!</f>
        <v>#REF!</v>
      </c>
      <c r="K1013" s="42" t="e">
        <f>+'Estimate Details'!#REF!</f>
        <v>#REF!</v>
      </c>
      <c r="L1013" s="42" t="e">
        <f>+'Estimate Details'!#REF!</f>
        <v>#REF!</v>
      </c>
      <c r="M1013" s="245" t="e">
        <f>+'Estimate Details'!#REF!</f>
        <v>#REF!</v>
      </c>
      <c r="N1013" s="170" t="e">
        <f>+'Estimate Details'!#REF!</f>
        <v>#REF!</v>
      </c>
      <c r="O1013" s="171" t="e">
        <f>+'Estimate Details'!#REF!</f>
        <v>#REF!</v>
      </c>
      <c r="P1013" s="172" t="e">
        <f>+'Estimate Details'!#REF!</f>
        <v>#REF!</v>
      </c>
      <c r="Q1013" s="173" t="e">
        <f>+'Estimate Details'!#REF!</f>
        <v>#REF!</v>
      </c>
      <c r="R1013" s="174" t="e">
        <f>+'Estimate Details'!#REF!</f>
        <v>#REF!</v>
      </c>
      <c r="S1013" s="515"/>
      <c r="T1013" s="174" t="e">
        <f>+'Estimate Details'!#REF!</f>
        <v>#REF!</v>
      </c>
      <c r="U1013" s="492"/>
      <c r="V1013" s="172" t="e">
        <f>+'Estimate Details'!#REF!</f>
        <v>#REF!</v>
      </c>
      <c r="W1013" s="492"/>
      <c r="X1013" s="172" t="e">
        <f>+'Estimate Details'!#REF!</f>
        <v>#REF!</v>
      </c>
      <c r="Y1013" s="172" t="e">
        <f>+'Estimate Details'!#REF!</f>
        <v>#REF!</v>
      </c>
      <c r="Z1013" s="174" t="e">
        <f>+'Estimate Details'!#REF!</f>
        <v>#REF!</v>
      </c>
      <c r="AA1013" s="492"/>
      <c r="AB1013" s="175" t="e">
        <f>+'Estimate Details'!#REF!</f>
        <v>#REF!</v>
      </c>
      <c r="AC1013" s="573" t="s">
        <v>1317</v>
      </c>
      <c r="AD1013" s="176" t="e">
        <f>+'Estimate Details'!#REF!</f>
        <v>#REF!</v>
      </c>
      <c r="AE1013" s="156"/>
      <c r="AF1013" s="372"/>
      <c r="AG1013" s="156"/>
      <c r="AH1013" s="156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</row>
    <row r="1014" spans="1:44" s="30" customFormat="1" ht="14.1" customHeight="1">
      <c r="A1014" s="42" t="e">
        <f>+'Estimate Details'!#REF!</f>
        <v>#REF!</v>
      </c>
      <c r="B1014" s="42"/>
      <c r="C1014" s="42"/>
      <c r="D1014" s="248"/>
      <c r="E1014" s="158">
        <f>+'Estimate Details'!A121</f>
        <v>110</v>
      </c>
      <c r="F1014" s="216"/>
      <c r="G1014" s="166" t="str">
        <f>+'Estimate Details'!C122</f>
        <v>Owner Indirects</v>
      </c>
      <c r="H1014" s="226" t="str">
        <f>+'Estimate Details'!D122</f>
        <v>Owners Engineer</v>
      </c>
      <c r="I1014" s="265">
        <f>+'Estimate Details'!E122</f>
        <v>1</v>
      </c>
      <c r="J1014" s="168" t="str">
        <f>+'Estimate Details'!F122</f>
        <v>ls</v>
      </c>
      <c r="K1014" s="168" t="str">
        <f>+'Estimate Details'!G122</f>
        <v>Owner</v>
      </c>
      <c r="L1014" s="168">
        <f>+'Estimate Details'!H122</f>
        <v>0</v>
      </c>
      <c r="M1014" s="245" t="str">
        <f>+'Estimate Details'!I122</f>
        <v xml:space="preserve"> </v>
      </c>
      <c r="N1014" s="245">
        <f>+'Estimate Details'!J122</f>
        <v>0</v>
      </c>
      <c r="O1014" s="241">
        <f>+'Estimate Details'!K122</f>
        <v>0</v>
      </c>
      <c r="P1014" s="241">
        <f>+'Estimate Details'!L122</f>
        <v>0</v>
      </c>
      <c r="Q1014" s="172">
        <f>+'Estimate Details'!M122</f>
        <v>0</v>
      </c>
      <c r="R1014" s="246">
        <f>+'Estimate Details'!N122</f>
        <v>0</v>
      </c>
      <c r="S1014" s="516"/>
      <c r="T1014" s="246">
        <f>+'Estimate Details'!O122</f>
        <v>0</v>
      </c>
      <c r="U1014" s="240"/>
      <c r="V1014" s="241">
        <f>+'Estimate Details'!R122</f>
        <v>0</v>
      </c>
      <c r="W1014" s="240"/>
      <c r="X1014" s="241">
        <f>+'Estimate Details'!S122</f>
        <v>0</v>
      </c>
      <c r="Y1014" s="241">
        <f>+'Estimate Details'!T122</f>
        <v>0</v>
      </c>
      <c r="Z1014" s="174">
        <f>+'Estimate Details'!U122</f>
        <v>170000</v>
      </c>
      <c r="AA1014" s="240"/>
      <c r="AB1014" s="175">
        <f>+'Estimate Details'!V122</f>
        <v>170000</v>
      </c>
      <c r="AC1014" s="573" t="s">
        <v>1318</v>
      </c>
      <c r="AD1014" s="176" t="str">
        <f>+'Estimate Details'!X122</f>
        <v>Budget provided by LG&amp;E</v>
      </c>
      <c r="AE1014" s="156"/>
      <c r="AF1014" s="156"/>
      <c r="AG1014" s="156"/>
      <c r="AH1014" s="156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</row>
    <row r="1015" spans="1:44" s="30" customFormat="1" ht="14.1" customHeight="1">
      <c r="A1015" s="42" t="e">
        <f>+'Estimate Details'!#REF!</f>
        <v>#REF!</v>
      </c>
      <c r="B1015" s="42"/>
      <c r="C1015" s="42"/>
      <c r="D1015" s="248"/>
      <c r="E1015" s="158">
        <f>+'Estimate Details'!A122</f>
        <v>111</v>
      </c>
      <c r="F1015" s="216"/>
      <c r="G1015" s="166" t="str">
        <f>+'Estimate Details'!C123</f>
        <v>Owner Indirects</v>
      </c>
      <c r="H1015" s="226" t="str">
        <f>+'Estimate Details'!D123</f>
        <v>Owners Legal Counsel</v>
      </c>
      <c r="I1015" s="265">
        <f>+'Estimate Details'!E123</f>
        <v>1</v>
      </c>
      <c r="J1015" s="168" t="str">
        <f>+'Estimate Details'!F123</f>
        <v>ls</v>
      </c>
      <c r="K1015" s="168" t="str">
        <f>+'Estimate Details'!G123</f>
        <v>Owner</v>
      </c>
      <c r="L1015" s="168">
        <f>+'Estimate Details'!H123</f>
        <v>0</v>
      </c>
      <c r="M1015" s="245" t="str">
        <f>+'Estimate Details'!I123</f>
        <v xml:space="preserve"> </v>
      </c>
      <c r="N1015" s="245">
        <f>+'Estimate Details'!J123</f>
        <v>0</v>
      </c>
      <c r="O1015" s="241">
        <f>+'Estimate Details'!K123</f>
        <v>0</v>
      </c>
      <c r="P1015" s="241">
        <f>+'Estimate Details'!L123</f>
        <v>0</v>
      </c>
      <c r="Q1015" s="172">
        <f>+'Estimate Details'!M123</f>
        <v>0</v>
      </c>
      <c r="R1015" s="246">
        <f>+'Estimate Details'!N123</f>
        <v>0</v>
      </c>
      <c r="S1015" s="516"/>
      <c r="T1015" s="246">
        <f>+'Estimate Details'!O123</f>
        <v>0</v>
      </c>
      <c r="U1015" s="240"/>
      <c r="V1015" s="241">
        <f>+'Estimate Details'!R123</f>
        <v>0</v>
      </c>
      <c r="W1015" s="240"/>
      <c r="X1015" s="241">
        <f>+'Estimate Details'!S123</f>
        <v>0</v>
      </c>
      <c r="Y1015" s="241">
        <f>+'Estimate Details'!T123</f>
        <v>0</v>
      </c>
      <c r="Z1015" s="174">
        <f>+'Estimate Details'!U123</f>
        <v>250000</v>
      </c>
      <c r="AA1015" s="240"/>
      <c r="AB1015" s="175">
        <f>+'Estimate Details'!V123</f>
        <v>250000</v>
      </c>
      <c r="AC1015" s="573" t="s">
        <v>1319</v>
      </c>
      <c r="AD1015" s="176" t="str">
        <f>+'Estimate Details'!X123</f>
        <v>Budget provided by LG&amp;E</v>
      </c>
      <c r="AE1015" s="156"/>
      <c r="AF1015" s="156"/>
      <c r="AG1015" s="156"/>
      <c r="AH1015" s="156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</row>
    <row r="1016" spans="1:44" s="30" customFormat="1" ht="14.1" customHeight="1">
      <c r="A1016" s="42" t="e">
        <f>+'Estimate Details'!#REF!</f>
        <v>#REF!</v>
      </c>
      <c r="B1016" s="42"/>
      <c r="C1016" s="42"/>
      <c r="D1016" s="248"/>
      <c r="E1016" s="158">
        <f>+'Estimate Details'!A123</f>
        <v>112</v>
      </c>
      <c r="F1016" s="216"/>
      <c r="G1016" s="166" t="e">
        <f>+'Estimate Details'!#REF!</f>
        <v>#REF!</v>
      </c>
      <c r="H1016" s="226" t="e">
        <f>+'Estimate Details'!#REF!</f>
        <v>#REF!</v>
      </c>
      <c r="I1016" s="265" t="e">
        <f>+'Estimate Details'!#REF!</f>
        <v>#REF!</v>
      </c>
      <c r="J1016" s="168" t="e">
        <f>+'Estimate Details'!#REF!</f>
        <v>#REF!</v>
      </c>
      <c r="K1016" s="168" t="e">
        <f>+'Estimate Details'!#REF!</f>
        <v>#REF!</v>
      </c>
      <c r="L1016" s="168" t="e">
        <f>+'Estimate Details'!#REF!</f>
        <v>#REF!</v>
      </c>
      <c r="M1016" s="245" t="e">
        <f>+'Estimate Details'!#REF!</f>
        <v>#REF!</v>
      </c>
      <c r="N1016" s="245" t="e">
        <f>+'Estimate Details'!#REF!</f>
        <v>#REF!</v>
      </c>
      <c r="O1016" s="241" t="e">
        <f>+'Estimate Details'!#REF!</f>
        <v>#REF!</v>
      </c>
      <c r="P1016" s="241" t="e">
        <f>+'Estimate Details'!#REF!</f>
        <v>#REF!</v>
      </c>
      <c r="Q1016" s="172" t="e">
        <f>+'Estimate Details'!#REF!</f>
        <v>#REF!</v>
      </c>
      <c r="R1016" s="246" t="e">
        <f>+'Estimate Details'!#REF!</f>
        <v>#REF!</v>
      </c>
      <c r="S1016" s="516"/>
      <c r="T1016" s="246" t="e">
        <f>+'Estimate Details'!#REF!</f>
        <v>#REF!</v>
      </c>
      <c r="U1016" s="240"/>
      <c r="V1016" s="241" t="e">
        <f>+'Estimate Details'!#REF!</f>
        <v>#REF!</v>
      </c>
      <c r="W1016" s="240"/>
      <c r="X1016" s="241" t="e">
        <f>+'Estimate Details'!#REF!</f>
        <v>#REF!</v>
      </c>
      <c r="Y1016" s="241" t="e">
        <f>+'Estimate Details'!#REF!</f>
        <v>#REF!</v>
      </c>
      <c r="Z1016" s="174" t="e">
        <f>+'Estimate Details'!#REF!</f>
        <v>#REF!</v>
      </c>
      <c r="AA1016" s="240"/>
      <c r="AB1016" s="175" t="e">
        <f>+'Estimate Details'!#REF!</f>
        <v>#REF!</v>
      </c>
      <c r="AC1016" s="573" t="s">
        <v>1319</v>
      </c>
      <c r="AD1016" s="176" t="e">
        <f>+'Estimate Details'!#REF!</f>
        <v>#REF!</v>
      </c>
      <c r="AE1016" s="156"/>
      <c r="AF1016" s="156"/>
      <c r="AG1016" s="156"/>
      <c r="AH1016" s="156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</row>
    <row r="1017" spans="1:44" s="30" customFormat="1" ht="14.1" customHeight="1">
      <c r="A1017" s="42" t="e">
        <f>+'Estimate Details'!#REF!</f>
        <v>#REF!</v>
      </c>
      <c r="B1017" s="42"/>
      <c r="C1017" s="42"/>
      <c r="D1017" s="248"/>
      <c r="E1017" s="158" t="e">
        <f>+'Estimate Details'!#REF!</f>
        <v>#REF!</v>
      </c>
      <c r="F1017" s="216"/>
      <c r="G1017" s="166" t="e">
        <f>+'Estimate Details'!#REF!</f>
        <v>#REF!</v>
      </c>
      <c r="H1017" s="226" t="e">
        <f>+'Estimate Details'!#REF!</f>
        <v>#REF!</v>
      </c>
      <c r="I1017" s="265" t="e">
        <f>+'Estimate Details'!#REF!</f>
        <v>#REF!</v>
      </c>
      <c r="J1017" s="168" t="e">
        <f>+'Estimate Details'!#REF!</f>
        <v>#REF!</v>
      </c>
      <c r="K1017" s="168" t="e">
        <f>+'Estimate Details'!#REF!</f>
        <v>#REF!</v>
      </c>
      <c r="L1017" s="168" t="e">
        <f>+'Estimate Details'!#REF!</f>
        <v>#REF!</v>
      </c>
      <c r="M1017" s="245" t="e">
        <f>+'Estimate Details'!#REF!</f>
        <v>#REF!</v>
      </c>
      <c r="N1017" s="245" t="e">
        <f>+'Estimate Details'!#REF!</f>
        <v>#REF!</v>
      </c>
      <c r="O1017" s="241" t="e">
        <f>+'Estimate Details'!#REF!</f>
        <v>#REF!</v>
      </c>
      <c r="P1017" s="241" t="e">
        <f>+'Estimate Details'!#REF!</f>
        <v>#REF!</v>
      </c>
      <c r="Q1017" s="172" t="e">
        <f>+'Estimate Details'!#REF!</f>
        <v>#REF!</v>
      </c>
      <c r="R1017" s="246" t="e">
        <f>+'Estimate Details'!#REF!</f>
        <v>#REF!</v>
      </c>
      <c r="S1017" s="516"/>
      <c r="T1017" s="246" t="e">
        <f>+'Estimate Details'!#REF!</f>
        <v>#REF!</v>
      </c>
      <c r="U1017" s="240"/>
      <c r="V1017" s="241" t="e">
        <f>+'Estimate Details'!#REF!</f>
        <v>#REF!</v>
      </c>
      <c r="W1017" s="240"/>
      <c r="X1017" s="241" t="e">
        <f>+'Estimate Details'!#REF!</f>
        <v>#REF!</v>
      </c>
      <c r="Y1017" s="241" t="e">
        <f>+'Estimate Details'!#REF!</f>
        <v>#REF!</v>
      </c>
      <c r="Z1017" s="174" t="e">
        <f>+'Estimate Details'!#REF!</f>
        <v>#REF!</v>
      </c>
      <c r="AA1017" s="240"/>
      <c r="AB1017" s="175" t="e">
        <f>+'Estimate Details'!#REF!</f>
        <v>#REF!</v>
      </c>
      <c r="AC1017" s="573" t="s">
        <v>0</v>
      </c>
      <c r="AD1017" s="176" t="e">
        <f>+'Estimate Details'!#REF!</f>
        <v>#REF!</v>
      </c>
      <c r="AE1017" s="156"/>
      <c r="AF1017" s="156"/>
      <c r="AG1017" s="156"/>
      <c r="AH1017" s="156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</row>
    <row r="1018" spans="1:44" s="30" customFormat="1" ht="14.1" customHeight="1">
      <c r="A1018" s="42" t="e">
        <f>+'Estimate Details'!#REF!</f>
        <v>#REF!</v>
      </c>
      <c r="B1018" s="42"/>
      <c r="C1018" s="42"/>
      <c r="D1018" s="248"/>
      <c r="E1018" s="158" t="e">
        <f>+'Estimate Details'!#REF!</f>
        <v>#REF!</v>
      </c>
      <c r="F1018" s="216"/>
      <c r="G1018" s="166" t="e">
        <f>+'Estimate Details'!#REF!</f>
        <v>#REF!</v>
      </c>
      <c r="H1018" s="226" t="e">
        <f>+'Estimate Details'!#REF!</f>
        <v>#REF!</v>
      </c>
      <c r="I1018" s="265" t="e">
        <f>+'Estimate Details'!#REF!</f>
        <v>#REF!</v>
      </c>
      <c r="J1018" s="168" t="e">
        <f>+'Estimate Details'!#REF!</f>
        <v>#REF!</v>
      </c>
      <c r="K1018" s="168" t="e">
        <f>+'Estimate Details'!#REF!</f>
        <v>#REF!</v>
      </c>
      <c r="L1018" s="168" t="e">
        <f>+'Estimate Details'!#REF!</f>
        <v>#REF!</v>
      </c>
      <c r="M1018" s="245" t="e">
        <f>+'Estimate Details'!#REF!</f>
        <v>#REF!</v>
      </c>
      <c r="N1018" s="245" t="e">
        <f>+'Estimate Details'!#REF!</f>
        <v>#REF!</v>
      </c>
      <c r="O1018" s="241" t="e">
        <f>+'Estimate Details'!#REF!</f>
        <v>#REF!</v>
      </c>
      <c r="P1018" s="241" t="e">
        <f>+'Estimate Details'!#REF!</f>
        <v>#REF!</v>
      </c>
      <c r="Q1018" s="172" t="e">
        <f>+'Estimate Details'!#REF!</f>
        <v>#REF!</v>
      </c>
      <c r="R1018" s="246" t="e">
        <f>+'Estimate Details'!#REF!</f>
        <v>#REF!</v>
      </c>
      <c r="S1018" s="516"/>
      <c r="T1018" s="246" t="e">
        <f>+'Estimate Details'!#REF!</f>
        <v>#REF!</v>
      </c>
      <c r="U1018" s="240"/>
      <c r="V1018" s="241" t="e">
        <f>+'Estimate Details'!#REF!</f>
        <v>#REF!</v>
      </c>
      <c r="W1018" s="240"/>
      <c r="X1018" s="241" t="e">
        <f>+'Estimate Details'!#REF!</f>
        <v>#REF!</v>
      </c>
      <c r="Y1018" s="241" t="e">
        <f>+'Estimate Details'!#REF!</f>
        <v>#REF!</v>
      </c>
      <c r="Z1018" s="174" t="e">
        <f>+'Estimate Details'!#REF!</f>
        <v>#REF!</v>
      </c>
      <c r="AA1018" s="240"/>
      <c r="AB1018" s="175" t="e">
        <f>+'Estimate Details'!#REF!</f>
        <v>#REF!</v>
      </c>
      <c r="AC1018" s="573" t="s">
        <v>1</v>
      </c>
      <c r="AD1018" s="176" t="e">
        <f>+'Estimate Details'!#REF!</f>
        <v>#REF!</v>
      </c>
      <c r="AE1018" s="156"/>
      <c r="AF1018" s="156"/>
      <c r="AG1018" s="156"/>
      <c r="AH1018" s="156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</row>
    <row r="1019" spans="1:44" s="30" customFormat="1">
      <c r="A1019" s="42" t="e">
        <f>+'Estimate Details'!#REF!</f>
        <v>#REF!</v>
      </c>
      <c r="B1019" s="42"/>
      <c r="C1019" s="42"/>
      <c r="D1019" s="248"/>
      <c r="E1019" s="158" t="e">
        <f>+'Estimate Details'!#REF!</f>
        <v>#REF!</v>
      </c>
      <c r="F1019" s="216"/>
      <c r="G1019" s="166" t="e">
        <f>+'Estimate Details'!#REF!</f>
        <v>#REF!</v>
      </c>
      <c r="H1019" s="226" t="e">
        <f>+'Estimate Details'!#REF!</f>
        <v>#REF!</v>
      </c>
      <c r="I1019" s="265" t="e">
        <f>+'Estimate Details'!#REF!</f>
        <v>#REF!</v>
      </c>
      <c r="J1019" s="168" t="e">
        <f>+'Estimate Details'!#REF!</f>
        <v>#REF!</v>
      </c>
      <c r="K1019" s="168" t="e">
        <f>+'Estimate Details'!#REF!</f>
        <v>#REF!</v>
      </c>
      <c r="L1019" s="168" t="e">
        <f>+'Estimate Details'!#REF!</f>
        <v>#REF!</v>
      </c>
      <c r="M1019" s="245" t="e">
        <f>+'Estimate Details'!#REF!</f>
        <v>#REF!</v>
      </c>
      <c r="N1019" s="245" t="e">
        <f>+'Estimate Details'!#REF!</f>
        <v>#REF!</v>
      </c>
      <c r="O1019" s="241" t="e">
        <f>+'Estimate Details'!#REF!</f>
        <v>#REF!</v>
      </c>
      <c r="P1019" s="241" t="e">
        <f>+'Estimate Details'!#REF!</f>
        <v>#REF!</v>
      </c>
      <c r="Q1019" s="172" t="e">
        <f>+'Estimate Details'!#REF!</f>
        <v>#REF!</v>
      </c>
      <c r="R1019" s="246" t="e">
        <f>+'Estimate Details'!#REF!</f>
        <v>#REF!</v>
      </c>
      <c r="S1019" s="516"/>
      <c r="T1019" s="246" t="e">
        <f>+'Estimate Details'!#REF!</f>
        <v>#REF!</v>
      </c>
      <c r="U1019" s="240"/>
      <c r="V1019" s="241" t="e">
        <f>+'Estimate Details'!#REF!</f>
        <v>#REF!</v>
      </c>
      <c r="W1019" s="240"/>
      <c r="X1019" s="241" t="e">
        <f>+'Estimate Details'!#REF!</f>
        <v>#REF!</v>
      </c>
      <c r="Y1019" s="241" t="e">
        <f>+'Estimate Details'!#REF!</f>
        <v>#REF!</v>
      </c>
      <c r="Z1019" s="174" t="e">
        <f>+'Estimate Details'!#REF!</f>
        <v>#REF!</v>
      </c>
      <c r="AA1019" s="240"/>
      <c r="AB1019" s="175" t="e">
        <f>+'Estimate Details'!#REF!</f>
        <v>#REF!</v>
      </c>
      <c r="AC1019" s="573" t="s">
        <v>2</v>
      </c>
      <c r="AD1019" s="176" t="e">
        <f>+'Estimate Details'!#REF!</f>
        <v>#REF!</v>
      </c>
      <c r="AE1019" s="156"/>
      <c r="AF1019" s="156"/>
      <c r="AG1019" s="156"/>
      <c r="AH1019" s="156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</row>
    <row r="1020" spans="1:44" s="30" customFormat="1">
      <c r="A1020" s="42" t="e">
        <f>+'Estimate Details'!#REF!</f>
        <v>#REF!</v>
      </c>
      <c r="B1020" s="42"/>
      <c r="C1020" s="42"/>
      <c r="D1020" s="248"/>
      <c r="E1020" s="158" t="e">
        <f>+'Estimate Details'!#REF!</f>
        <v>#REF!</v>
      </c>
      <c r="F1020" s="216"/>
      <c r="G1020" s="166" t="str">
        <f>+'Estimate Details'!C124</f>
        <v>Owner Indirects</v>
      </c>
      <c r="H1020" s="226" t="str">
        <f>+'Estimate Details'!D124</f>
        <v>Land</v>
      </c>
      <c r="I1020" s="265">
        <f>+'Estimate Details'!E124</f>
        <v>1</v>
      </c>
      <c r="J1020" s="168" t="str">
        <f>+'Estimate Details'!F124</f>
        <v>ls</v>
      </c>
      <c r="K1020" s="168" t="str">
        <f>+'Estimate Details'!G124</f>
        <v>Owner</v>
      </c>
      <c r="L1020" s="168">
        <f>+'Estimate Details'!H124</f>
        <v>0</v>
      </c>
      <c r="M1020" s="245" t="str">
        <f>+'Estimate Details'!I124</f>
        <v xml:space="preserve"> </v>
      </c>
      <c r="N1020" s="245">
        <f>+'Estimate Details'!J124</f>
        <v>0</v>
      </c>
      <c r="O1020" s="241">
        <f>+'Estimate Details'!K124</f>
        <v>0</v>
      </c>
      <c r="P1020" s="241">
        <f>+'Estimate Details'!L124</f>
        <v>0</v>
      </c>
      <c r="Q1020" s="172">
        <f>+'Estimate Details'!M124</f>
        <v>0</v>
      </c>
      <c r="R1020" s="246">
        <f>+'Estimate Details'!N124</f>
        <v>0</v>
      </c>
      <c r="S1020" s="516"/>
      <c r="T1020" s="246">
        <f>+'Estimate Details'!O124</f>
        <v>0</v>
      </c>
      <c r="U1020" s="240"/>
      <c r="V1020" s="241">
        <f>+'Estimate Details'!R124</f>
        <v>0</v>
      </c>
      <c r="W1020" s="240"/>
      <c r="X1020" s="241">
        <f>+'Estimate Details'!S124</f>
        <v>0</v>
      </c>
      <c r="Y1020" s="241">
        <f>+'Estimate Details'!T124</f>
        <v>0</v>
      </c>
      <c r="Z1020" s="174">
        <f>+'Estimate Details'!U124</f>
        <v>500000</v>
      </c>
      <c r="AA1020" s="240"/>
      <c r="AB1020" s="175">
        <f>+'Estimate Details'!V124</f>
        <v>500000</v>
      </c>
      <c r="AC1020" s="573" t="s">
        <v>3</v>
      </c>
      <c r="AD1020" s="176" t="str">
        <f>+'Estimate Details'!X124</f>
        <v>Budget provided by LG&amp;E</v>
      </c>
      <c r="AE1020" s="156"/>
      <c r="AF1020" s="156"/>
      <c r="AG1020" s="156"/>
      <c r="AH1020" s="156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</row>
    <row r="1021" spans="1:44" s="30" customFormat="1" ht="14.1" customHeight="1">
      <c r="A1021" s="42" t="e">
        <f>+'Estimate Details'!#REF!</f>
        <v>#REF!</v>
      </c>
      <c r="B1021" s="42"/>
      <c r="C1021" s="42"/>
      <c r="D1021" s="248"/>
      <c r="E1021" s="158">
        <f>+'Estimate Details'!A124</f>
        <v>113</v>
      </c>
      <c r="F1021" s="216"/>
      <c r="G1021" s="166" t="e">
        <f>+'Estimate Details'!#REF!</f>
        <v>#REF!</v>
      </c>
      <c r="H1021" s="226" t="e">
        <f>+'Estimate Details'!#REF!</f>
        <v>#REF!</v>
      </c>
      <c r="I1021" s="265" t="e">
        <f>+'Estimate Details'!#REF!</f>
        <v>#REF!</v>
      </c>
      <c r="J1021" s="168" t="e">
        <f>+'Estimate Details'!#REF!</f>
        <v>#REF!</v>
      </c>
      <c r="K1021" s="168" t="e">
        <f>+'Estimate Details'!#REF!</f>
        <v>#REF!</v>
      </c>
      <c r="L1021" s="168" t="e">
        <f>+'Estimate Details'!#REF!</f>
        <v>#REF!</v>
      </c>
      <c r="M1021" s="245" t="e">
        <f>+'Estimate Details'!#REF!</f>
        <v>#REF!</v>
      </c>
      <c r="N1021" s="245" t="e">
        <f>+'Estimate Details'!#REF!</f>
        <v>#REF!</v>
      </c>
      <c r="O1021" s="241" t="e">
        <f>+'Estimate Details'!#REF!</f>
        <v>#REF!</v>
      </c>
      <c r="P1021" s="241" t="e">
        <f>+'Estimate Details'!#REF!</f>
        <v>#REF!</v>
      </c>
      <c r="Q1021" s="172" t="e">
        <f>+'Estimate Details'!#REF!</f>
        <v>#REF!</v>
      </c>
      <c r="R1021" s="246" t="e">
        <f>+'Estimate Details'!#REF!</f>
        <v>#REF!</v>
      </c>
      <c r="S1021" s="516"/>
      <c r="T1021" s="246" t="e">
        <f>+'Estimate Details'!#REF!</f>
        <v>#REF!</v>
      </c>
      <c r="U1021" s="240"/>
      <c r="V1021" s="241" t="e">
        <f>+'Estimate Details'!#REF!</f>
        <v>#REF!</v>
      </c>
      <c r="W1021" s="240"/>
      <c r="X1021" s="241" t="e">
        <f>+'Estimate Details'!#REF!</f>
        <v>#REF!</v>
      </c>
      <c r="Y1021" s="241" t="e">
        <f>+'Estimate Details'!#REF!</f>
        <v>#REF!</v>
      </c>
      <c r="Z1021" s="174" t="e">
        <f>+'Estimate Details'!#REF!</f>
        <v>#REF!</v>
      </c>
      <c r="AA1021" s="240"/>
      <c r="AB1021" s="175" t="e">
        <f>+'Estimate Details'!#REF!</f>
        <v>#REF!</v>
      </c>
      <c r="AC1021" s="573" t="s">
        <v>4</v>
      </c>
      <c r="AD1021" s="176" t="e">
        <f>+'Estimate Details'!#REF!</f>
        <v>#REF!</v>
      </c>
      <c r="AE1021" s="156"/>
      <c r="AF1021" s="156"/>
      <c r="AG1021" s="156"/>
      <c r="AH1021" s="156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</row>
    <row r="1022" spans="1:44" s="30" customFormat="1" ht="14.1" customHeight="1">
      <c r="A1022" s="42" t="e">
        <f>+'Estimate Details'!#REF!</f>
        <v>#REF!</v>
      </c>
      <c r="B1022" s="42"/>
      <c r="C1022" s="42"/>
      <c r="D1022" s="248"/>
      <c r="E1022" s="158" t="e">
        <f>+'Estimate Details'!#REF!</f>
        <v>#REF!</v>
      </c>
      <c r="F1022" s="216"/>
      <c r="G1022" s="166" t="e">
        <f>+'Estimate Details'!#REF!</f>
        <v>#REF!</v>
      </c>
      <c r="H1022" s="226" t="e">
        <f>+'Estimate Details'!#REF!</f>
        <v>#REF!</v>
      </c>
      <c r="I1022" s="265" t="e">
        <f>+'Estimate Details'!#REF!</f>
        <v>#REF!</v>
      </c>
      <c r="J1022" s="168" t="e">
        <f>+'Estimate Details'!#REF!</f>
        <v>#REF!</v>
      </c>
      <c r="K1022" s="168" t="e">
        <f>+'Estimate Details'!#REF!</f>
        <v>#REF!</v>
      </c>
      <c r="L1022" s="168" t="e">
        <f>+'Estimate Details'!#REF!</f>
        <v>#REF!</v>
      </c>
      <c r="M1022" s="245" t="e">
        <f>+'Estimate Details'!#REF!</f>
        <v>#REF!</v>
      </c>
      <c r="N1022" s="245" t="e">
        <f>+'Estimate Details'!#REF!</f>
        <v>#REF!</v>
      </c>
      <c r="O1022" s="241" t="e">
        <f>+'Estimate Details'!#REF!</f>
        <v>#REF!</v>
      </c>
      <c r="P1022" s="241" t="e">
        <f>+'Estimate Details'!#REF!</f>
        <v>#REF!</v>
      </c>
      <c r="Q1022" s="172" t="e">
        <f>+'Estimate Details'!#REF!</f>
        <v>#REF!</v>
      </c>
      <c r="R1022" s="246" t="e">
        <f>+'Estimate Details'!#REF!</f>
        <v>#REF!</v>
      </c>
      <c r="S1022" s="516"/>
      <c r="T1022" s="246" t="e">
        <f>+'Estimate Details'!#REF!</f>
        <v>#REF!</v>
      </c>
      <c r="U1022" s="240"/>
      <c r="V1022" s="241" t="e">
        <f>+'Estimate Details'!#REF!</f>
        <v>#REF!</v>
      </c>
      <c r="W1022" s="240"/>
      <c r="X1022" s="241" t="e">
        <f>+'Estimate Details'!#REF!</f>
        <v>#REF!</v>
      </c>
      <c r="Y1022" s="241" t="e">
        <f>+'Estimate Details'!#REF!</f>
        <v>#REF!</v>
      </c>
      <c r="Z1022" s="174" t="e">
        <f>+'Estimate Details'!#REF!</f>
        <v>#REF!</v>
      </c>
      <c r="AA1022" s="240"/>
      <c r="AB1022" s="175" t="e">
        <f>+'Estimate Details'!#REF!</f>
        <v>#REF!</v>
      </c>
      <c r="AC1022" s="573" t="s">
        <v>1576</v>
      </c>
      <c r="AD1022" s="176" t="e">
        <f>+'Estimate Details'!#REF!</f>
        <v>#REF!</v>
      </c>
      <c r="AE1022" s="156"/>
      <c r="AF1022" s="156"/>
      <c r="AG1022" s="156"/>
      <c r="AH1022" s="156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</row>
    <row r="1023" spans="1:44" s="30" customFormat="1" ht="14.1" customHeight="1">
      <c r="A1023" s="42" t="e">
        <f>+'Estimate Details'!#REF!</f>
        <v>#REF!</v>
      </c>
      <c r="B1023" s="42"/>
      <c r="C1023" s="42"/>
      <c r="D1023" s="248"/>
      <c r="E1023" s="158" t="e">
        <f>+'Estimate Details'!#REF!</f>
        <v>#REF!</v>
      </c>
      <c r="F1023" s="216"/>
      <c r="G1023" s="166" t="str">
        <f>+'Estimate Details'!C125</f>
        <v>Owner Indirects</v>
      </c>
      <c r="H1023" s="226" t="str">
        <f>+'Estimate Details'!D125</f>
        <v>Startup Testing (Includes Power Sales)</v>
      </c>
      <c r="I1023" s="265">
        <f>+'Estimate Details'!E125</f>
        <v>0</v>
      </c>
      <c r="J1023" s="168">
        <f>+'Estimate Details'!F125</f>
        <v>0</v>
      </c>
      <c r="K1023" s="168">
        <f>+'Estimate Details'!G125</f>
        <v>0</v>
      </c>
      <c r="L1023" s="168">
        <f>+'Estimate Details'!H125</f>
        <v>0</v>
      </c>
      <c r="M1023" s="245" t="str">
        <f>+'Estimate Details'!I125</f>
        <v xml:space="preserve"> </v>
      </c>
      <c r="N1023" s="245">
        <f>+'Estimate Details'!J125</f>
        <v>0</v>
      </c>
      <c r="O1023" s="241">
        <f>+'Estimate Details'!K125</f>
        <v>0</v>
      </c>
      <c r="P1023" s="241">
        <f>+'Estimate Details'!L125</f>
        <v>0</v>
      </c>
      <c r="Q1023" s="172">
        <f>+'Estimate Details'!M125</f>
        <v>0</v>
      </c>
      <c r="R1023" s="246">
        <f>+'Estimate Details'!N125</f>
        <v>0</v>
      </c>
      <c r="S1023" s="516"/>
      <c r="T1023" s="246">
        <f>+'Estimate Details'!O125</f>
        <v>0</v>
      </c>
      <c r="U1023" s="240"/>
      <c r="V1023" s="241">
        <f>+'Estimate Details'!R125</f>
        <v>0</v>
      </c>
      <c r="W1023" s="240"/>
      <c r="X1023" s="241">
        <f>+'Estimate Details'!S125</f>
        <v>0</v>
      </c>
      <c r="Y1023" s="241">
        <f>+'Estimate Details'!T125</f>
        <v>0</v>
      </c>
      <c r="Z1023" s="174">
        <f>+'Estimate Details'!U125</f>
        <v>0</v>
      </c>
      <c r="AA1023" s="240"/>
      <c r="AB1023" s="175">
        <f>+'Estimate Details'!V125</f>
        <v>0</v>
      </c>
      <c r="AC1023" s="573" t="s">
        <v>1577</v>
      </c>
      <c r="AD1023" s="176">
        <f>+'Estimate Details'!X125</f>
        <v>0</v>
      </c>
      <c r="AE1023" s="156"/>
      <c r="AF1023" s="156"/>
      <c r="AG1023" s="156"/>
      <c r="AH1023" s="156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</row>
    <row r="1024" spans="1:44" s="30" customFormat="1" ht="14.1" customHeight="1">
      <c r="A1024" s="42" t="e">
        <f>+'Estimate Details'!#REF!</f>
        <v>#REF!</v>
      </c>
      <c r="B1024" s="42"/>
      <c r="C1024" s="42"/>
      <c r="D1024" s="248"/>
      <c r="E1024" s="158">
        <f>+'Estimate Details'!A125</f>
        <v>114</v>
      </c>
      <c r="F1024" s="216"/>
      <c r="G1024" s="166" t="e">
        <f>+'Estimate Details'!#REF!</f>
        <v>#REF!</v>
      </c>
      <c r="H1024" s="226" t="e">
        <f>+'Estimate Details'!#REF!</f>
        <v>#REF!</v>
      </c>
      <c r="I1024" s="265" t="e">
        <f>+'Estimate Details'!#REF!</f>
        <v>#REF!</v>
      </c>
      <c r="J1024" s="168" t="e">
        <f>+'Estimate Details'!#REF!</f>
        <v>#REF!</v>
      </c>
      <c r="K1024" s="168" t="e">
        <f>+'Estimate Details'!#REF!</f>
        <v>#REF!</v>
      </c>
      <c r="L1024" s="168" t="e">
        <f>+'Estimate Details'!#REF!</f>
        <v>#REF!</v>
      </c>
      <c r="M1024" s="245" t="e">
        <f>+'Estimate Details'!#REF!</f>
        <v>#REF!</v>
      </c>
      <c r="N1024" s="245" t="e">
        <f>+'Estimate Details'!#REF!</f>
        <v>#REF!</v>
      </c>
      <c r="O1024" s="241" t="e">
        <f>+'Estimate Details'!#REF!</f>
        <v>#REF!</v>
      </c>
      <c r="P1024" s="241" t="e">
        <f>+'Estimate Details'!#REF!</f>
        <v>#REF!</v>
      </c>
      <c r="Q1024" s="172" t="e">
        <f>+'Estimate Details'!#REF!</f>
        <v>#REF!</v>
      </c>
      <c r="R1024" s="246" t="e">
        <f>+'Estimate Details'!#REF!</f>
        <v>#REF!</v>
      </c>
      <c r="S1024" s="516"/>
      <c r="T1024" s="246" t="e">
        <f>+'Estimate Details'!#REF!</f>
        <v>#REF!</v>
      </c>
      <c r="U1024" s="240"/>
      <c r="V1024" s="241" t="e">
        <f>+'Estimate Details'!#REF!</f>
        <v>#REF!</v>
      </c>
      <c r="W1024" s="240"/>
      <c r="X1024" s="241" t="e">
        <f>+'Estimate Details'!#REF!</f>
        <v>#REF!</v>
      </c>
      <c r="Y1024" s="241" t="e">
        <f>+'Estimate Details'!#REF!</f>
        <v>#REF!</v>
      </c>
      <c r="Z1024" s="174" t="e">
        <f>+'Estimate Details'!#REF!</f>
        <v>#REF!</v>
      </c>
      <c r="AA1024" s="240"/>
      <c r="AB1024" s="175" t="e">
        <f>+'Estimate Details'!#REF!</f>
        <v>#REF!</v>
      </c>
      <c r="AC1024" s="573" t="s">
        <v>1578</v>
      </c>
      <c r="AD1024" s="176" t="e">
        <f>+'Estimate Details'!#REF!</f>
        <v>#REF!</v>
      </c>
      <c r="AE1024" s="156"/>
      <c r="AF1024" s="156"/>
      <c r="AG1024" s="156"/>
      <c r="AH1024" s="156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</row>
    <row r="1025" spans="1:44" s="30" customFormat="1" ht="14.1" customHeight="1">
      <c r="A1025" s="42" t="e">
        <f>+'Estimate Details'!#REF!</f>
        <v>#REF!</v>
      </c>
      <c r="B1025" s="42"/>
      <c r="C1025" s="42"/>
      <c r="D1025" s="248"/>
      <c r="E1025" s="158" t="e">
        <f>+'Estimate Details'!#REF!</f>
        <v>#REF!</v>
      </c>
      <c r="F1025" s="216"/>
      <c r="G1025" s="166" t="str">
        <f>+'Estimate Details'!C126</f>
        <v>Owner Indirects</v>
      </c>
      <c r="H1025" s="226" t="str">
        <f>+'Estimate Details'!D126</f>
        <v xml:space="preserve">    - Electric Transmission Firm Point to Point</v>
      </c>
      <c r="I1025" s="265">
        <f>+'Estimate Details'!E126</f>
        <v>1</v>
      </c>
      <c r="J1025" s="168" t="str">
        <f>+'Estimate Details'!F126</f>
        <v>ls</v>
      </c>
      <c r="K1025" s="168" t="str">
        <f>+'Estimate Details'!G126</f>
        <v>Owner</v>
      </c>
      <c r="L1025" s="168">
        <f>+'Estimate Details'!H126</f>
        <v>0</v>
      </c>
      <c r="M1025" s="245" t="str">
        <f>+'Estimate Details'!I126</f>
        <v xml:space="preserve"> </v>
      </c>
      <c r="N1025" s="245">
        <f>+'Estimate Details'!J126</f>
        <v>0</v>
      </c>
      <c r="O1025" s="241">
        <f>+'Estimate Details'!K126</f>
        <v>0</v>
      </c>
      <c r="P1025" s="241">
        <f>+'Estimate Details'!L126</f>
        <v>0</v>
      </c>
      <c r="Q1025" s="172">
        <f>+'Estimate Details'!M126</f>
        <v>0</v>
      </c>
      <c r="R1025" s="246">
        <f>+'Estimate Details'!N126</f>
        <v>0</v>
      </c>
      <c r="S1025" s="516"/>
      <c r="T1025" s="246">
        <f>+'Estimate Details'!O126</f>
        <v>0</v>
      </c>
      <c r="U1025" s="240"/>
      <c r="V1025" s="241">
        <f>+'Estimate Details'!R126</f>
        <v>0</v>
      </c>
      <c r="W1025" s="240"/>
      <c r="X1025" s="241">
        <f>+'Estimate Details'!S126</f>
        <v>0</v>
      </c>
      <c r="Y1025" s="241">
        <f>+'Estimate Details'!T126</f>
        <v>0</v>
      </c>
      <c r="Z1025" s="174">
        <f>+'Estimate Details'!U126</f>
        <v>50000</v>
      </c>
      <c r="AA1025" s="240"/>
      <c r="AB1025" s="175">
        <f>+'Estimate Details'!V126</f>
        <v>50000</v>
      </c>
      <c r="AC1025" s="573" t="s">
        <v>1579</v>
      </c>
      <c r="AD1025" s="176" t="str">
        <f>+'Estimate Details'!X126</f>
        <v>Budget provided by LG&amp;E</v>
      </c>
      <c r="AE1025" s="156"/>
      <c r="AF1025" s="156"/>
      <c r="AG1025" s="156"/>
      <c r="AH1025" s="156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</row>
    <row r="1026" spans="1:44" s="30" customFormat="1" ht="14.1" customHeight="1">
      <c r="A1026" s="42" t="e">
        <f>+'Estimate Details'!#REF!</f>
        <v>#REF!</v>
      </c>
      <c r="B1026" s="42"/>
      <c r="C1026" s="42"/>
      <c r="D1026" s="248"/>
      <c r="E1026" s="158">
        <f>+'Estimate Details'!A126</f>
        <v>115</v>
      </c>
      <c r="F1026" s="216"/>
      <c r="G1026" s="166" t="str">
        <f>+'Estimate Details'!C127</f>
        <v>Owner Indirects</v>
      </c>
      <c r="H1026" s="226" t="str">
        <f>+'Estimate Details'!D127</f>
        <v xml:space="preserve">    - Startup Power</v>
      </c>
      <c r="I1026" s="265">
        <f>+'Estimate Details'!E127</f>
        <v>1</v>
      </c>
      <c r="J1026" s="168" t="str">
        <f>+'Estimate Details'!F127</f>
        <v>ls</v>
      </c>
      <c r="K1026" s="168" t="str">
        <f>+'Estimate Details'!G127</f>
        <v>Owner</v>
      </c>
      <c r="L1026" s="168">
        <f>+'Estimate Details'!H127</f>
        <v>0</v>
      </c>
      <c r="M1026" s="245" t="str">
        <f>+'Estimate Details'!I127</f>
        <v xml:space="preserve"> </v>
      </c>
      <c r="N1026" s="245">
        <f>+'Estimate Details'!J127</f>
        <v>0</v>
      </c>
      <c r="O1026" s="241">
        <f>+'Estimate Details'!K127</f>
        <v>0</v>
      </c>
      <c r="P1026" s="241">
        <f>+'Estimate Details'!L127</f>
        <v>0</v>
      </c>
      <c r="Q1026" s="172">
        <f>+'Estimate Details'!M127</f>
        <v>0</v>
      </c>
      <c r="R1026" s="246">
        <f>+'Estimate Details'!N127</f>
        <v>0</v>
      </c>
      <c r="S1026" s="516"/>
      <c r="T1026" s="246">
        <f>+'Estimate Details'!O127</f>
        <v>0</v>
      </c>
      <c r="U1026" s="240"/>
      <c r="V1026" s="241">
        <f>+'Estimate Details'!R127</f>
        <v>0</v>
      </c>
      <c r="W1026" s="240"/>
      <c r="X1026" s="241">
        <f>+'Estimate Details'!S127</f>
        <v>0</v>
      </c>
      <c r="Y1026" s="241">
        <f>+'Estimate Details'!T127</f>
        <v>0</v>
      </c>
      <c r="Z1026" s="174">
        <f>+'Estimate Details'!U127</f>
        <v>10000</v>
      </c>
      <c r="AA1026" s="240"/>
      <c r="AB1026" s="175">
        <f>+'Estimate Details'!V127</f>
        <v>10000</v>
      </c>
      <c r="AC1026" s="573" t="s">
        <v>1580</v>
      </c>
      <c r="AD1026" s="176" t="str">
        <f>+'Estimate Details'!X127</f>
        <v>Budget estimated by HDR|CB [10,864 MWhr @$36/MWH]</v>
      </c>
      <c r="AE1026" s="156"/>
      <c r="AF1026" s="156"/>
      <c r="AG1026" s="156"/>
      <c r="AH1026" s="156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</row>
    <row r="1027" spans="1:44" s="30" customFormat="1" ht="14.1" customHeight="1">
      <c r="A1027" s="42" t="e">
        <f>+'Estimate Details'!#REF!</f>
        <v>#REF!</v>
      </c>
      <c r="B1027" s="42"/>
      <c r="C1027" s="42"/>
      <c r="D1027" s="248"/>
      <c r="E1027" s="158">
        <f>+'Estimate Details'!A127</f>
        <v>116</v>
      </c>
      <c r="F1027" s="216"/>
      <c r="G1027" s="166" t="str">
        <f>+'Estimate Details'!C128</f>
        <v>Owner Indirects</v>
      </c>
      <c r="H1027" s="226" t="str">
        <f>+'Estimate Details'!D128</f>
        <v xml:space="preserve">    - Test Power Sales</v>
      </c>
      <c r="I1027" s="265">
        <f>+'Estimate Details'!E128</f>
        <v>1</v>
      </c>
      <c r="J1027" s="168" t="str">
        <f>+'Estimate Details'!F128</f>
        <v>ls</v>
      </c>
      <c r="K1027" s="168" t="str">
        <f>+'Estimate Details'!G128</f>
        <v>Owner</v>
      </c>
      <c r="L1027" s="168">
        <f>+'Estimate Details'!H128</f>
        <v>0</v>
      </c>
      <c r="M1027" s="245" t="str">
        <f>+'Estimate Details'!I128</f>
        <v xml:space="preserve"> </v>
      </c>
      <c r="N1027" s="245">
        <f>+'Estimate Details'!J128</f>
        <v>0</v>
      </c>
      <c r="O1027" s="241">
        <f>+'Estimate Details'!K128</f>
        <v>0</v>
      </c>
      <c r="P1027" s="241">
        <f>+'Estimate Details'!L128</f>
        <v>0</v>
      </c>
      <c r="Q1027" s="172">
        <f>+'Estimate Details'!M128</f>
        <v>0</v>
      </c>
      <c r="R1027" s="246">
        <f>+'Estimate Details'!N128</f>
        <v>0</v>
      </c>
      <c r="S1027" s="516"/>
      <c r="T1027" s="246">
        <f>+'Estimate Details'!O128</f>
        <v>0</v>
      </c>
      <c r="U1027" s="240"/>
      <c r="V1027" s="241">
        <f>+'Estimate Details'!R128</f>
        <v>0</v>
      </c>
      <c r="W1027" s="240"/>
      <c r="X1027" s="241">
        <f>+'Estimate Details'!S128</f>
        <v>0</v>
      </c>
      <c r="Y1027" s="241">
        <f>+'Estimate Details'!T128</f>
        <v>0</v>
      </c>
      <c r="Z1027" s="174">
        <f>+'Estimate Details'!U128</f>
        <v>-10000</v>
      </c>
      <c r="AA1027" s="240"/>
      <c r="AB1027" s="175">
        <f>+'Estimate Details'!V128</f>
        <v>-10000</v>
      </c>
      <c r="AC1027" s="573" t="s">
        <v>1582</v>
      </c>
      <c r="AD1027" s="176" t="str">
        <f>+'Estimate Details'!X128</f>
        <v>Budget estimated by HDR|CB [432,000 MWhr @$36/MWH]</v>
      </c>
      <c r="AE1027" s="156"/>
      <c r="AF1027" s="156"/>
      <c r="AG1027" s="156"/>
      <c r="AH1027" s="156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</row>
    <row r="1028" spans="1:44" s="30" customFormat="1" ht="14.1" customHeight="1">
      <c r="A1028" s="42" t="e">
        <f>+'Estimate Details'!#REF!</f>
        <v>#REF!</v>
      </c>
      <c r="B1028" s="42"/>
      <c r="C1028" s="42"/>
      <c r="D1028" s="248"/>
      <c r="E1028" s="158">
        <f>+'Estimate Details'!A128</f>
        <v>117</v>
      </c>
      <c r="F1028" s="216"/>
      <c r="G1028" s="166" t="e">
        <f>+'Estimate Details'!#REF!</f>
        <v>#REF!</v>
      </c>
      <c r="H1028" s="226" t="e">
        <f>+'Estimate Details'!#REF!</f>
        <v>#REF!</v>
      </c>
      <c r="I1028" s="265" t="e">
        <f>+'Estimate Details'!#REF!</f>
        <v>#REF!</v>
      </c>
      <c r="J1028" s="168" t="e">
        <f>+'Estimate Details'!#REF!</f>
        <v>#REF!</v>
      </c>
      <c r="K1028" s="168" t="e">
        <f>+'Estimate Details'!#REF!</f>
        <v>#REF!</v>
      </c>
      <c r="L1028" s="168" t="e">
        <f>+'Estimate Details'!#REF!</f>
        <v>#REF!</v>
      </c>
      <c r="M1028" s="245" t="e">
        <f>+'Estimate Details'!#REF!</f>
        <v>#REF!</v>
      </c>
      <c r="N1028" s="245" t="e">
        <f>+'Estimate Details'!#REF!</f>
        <v>#REF!</v>
      </c>
      <c r="O1028" s="241" t="e">
        <f>+'Estimate Details'!#REF!</f>
        <v>#REF!</v>
      </c>
      <c r="P1028" s="241" t="e">
        <f>+'Estimate Details'!#REF!</f>
        <v>#REF!</v>
      </c>
      <c r="Q1028" s="172" t="e">
        <f>+'Estimate Details'!#REF!</f>
        <v>#REF!</v>
      </c>
      <c r="R1028" s="246" t="e">
        <f>+'Estimate Details'!#REF!</f>
        <v>#REF!</v>
      </c>
      <c r="S1028" s="516"/>
      <c r="T1028" s="246" t="e">
        <f>+'Estimate Details'!#REF!</f>
        <v>#REF!</v>
      </c>
      <c r="U1028" s="240"/>
      <c r="V1028" s="241" t="e">
        <f>+'Estimate Details'!#REF!</f>
        <v>#REF!</v>
      </c>
      <c r="W1028" s="240"/>
      <c r="X1028" s="241" t="e">
        <f>+'Estimate Details'!#REF!</f>
        <v>#REF!</v>
      </c>
      <c r="Y1028" s="241" t="e">
        <f>+'Estimate Details'!#REF!</f>
        <v>#REF!</v>
      </c>
      <c r="Z1028" s="174" t="e">
        <f>+'Estimate Details'!#REF!</f>
        <v>#REF!</v>
      </c>
      <c r="AA1028" s="240"/>
      <c r="AB1028" s="175" t="e">
        <f>+'Estimate Details'!#REF!</f>
        <v>#REF!</v>
      </c>
      <c r="AC1028" s="573" t="s">
        <v>1583</v>
      </c>
      <c r="AD1028" s="176" t="e">
        <f>+'Estimate Details'!#REF!</f>
        <v>#REF!</v>
      </c>
      <c r="AE1028" s="156"/>
      <c r="AF1028" s="156"/>
      <c r="AG1028" s="156"/>
      <c r="AH1028" s="156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</row>
    <row r="1029" spans="1:44" s="30" customFormat="1">
      <c r="A1029" s="42" t="e">
        <f>+'Estimate Details'!#REF!</f>
        <v>#REF!</v>
      </c>
      <c r="B1029" s="42"/>
      <c r="C1029" s="42"/>
      <c r="D1029" s="248"/>
      <c r="E1029" s="158" t="e">
        <f>+'Estimate Details'!#REF!</f>
        <v>#REF!</v>
      </c>
      <c r="F1029" s="216"/>
      <c r="G1029" s="166" t="str">
        <f>+'Estimate Details'!C129</f>
        <v>Owner Indirects</v>
      </c>
      <c r="H1029" s="226" t="str">
        <f>+'Estimate Details'!D129</f>
        <v>Site Security</v>
      </c>
      <c r="I1029" s="265">
        <f>+'Estimate Details'!E129</f>
        <v>1</v>
      </c>
      <c r="J1029" s="168" t="str">
        <f>+'Estimate Details'!F129</f>
        <v>ls</v>
      </c>
      <c r="K1029" s="168" t="str">
        <f>+'Estimate Details'!G129</f>
        <v>Owner</v>
      </c>
      <c r="L1029" s="168">
        <f>+'Estimate Details'!H129</f>
        <v>0</v>
      </c>
      <c r="M1029" s="245" t="str">
        <f>+'Estimate Details'!I129</f>
        <v xml:space="preserve"> </v>
      </c>
      <c r="N1029" s="245">
        <f>+'Estimate Details'!J129</f>
        <v>0</v>
      </c>
      <c r="O1029" s="241">
        <f>+'Estimate Details'!K129</f>
        <v>0</v>
      </c>
      <c r="P1029" s="241">
        <f>+'Estimate Details'!L129</f>
        <v>0</v>
      </c>
      <c r="Q1029" s="172">
        <f>+'Estimate Details'!M129</f>
        <v>0</v>
      </c>
      <c r="R1029" s="246">
        <f>+'Estimate Details'!N129</f>
        <v>0</v>
      </c>
      <c r="S1029" s="516"/>
      <c r="T1029" s="246">
        <f>+'Estimate Details'!O129</f>
        <v>0</v>
      </c>
      <c r="U1029" s="240"/>
      <c r="V1029" s="241">
        <f>+'Estimate Details'!R129</f>
        <v>0</v>
      </c>
      <c r="W1029" s="240"/>
      <c r="X1029" s="241">
        <f>+'Estimate Details'!S129</f>
        <v>0</v>
      </c>
      <c r="Y1029" s="241">
        <f>+'Estimate Details'!T129</f>
        <v>0</v>
      </c>
      <c r="Z1029" s="174">
        <f>+'Estimate Details'!U129</f>
        <v>50000</v>
      </c>
      <c r="AA1029" s="240"/>
      <c r="AB1029" s="175">
        <f>+'Estimate Details'!V129</f>
        <v>50000</v>
      </c>
      <c r="AC1029" s="573" t="s">
        <v>1581</v>
      </c>
      <c r="AD1029" s="176" t="str">
        <f>+'Estimate Details'!X129</f>
        <v>Budget estimated by HDR|CB</v>
      </c>
      <c r="AE1029" s="156"/>
      <c r="AF1029" s="156"/>
      <c r="AG1029" s="156"/>
      <c r="AH1029" s="156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</row>
    <row r="1030" spans="1:44" s="30" customFormat="1" ht="14.1" customHeight="1">
      <c r="A1030" s="42" t="e">
        <f>+'Estimate Details'!#REF!</f>
        <v>#REF!</v>
      </c>
      <c r="B1030" s="42"/>
      <c r="C1030" s="42"/>
      <c r="D1030" s="248"/>
      <c r="E1030" s="158">
        <f>+'Estimate Details'!A129</f>
        <v>118</v>
      </c>
      <c r="F1030" s="216"/>
      <c r="G1030" s="166" t="str">
        <f>+'Estimate Details'!C130</f>
        <v>Owner Indirects</v>
      </c>
      <c r="H1030" s="226" t="str">
        <f>+'Estimate Details'!D130</f>
        <v>Operating Spare Parts</v>
      </c>
      <c r="I1030" s="265">
        <f>+'Estimate Details'!E130</f>
        <v>1</v>
      </c>
      <c r="J1030" s="168" t="str">
        <f>+'Estimate Details'!F130</f>
        <v>ls</v>
      </c>
      <c r="K1030" s="168" t="str">
        <f>+'Estimate Details'!G130</f>
        <v>Owner</v>
      </c>
      <c r="L1030" s="168">
        <f>+'Estimate Details'!H130</f>
        <v>0</v>
      </c>
      <c r="M1030" s="245" t="str">
        <f>+'Estimate Details'!I130</f>
        <v xml:space="preserve"> </v>
      </c>
      <c r="N1030" s="245">
        <f>+'Estimate Details'!J130</f>
        <v>0</v>
      </c>
      <c r="O1030" s="241">
        <f>+'Estimate Details'!K130</f>
        <v>0</v>
      </c>
      <c r="P1030" s="241">
        <f>+'Estimate Details'!L130</f>
        <v>0</v>
      </c>
      <c r="Q1030" s="172">
        <f>+'Estimate Details'!M130</f>
        <v>0</v>
      </c>
      <c r="R1030" s="246">
        <f>+'Estimate Details'!N130</f>
        <v>0</v>
      </c>
      <c r="S1030" s="516"/>
      <c r="T1030" s="246">
        <f>+'Estimate Details'!O130</f>
        <v>0</v>
      </c>
      <c r="U1030" s="240"/>
      <c r="V1030" s="241">
        <f>+'Estimate Details'!R130</f>
        <v>0</v>
      </c>
      <c r="W1030" s="240"/>
      <c r="X1030" s="241">
        <f>+'Estimate Details'!S130</f>
        <v>0</v>
      </c>
      <c r="Y1030" s="241">
        <f>+'Estimate Details'!T130</f>
        <v>0</v>
      </c>
      <c r="Z1030" s="174">
        <f>+'Estimate Details'!U130</f>
        <v>100000</v>
      </c>
      <c r="AA1030" s="240"/>
      <c r="AB1030" s="175">
        <f>+'Estimate Details'!V130</f>
        <v>100000</v>
      </c>
      <c r="AC1030" s="573" t="s">
        <v>1584</v>
      </c>
      <c r="AD1030" s="176" t="str">
        <f>+'Estimate Details'!X130</f>
        <v>Budget estimated by HDR|CB</v>
      </c>
      <c r="AE1030" s="156"/>
      <c r="AF1030" s="156"/>
      <c r="AG1030" s="156"/>
      <c r="AH1030" s="156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</row>
    <row r="1031" spans="1:44" s="30" customFormat="1">
      <c r="A1031" s="42" t="e">
        <f>+'Estimate Details'!#REF!</f>
        <v>#REF!</v>
      </c>
      <c r="B1031" s="42"/>
      <c r="C1031" s="42"/>
      <c r="D1031" s="248"/>
      <c r="E1031" s="158" t="e">
        <f>+'Estimate Details'!#REF!</f>
        <v>#REF!</v>
      </c>
      <c r="F1031" s="216"/>
      <c r="G1031" s="166" t="e">
        <f>+'Estimate Details'!#REF!</f>
        <v>#REF!</v>
      </c>
      <c r="H1031" s="226" t="e">
        <f>+'Estimate Details'!#REF!</f>
        <v>#REF!</v>
      </c>
      <c r="I1031" s="265" t="e">
        <f>+'Estimate Details'!#REF!</f>
        <v>#REF!</v>
      </c>
      <c r="J1031" s="168" t="e">
        <f>+'Estimate Details'!#REF!</f>
        <v>#REF!</v>
      </c>
      <c r="K1031" s="168" t="e">
        <f>+'Estimate Details'!#REF!</f>
        <v>#REF!</v>
      </c>
      <c r="L1031" s="168" t="e">
        <f>+'Estimate Details'!#REF!</f>
        <v>#REF!</v>
      </c>
      <c r="M1031" s="245" t="e">
        <f>+'Estimate Details'!#REF!</f>
        <v>#REF!</v>
      </c>
      <c r="N1031" s="245" t="e">
        <f>+'Estimate Details'!#REF!</f>
        <v>#REF!</v>
      </c>
      <c r="O1031" s="241" t="e">
        <f>+'Estimate Details'!#REF!</f>
        <v>#REF!</v>
      </c>
      <c r="P1031" s="241" t="e">
        <f>+'Estimate Details'!#REF!</f>
        <v>#REF!</v>
      </c>
      <c r="Q1031" s="172" t="e">
        <f>+'Estimate Details'!#REF!</f>
        <v>#REF!</v>
      </c>
      <c r="R1031" s="246" t="e">
        <f>+'Estimate Details'!#REF!</f>
        <v>#REF!</v>
      </c>
      <c r="S1031" s="516"/>
      <c r="T1031" s="246" t="e">
        <f>+'Estimate Details'!#REF!</f>
        <v>#REF!</v>
      </c>
      <c r="U1031" s="240"/>
      <c r="V1031" s="241" t="e">
        <f>+'Estimate Details'!#REF!</f>
        <v>#REF!</v>
      </c>
      <c r="W1031" s="240"/>
      <c r="X1031" s="241" t="e">
        <f>+'Estimate Details'!#REF!</f>
        <v>#REF!</v>
      </c>
      <c r="Y1031" s="241" t="e">
        <f>+'Estimate Details'!#REF!</f>
        <v>#REF!</v>
      </c>
      <c r="Z1031" s="174" t="e">
        <f>+'Estimate Details'!#REF!</f>
        <v>#REF!</v>
      </c>
      <c r="AA1031" s="240"/>
      <c r="AB1031" s="175" t="e">
        <f>+'Estimate Details'!#REF!</f>
        <v>#REF!</v>
      </c>
      <c r="AC1031" s="573" t="s">
        <v>1585</v>
      </c>
      <c r="AD1031" s="176" t="e">
        <f>+'Estimate Details'!#REF!</f>
        <v>#REF!</v>
      </c>
      <c r="AE1031" s="156"/>
      <c r="AF1031" s="156"/>
      <c r="AG1031" s="156"/>
      <c r="AH1031" s="156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</row>
    <row r="1032" spans="1:44" s="30" customFormat="1" ht="14.1" customHeight="1">
      <c r="A1032" s="42" t="e">
        <f>+'Estimate Details'!#REF!</f>
        <v>#REF!</v>
      </c>
      <c r="B1032" s="42"/>
      <c r="C1032" s="42"/>
      <c r="D1032" s="248"/>
      <c r="E1032" s="158">
        <f>+'Estimate Details'!A130</f>
        <v>119</v>
      </c>
      <c r="F1032" s="216"/>
      <c r="G1032" s="166" t="e">
        <f>+'Estimate Details'!#REF!</f>
        <v>#REF!</v>
      </c>
      <c r="H1032" s="226" t="e">
        <f>+'Estimate Details'!#REF!</f>
        <v>#REF!</v>
      </c>
      <c r="I1032" s="265" t="e">
        <f>+'Estimate Details'!#REF!</f>
        <v>#REF!</v>
      </c>
      <c r="J1032" s="168" t="e">
        <f>+'Estimate Details'!#REF!</f>
        <v>#REF!</v>
      </c>
      <c r="K1032" s="168" t="e">
        <f>+'Estimate Details'!#REF!</f>
        <v>#REF!</v>
      </c>
      <c r="L1032" s="168" t="e">
        <f>+'Estimate Details'!#REF!</f>
        <v>#REF!</v>
      </c>
      <c r="M1032" s="245" t="e">
        <f>+'Estimate Details'!#REF!</f>
        <v>#REF!</v>
      </c>
      <c r="N1032" s="245" t="e">
        <f>+'Estimate Details'!#REF!</f>
        <v>#REF!</v>
      </c>
      <c r="O1032" s="241" t="e">
        <f>+'Estimate Details'!#REF!</f>
        <v>#REF!</v>
      </c>
      <c r="P1032" s="241" t="e">
        <f>+'Estimate Details'!#REF!</f>
        <v>#REF!</v>
      </c>
      <c r="Q1032" s="172" t="e">
        <f>+'Estimate Details'!#REF!</f>
        <v>#REF!</v>
      </c>
      <c r="R1032" s="246" t="e">
        <f>+'Estimate Details'!#REF!</f>
        <v>#REF!</v>
      </c>
      <c r="S1032" s="516"/>
      <c r="T1032" s="246" t="e">
        <f>+'Estimate Details'!#REF!</f>
        <v>#REF!</v>
      </c>
      <c r="U1032" s="240"/>
      <c r="V1032" s="241" t="e">
        <f>+'Estimate Details'!#REF!</f>
        <v>#REF!</v>
      </c>
      <c r="W1032" s="240"/>
      <c r="X1032" s="241" t="e">
        <f>+'Estimate Details'!#REF!</f>
        <v>#REF!</v>
      </c>
      <c r="Y1032" s="241" t="e">
        <f>+'Estimate Details'!#REF!</f>
        <v>#REF!</v>
      </c>
      <c r="Z1032" s="174" t="e">
        <f>+'Estimate Details'!#REF!</f>
        <v>#REF!</v>
      </c>
      <c r="AA1032" s="240"/>
      <c r="AB1032" s="175" t="e">
        <f>+'Estimate Details'!#REF!</f>
        <v>#REF!</v>
      </c>
      <c r="AC1032" s="573" t="s">
        <v>1586</v>
      </c>
      <c r="AD1032" s="176" t="e">
        <f>+'Estimate Details'!#REF!</f>
        <v>#REF!</v>
      </c>
      <c r="AE1032" s="156"/>
      <c r="AF1032" s="156"/>
      <c r="AG1032" s="156"/>
      <c r="AH1032" s="156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</row>
    <row r="1033" spans="1:44" s="30" customFormat="1" ht="14.1" customHeight="1">
      <c r="A1033" s="42" t="e">
        <f>+'Estimate Details'!#REF!</f>
        <v>#REF!</v>
      </c>
      <c r="B1033" s="42"/>
      <c r="C1033" s="42"/>
      <c r="D1033" s="248"/>
      <c r="E1033" s="158" t="e">
        <f>+'Estimate Details'!#REF!</f>
        <v>#REF!</v>
      </c>
      <c r="F1033" s="216"/>
      <c r="G1033" s="166" t="e">
        <f>+'Estimate Details'!#REF!</f>
        <v>#REF!</v>
      </c>
      <c r="H1033" s="226" t="e">
        <f>+'Estimate Details'!#REF!</f>
        <v>#REF!</v>
      </c>
      <c r="I1033" s="265" t="e">
        <f>+'Estimate Details'!#REF!</f>
        <v>#REF!</v>
      </c>
      <c r="J1033" s="168" t="e">
        <f>+'Estimate Details'!#REF!</f>
        <v>#REF!</v>
      </c>
      <c r="K1033" s="168" t="e">
        <f>+'Estimate Details'!#REF!</f>
        <v>#REF!</v>
      </c>
      <c r="L1033" s="168" t="e">
        <f>+'Estimate Details'!#REF!</f>
        <v>#REF!</v>
      </c>
      <c r="M1033" s="245" t="e">
        <f>+'Estimate Details'!#REF!</f>
        <v>#REF!</v>
      </c>
      <c r="N1033" s="245" t="e">
        <f>+'Estimate Details'!#REF!</f>
        <v>#REF!</v>
      </c>
      <c r="O1033" s="241" t="e">
        <f>+'Estimate Details'!#REF!</f>
        <v>#REF!</v>
      </c>
      <c r="P1033" s="241" t="e">
        <f>+'Estimate Details'!#REF!</f>
        <v>#REF!</v>
      </c>
      <c r="Q1033" s="172" t="e">
        <f>+'Estimate Details'!#REF!</f>
        <v>#REF!</v>
      </c>
      <c r="R1033" s="246" t="e">
        <f>+'Estimate Details'!#REF!</f>
        <v>#REF!</v>
      </c>
      <c r="S1033" s="516"/>
      <c r="T1033" s="246" t="e">
        <f>+'Estimate Details'!#REF!</f>
        <v>#REF!</v>
      </c>
      <c r="U1033" s="240"/>
      <c r="V1033" s="241" t="e">
        <f>+'Estimate Details'!#REF!</f>
        <v>#REF!</v>
      </c>
      <c r="W1033" s="240"/>
      <c r="X1033" s="241" t="e">
        <f>+'Estimate Details'!#REF!</f>
        <v>#REF!</v>
      </c>
      <c r="Y1033" s="241" t="e">
        <f>+'Estimate Details'!#REF!</f>
        <v>#REF!</v>
      </c>
      <c r="Z1033" s="174" t="e">
        <f>+'Estimate Details'!#REF!</f>
        <v>#REF!</v>
      </c>
      <c r="AA1033" s="240"/>
      <c r="AB1033" s="175" t="e">
        <f>+'Estimate Details'!#REF!</f>
        <v>#REF!</v>
      </c>
      <c r="AC1033" s="573" t="s">
        <v>1592</v>
      </c>
      <c r="AD1033" s="176" t="e">
        <f>+'Estimate Details'!#REF!</f>
        <v>#REF!</v>
      </c>
      <c r="AE1033" s="156"/>
      <c r="AF1033" s="156"/>
      <c r="AG1033" s="156"/>
      <c r="AH1033" s="156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</row>
    <row r="1034" spans="1:44" s="30" customFormat="1" ht="14.1" customHeight="1">
      <c r="A1034" s="42" t="e">
        <f>+'Estimate Details'!#REF!</f>
        <v>#REF!</v>
      </c>
      <c r="B1034" s="42"/>
      <c r="C1034" s="42"/>
      <c r="D1034" s="248"/>
      <c r="E1034" s="158" t="e">
        <f>+'Estimate Details'!#REF!</f>
        <v>#REF!</v>
      </c>
      <c r="F1034" s="216"/>
      <c r="G1034" s="166" t="e">
        <f>+'Estimate Details'!#REF!</f>
        <v>#REF!</v>
      </c>
      <c r="H1034" s="226" t="e">
        <f>+'Estimate Details'!#REF!</f>
        <v>#REF!</v>
      </c>
      <c r="I1034" s="265" t="e">
        <f>+'Estimate Details'!#REF!</f>
        <v>#REF!</v>
      </c>
      <c r="J1034" s="168" t="e">
        <f>+'Estimate Details'!#REF!</f>
        <v>#REF!</v>
      </c>
      <c r="K1034" s="168" t="e">
        <f>+'Estimate Details'!#REF!</f>
        <v>#REF!</v>
      </c>
      <c r="L1034" s="168" t="e">
        <f>+'Estimate Details'!#REF!</f>
        <v>#REF!</v>
      </c>
      <c r="M1034" s="245" t="e">
        <f>+'Estimate Details'!#REF!</f>
        <v>#REF!</v>
      </c>
      <c r="N1034" s="245" t="e">
        <f>+'Estimate Details'!#REF!</f>
        <v>#REF!</v>
      </c>
      <c r="O1034" s="241" t="e">
        <f>+'Estimate Details'!#REF!</f>
        <v>#REF!</v>
      </c>
      <c r="P1034" s="241" t="e">
        <f>+'Estimate Details'!#REF!</f>
        <v>#REF!</v>
      </c>
      <c r="Q1034" s="172" t="e">
        <f>+'Estimate Details'!#REF!</f>
        <v>#REF!</v>
      </c>
      <c r="R1034" s="246" t="e">
        <f>+'Estimate Details'!#REF!</f>
        <v>#REF!</v>
      </c>
      <c r="S1034" s="516"/>
      <c r="T1034" s="246" t="e">
        <f>+'Estimate Details'!#REF!</f>
        <v>#REF!</v>
      </c>
      <c r="U1034" s="240"/>
      <c r="V1034" s="241" t="e">
        <f>+'Estimate Details'!#REF!</f>
        <v>#REF!</v>
      </c>
      <c r="W1034" s="240"/>
      <c r="X1034" s="241" t="e">
        <f>+'Estimate Details'!#REF!</f>
        <v>#REF!</v>
      </c>
      <c r="Y1034" s="241" t="e">
        <f>+'Estimate Details'!#REF!</f>
        <v>#REF!</v>
      </c>
      <c r="Z1034" s="174" t="e">
        <f>+'Estimate Details'!#REF!</f>
        <v>#REF!</v>
      </c>
      <c r="AA1034" s="240"/>
      <c r="AB1034" s="175" t="e">
        <f>+'Estimate Details'!#REF!</f>
        <v>#REF!</v>
      </c>
      <c r="AC1034" s="573" t="s">
        <v>1590</v>
      </c>
      <c r="AD1034" s="176" t="e">
        <f>+'Estimate Details'!#REF!</f>
        <v>#REF!</v>
      </c>
      <c r="AE1034" s="156"/>
      <c r="AF1034" s="156"/>
      <c r="AG1034" s="156"/>
      <c r="AH1034" s="156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</row>
    <row r="1035" spans="1:44" s="30" customFormat="1">
      <c r="A1035" s="42" t="e">
        <f>+'Estimate Details'!#REF!</f>
        <v>#REF!</v>
      </c>
      <c r="B1035" s="42"/>
      <c r="C1035" s="42"/>
      <c r="D1035" s="248"/>
      <c r="E1035" s="158" t="e">
        <f>+'Estimate Details'!#REF!</f>
        <v>#REF!</v>
      </c>
      <c r="F1035" s="216"/>
      <c r="G1035" s="166" t="e">
        <f>+'Estimate Details'!#REF!</f>
        <v>#REF!</v>
      </c>
      <c r="H1035" s="226" t="e">
        <f>+'Estimate Details'!#REF!</f>
        <v>#REF!</v>
      </c>
      <c r="I1035" s="265" t="e">
        <f>+'Estimate Details'!#REF!</f>
        <v>#REF!</v>
      </c>
      <c r="J1035" s="168" t="e">
        <f>+'Estimate Details'!#REF!</f>
        <v>#REF!</v>
      </c>
      <c r="K1035" s="168" t="e">
        <f>+'Estimate Details'!#REF!</f>
        <v>#REF!</v>
      </c>
      <c r="L1035" s="168" t="e">
        <f>+'Estimate Details'!#REF!</f>
        <v>#REF!</v>
      </c>
      <c r="M1035" s="245" t="e">
        <f>+'Estimate Details'!#REF!</f>
        <v>#REF!</v>
      </c>
      <c r="N1035" s="245" t="e">
        <f>+'Estimate Details'!#REF!</f>
        <v>#REF!</v>
      </c>
      <c r="O1035" s="241" t="e">
        <f>+'Estimate Details'!#REF!</f>
        <v>#REF!</v>
      </c>
      <c r="P1035" s="241" t="e">
        <f>+'Estimate Details'!#REF!</f>
        <v>#REF!</v>
      </c>
      <c r="Q1035" s="172" t="e">
        <f>+'Estimate Details'!#REF!</f>
        <v>#REF!</v>
      </c>
      <c r="R1035" s="246" t="e">
        <f>+'Estimate Details'!#REF!</f>
        <v>#REF!</v>
      </c>
      <c r="S1035" s="516"/>
      <c r="T1035" s="246" t="e">
        <f>+'Estimate Details'!#REF!</f>
        <v>#REF!</v>
      </c>
      <c r="U1035" s="240"/>
      <c r="V1035" s="241" t="e">
        <f>+'Estimate Details'!#REF!</f>
        <v>#REF!</v>
      </c>
      <c r="W1035" s="240"/>
      <c r="X1035" s="241" t="e">
        <f>+'Estimate Details'!#REF!</f>
        <v>#REF!</v>
      </c>
      <c r="Y1035" s="241" t="e">
        <f>+'Estimate Details'!#REF!</f>
        <v>#REF!</v>
      </c>
      <c r="Z1035" s="174" t="e">
        <f>+'Estimate Details'!#REF!</f>
        <v>#REF!</v>
      </c>
      <c r="AA1035" s="240"/>
      <c r="AB1035" s="175" t="e">
        <f>+'Estimate Details'!#REF!</f>
        <v>#REF!</v>
      </c>
      <c r="AC1035" s="573" t="s">
        <v>1589</v>
      </c>
      <c r="AD1035" s="176" t="e">
        <f>+'Estimate Details'!#REF!</f>
        <v>#REF!</v>
      </c>
      <c r="AE1035" s="156"/>
      <c r="AF1035" s="156"/>
      <c r="AG1035" s="156"/>
      <c r="AH1035" s="156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</row>
    <row r="1036" spans="1:44" s="30" customFormat="1" ht="14.1" customHeight="1">
      <c r="A1036" s="42" t="e">
        <f>+'Estimate Details'!#REF!</f>
        <v>#REF!</v>
      </c>
      <c r="B1036" s="42"/>
      <c r="C1036" s="42"/>
      <c r="D1036" s="248"/>
      <c r="E1036" s="158" t="e">
        <f>+'Estimate Details'!#REF!</f>
        <v>#REF!</v>
      </c>
      <c r="F1036" s="216"/>
      <c r="G1036" s="166" t="e">
        <f>+'Estimate Details'!#REF!</f>
        <v>#REF!</v>
      </c>
      <c r="H1036" s="226" t="e">
        <f>+'Estimate Details'!#REF!</f>
        <v>#REF!</v>
      </c>
      <c r="I1036" s="265" t="e">
        <f>+'Estimate Details'!#REF!</f>
        <v>#REF!</v>
      </c>
      <c r="J1036" s="168" t="e">
        <f>+'Estimate Details'!#REF!</f>
        <v>#REF!</v>
      </c>
      <c r="K1036" s="168" t="e">
        <f>+'Estimate Details'!#REF!</f>
        <v>#REF!</v>
      </c>
      <c r="L1036" s="168" t="e">
        <f>+'Estimate Details'!#REF!</f>
        <v>#REF!</v>
      </c>
      <c r="M1036" s="245" t="e">
        <f>+'Estimate Details'!#REF!</f>
        <v>#REF!</v>
      </c>
      <c r="N1036" s="245" t="e">
        <f>+'Estimate Details'!#REF!</f>
        <v>#REF!</v>
      </c>
      <c r="O1036" s="241" t="e">
        <f>+'Estimate Details'!#REF!</f>
        <v>#REF!</v>
      </c>
      <c r="P1036" s="241" t="e">
        <f>+'Estimate Details'!#REF!</f>
        <v>#REF!</v>
      </c>
      <c r="Q1036" s="172" t="e">
        <f>+'Estimate Details'!#REF!</f>
        <v>#REF!</v>
      </c>
      <c r="R1036" s="246" t="e">
        <f>+'Estimate Details'!#REF!</f>
        <v>#REF!</v>
      </c>
      <c r="S1036" s="516"/>
      <c r="T1036" s="246" t="e">
        <f>+'Estimate Details'!#REF!</f>
        <v>#REF!</v>
      </c>
      <c r="U1036" s="240"/>
      <c r="V1036" s="241" t="e">
        <f>+'Estimate Details'!#REF!</f>
        <v>#REF!</v>
      </c>
      <c r="W1036" s="240"/>
      <c r="X1036" s="241" t="e">
        <f>+'Estimate Details'!#REF!</f>
        <v>#REF!</v>
      </c>
      <c r="Y1036" s="241" t="e">
        <f>+'Estimate Details'!#REF!</f>
        <v>#REF!</v>
      </c>
      <c r="Z1036" s="174" t="e">
        <f>+'Estimate Details'!#REF!</f>
        <v>#REF!</v>
      </c>
      <c r="AA1036" s="240"/>
      <c r="AB1036" s="175" t="e">
        <f>+'Estimate Details'!#REF!</f>
        <v>#REF!</v>
      </c>
      <c r="AC1036" s="573" t="s">
        <v>1591</v>
      </c>
      <c r="AD1036" s="176" t="e">
        <f>+'Estimate Details'!#REF!</f>
        <v>#REF!</v>
      </c>
      <c r="AE1036" s="156"/>
      <c r="AF1036" s="156"/>
      <c r="AG1036" s="156"/>
      <c r="AH1036" s="156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</row>
    <row r="1037" spans="1:44" s="30" customFormat="1">
      <c r="A1037" s="42" t="e">
        <f>+'Estimate Details'!#REF!</f>
        <v>#REF!</v>
      </c>
      <c r="B1037" s="42"/>
      <c r="C1037" s="42"/>
      <c r="D1037" s="248"/>
      <c r="E1037" s="158" t="e">
        <f>+'Estimate Details'!#REF!</f>
        <v>#REF!</v>
      </c>
      <c r="F1037" s="216"/>
      <c r="G1037" s="166" t="e">
        <f>+'Estimate Details'!#REF!</f>
        <v>#REF!</v>
      </c>
      <c r="H1037" s="226" t="e">
        <f>+'Estimate Details'!#REF!</f>
        <v>#REF!</v>
      </c>
      <c r="I1037" s="265" t="e">
        <f>+'Estimate Details'!#REF!</f>
        <v>#REF!</v>
      </c>
      <c r="J1037" s="168" t="e">
        <f>+'Estimate Details'!#REF!</f>
        <v>#REF!</v>
      </c>
      <c r="K1037" s="168" t="e">
        <f>+'Estimate Details'!#REF!</f>
        <v>#REF!</v>
      </c>
      <c r="L1037" s="168" t="e">
        <f>+'Estimate Details'!#REF!</f>
        <v>#REF!</v>
      </c>
      <c r="M1037" s="245" t="e">
        <f>+'Estimate Details'!#REF!</f>
        <v>#REF!</v>
      </c>
      <c r="N1037" s="245" t="e">
        <f>+'Estimate Details'!#REF!</f>
        <v>#REF!</v>
      </c>
      <c r="O1037" s="241" t="e">
        <f>+'Estimate Details'!#REF!</f>
        <v>#REF!</v>
      </c>
      <c r="P1037" s="241" t="e">
        <f>+'Estimate Details'!#REF!</f>
        <v>#REF!</v>
      </c>
      <c r="Q1037" s="172" t="e">
        <f>+'Estimate Details'!#REF!</f>
        <v>#REF!</v>
      </c>
      <c r="R1037" s="246" t="e">
        <f>+'Estimate Details'!#REF!</f>
        <v>#REF!</v>
      </c>
      <c r="S1037" s="516"/>
      <c r="T1037" s="246" t="e">
        <f>+'Estimate Details'!#REF!</f>
        <v>#REF!</v>
      </c>
      <c r="U1037" s="240"/>
      <c r="V1037" s="241" t="e">
        <f>+'Estimate Details'!#REF!</f>
        <v>#REF!</v>
      </c>
      <c r="W1037" s="240"/>
      <c r="X1037" s="241" t="e">
        <f>+'Estimate Details'!#REF!</f>
        <v>#REF!</v>
      </c>
      <c r="Y1037" s="241" t="e">
        <f>+'Estimate Details'!#REF!</f>
        <v>#REF!</v>
      </c>
      <c r="Z1037" s="174" t="e">
        <f>+'Estimate Details'!#REF!</f>
        <v>#REF!</v>
      </c>
      <c r="AA1037" s="240"/>
      <c r="AB1037" s="175" t="e">
        <f>+'Estimate Details'!#REF!</f>
        <v>#REF!</v>
      </c>
      <c r="AC1037" s="573" t="s">
        <v>1588</v>
      </c>
      <c r="AD1037" s="176" t="e">
        <f>+'Estimate Details'!#REF!</f>
        <v>#REF!</v>
      </c>
      <c r="AE1037" s="156"/>
      <c r="AF1037" s="156"/>
      <c r="AG1037" s="156"/>
      <c r="AH1037" s="156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</row>
    <row r="1038" spans="1:44" s="30" customFormat="1" ht="14.1" customHeight="1">
      <c r="A1038" s="42" t="e">
        <f>+'Estimate Details'!#REF!</f>
        <v>#REF!</v>
      </c>
      <c r="B1038" s="42"/>
      <c r="C1038" s="42"/>
      <c r="D1038" s="248"/>
      <c r="E1038" s="158" t="e">
        <f>+'Estimate Details'!#REF!</f>
        <v>#REF!</v>
      </c>
      <c r="F1038" s="216"/>
      <c r="G1038" s="166" t="e">
        <f>+'Estimate Details'!#REF!</f>
        <v>#REF!</v>
      </c>
      <c r="H1038" s="226" t="e">
        <f>+'Estimate Details'!#REF!</f>
        <v>#REF!</v>
      </c>
      <c r="I1038" s="265" t="e">
        <f>+'Estimate Details'!#REF!</f>
        <v>#REF!</v>
      </c>
      <c r="J1038" s="168" t="e">
        <f>+'Estimate Details'!#REF!</f>
        <v>#REF!</v>
      </c>
      <c r="K1038" s="168" t="e">
        <f>+'Estimate Details'!#REF!</f>
        <v>#REF!</v>
      </c>
      <c r="L1038" s="168" t="e">
        <f>+'Estimate Details'!#REF!</f>
        <v>#REF!</v>
      </c>
      <c r="M1038" s="245" t="e">
        <f>+'Estimate Details'!#REF!</f>
        <v>#REF!</v>
      </c>
      <c r="N1038" s="245" t="e">
        <f>+'Estimate Details'!#REF!</f>
        <v>#REF!</v>
      </c>
      <c r="O1038" s="241" t="e">
        <f>+'Estimate Details'!#REF!</f>
        <v>#REF!</v>
      </c>
      <c r="P1038" s="241" t="e">
        <f>+'Estimate Details'!#REF!</f>
        <v>#REF!</v>
      </c>
      <c r="Q1038" s="172" t="e">
        <f>+'Estimate Details'!#REF!</f>
        <v>#REF!</v>
      </c>
      <c r="R1038" s="246" t="e">
        <f>+'Estimate Details'!#REF!</f>
        <v>#REF!</v>
      </c>
      <c r="S1038" s="516"/>
      <c r="T1038" s="246" t="e">
        <f>+'Estimate Details'!#REF!</f>
        <v>#REF!</v>
      </c>
      <c r="U1038" s="240"/>
      <c r="V1038" s="241" t="e">
        <f>+'Estimate Details'!#REF!</f>
        <v>#REF!</v>
      </c>
      <c r="W1038" s="240"/>
      <c r="X1038" s="241" t="e">
        <f>+'Estimate Details'!#REF!</f>
        <v>#REF!</v>
      </c>
      <c r="Y1038" s="241" t="e">
        <f>+'Estimate Details'!#REF!</f>
        <v>#REF!</v>
      </c>
      <c r="Z1038" s="174" t="e">
        <f>+'Estimate Details'!#REF!</f>
        <v>#REF!</v>
      </c>
      <c r="AA1038" s="240"/>
      <c r="AB1038" s="175" t="e">
        <f>+'Estimate Details'!#REF!</f>
        <v>#REF!</v>
      </c>
      <c r="AC1038" s="573" t="s">
        <v>1587</v>
      </c>
      <c r="AD1038" s="176" t="e">
        <f>+'Estimate Details'!#REF!</f>
        <v>#REF!</v>
      </c>
      <c r="AE1038" s="156"/>
      <c r="AF1038" s="156"/>
      <c r="AG1038" s="156"/>
      <c r="AH1038" s="156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</row>
    <row r="1039" spans="1:44" s="30" customFormat="1" ht="14.1" customHeight="1">
      <c r="A1039" s="42" t="e">
        <f>+'Estimate Details'!#REF!</f>
        <v>#REF!</v>
      </c>
      <c r="B1039" s="42"/>
      <c r="C1039" s="42"/>
      <c r="D1039" s="248"/>
      <c r="E1039" s="158" t="e">
        <f>+'Estimate Details'!#REF!</f>
        <v>#REF!</v>
      </c>
      <c r="F1039" s="216"/>
      <c r="G1039" s="166" t="e">
        <f>+'Estimate Details'!#REF!</f>
        <v>#REF!</v>
      </c>
      <c r="H1039" s="226" t="e">
        <f>+'Estimate Details'!#REF!</f>
        <v>#REF!</v>
      </c>
      <c r="I1039" s="265" t="e">
        <f>+'Estimate Details'!#REF!</f>
        <v>#REF!</v>
      </c>
      <c r="J1039" s="168" t="e">
        <f>+'Estimate Details'!#REF!</f>
        <v>#REF!</v>
      </c>
      <c r="K1039" s="168" t="e">
        <f>+'Estimate Details'!#REF!</f>
        <v>#REF!</v>
      </c>
      <c r="L1039" s="168" t="e">
        <f>+'Estimate Details'!#REF!</f>
        <v>#REF!</v>
      </c>
      <c r="M1039" s="245" t="e">
        <f>+'Estimate Details'!#REF!</f>
        <v>#REF!</v>
      </c>
      <c r="N1039" s="245" t="e">
        <f>+'Estimate Details'!#REF!</f>
        <v>#REF!</v>
      </c>
      <c r="O1039" s="241" t="e">
        <f>+'Estimate Details'!#REF!</f>
        <v>#REF!</v>
      </c>
      <c r="P1039" s="241" t="e">
        <f>+'Estimate Details'!#REF!</f>
        <v>#REF!</v>
      </c>
      <c r="Q1039" s="172" t="e">
        <f>+'Estimate Details'!#REF!</f>
        <v>#REF!</v>
      </c>
      <c r="R1039" s="246" t="e">
        <f>+'Estimate Details'!#REF!</f>
        <v>#REF!</v>
      </c>
      <c r="S1039" s="516"/>
      <c r="T1039" s="246" t="e">
        <f>+'Estimate Details'!#REF!</f>
        <v>#REF!</v>
      </c>
      <c r="U1039" s="240"/>
      <c r="V1039" s="241" t="e">
        <f>+'Estimate Details'!#REF!</f>
        <v>#REF!</v>
      </c>
      <c r="W1039" s="240"/>
      <c r="X1039" s="241" t="e">
        <f>+'Estimate Details'!#REF!</f>
        <v>#REF!</v>
      </c>
      <c r="Y1039" s="241" t="e">
        <f>+'Estimate Details'!#REF!</f>
        <v>#REF!</v>
      </c>
      <c r="Z1039" s="174" t="e">
        <f>+'Estimate Details'!#REF!</f>
        <v>#REF!</v>
      </c>
      <c r="AA1039" s="240"/>
      <c r="AB1039" s="175" t="e">
        <f>+'Estimate Details'!#REF!</f>
        <v>#REF!</v>
      </c>
      <c r="AC1039" s="573" t="s">
        <v>572</v>
      </c>
      <c r="AD1039" s="176" t="e">
        <f>+'Estimate Details'!#REF!</f>
        <v>#REF!</v>
      </c>
      <c r="AE1039" s="156"/>
      <c r="AF1039" s="156"/>
      <c r="AG1039" s="156"/>
      <c r="AH1039" s="156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</row>
    <row r="1040" spans="1:44" s="30" customFormat="1" ht="14.1" customHeight="1">
      <c r="A1040" s="42" t="e">
        <f>+'Estimate Details'!#REF!</f>
        <v>#REF!</v>
      </c>
      <c r="B1040" s="42"/>
      <c r="C1040" s="42"/>
      <c r="D1040" s="248"/>
      <c r="E1040" s="158" t="e">
        <f>+'Estimate Details'!#REF!</f>
        <v>#REF!</v>
      </c>
      <c r="F1040" s="216"/>
      <c r="G1040" s="166" t="e">
        <f>+'Estimate Details'!#REF!</f>
        <v>#REF!</v>
      </c>
      <c r="H1040" s="226" t="e">
        <f>+'Estimate Details'!#REF!</f>
        <v>#REF!</v>
      </c>
      <c r="I1040" s="266" t="e">
        <f>+'Estimate Details'!#REF!</f>
        <v>#REF!</v>
      </c>
      <c r="J1040" s="168" t="e">
        <f>+'Estimate Details'!#REF!</f>
        <v>#REF!</v>
      </c>
      <c r="K1040" s="168" t="e">
        <f>+'Estimate Details'!#REF!</f>
        <v>#REF!</v>
      </c>
      <c r="L1040" s="168" t="e">
        <f>+'Estimate Details'!#REF!</f>
        <v>#REF!</v>
      </c>
      <c r="M1040" s="245" t="e">
        <f>+'Estimate Details'!#REF!</f>
        <v>#REF!</v>
      </c>
      <c r="N1040" s="245" t="e">
        <f>+'Estimate Details'!#REF!</f>
        <v>#REF!</v>
      </c>
      <c r="O1040" s="241" t="e">
        <f>+'Estimate Details'!#REF!</f>
        <v>#REF!</v>
      </c>
      <c r="P1040" s="241" t="e">
        <f>+'Estimate Details'!#REF!</f>
        <v>#REF!</v>
      </c>
      <c r="Q1040" s="172" t="e">
        <f>+'Estimate Details'!#REF!</f>
        <v>#REF!</v>
      </c>
      <c r="R1040" s="267" t="e">
        <f>+'Estimate Details'!#REF!</f>
        <v>#REF!</v>
      </c>
      <c r="S1040" s="517"/>
      <c r="T1040" s="267" t="e">
        <f>+'Estimate Details'!#REF!</f>
        <v>#REF!</v>
      </c>
      <c r="U1040" s="493"/>
      <c r="V1040" s="267" t="e">
        <f>+'Estimate Details'!#REF!</f>
        <v>#REF!</v>
      </c>
      <c r="W1040" s="493"/>
      <c r="X1040" s="241" t="e">
        <f>+'Estimate Details'!#REF!</f>
        <v>#REF!</v>
      </c>
      <c r="Y1040" s="267" t="e">
        <f>+'Estimate Details'!#REF!</f>
        <v>#REF!</v>
      </c>
      <c r="Z1040" s="267" t="e">
        <f>+'Estimate Details'!#REF!</f>
        <v>#REF!</v>
      </c>
      <c r="AA1040" s="493"/>
      <c r="AB1040" s="175" t="e">
        <f>+'Estimate Details'!#REF!</f>
        <v>#REF!</v>
      </c>
      <c r="AC1040" s="573" t="s">
        <v>1594</v>
      </c>
      <c r="AD1040" s="176" t="e">
        <f>+'Estimate Details'!#REF!</f>
        <v>#REF!</v>
      </c>
      <c r="AE1040" s="156"/>
      <c r="AF1040" s="156"/>
      <c r="AG1040" s="156"/>
      <c r="AH1040" s="156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</row>
    <row r="1041" spans="1:44" s="30" customFormat="1" ht="14.1" customHeight="1">
      <c r="A1041" s="42" t="e">
        <f>+'Estimate Details'!#REF!</f>
        <v>#REF!</v>
      </c>
      <c r="B1041" s="42"/>
      <c r="C1041" s="42"/>
      <c r="D1041" s="248"/>
      <c r="E1041" s="158" t="e">
        <f>+'Estimate Details'!#REF!</f>
        <v>#REF!</v>
      </c>
      <c r="F1041" s="216"/>
      <c r="G1041" s="166" t="e">
        <f>+'Estimate Details'!#REF!</f>
        <v>#REF!</v>
      </c>
      <c r="H1041" s="226" t="e">
        <f>+'Estimate Details'!#REF!</f>
        <v>#REF!</v>
      </c>
      <c r="I1041" s="265" t="e">
        <f>+'Estimate Details'!#REF!</f>
        <v>#REF!</v>
      </c>
      <c r="J1041" s="168" t="e">
        <f>+'Estimate Details'!#REF!</f>
        <v>#REF!</v>
      </c>
      <c r="K1041" s="168" t="e">
        <f>+'Estimate Details'!#REF!</f>
        <v>#REF!</v>
      </c>
      <c r="L1041" s="168" t="e">
        <f>+'Estimate Details'!#REF!</f>
        <v>#REF!</v>
      </c>
      <c r="M1041" s="245" t="e">
        <f>+'Estimate Details'!#REF!</f>
        <v>#REF!</v>
      </c>
      <c r="N1041" s="245" t="e">
        <f>+'Estimate Details'!#REF!</f>
        <v>#REF!</v>
      </c>
      <c r="O1041" s="241" t="e">
        <f>+'Estimate Details'!#REF!</f>
        <v>#REF!</v>
      </c>
      <c r="P1041" s="241" t="e">
        <f>+'Estimate Details'!#REF!</f>
        <v>#REF!</v>
      </c>
      <c r="Q1041" s="172" t="e">
        <f>+'Estimate Details'!#REF!</f>
        <v>#REF!</v>
      </c>
      <c r="R1041" s="246" t="e">
        <f>+'Estimate Details'!#REF!</f>
        <v>#REF!</v>
      </c>
      <c r="S1041" s="516"/>
      <c r="T1041" s="246" t="e">
        <f>+'Estimate Details'!#REF!</f>
        <v>#REF!</v>
      </c>
      <c r="U1041" s="240"/>
      <c r="V1041" s="241" t="e">
        <f>+'Estimate Details'!#REF!</f>
        <v>#REF!</v>
      </c>
      <c r="W1041" s="240"/>
      <c r="X1041" s="241" t="e">
        <f>+'Estimate Details'!#REF!</f>
        <v>#REF!</v>
      </c>
      <c r="Y1041" s="241" t="e">
        <f>+'Estimate Details'!#REF!</f>
        <v>#REF!</v>
      </c>
      <c r="Z1041" s="174" t="e">
        <f>+'Estimate Details'!#REF!</f>
        <v>#REF!</v>
      </c>
      <c r="AA1041" s="240"/>
      <c r="AB1041" s="175" t="e">
        <f>+'Estimate Details'!#REF!</f>
        <v>#REF!</v>
      </c>
      <c r="AC1041" s="573" t="s">
        <v>1595</v>
      </c>
      <c r="AD1041" s="176" t="e">
        <f>+'Estimate Details'!#REF!</f>
        <v>#REF!</v>
      </c>
      <c r="AE1041" s="156"/>
      <c r="AF1041" s="156"/>
      <c r="AG1041" s="156"/>
      <c r="AH1041" s="156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</row>
    <row r="1042" spans="1:44" s="30" customFormat="1" ht="14.1" customHeight="1">
      <c r="A1042" s="42" t="e">
        <f>+'Estimate Details'!#REF!</f>
        <v>#REF!</v>
      </c>
      <c r="B1042" s="42"/>
      <c r="C1042" s="42"/>
      <c r="D1042" s="248"/>
      <c r="E1042" s="158" t="e">
        <f>+'Estimate Details'!#REF!</f>
        <v>#REF!</v>
      </c>
      <c r="F1042" s="216"/>
      <c r="G1042" s="166" t="e">
        <f>+'Estimate Details'!#REF!</f>
        <v>#REF!</v>
      </c>
      <c r="H1042" s="226" t="e">
        <f>+'Estimate Details'!#REF!</f>
        <v>#REF!</v>
      </c>
      <c r="I1042" s="265" t="e">
        <f>+'Estimate Details'!#REF!</f>
        <v>#REF!</v>
      </c>
      <c r="J1042" s="168" t="e">
        <f>+'Estimate Details'!#REF!</f>
        <v>#REF!</v>
      </c>
      <c r="K1042" s="168" t="e">
        <f>+'Estimate Details'!#REF!</f>
        <v>#REF!</v>
      </c>
      <c r="L1042" s="168" t="e">
        <f>+'Estimate Details'!#REF!</f>
        <v>#REF!</v>
      </c>
      <c r="M1042" s="245" t="e">
        <f>+'Estimate Details'!#REF!</f>
        <v>#REF!</v>
      </c>
      <c r="N1042" s="245" t="e">
        <f>+'Estimate Details'!#REF!</f>
        <v>#REF!</v>
      </c>
      <c r="O1042" s="241" t="e">
        <f>+'Estimate Details'!#REF!</f>
        <v>#REF!</v>
      </c>
      <c r="P1042" s="241" t="e">
        <f>+'Estimate Details'!#REF!</f>
        <v>#REF!</v>
      </c>
      <c r="Q1042" s="172" t="e">
        <f>+'Estimate Details'!#REF!</f>
        <v>#REF!</v>
      </c>
      <c r="R1042" s="246" t="e">
        <f>+'Estimate Details'!#REF!</f>
        <v>#REF!</v>
      </c>
      <c r="S1042" s="516"/>
      <c r="T1042" s="246" t="e">
        <f>+'Estimate Details'!#REF!</f>
        <v>#REF!</v>
      </c>
      <c r="U1042" s="240"/>
      <c r="V1042" s="241" t="e">
        <f>+'Estimate Details'!#REF!</f>
        <v>#REF!</v>
      </c>
      <c r="W1042" s="240"/>
      <c r="X1042" s="241" t="e">
        <f>+'Estimate Details'!#REF!</f>
        <v>#REF!</v>
      </c>
      <c r="Y1042" s="241" t="e">
        <f>+'Estimate Details'!#REF!</f>
        <v>#REF!</v>
      </c>
      <c r="Z1042" s="174" t="e">
        <f>+'Estimate Details'!#REF!</f>
        <v>#REF!</v>
      </c>
      <c r="AA1042" s="240"/>
      <c r="AB1042" s="175" t="e">
        <f>+'Estimate Details'!#REF!</f>
        <v>#REF!</v>
      </c>
      <c r="AC1042" s="573" t="s">
        <v>118</v>
      </c>
      <c r="AD1042" s="176" t="e">
        <f>+'Estimate Details'!#REF!</f>
        <v>#REF!</v>
      </c>
      <c r="AE1042" s="156"/>
      <c r="AF1042" s="156"/>
      <c r="AG1042" s="156"/>
      <c r="AH1042" s="156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</row>
    <row r="1043" spans="1:44" s="30" customFormat="1" ht="14.1" customHeight="1">
      <c r="A1043" s="42" t="e">
        <f>+'Estimate Details'!#REF!</f>
        <v>#REF!</v>
      </c>
      <c r="B1043" s="42"/>
      <c r="C1043" s="42"/>
      <c r="D1043" s="248"/>
      <c r="E1043" s="158" t="e">
        <f>+'Estimate Details'!#REF!</f>
        <v>#REF!</v>
      </c>
      <c r="F1043" s="216"/>
      <c r="G1043" s="166" t="str">
        <f>+'Estimate Details'!C131</f>
        <v>Owner Indirects</v>
      </c>
      <c r="H1043" s="226" t="str">
        <f>+'Estimate Details'!D131</f>
        <v>AFUDC</v>
      </c>
      <c r="I1043" s="265">
        <f>+'Estimate Details'!E131</f>
        <v>1</v>
      </c>
      <c r="J1043" s="168" t="str">
        <f>+'Estimate Details'!F131</f>
        <v>ls</v>
      </c>
      <c r="K1043" s="168" t="str">
        <f>+'Estimate Details'!G131</f>
        <v>Owner</v>
      </c>
      <c r="L1043" s="168">
        <f>+'Estimate Details'!H131</f>
        <v>0</v>
      </c>
      <c r="M1043" s="245" t="str">
        <f>+'Estimate Details'!I131</f>
        <v xml:space="preserve"> </v>
      </c>
      <c r="N1043" s="245">
        <f>+'Estimate Details'!J131</f>
        <v>0</v>
      </c>
      <c r="O1043" s="241">
        <f>+'Estimate Details'!K131</f>
        <v>0</v>
      </c>
      <c r="P1043" s="241">
        <f>+'Estimate Details'!L131</f>
        <v>0</v>
      </c>
      <c r="Q1043" s="172">
        <f>+'Estimate Details'!M131</f>
        <v>0</v>
      </c>
      <c r="R1043" s="246">
        <f>+'Estimate Details'!N131</f>
        <v>0</v>
      </c>
      <c r="S1043" s="516"/>
      <c r="T1043" s="246">
        <f>+'Estimate Details'!O131</f>
        <v>0</v>
      </c>
      <c r="U1043" s="240"/>
      <c r="V1043" s="241">
        <f>+'Estimate Details'!R131</f>
        <v>0</v>
      </c>
      <c r="W1043" s="240"/>
      <c r="X1043" s="241">
        <f>+'Estimate Details'!S131</f>
        <v>0</v>
      </c>
      <c r="Y1043" s="241">
        <f>+'Estimate Details'!T131</f>
        <v>0</v>
      </c>
      <c r="Z1043" s="174">
        <f>+'Estimate Details'!U131</f>
        <v>150000</v>
      </c>
      <c r="AA1043" s="240"/>
      <c r="AB1043" s="291">
        <f>+'Estimate Details'!V131</f>
        <v>150000</v>
      </c>
      <c r="AC1043" s="573" t="s">
        <v>1596</v>
      </c>
      <c r="AD1043" s="176" t="str">
        <f>+'Estimate Details'!X131</f>
        <v>AFUDC Based on 78% KU Ownership</v>
      </c>
      <c r="AE1043" s="156"/>
      <c r="AF1043" s="156"/>
      <c r="AG1043" s="156"/>
      <c r="AH1043" s="156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</row>
    <row r="1044" spans="1:44" s="30" customFormat="1" ht="14.1" customHeight="1" thickBot="1">
      <c r="A1044" s="42" t="e">
        <f>+'Estimate Details'!#REF!</f>
        <v>#REF!</v>
      </c>
      <c r="B1044" s="42"/>
      <c r="C1044" s="42"/>
      <c r="D1044" s="248"/>
      <c r="E1044" s="158">
        <f>+'Estimate Details'!A131</f>
        <v>120</v>
      </c>
      <c r="F1044" s="216"/>
      <c r="G1044" s="166" t="e">
        <f>+'Estimate Details'!#REF!</f>
        <v>#REF!</v>
      </c>
      <c r="H1044" s="226" t="e">
        <f>+'Estimate Details'!#REF!</f>
        <v>#REF!</v>
      </c>
      <c r="I1044" s="265" t="e">
        <f>+'Estimate Details'!#REF!</f>
        <v>#REF!</v>
      </c>
      <c r="J1044" s="168" t="e">
        <f>+'Estimate Details'!#REF!</f>
        <v>#REF!</v>
      </c>
      <c r="K1044" s="168" t="e">
        <f>+'Estimate Details'!#REF!</f>
        <v>#REF!</v>
      </c>
      <c r="L1044" s="168" t="e">
        <f>+'Estimate Details'!#REF!</f>
        <v>#REF!</v>
      </c>
      <c r="M1044" s="245" t="e">
        <f>+'Estimate Details'!#REF!</f>
        <v>#REF!</v>
      </c>
      <c r="N1044" s="245" t="e">
        <f>+'Estimate Details'!#REF!</f>
        <v>#REF!</v>
      </c>
      <c r="O1044" s="241" t="e">
        <f>+'Estimate Details'!#REF!</f>
        <v>#REF!</v>
      </c>
      <c r="P1044" s="241" t="e">
        <f>+'Estimate Details'!#REF!</f>
        <v>#REF!</v>
      </c>
      <c r="Q1044" s="172" t="e">
        <f>+'Estimate Details'!#REF!</f>
        <v>#REF!</v>
      </c>
      <c r="R1044" s="246" t="e">
        <f>+'Estimate Details'!#REF!</f>
        <v>#REF!</v>
      </c>
      <c r="S1044" s="516"/>
      <c r="T1044" s="246" t="e">
        <f>+'Estimate Details'!#REF!</f>
        <v>#REF!</v>
      </c>
      <c r="U1044" s="240"/>
      <c r="V1044" s="241" t="e">
        <f>+'Estimate Details'!#REF!</f>
        <v>#REF!</v>
      </c>
      <c r="W1044" s="240"/>
      <c r="X1044" s="241" t="e">
        <f>+'Estimate Details'!#REF!</f>
        <v>#REF!</v>
      </c>
      <c r="Y1044" s="241" t="e">
        <f>+'Estimate Details'!#REF!</f>
        <v>#REF!</v>
      </c>
      <c r="Z1044" s="174" t="e">
        <f>+'Estimate Details'!#REF!</f>
        <v>#REF!</v>
      </c>
      <c r="AA1044" s="240"/>
      <c r="AB1044" s="175" t="e">
        <f>+'Estimate Details'!#REF!</f>
        <v>#REF!</v>
      </c>
      <c r="AC1044" s="573" t="s">
        <v>1597</v>
      </c>
      <c r="AD1044" s="176" t="e">
        <f>+'Estimate Details'!#REF!</f>
        <v>#REF!</v>
      </c>
      <c r="AE1044" s="156"/>
      <c r="AF1044" s="156"/>
      <c r="AG1044" s="156"/>
      <c r="AH1044" s="156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</row>
    <row r="1045" spans="1:44" s="30" customFormat="1" ht="14.1" customHeight="1">
      <c r="A1045" s="334" t="e">
        <f>+'Estimate Details'!#REF!</f>
        <v>#REF!</v>
      </c>
      <c r="B1045" s="335"/>
      <c r="C1045" s="335"/>
      <c r="D1045" s="336"/>
      <c r="E1045" s="158" t="e">
        <f>+'Estimate Details'!#REF!</f>
        <v>#REF!</v>
      </c>
      <c r="F1045" s="159"/>
      <c r="G1045" s="209">
        <f>+'Estimate Details'!C132</f>
        <v>0</v>
      </c>
      <c r="H1045" s="269" t="str">
        <f>+'Estimate Details'!D132</f>
        <v>Total Owner Indirects</v>
      </c>
      <c r="I1045" s="270">
        <f>+'Estimate Details'!E132</f>
        <v>0</v>
      </c>
      <c r="J1045" s="259">
        <f>+'Estimate Details'!F132</f>
        <v>0</v>
      </c>
      <c r="K1045" s="259">
        <f>+'Estimate Details'!G132</f>
        <v>0</v>
      </c>
      <c r="L1045" s="259">
        <f>+'Estimate Details'!H132</f>
        <v>0</v>
      </c>
      <c r="M1045" s="271">
        <f>+'Estimate Details'!I132</f>
        <v>0</v>
      </c>
      <c r="N1045" s="271">
        <f>+'Estimate Details'!J132</f>
        <v>0</v>
      </c>
      <c r="O1045" s="272">
        <f>+'Estimate Details'!K132</f>
        <v>0</v>
      </c>
      <c r="P1045" s="272">
        <f>+'Estimate Details'!L132</f>
        <v>0</v>
      </c>
      <c r="Q1045" s="255">
        <f>+'Estimate Details'!M132</f>
        <v>0</v>
      </c>
      <c r="R1045" s="273">
        <f>+'Estimate Details'!N132</f>
        <v>0</v>
      </c>
      <c r="S1045" s="518"/>
      <c r="T1045" s="273">
        <f>+'Estimate Details'!O132</f>
        <v>0</v>
      </c>
      <c r="U1045" s="494"/>
      <c r="V1045" s="272">
        <f>+'Estimate Details'!R132</f>
        <v>0</v>
      </c>
      <c r="W1045" s="494"/>
      <c r="X1045" s="272">
        <f>+'Estimate Details'!S132</f>
        <v>0</v>
      </c>
      <c r="Y1045" s="272">
        <f>+'Estimate Details'!T132</f>
        <v>0</v>
      </c>
      <c r="Z1045" s="260">
        <f>+'Estimate Details'!U132</f>
        <v>2920000</v>
      </c>
      <c r="AA1045" s="494"/>
      <c r="AC1045" s="573"/>
      <c r="AD1045" s="576"/>
      <c r="AE1045" s="156"/>
      <c r="AF1045" s="156"/>
      <c r="AG1045" s="156"/>
      <c r="AH1045" s="156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</row>
    <row r="1046" spans="1:44" s="30" customFormat="1" ht="14.1" customHeight="1">
      <c r="A1046" s="343" t="e">
        <f>+'Estimate Details'!#REF!</f>
        <v>#REF!</v>
      </c>
      <c r="B1046" s="344"/>
      <c r="C1046" s="344"/>
      <c r="D1046" s="345"/>
      <c r="E1046" s="158" t="e">
        <f>+'Estimate Details'!#REF!</f>
        <v>#REF!</v>
      </c>
      <c r="F1046" s="216"/>
      <c r="G1046" s="166">
        <f>+'Estimate Details'!C133</f>
        <v>0</v>
      </c>
      <c r="H1046" s="257">
        <f>+'Estimate Details'!D133</f>
        <v>0</v>
      </c>
      <c r="I1046" s="108">
        <f>+'Estimate Details'!E133</f>
        <v>0</v>
      </c>
      <c r="J1046" s="168">
        <f>+'Estimate Details'!F133</f>
        <v>0</v>
      </c>
      <c r="K1046" s="168">
        <f>+'Estimate Details'!G133</f>
        <v>0</v>
      </c>
      <c r="L1046" s="168">
        <f>+'Estimate Details'!H133</f>
        <v>0</v>
      </c>
      <c r="M1046" s="245">
        <f>+'Estimate Details'!I133</f>
        <v>0</v>
      </c>
      <c r="N1046" s="245">
        <f>+'Estimate Details'!J133</f>
        <v>0</v>
      </c>
      <c r="O1046" s="241">
        <f>+'Estimate Details'!K133</f>
        <v>0</v>
      </c>
      <c r="P1046" s="241">
        <f>+'Estimate Details'!L133</f>
        <v>0</v>
      </c>
      <c r="Q1046" s="172">
        <f>+'Estimate Details'!M133</f>
        <v>0</v>
      </c>
      <c r="R1046" s="246">
        <f>+'Estimate Details'!N133</f>
        <v>0</v>
      </c>
      <c r="S1046" s="516"/>
      <c r="T1046" s="246">
        <f>+'Estimate Details'!O133</f>
        <v>0</v>
      </c>
      <c r="U1046" s="240"/>
      <c r="V1046" s="241">
        <f>+'Estimate Details'!R133</f>
        <v>0</v>
      </c>
      <c r="W1046" s="240"/>
      <c r="X1046" s="241">
        <f>+'Estimate Details'!S133</f>
        <v>0</v>
      </c>
      <c r="Y1046" s="241">
        <f>+'Estimate Details'!T133</f>
        <v>0</v>
      </c>
      <c r="Z1046" s="174">
        <f>+'Estimate Details'!U133</f>
        <v>0</v>
      </c>
      <c r="AA1046" s="240"/>
      <c r="AB1046" s="175">
        <f>+'Estimate Details'!V133</f>
        <v>0</v>
      </c>
      <c r="AC1046" s="573"/>
      <c r="AD1046" s="176">
        <f>+'Estimate Details'!X133</f>
        <v>0</v>
      </c>
      <c r="AE1046" s="156"/>
      <c r="AF1046" s="156"/>
      <c r="AG1046" s="156"/>
      <c r="AH1046" s="156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</row>
    <row r="1047" spans="1:44" s="30" customFormat="1" ht="14.1" customHeight="1">
      <c r="A1047" s="342" t="e">
        <f>+'Estimate Details'!#REF!</f>
        <v>#REF!</v>
      </c>
      <c r="B1047" s="317"/>
      <c r="C1047" s="317"/>
      <c r="D1047" s="307"/>
      <c r="E1047" s="158" t="e">
        <f>+'Estimate Details'!#REF!</f>
        <v>#REF!</v>
      </c>
      <c r="F1047" s="216"/>
      <c r="G1047" s="116" t="e">
        <f>+'Estimate Details'!#REF!</f>
        <v>#REF!</v>
      </c>
      <c r="H1047" s="196" t="e">
        <f>+'Estimate Details'!#REF!</f>
        <v>#REF!</v>
      </c>
      <c r="I1047" s="108" t="e">
        <f>+'Estimate Details'!#REF!</f>
        <v>#REF!</v>
      </c>
      <c r="J1047" s="168" t="e">
        <f>+'Estimate Details'!#REF!</f>
        <v>#REF!</v>
      </c>
      <c r="K1047" s="168" t="e">
        <f>+'Estimate Details'!#REF!</f>
        <v>#REF!</v>
      </c>
      <c r="L1047" s="168" t="e">
        <f>+'Estimate Details'!#REF!</f>
        <v>#REF!</v>
      </c>
      <c r="M1047" s="204" t="e">
        <f>+'Estimate Details'!#REF!</f>
        <v>#REF!</v>
      </c>
      <c r="N1047" s="194" t="e">
        <f>+'Estimate Details'!#REF!</f>
        <v>#REF!</v>
      </c>
      <c r="O1047" s="171" t="e">
        <f>+'Estimate Details'!#REF!</f>
        <v>#REF!</v>
      </c>
      <c r="P1047" s="172" t="e">
        <f>+'Estimate Details'!#REF!</f>
        <v>#REF!</v>
      </c>
      <c r="Q1047" s="172" t="e">
        <f>+'Estimate Details'!#REF!</f>
        <v>#REF!</v>
      </c>
      <c r="R1047" s="174" t="e">
        <f>+'Estimate Details'!#REF!</f>
        <v>#REF!</v>
      </c>
      <c r="S1047" s="515"/>
      <c r="T1047" s="174" t="e">
        <f>+'Estimate Details'!#REF!</f>
        <v>#REF!</v>
      </c>
      <c r="U1047" s="492"/>
      <c r="V1047" s="172" t="e">
        <f>+'Estimate Details'!#REF!</f>
        <v>#REF!</v>
      </c>
      <c r="W1047" s="492"/>
      <c r="X1047" s="172" t="e">
        <f>+'Estimate Details'!#REF!</f>
        <v>#REF!</v>
      </c>
      <c r="Y1047" s="172" t="e">
        <f>+'Estimate Details'!#REF!</f>
        <v>#REF!</v>
      </c>
      <c r="Z1047" s="174" t="e">
        <f>+'Estimate Details'!#REF!</f>
        <v>#REF!</v>
      </c>
      <c r="AA1047" s="492"/>
      <c r="AB1047" s="175" t="e">
        <f>+'Estimate Details'!#REF!</f>
        <v>#REF!</v>
      </c>
      <c r="AC1047" s="573"/>
      <c r="AD1047" s="176" t="e">
        <f>+'Estimate Details'!#REF!</f>
        <v>#REF!</v>
      </c>
      <c r="AE1047" s="156"/>
      <c r="AF1047" s="156"/>
      <c r="AG1047" s="156"/>
      <c r="AH1047" s="156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</row>
    <row r="1048" spans="1:44" s="30" customFormat="1" ht="14.1" customHeight="1">
      <c r="A1048" s="42" t="e">
        <f>+'Estimate Details'!#REF!</f>
        <v>#REF!</v>
      </c>
      <c r="B1048" s="42"/>
      <c r="C1048" s="42"/>
      <c r="D1048" s="248"/>
      <c r="E1048" s="158" t="e">
        <f>+'Estimate Details'!#REF!</f>
        <v>#REF!</v>
      </c>
      <c r="F1048" s="216"/>
      <c r="G1048" s="166" t="e">
        <f>+'Estimate Details'!#REF!</f>
        <v>#REF!</v>
      </c>
      <c r="H1048" s="257" t="e">
        <f>+'Estimate Details'!#REF!</f>
        <v>#REF!</v>
      </c>
      <c r="I1048" s="108" t="e">
        <f>+'Estimate Details'!#REF!</f>
        <v>#REF!</v>
      </c>
      <c r="J1048" s="168" t="e">
        <f>+'Estimate Details'!#REF!</f>
        <v>#REF!</v>
      </c>
      <c r="K1048" s="168" t="e">
        <f>+'Estimate Details'!#REF!</f>
        <v>#REF!</v>
      </c>
      <c r="L1048" s="168" t="e">
        <f>+'Estimate Details'!#REF!</f>
        <v>#REF!</v>
      </c>
      <c r="M1048" s="245" t="e">
        <f>+'Estimate Details'!#REF!</f>
        <v>#REF!</v>
      </c>
      <c r="N1048" s="245" t="e">
        <f>+'Estimate Details'!#REF!</f>
        <v>#REF!</v>
      </c>
      <c r="O1048" s="241" t="e">
        <f>+'Estimate Details'!#REF!</f>
        <v>#REF!</v>
      </c>
      <c r="P1048" s="241" t="e">
        <f>+'Estimate Details'!#REF!</f>
        <v>#REF!</v>
      </c>
      <c r="Q1048" s="172" t="e">
        <f>+'Estimate Details'!#REF!</f>
        <v>#REF!</v>
      </c>
      <c r="R1048" s="246" t="e">
        <f>+'Estimate Details'!#REF!</f>
        <v>#REF!</v>
      </c>
      <c r="S1048" s="516"/>
      <c r="T1048" s="246" t="e">
        <f>+'Estimate Details'!#REF!</f>
        <v>#REF!</v>
      </c>
      <c r="U1048" s="240"/>
      <c r="V1048" s="241" t="e">
        <f>+'Estimate Details'!#REF!</f>
        <v>#REF!</v>
      </c>
      <c r="W1048" s="240"/>
      <c r="X1048" s="241" t="e">
        <f>+'Estimate Details'!#REF!</f>
        <v>#REF!</v>
      </c>
      <c r="Y1048" s="241" t="e">
        <f>+'Estimate Details'!#REF!</f>
        <v>#REF!</v>
      </c>
      <c r="Z1048" s="174" t="e">
        <f>+'Estimate Details'!#REF!</f>
        <v>#REF!</v>
      </c>
      <c r="AA1048" s="240"/>
      <c r="AB1048" s="175" t="e">
        <f>+'Estimate Details'!#REF!</f>
        <v>#REF!</v>
      </c>
      <c r="AC1048" s="573" t="s">
        <v>1312</v>
      </c>
      <c r="AD1048" s="176" t="e">
        <f>+'Estimate Details'!#REF!</f>
        <v>#REF!</v>
      </c>
      <c r="AE1048" s="156"/>
      <c r="AF1048" s="156"/>
      <c r="AG1048" s="156"/>
      <c r="AH1048" s="156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</row>
    <row r="1049" spans="1:44" s="30" customFormat="1" ht="14.1" customHeight="1">
      <c r="A1049" s="42" t="e">
        <f>+'Estimate Details'!#REF!</f>
        <v>#REF!</v>
      </c>
      <c r="B1049" s="42"/>
      <c r="C1049" s="42"/>
      <c r="D1049" s="248"/>
      <c r="E1049" s="158" t="e">
        <f>+'Estimate Details'!#REF!</f>
        <v>#REF!</v>
      </c>
      <c r="F1049" s="216"/>
      <c r="G1049" s="166" t="e">
        <f>+'Estimate Details'!#REF!</f>
        <v>#REF!</v>
      </c>
      <c r="H1049" s="257" t="e">
        <f>+'Estimate Details'!#REF!</f>
        <v>#REF!</v>
      </c>
      <c r="I1049" s="108" t="e">
        <f>+'Estimate Details'!#REF!</f>
        <v>#REF!</v>
      </c>
      <c r="J1049" s="168" t="e">
        <f>+'Estimate Details'!#REF!</f>
        <v>#REF!</v>
      </c>
      <c r="K1049" s="168" t="e">
        <f>+'Estimate Details'!#REF!</f>
        <v>#REF!</v>
      </c>
      <c r="L1049" s="168" t="e">
        <f>+'Estimate Details'!#REF!</f>
        <v>#REF!</v>
      </c>
      <c r="M1049" s="245" t="e">
        <f>+'Estimate Details'!#REF!</f>
        <v>#REF!</v>
      </c>
      <c r="N1049" s="245" t="e">
        <f>+'Estimate Details'!#REF!</f>
        <v>#REF!</v>
      </c>
      <c r="O1049" s="241" t="e">
        <f>+'Estimate Details'!#REF!</f>
        <v>#REF!</v>
      </c>
      <c r="P1049" s="241" t="e">
        <f>+'Estimate Details'!#REF!</f>
        <v>#REF!</v>
      </c>
      <c r="Q1049" s="172" t="e">
        <f>+'Estimate Details'!#REF!</f>
        <v>#REF!</v>
      </c>
      <c r="R1049" s="246" t="e">
        <f>+'Estimate Details'!#REF!</f>
        <v>#REF!</v>
      </c>
      <c r="S1049" s="516"/>
      <c r="T1049" s="246" t="e">
        <f>+'Estimate Details'!#REF!</f>
        <v>#REF!</v>
      </c>
      <c r="U1049" s="240"/>
      <c r="V1049" s="241" t="e">
        <f>+'Estimate Details'!#REF!</f>
        <v>#REF!</v>
      </c>
      <c r="W1049" s="240"/>
      <c r="X1049" s="241" t="e">
        <f>+'Estimate Details'!#REF!</f>
        <v>#REF!</v>
      </c>
      <c r="Y1049" s="241" t="e">
        <f>+'Estimate Details'!#REF!</f>
        <v>#REF!</v>
      </c>
      <c r="Z1049" s="174" t="e">
        <f>+'Estimate Details'!#REF!</f>
        <v>#REF!</v>
      </c>
      <c r="AA1049" s="240"/>
      <c r="AB1049" s="175" t="e">
        <f>+'Estimate Details'!#REF!</f>
        <v>#REF!</v>
      </c>
      <c r="AC1049" s="573" t="s">
        <v>1317</v>
      </c>
      <c r="AD1049" s="176" t="e">
        <f>+'Estimate Details'!#REF!</f>
        <v>#REF!</v>
      </c>
      <c r="AE1049" s="156"/>
      <c r="AF1049" s="156"/>
      <c r="AG1049" s="156"/>
      <c r="AH1049" s="156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</row>
    <row r="1050" spans="1:44" s="30" customFormat="1" ht="14.1" customHeight="1">
      <c r="A1050" s="42" t="e">
        <f>+'Estimate Details'!#REF!</f>
        <v>#REF!</v>
      </c>
      <c r="B1050" s="42"/>
      <c r="C1050" s="42"/>
      <c r="D1050" s="248"/>
      <c r="E1050" s="158" t="e">
        <f>+'Estimate Details'!#REF!</f>
        <v>#REF!</v>
      </c>
      <c r="F1050" s="216"/>
      <c r="G1050" s="166" t="e">
        <f>+'Estimate Details'!#REF!</f>
        <v>#REF!</v>
      </c>
      <c r="H1050" s="274" t="e">
        <f>+'Estimate Details'!#REF!</f>
        <v>#REF!</v>
      </c>
      <c r="I1050" s="108" t="e">
        <f>+'Estimate Details'!#REF!</f>
        <v>#REF!</v>
      </c>
      <c r="J1050" s="168" t="e">
        <f>+'Estimate Details'!#REF!</f>
        <v>#REF!</v>
      </c>
      <c r="K1050" s="168" t="e">
        <f>+'Estimate Details'!#REF!</f>
        <v>#REF!</v>
      </c>
      <c r="L1050" s="168" t="e">
        <f>+'Estimate Details'!#REF!</f>
        <v>#REF!</v>
      </c>
      <c r="M1050" s="245" t="e">
        <f>+'Estimate Details'!#REF!</f>
        <v>#REF!</v>
      </c>
      <c r="N1050" s="245" t="e">
        <f>+'Estimate Details'!#REF!</f>
        <v>#REF!</v>
      </c>
      <c r="O1050" s="241" t="e">
        <f>+'Estimate Details'!#REF!</f>
        <v>#REF!</v>
      </c>
      <c r="P1050" s="241" t="e">
        <f>+'Estimate Details'!#REF!</f>
        <v>#REF!</v>
      </c>
      <c r="Q1050" s="172" t="e">
        <f>+'Estimate Details'!#REF!</f>
        <v>#REF!</v>
      </c>
      <c r="R1050" s="246" t="e">
        <f>+'Estimate Details'!#REF!</f>
        <v>#REF!</v>
      </c>
      <c r="S1050" s="516"/>
      <c r="T1050" s="246" t="e">
        <f>+'Estimate Details'!#REF!</f>
        <v>#REF!</v>
      </c>
      <c r="U1050" s="240"/>
      <c r="V1050" s="241" t="e">
        <f>+'Estimate Details'!#REF!</f>
        <v>#REF!</v>
      </c>
      <c r="W1050" s="240"/>
      <c r="X1050" s="241" t="e">
        <f>+'Estimate Details'!#REF!</f>
        <v>#REF!</v>
      </c>
      <c r="Y1050" s="241" t="e">
        <f>+'Estimate Details'!#REF!</f>
        <v>#REF!</v>
      </c>
      <c r="Z1050" s="174" t="e">
        <f>+'Estimate Details'!#REF!</f>
        <v>#REF!</v>
      </c>
      <c r="AA1050" s="240"/>
      <c r="AB1050" s="175" t="e">
        <f>+'Estimate Details'!#REF!</f>
        <v>#REF!</v>
      </c>
      <c r="AC1050" s="573" t="s">
        <v>1318</v>
      </c>
      <c r="AD1050" s="176" t="e">
        <f>+'Estimate Details'!#REF!</f>
        <v>#REF!</v>
      </c>
      <c r="AE1050" s="156"/>
      <c r="AF1050" s="156"/>
      <c r="AG1050" s="156"/>
      <c r="AH1050" s="156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</row>
    <row r="1051" spans="1:44" s="30" customFormat="1" ht="14.1" customHeight="1">
      <c r="A1051" s="42" t="e">
        <f>+'Estimate Details'!#REF!</f>
        <v>#REF!</v>
      </c>
      <c r="B1051" s="42"/>
      <c r="C1051" s="42"/>
      <c r="D1051" s="248"/>
      <c r="E1051" s="158" t="e">
        <f>+'Estimate Details'!#REF!</f>
        <v>#REF!</v>
      </c>
      <c r="F1051" s="216"/>
      <c r="G1051" s="166" t="e">
        <f>+'Estimate Details'!#REF!</f>
        <v>#REF!</v>
      </c>
      <c r="H1051" s="257" t="e">
        <f>+'Estimate Details'!#REF!</f>
        <v>#REF!</v>
      </c>
      <c r="I1051" s="108" t="e">
        <f>+'Estimate Details'!#REF!</f>
        <v>#REF!</v>
      </c>
      <c r="J1051" s="168" t="e">
        <f>+'Estimate Details'!#REF!</f>
        <v>#REF!</v>
      </c>
      <c r="K1051" s="168" t="e">
        <f>+'Estimate Details'!#REF!</f>
        <v>#REF!</v>
      </c>
      <c r="L1051" s="168" t="e">
        <f>+'Estimate Details'!#REF!</f>
        <v>#REF!</v>
      </c>
      <c r="M1051" s="245" t="e">
        <f>+'Estimate Details'!#REF!</f>
        <v>#REF!</v>
      </c>
      <c r="N1051" s="245" t="e">
        <f>+'Estimate Details'!#REF!</f>
        <v>#REF!</v>
      </c>
      <c r="O1051" s="241" t="e">
        <f>+'Estimate Details'!#REF!</f>
        <v>#REF!</v>
      </c>
      <c r="P1051" s="241" t="e">
        <f>+'Estimate Details'!#REF!</f>
        <v>#REF!</v>
      </c>
      <c r="Q1051" s="172" t="e">
        <f>+'Estimate Details'!#REF!</f>
        <v>#REF!</v>
      </c>
      <c r="R1051" s="246" t="e">
        <f>+'Estimate Details'!#REF!</f>
        <v>#REF!</v>
      </c>
      <c r="S1051" s="516"/>
      <c r="T1051" s="246" t="e">
        <f>+'Estimate Details'!#REF!</f>
        <v>#REF!</v>
      </c>
      <c r="U1051" s="240"/>
      <c r="V1051" s="241" t="e">
        <f>+'Estimate Details'!#REF!</f>
        <v>#REF!</v>
      </c>
      <c r="W1051" s="240"/>
      <c r="X1051" s="241" t="e">
        <f>+'Estimate Details'!#REF!</f>
        <v>#REF!</v>
      </c>
      <c r="Y1051" s="241" t="e">
        <f>+'Estimate Details'!#REF!</f>
        <v>#REF!</v>
      </c>
      <c r="Z1051" s="174" t="e">
        <f>+'Estimate Details'!#REF!</f>
        <v>#REF!</v>
      </c>
      <c r="AA1051" s="240"/>
      <c r="AB1051" s="175" t="e">
        <f>+'Estimate Details'!#REF!</f>
        <v>#REF!</v>
      </c>
      <c r="AC1051" s="573" t="s">
        <v>1319</v>
      </c>
      <c r="AD1051" s="176" t="e">
        <f>+'Estimate Details'!#REF!</f>
        <v>#REF!</v>
      </c>
      <c r="AE1051" s="156"/>
      <c r="AF1051" s="156"/>
      <c r="AG1051" s="156"/>
      <c r="AH1051" s="156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</row>
    <row r="1052" spans="1:44" s="30" customFormat="1" ht="14.1" customHeight="1">
      <c r="A1052" s="42" t="e">
        <f>+'Estimate Details'!#REF!</f>
        <v>#REF!</v>
      </c>
      <c r="B1052" s="42"/>
      <c r="C1052" s="42"/>
      <c r="D1052" s="248"/>
      <c r="E1052" s="158" t="e">
        <f>+'Estimate Details'!#REF!</f>
        <v>#REF!</v>
      </c>
      <c r="F1052" s="216"/>
      <c r="G1052" s="166" t="e">
        <f>+'Estimate Details'!#REF!</f>
        <v>#REF!</v>
      </c>
      <c r="H1052" s="226" t="e">
        <f>+'Estimate Details'!#REF!</f>
        <v>#REF!</v>
      </c>
      <c r="I1052" s="265" t="e">
        <f>+'Estimate Details'!#REF!</f>
        <v>#REF!</v>
      </c>
      <c r="J1052" s="168" t="e">
        <f>+'Estimate Details'!#REF!</f>
        <v>#REF!</v>
      </c>
      <c r="K1052" s="168" t="e">
        <f>+'Estimate Details'!#REF!</f>
        <v>#REF!</v>
      </c>
      <c r="L1052" s="168" t="e">
        <f>+'Estimate Details'!#REF!</f>
        <v>#REF!</v>
      </c>
      <c r="M1052" s="245" t="e">
        <f>+'Estimate Details'!#REF!</f>
        <v>#REF!</v>
      </c>
      <c r="N1052" s="245" t="e">
        <f>+'Estimate Details'!#REF!</f>
        <v>#REF!</v>
      </c>
      <c r="O1052" s="241" t="e">
        <f>+'Estimate Details'!#REF!</f>
        <v>#REF!</v>
      </c>
      <c r="P1052" s="241" t="e">
        <f>+'Estimate Details'!#REF!</f>
        <v>#REF!</v>
      </c>
      <c r="Q1052" s="172" t="e">
        <f>+'Estimate Details'!#REF!</f>
        <v>#REF!</v>
      </c>
      <c r="R1052" s="246" t="e">
        <f>+'Estimate Details'!#REF!</f>
        <v>#REF!</v>
      </c>
      <c r="S1052" s="516"/>
      <c r="T1052" s="246" t="e">
        <f>+'Estimate Details'!#REF!</f>
        <v>#REF!</v>
      </c>
      <c r="U1052" s="240"/>
      <c r="V1052" s="241" t="e">
        <f>+'Estimate Details'!#REF!</f>
        <v>#REF!</v>
      </c>
      <c r="W1052" s="240"/>
      <c r="X1052" s="241" t="e">
        <f>+'Estimate Details'!#REF!</f>
        <v>#REF!</v>
      </c>
      <c r="Y1052" s="241" t="e">
        <f>+'Estimate Details'!#REF!</f>
        <v>#REF!</v>
      </c>
      <c r="Z1052" s="174" t="e">
        <f>+'Estimate Details'!#REF!</f>
        <v>#REF!</v>
      </c>
      <c r="AA1052" s="240"/>
      <c r="AB1052" s="175" t="e">
        <f>+'Estimate Details'!#REF!</f>
        <v>#REF!</v>
      </c>
      <c r="AC1052" s="573" t="s">
        <v>1319</v>
      </c>
      <c r="AD1052" s="176" t="e">
        <f>+'Estimate Details'!#REF!</f>
        <v>#REF!</v>
      </c>
      <c r="AE1052" s="156"/>
      <c r="AF1052" s="156"/>
      <c r="AG1052" s="156"/>
      <c r="AH1052" s="156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</row>
    <row r="1053" spans="1:44" s="30" customFormat="1" ht="14.1" customHeight="1">
      <c r="A1053" s="42" t="e">
        <f>+'Estimate Details'!#REF!</f>
        <v>#REF!</v>
      </c>
      <c r="B1053" s="42"/>
      <c r="C1053" s="42"/>
      <c r="D1053" s="248"/>
      <c r="E1053" s="158" t="e">
        <f>+'Estimate Details'!#REF!</f>
        <v>#REF!</v>
      </c>
      <c r="F1053" s="216"/>
      <c r="G1053" s="166" t="e">
        <f>+'Estimate Details'!#REF!</f>
        <v>#REF!</v>
      </c>
      <c r="H1053" s="257" t="e">
        <f>+'Estimate Details'!#REF!</f>
        <v>#REF!</v>
      </c>
      <c r="I1053" s="108" t="e">
        <f>+'Estimate Details'!#REF!</f>
        <v>#REF!</v>
      </c>
      <c r="J1053" s="168" t="e">
        <f>+'Estimate Details'!#REF!</f>
        <v>#REF!</v>
      </c>
      <c r="K1053" s="168" t="e">
        <f>+'Estimate Details'!#REF!</f>
        <v>#REF!</v>
      </c>
      <c r="L1053" s="168" t="e">
        <f>+'Estimate Details'!#REF!</f>
        <v>#REF!</v>
      </c>
      <c r="M1053" s="245" t="e">
        <f>+'Estimate Details'!#REF!</f>
        <v>#REF!</v>
      </c>
      <c r="N1053" s="245" t="e">
        <f>+'Estimate Details'!#REF!</f>
        <v>#REF!</v>
      </c>
      <c r="O1053" s="241" t="e">
        <f>+'Estimate Details'!#REF!</f>
        <v>#REF!</v>
      </c>
      <c r="P1053" s="241" t="e">
        <f>+'Estimate Details'!#REF!</f>
        <v>#REF!</v>
      </c>
      <c r="Q1053" s="172" t="e">
        <f>+'Estimate Details'!#REF!</f>
        <v>#REF!</v>
      </c>
      <c r="R1053" s="246" t="e">
        <f>+'Estimate Details'!#REF!</f>
        <v>#REF!</v>
      </c>
      <c r="S1053" s="516"/>
      <c r="T1053" s="246" t="e">
        <f>+'Estimate Details'!#REF!</f>
        <v>#REF!</v>
      </c>
      <c r="U1053" s="240"/>
      <c r="V1053" s="241" t="e">
        <f>+'Estimate Details'!#REF!</f>
        <v>#REF!</v>
      </c>
      <c r="W1053" s="240"/>
      <c r="X1053" s="241" t="e">
        <f>+'Estimate Details'!#REF!</f>
        <v>#REF!</v>
      </c>
      <c r="Y1053" s="241" t="e">
        <f>+'Estimate Details'!#REF!</f>
        <v>#REF!</v>
      </c>
      <c r="Z1053" s="174" t="e">
        <f>+'Estimate Details'!#REF!</f>
        <v>#REF!</v>
      </c>
      <c r="AA1053" s="240"/>
      <c r="AB1053" s="175" t="e">
        <f>+'Estimate Details'!#REF!</f>
        <v>#REF!</v>
      </c>
      <c r="AC1053" s="573" t="s">
        <v>0</v>
      </c>
      <c r="AD1053" s="176" t="e">
        <f>+'Estimate Details'!#REF!</f>
        <v>#REF!</v>
      </c>
      <c r="AE1053" s="156"/>
      <c r="AF1053" s="156"/>
      <c r="AG1053" s="156"/>
      <c r="AH1053" s="156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</row>
    <row r="1054" spans="1:44" s="30" customFormat="1" ht="14.1" customHeight="1">
      <c r="A1054" s="42" t="e">
        <f>+'Estimate Details'!#REF!</f>
        <v>#REF!</v>
      </c>
      <c r="B1054" s="42"/>
      <c r="C1054" s="42"/>
      <c r="D1054" s="248"/>
      <c r="E1054" s="158" t="e">
        <f>+'Estimate Details'!#REF!</f>
        <v>#REF!</v>
      </c>
      <c r="F1054" s="216"/>
      <c r="G1054" s="166" t="e">
        <f>+'Estimate Details'!#REF!</f>
        <v>#REF!</v>
      </c>
      <c r="H1054" s="257" t="e">
        <f>+'Estimate Details'!#REF!</f>
        <v>#REF!</v>
      </c>
      <c r="I1054" s="108" t="e">
        <f>+'Estimate Details'!#REF!</f>
        <v>#REF!</v>
      </c>
      <c r="J1054" s="168" t="e">
        <f>+'Estimate Details'!#REF!</f>
        <v>#REF!</v>
      </c>
      <c r="K1054" s="168" t="e">
        <f>+'Estimate Details'!#REF!</f>
        <v>#REF!</v>
      </c>
      <c r="L1054" s="168" t="e">
        <f>+'Estimate Details'!#REF!</f>
        <v>#REF!</v>
      </c>
      <c r="M1054" s="245" t="e">
        <f>+'Estimate Details'!#REF!</f>
        <v>#REF!</v>
      </c>
      <c r="N1054" s="245" t="e">
        <f>+'Estimate Details'!#REF!</f>
        <v>#REF!</v>
      </c>
      <c r="O1054" s="241" t="e">
        <f>+'Estimate Details'!#REF!</f>
        <v>#REF!</v>
      </c>
      <c r="P1054" s="241" t="e">
        <f>+'Estimate Details'!#REF!</f>
        <v>#REF!</v>
      </c>
      <c r="Q1054" s="172" t="e">
        <f>+'Estimate Details'!#REF!</f>
        <v>#REF!</v>
      </c>
      <c r="R1054" s="246" t="e">
        <f>+'Estimate Details'!#REF!</f>
        <v>#REF!</v>
      </c>
      <c r="S1054" s="516"/>
      <c r="T1054" s="246" t="e">
        <f>+'Estimate Details'!#REF!</f>
        <v>#REF!</v>
      </c>
      <c r="U1054" s="240"/>
      <c r="V1054" s="241" t="e">
        <f>+'Estimate Details'!#REF!</f>
        <v>#REF!</v>
      </c>
      <c r="W1054" s="240"/>
      <c r="X1054" s="241" t="e">
        <f>+'Estimate Details'!#REF!</f>
        <v>#REF!</v>
      </c>
      <c r="Y1054" s="241" t="e">
        <f>+'Estimate Details'!#REF!</f>
        <v>#REF!</v>
      </c>
      <c r="Z1054" s="174" t="e">
        <f>+'Estimate Details'!#REF!</f>
        <v>#REF!</v>
      </c>
      <c r="AA1054" s="240"/>
      <c r="AB1054" s="175" t="e">
        <f>+'Estimate Details'!#REF!</f>
        <v>#REF!</v>
      </c>
      <c r="AC1054" s="573" t="s">
        <v>1</v>
      </c>
      <c r="AD1054" s="176" t="e">
        <f>+'Estimate Details'!#REF!</f>
        <v>#REF!</v>
      </c>
      <c r="AE1054" s="156"/>
      <c r="AF1054" s="156"/>
      <c r="AG1054" s="156"/>
      <c r="AH1054" s="156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</row>
    <row r="1055" spans="1:44" s="30" customFormat="1" ht="14.1" customHeight="1">
      <c r="A1055" s="42" t="e">
        <f>+'Estimate Details'!#REF!</f>
        <v>#REF!</v>
      </c>
      <c r="B1055" s="42"/>
      <c r="C1055" s="42"/>
      <c r="D1055" s="248"/>
      <c r="E1055" s="158" t="e">
        <f>+'Estimate Details'!#REF!</f>
        <v>#REF!</v>
      </c>
      <c r="F1055" s="216"/>
      <c r="G1055" s="166" t="e">
        <f>+'Estimate Details'!#REF!</f>
        <v>#REF!</v>
      </c>
      <c r="H1055" s="257" t="e">
        <f>+'Estimate Details'!#REF!</f>
        <v>#REF!</v>
      </c>
      <c r="I1055" s="108" t="e">
        <f>+'Estimate Details'!#REF!</f>
        <v>#REF!</v>
      </c>
      <c r="J1055" s="168" t="e">
        <f>+'Estimate Details'!#REF!</f>
        <v>#REF!</v>
      </c>
      <c r="K1055" s="168" t="e">
        <f>+'Estimate Details'!#REF!</f>
        <v>#REF!</v>
      </c>
      <c r="L1055" s="168" t="e">
        <f>+'Estimate Details'!#REF!</f>
        <v>#REF!</v>
      </c>
      <c r="M1055" s="245" t="e">
        <f>+'Estimate Details'!#REF!</f>
        <v>#REF!</v>
      </c>
      <c r="N1055" s="245" t="e">
        <f>+'Estimate Details'!#REF!</f>
        <v>#REF!</v>
      </c>
      <c r="O1055" s="241" t="e">
        <f>+'Estimate Details'!#REF!</f>
        <v>#REF!</v>
      </c>
      <c r="P1055" s="241" t="e">
        <f>+'Estimate Details'!#REF!</f>
        <v>#REF!</v>
      </c>
      <c r="Q1055" s="172" t="e">
        <f>+'Estimate Details'!#REF!</f>
        <v>#REF!</v>
      </c>
      <c r="R1055" s="246" t="e">
        <f>+'Estimate Details'!#REF!</f>
        <v>#REF!</v>
      </c>
      <c r="S1055" s="516"/>
      <c r="T1055" s="246" t="e">
        <f>+'Estimate Details'!#REF!</f>
        <v>#REF!</v>
      </c>
      <c r="U1055" s="240"/>
      <c r="V1055" s="241" t="e">
        <f>+'Estimate Details'!#REF!</f>
        <v>#REF!</v>
      </c>
      <c r="W1055" s="240"/>
      <c r="X1055" s="241" t="e">
        <f>+'Estimate Details'!#REF!</f>
        <v>#REF!</v>
      </c>
      <c r="Y1055" s="241" t="e">
        <f>+'Estimate Details'!#REF!</f>
        <v>#REF!</v>
      </c>
      <c r="Z1055" s="174" t="e">
        <f>+'Estimate Details'!#REF!</f>
        <v>#REF!</v>
      </c>
      <c r="AA1055" s="240"/>
      <c r="AB1055" s="175" t="e">
        <f>+'Estimate Details'!#REF!</f>
        <v>#REF!</v>
      </c>
      <c r="AC1055" s="573" t="s">
        <v>2</v>
      </c>
      <c r="AD1055" s="176" t="e">
        <f>+'Estimate Details'!#REF!</f>
        <v>#REF!</v>
      </c>
      <c r="AE1055" s="156"/>
      <c r="AF1055" s="156"/>
      <c r="AG1055" s="156"/>
      <c r="AH1055" s="156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</row>
    <row r="1056" spans="1:44" s="30" customFormat="1" ht="14.1" customHeight="1">
      <c r="A1056" s="42" t="e">
        <f>+'Estimate Details'!#REF!</f>
        <v>#REF!</v>
      </c>
      <c r="B1056" s="42"/>
      <c r="C1056" s="42"/>
      <c r="D1056" s="248"/>
      <c r="E1056" s="158" t="e">
        <f>+'Estimate Details'!#REF!</f>
        <v>#REF!</v>
      </c>
      <c r="F1056" s="216"/>
      <c r="G1056" s="166" t="e">
        <f>+'Estimate Details'!#REF!</f>
        <v>#REF!</v>
      </c>
      <c r="H1056" s="257" t="e">
        <f>+'Estimate Details'!#REF!</f>
        <v>#REF!</v>
      </c>
      <c r="I1056" s="108" t="e">
        <f>+'Estimate Details'!#REF!</f>
        <v>#REF!</v>
      </c>
      <c r="J1056" s="168" t="e">
        <f>+'Estimate Details'!#REF!</f>
        <v>#REF!</v>
      </c>
      <c r="K1056" s="168" t="e">
        <f>+'Estimate Details'!#REF!</f>
        <v>#REF!</v>
      </c>
      <c r="L1056" s="168" t="e">
        <f>+'Estimate Details'!#REF!</f>
        <v>#REF!</v>
      </c>
      <c r="M1056" s="245" t="e">
        <f>+'Estimate Details'!#REF!</f>
        <v>#REF!</v>
      </c>
      <c r="N1056" s="245" t="e">
        <f>+'Estimate Details'!#REF!</f>
        <v>#REF!</v>
      </c>
      <c r="O1056" s="241" t="e">
        <f>+'Estimate Details'!#REF!</f>
        <v>#REF!</v>
      </c>
      <c r="P1056" s="241" t="e">
        <f>+'Estimate Details'!#REF!</f>
        <v>#REF!</v>
      </c>
      <c r="Q1056" s="172" t="e">
        <f>+'Estimate Details'!#REF!</f>
        <v>#REF!</v>
      </c>
      <c r="R1056" s="246" t="e">
        <f>+'Estimate Details'!#REF!</f>
        <v>#REF!</v>
      </c>
      <c r="S1056" s="516"/>
      <c r="T1056" s="246" t="e">
        <f>+'Estimate Details'!#REF!</f>
        <v>#REF!</v>
      </c>
      <c r="U1056" s="240"/>
      <c r="V1056" s="241" t="e">
        <f>+'Estimate Details'!#REF!</f>
        <v>#REF!</v>
      </c>
      <c r="W1056" s="240"/>
      <c r="X1056" s="241" t="e">
        <f>+'Estimate Details'!#REF!</f>
        <v>#REF!</v>
      </c>
      <c r="Y1056" s="241" t="e">
        <f>+'Estimate Details'!#REF!</f>
        <v>#REF!</v>
      </c>
      <c r="Z1056" s="174" t="e">
        <f>+'Estimate Details'!#REF!</f>
        <v>#REF!</v>
      </c>
      <c r="AA1056" s="240"/>
      <c r="AB1056" s="175" t="e">
        <f>+'Estimate Details'!#REF!</f>
        <v>#REF!</v>
      </c>
      <c r="AC1056" s="573" t="s">
        <v>3</v>
      </c>
      <c r="AD1056" s="176" t="e">
        <f>+'Estimate Details'!#REF!</f>
        <v>#REF!</v>
      </c>
      <c r="AE1056" s="156"/>
      <c r="AF1056" s="156"/>
      <c r="AG1056" s="156"/>
      <c r="AH1056" s="156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</row>
    <row r="1057" spans="1:44" s="30" customFormat="1" ht="14.1" customHeight="1">
      <c r="A1057" s="42" t="e">
        <f>+'Estimate Details'!#REF!</f>
        <v>#REF!</v>
      </c>
      <c r="B1057" s="42"/>
      <c r="C1057" s="42"/>
      <c r="D1057" s="248"/>
      <c r="E1057" s="158" t="e">
        <f>+'Estimate Details'!#REF!</f>
        <v>#REF!</v>
      </c>
      <c r="F1057" s="216"/>
      <c r="G1057" s="166" t="e">
        <f>+'Estimate Details'!#REF!</f>
        <v>#REF!</v>
      </c>
      <c r="H1057" s="257" t="e">
        <f>+'Estimate Details'!#REF!</f>
        <v>#REF!</v>
      </c>
      <c r="I1057" s="108" t="e">
        <f>+'Estimate Details'!#REF!</f>
        <v>#REF!</v>
      </c>
      <c r="J1057" s="168" t="e">
        <f>+'Estimate Details'!#REF!</f>
        <v>#REF!</v>
      </c>
      <c r="K1057" s="168" t="e">
        <f>+'Estimate Details'!#REF!</f>
        <v>#REF!</v>
      </c>
      <c r="L1057" s="168" t="e">
        <f>+'Estimate Details'!#REF!</f>
        <v>#REF!</v>
      </c>
      <c r="M1057" s="245" t="e">
        <f>+'Estimate Details'!#REF!</f>
        <v>#REF!</v>
      </c>
      <c r="N1057" s="245" t="e">
        <f>+'Estimate Details'!#REF!</f>
        <v>#REF!</v>
      </c>
      <c r="O1057" s="241" t="e">
        <f>+'Estimate Details'!#REF!</f>
        <v>#REF!</v>
      </c>
      <c r="P1057" s="241" t="e">
        <f>+'Estimate Details'!#REF!</f>
        <v>#REF!</v>
      </c>
      <c r="Q1057" s="172" t="e">
        <f>+'Estimate Details'!#REF!</f>
        <v>#REF!</v>
      </c>
      <c r="R1057" s="246" t="e">
        <f>+'Estimate Details'!#REF!</f>
        <v>#REF!</v>
      </c>
      <c r="S1057" s="516"/>
      <c r="T1057" s="246" t="e">
        <f>+'Estimate Details'!#REF!</f>
        <v>#REF!</v>
      </c>
      <c r="U1057" s="240"/>
      <c r="V1057" s="241" t="e">
        <f>+'Estimate Details'!#REF!</f>
        <v>#REF!</v>
      </c>
      <c r="W1057" s="240"/>
      <c r="X1057" s="241" t="e">
        <f>+'Estimate Details'!#REF!</f>
        <v>#REF!</v>
      </c>
      <c r="Y1057" s="241" t="e">
        <f>+'Estimate Details'!#REF!</f>
        <v>#REF!</v>
      </c>
      <c r="Z1057" s="174" t="e">
        <f>+'Estimate Details'!#REF!</f>
        <v>#REF!</v>
      </c>
      <c r="AA1057" s="240"/>
      <c r="AB1057" s="175" t="e">
        <f>+'Estimate Details'!#REF!</f>
        <v>#REF!</v>
      </c>
      <c r="AC1057" s="573" t="s">
        <v>4</v>
      </c>
      <c r="AD1057" s="176" t="e">
        <f>+'Estimate Details'!#REF!</f>
        <v>#REF!</v>
      </c>
      <c r="AE1057" s="156"/>
      <c r="AF1057" s="156"/>
      <c r="AG1057" s="156"/>
      <c r="AH1057" s="156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</row>
    <row r="1058" spans="1:44" s="30" customFormat="1" ht="14.1" customHeight="1">
      <c r="A1058" s="42" t="e">
        <f>+'Estimate Details'!#REF!</f>
        <v>#REF!</v>
      </c>
      <c r="B1058" s="42"/>
      <c r="C1058" s="42"/>
      <c r="D1058" s="248"/>
      <c r="E1058" s="158" t="e">
        <f>+'Estimate Details'!#REF!</f>
        <v>#REF!</v>
      </c>
      <c r="F1058" s="216"/>
      <c r="G1058" s="166" t="e">
        <f>+'Estimate Details'!#REF!</f>
        <v>#REF!</v>
      </c>
      <c r="H1058" s="257" t="e">
        <f>+'Estimate Details'!#REF!</f>
        <v>#REF!</v>
      </c>
      <c r="I1058" s="108" t="e">
        <f>+'Estimate Details'!#REF!</f>
        <v>#REF!</v>
      </c>
      <c r="J1058" s="168" t="e">
        <f>+'Estimate Details'!#REF!</f>
        <v>#REF!</v>
      </c>
      <c r="K1058" s="168" t="e">
        <f>+'Estimate Details'!#REF!</f>
        <v>#REF!</v>
      </c>
      <c r="L1058" s="168" t="e">
        <f>+'Estimate Details'!#REF!</f>
        <v>#REF!</v>
      </c>
      <c r="M1058" s="245" t="e">
        <f>+'Estimate Details'!#REF!</f>
        <v>#REF!</v>
      </c>
      <c r="N1058" s="245" t="e">
        <f>+'Estimate Details'!#REF!</f>
        <v>#REF!</v>
      </c>
      <c r="O1058" s="241" t="e">
        <f>+'Estimate Details'!#REF!</f>
        <v>#REF!</v>
      </c>
      <c r="P1058" s="241" t="e">
        <f>+'Estimate Details'!#REF!</f>
        <v>#REF!</v>
      </c>
      <c r="Q1058" s="172" t="e">
        <f>+'Estimate Details'!#REF!</f>
        <v>#REF!</v>
      </c>
      <c r="R1058" s="246" t="e">
        <f>+'Estimate Details'!#REF!</f>
        <v>#REF!</v>
      </c>
      <c r="S1058" s="516"/>
      <c r="T1058" s="246" t="e">
        <f>+'Estimate Details'!#REF!</f>
        <v>#REF!</v>
      </c>
      <c r="U1058" s="240"/>
      <c r="V1058" s="241" t="e">
        <f>+'Estimate Details'!#REF!</f>
        <v>#REF!</v>
      </c>
      <c r="W1058" s="240"/>
      <c r="X1058" s="241" t="e">
        <f>+'Estimate Details'!#REF!</f>
        <v>#REF!</v>
      </c>
      <c r="Y1058" s="241" t="e">
        <f>+'Estimate Details'!#REF!</f>
        <v>#REF!</v>
      </c>
      <c r="Z1058" s="174" t="e">
        <f>+'Estimate Details'!#REF!</f>
        <v>#REF!</v>
      </c>
      <c r="AA1058" s="240"/>
      <c r="AB1058" s="175" t="e">
        <f>+'Estimate Details'!#REF!</f>
        <v>#REF!</v>
      </c>
      <c r="AC1058" s="573" t="s">
        <v>1576</v>
      </c>
      <c r="AD1058" s="176" t="e">
        <f>+'Estimate Details'!#REF!</f>
        <v>#REF!</v>
      </c>
      <c r="AE1058" s="156"/>
      <c r="AF1058" s="156"/>
      <c r="AG1058" s="156"/>
      <c r="AH1058" s="156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</row>
    <row r="1059" spans="1:44" s="30" customFormat="1" ht="14.1" customHeight="1">
      <c r="A1059" s="42" t="e">
        <f>+'Estimate Details'!#REF!</f>
        <v>#REF!</v>
      </c>
      <c r="B1059" s="42"/>
      <c r="C1059" s="42"/>
      <c r="D1059" s="248"/>
      <c r="E1059" s="158" t="e">
        <f>+'Estimate Details'!#REF!</f>
        <v>#REF!</v>
      </c>
      <c r="F1059" s="216"/>
      <c r="G1059" s="166" t="e">
        <f>+'Estimate Details'!#REF!</f>
        <v>#REF!</v>
      </c>
      <c r="H1059" s="257" t="e">
        <f>+'Estimate Details'!#REF!</f>
        <v>#REF!</v>
      </c>
      <c r="I1059" s="108" t="e">
        <f>+'Estimate Details'!#REF!</f>
        <v>#REF!</v>
      </c>
      <c r="J1059" s="168" t="e">
        <f>+'Estimate Details'!#REF!</f>
        <v>#REF!</v>
      </c>
      <c r="K1059" s="168" t="e">
        <f>+'Estimate Details'!#REF!</f>
        <v>#REF!</v>
      </c>
      <c r="L1059" s="168" t="e">
        <f>+'Estimate Details'!#REF!</f>
        <v>#REF!</v>
      </c>
      <c r="M1059" s="245" t="e">
        <f>+'Estimate Details'!#REF!</f>
        <v>#REF!</v>
      </c>
      <c r="N1059" s="245" t="e">
        <f>+'Estimate Details'!#REF!</f>
        <v>#REF!</v>
      </c>
      <c r="O1059" s="241" t="e">
        <f>+'Estimate Details'!#REF!</f>
        <v>#REF!</v>
      </c>
      <c r="P1059" s="241" t="e">
        <f>+'Estimate Details'!#REF!</f>
        <v>#REF!</v>
      </c>
      <c r="Q1059" s="172" t="e">
        <f>+'Estimate Details'!#REF!</f>
        <v>#REF!</v>
      </c>
      <c r="R1059" s="246" t="e">
        <f>+'Estimate Details'!#REF!</f>
        <v>#REF!</v>
      </c>
      <c r="S1059" s="516"/>
      <c r="T1059" s="246" t="e">
        <f>+'Estimate Details'!#REF!</f>
        <v>#REF!</v>
      </c>
      <c r="U1059" s="240"/>
      <c r="V1059" s="241" t="e">
        <f>+'Estimate Details'!#REF!</f>
        <v>#REF!</v>
      </c>
      <c r="W1059" s="240"/>
      <c r="X1059" s="241" t="e">
        <f>+'Estimate Details'!#REF!</f>
        <v>#REF!</v>
      </c>
      <c r="Y1059" s="241" t="e">
        <f>+'Estimate Details'!#REF!</f>
        <v>#REF!</v>
      </c>
      <c r="Z1059" s="174" t="e">
        <f>+'Estimate Details'!#REF!</f>
        <v>#REF!</v>
      </c>
      <c r="AA1059" s="240"/>
      <c r="AB1059" s="175" t="e">
        <f>+'Estimate Details'!#REF!</f>
        <v>#REF!</v>
      </c>
      <c r="AC1059" s="573" t="s">
        <v>1577</v>
      </c>
      <c r="AD1059" s="176" t="e">
        <f>+'Estimate Details'!#REF!</f>
        <v>#REF!</v>
      </c>
      <c r="AE1059" s="156"/>
      <c r="AF1059" s="156"/>
      <c r="AG1059" s="156"/>
      <c r="AH1059" s="156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</row>
    <row r="1060" spans="1:44" s="30" customFormat="1" ht="13.5" customHeight="1">
      <c r="A1060" s="42" t="e">
        <f>+'Estimate Details'!#REF!</f>
        <v>#REF!</v>
      </c>
      <c r="B1060" s="42"/>
      <c r="C1060" s="42"/>
      <c r="D1060" s="248"/>
      <c r="E1060" s="158" t="e">
        <f>+'Estimate Details'!#REF!</f>
        <v>#REF!</v>
      </c>
      <c r="F1060" s="216"/>
      <c r="G1060" s="166" t="e">
        <f>+'Estimate Details'!#REF!</f>
        <v>#REF!</v>
      </c>
      <c r="H1060" s="257" t="e">
        <f>+'Estimate Details'!#REF!</f>
        <v>#REF!</v>
      </c>
      <c r="I1060" s="108" t="e">
        <f>+'Estimate Details'!#REF!</f>
        <v>#REF!</v>
      </c>
      <c r="J1060" s="168" t="e">
        <f>+'Estimate Details'!#REF!</f>
        <v>#REF!</v>
      </c>
      <c r="K1060" s="168" t="e">
        <f>+'Estimate Details'!#REF!</f>
        <v>#REF!</v>
      </c>
      <c r="L1060" s="168" t="e">
        <f>+'Estimate Details'!#REF!</f>
        <v>#REF!</v>
      </c>
      <c r="M1060" s="245" t="e">
        <f>+'Estimate Details'!#REF!</f>
        <v>#REF!</v>
      </c>
      <c r="N1060" s="245" t="e">
        <f>+'Estimate Details'!#REF!</f>
        <v>#REF!</v>
      </c>
      <c r="O1060" s="241" t="e">
        <f>+'Estimate Details'!#REF!</f>
        <v>#REF!</v>
      </c>
      <c r="P1060" s="241" t="e">
        <f>+'Estimate Details'!#REF!</f>
        <v>#REF!</v>
      </c>
      <c r="Q1060" s="172" t="e">
        <f>+'Estimate Details'!#REF!</f>
        <v>#REF!</v>
      </c>
      <c r="R1060" s="246" t="e">
        <f>+'Estimate Details'!#REF!</f>
        <v>#REF!</v>
      </c>
      <c r="S1060" s="516"/>
      <c r="T1060" s="246" t="e">
        <f>+'Estimate Details'!#REF!</f>
        <v>#REF!</v>
      </c>
      <c r="U1060" s="240"/>
      <c r="V1060" s="241" t="e">
        <f>+'Estimate Details'!#REF!</f>
        <v>#REF!</v>
      </c>
      <c r="W1060" s="240"/>
      <c r="X1060" s="241" t="e">
        <f>+'Estimate Details'!#REF!</f>
        <v>#REF!</v>
      </c>
      <c r="Y1060" s="241" t="e">
        <f>+'Estimate Details'!#REF!</f>
        <v>#REF!</v>
      </c>
      <c r="Z1060" s="174" t="e">
        <f>+'Estimate Details'!#REF!</f>
        <v>#REF!</v>
      </c>
      <c r="AA1060" s="240"/>
      <c r="AB1060" s="175" t="e">
        <f>+'Estimate Details'!#REF!</f>
        <v>#REF!</v>
      </c>
      <c r="AC1060" s="573" t="s">
        <v>1578</v>
      </c>
      <c r="AD1060" s="176" t="e">
        <f>+'Estimate Details'!#REF!</f>
        <v>#REF!</v>
      </c>
      <c r="AE1060" s="156"/>
      <c r="AF1060" s="156"/>
      <c r="AG1060" s="156"/>
      <c r="AH1060" s="156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</row>
    <row r="1061" spans="1:44" s="30" customFormat="1" ht="14.1" customHeight="1">
      <c r="A1061" s="42" t="e">
        <f>+'Estimate Details'!#REF!</f>
        <v>#REF!</v>
      </c>
      <c r="B1061" s="42"/>
      <c r="C1061" s="42"/>
      <c r="D1061" s="248"/>
      <c r="E1061" s="158" t="e">
        <f>+'Estimate Details'!#REF!</f>
        <v>#REF!</v>
      </c>
      <c r="F1061" s="216"/>
      <c r="G1061" s="166" t="e">
        <f>+'Estimate Details'!#REF!</f>
        <v>#REF!</v>
      </c>
      <c r="H1061" s="226" t="e">
        <f>+'Estimate Details'!#REF!</f>
        <v>#REF!</v>
      </c>
      <c r="I1061" s="108" t="e">
        <f>+'Estimate Details'!#REF!</f>
        <v>#REF!</v>
      </c>
      <c r="J1061" s="168" t="e">
        <f>+'Estimate Details'!#REF!</f>
        <v>#REF!</v>
      </c>
      <c r="K1061" s="168" t="e">
        <f>+'Estimate Details'!#REF!</f>
        <v>#REF!</v>
      </c>
      <c r="L1061" s="168" t="e">
        <f>+'Estimate Details'!#REF!</f>
        <v>#REF!</v>
      </c>
      <c r="M1061" s="245" t="e">
        <f>+'Estimate Details'!#REF!</f>
        <v>#REF!</v>
      </c>
      <c r="N1061" s="245" t="e">
        <f>+'Estimate Details'!#REF!</f>
        <v>#REF!</v>
      </c>
      <c r="O1061" s="241" t="e">
        <f>+'Estimate Details'!#REF!</f>
        <v>#REF!</v>
      </c>
      <c r="P1061" s="241" t="e">
        <f>+'Estimate Details'!#REF!</f>
        <v>#REF!</v>
      </c>
      <c r="Q1061" s="172" t="e">
        <f>+'Estimate Details'!#REF!</f>
        <v>#REF!</v>
      </c>
      <c r="R1061" s="246" t="e">
        <f>+'Estimate Details'!#REF!</f>
        <v>#REF!</v>
      </c>
      <c r="S1061" s="516"/>
      <c r="T1061" s="246" t="e">
        <f>+'Estimate Details'!#REF!</f>
        <v>#REF!</v>
      </c>
      <c r="U1061" s="240"/>
      <c r="V1061" s="241" t="e">
        <f>+'Estimate Details'!#REF!</f>
        <v>#REF!</v>
      </c>
      <c r="W1061" s="240"/>
      <c r="X1061" s="241" t="e">
        <f>+'Estimate Details'!#REF!</f>
        <v>#REF!</v>
      </c>
      <c r="Y1061" s="241" t="e">
        <f>+'Estimate Details'!#REF!</f>
        <v>#REF!</v>
      </c>
      <c r="Z1061" s="174" t="e">
        <f>+'Estimate Details'!#REF!</f>
        <v>#REF!</v>
      </c>
      <c r="AA1061" s="240"/>
      <c r="AB1061" s="175" t="e">
        <f>+'Estimate Details'!#REF!</f>
        <v>#REF!</v>
      </c>
      <c r="AC1061" s="573" t="s">
        <v>1579</v>
      </c>
      <c r="AD1061" s="176" t="e">
        <f>+'Estimate Details'!#REF!</f>
        <v>#REF!</v>
      </c>
      <c r="AE1061" s="156"/>
      <c r="AF1061" s="156"/>
      <c r="AG1061" s="156"/>
      <c r="AH1061" s="156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</row>
    <row r="1062" spans="1:44" s="30" customFormat="1" ht="14.1" customHeight="1">
      <c r="A1062" s="42" t="e">
        <f>+'Estimate Details'!#REF!</f>
        <v>#REF!</v>
      </c>
      <c r="B1062" s="42"/>
      <c r="C1062" s="42"/>
      <c r="D1062" s="248"/>
      <c r="E1062" s="158" t="e">
        <f>+'Estimate Details'!#REF!</f>
        <v>#REF!</v>
      </c>
      <c r="F1062" s="216"/>
      <c r="G1062" s="166" t="e">
        <f>+'Estimate Details'!#REF!</f>
        <v>#REF!</v>
      </c>
      <c r="H1062" s="226" t="e">
        <f>+'Estimate Details'!#REF!</f>
        <v>#REF!</v>
      </c>
      <c r="I1062" s="108" t="e">
        <f>+'Estimate Details'!#REF!</f>
        <v>#REF!</v>
      </c>
      <c r="J1062" s="168" t="e">
        <f>+'Estimate Details'!#REF!</f>
        <v>#REF!</v>
      </c>
      <c r="K1062" s="168" t="e">
        <f>+'Estimate Details'!#REF!</f>
        <v>#REF!</v>
      </c>
      <c r="L1062" s="168" t="e">
        <f>+'Estimate Details'!#REF!</f>
        <v>#REF!</v>
      </c>
      <c r="M1062" s="245" t="e">
        <f>+'Estimate Details'!#REF!</f>
        <v>#REF!</v>
      </c>
      <c r="N1062" s="245" t="e">
        <f>+'Estimate Details'!#REF!</f>
        <v>#REF!</v>
      </c>
      <c r="O1062" s="241" t="e">
        <f>+'Estimate Details'!#REF!</f>
        <v>#REF!</v>
      </c>
      <c r="P1062" s="241" t="e">
        <f>+'Estimate Details'!#REF!</f>
        <v>#REF!</v>
      </c>
      <c r="Q1062" s="172" t="e">
        <f>+'Estimate Details'!#REF!</f>
        <v>#REF!</v>
      </c>
      <c r="R1062" s="246" t="e">
        <f>+'Estimate Details'!#REF!</f>
        <v>#REF!</v>
      </c>
      <c r="S1062" s="516"/>
      <c r="T1062" s="246" t="e">
        <f>+'Estimate Details'!#REF!</f>
        <v>#REF!</v>
      </c>
      <c r="U1062" s="240"/>
      <c r="V1062" s="241" t="e">
        <f>+'Estimate Details'!#REF!</f>
        <v>#REF!</v>
      </c>
      <c r="W1062" s="240"/>
      <c r="X1062" s="241" t="e">
        <f>+'Estimate Details'!#REF!</f>
        <v>#REF!</v>
      </c>
      <c r="Y1062" s="241" t="e">
        <f>+'Estimate Details'!#REF!</f>
        <v>#REF!</v>
      </c>
      <c r="Z1062" s="174" t="e">
        <f>+'Estimate Details'!#REF!</f>
        <v>#REF!</v>
      </c>
      <c r="AA1062" s="240"/>
      <c r="AB1062" s="175" t="e">
        <f>+'Estimate Details'!#REF!</f>
        <v>#REF!</v>
      </c>
      <c r="AC1062" s="573" t="s">
        <v>1580</v>
      </c>
      <c r="AD1062" s="176" t="e">
        <f>+'Estimate Details'!#REF!</f>
        <v>#REF!</v>
      </c>
      <c r="AE1062" s="156"/>
      <c r="AF1062" s="156"/>
      <c r="AG1062" s="156"/>
      <c r="AH1062" s="156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</row>
    <row r="1063" spans="1:44" s="30" customFormat="1" ht="14.1" customHeight="1">
      <c r="A1063" s="42" t="e">
        <f>+'Estimate Details'!#REF!</f>
        <v>#REF!</v>
      </c>
      <c r="B1063" s="42"/>
      <c r="C1063" s="42"/>
      <c r="D1063" s="248"/>
      <c r="E1063" s="158" t="e">
        <f>+'Estimate Details'!#REF!</f>
        <v>#REF!</v>
      </c>
      <c r="F1063" s="216"/>
      <c r="G1063" s="166" t="e">
        <f>+'Estimate Details'!#REF!</f>
        <v>#REF!</v>
      </c>
      <c r="H1063" s="226" t="e">
        <f>+'Estimate Details'!#REF!</f>
        <v>#REF!</v>
      </c>
      <c r="I1063" s="108" t="e">
        <f>+'Estimate Details'!#REF!</f>
        <v>#REF!</v>
      </c>
      <c r="J1063" s="168" t="e">
        <f>+'Estimate Details'!#REF!</f>
        <v>#REF!</v>
      </c>
      <c r="K1063" s="168" t="e">
        <f>+'Estimate Details'!#REF!</f>
        <v>#REF!</v>
      </c>
      <c r="L1063" s="168" t="e">
        <f>+'Estimate Details'!#REF!</f>
        <v>#REF!</v>
      </c>
      <c r="M1063" s="245" t="e">
        <f>+'Estimate Details'!#REF!</f>
        <v>#REF!</v>
      </c>
      <c r="N1063" s="245" t="e">
        <f>+'Estimate Details'!#REF!</f>
        <v>#REF!</v>
      </c>
      <c r="O1063" s="241" t="e">
        <f>+'Estimate Details'!#REF!</f>
        <v>#REF!</v>
      </c>
      <c r="P1063" s="241" t="e">
        <f>+'Estimate Details'!#REF!</f>
        <v>#REF!</v>
      </c>
      <c r="Q1063" s="172" t="e">
        <f>+'Estimate Details'!#REF!</f>
        <v>#REF!</v>
      </c>
      <c r="R1063" s="246" t="e">
        <f>+'Estimate Details'!#REF!</f>
        <v>#REF!</v>
      </c>
      <c r="S1063" s="516"/>
      <c r="T1063" s="246" t="e">
        <f>+'Estimate Details'!#REF!</f>
        <v>#REF!</v>
      </c>
      <c r="U1063" s="240"/>
      <c r="V1063" s="241" t="e">
        <f>+'Estimate Details'!#REF!</f>
        <v>#REF!</v>
      </c>
      <c r="W1063" s="240"/>
      <c r="X1063" s="241" t="e">
        <f>+'Estimate Details'!#REF!</f>
        <v>#REF!</v>
      </c>
      <c r="Y1063" s="241" t="e">
        <f>+'Estimate Details'!#REF!</f>
        <v>#REF!</v>
      </c>
      <c r="Z1063" s="174" t="e">
        <f>+'Estimate Details'!#REF!</f>
        <v>#REF!</v>
      </c>
      <c r="AA1063" s="240"/>
      <c r="AB1063" s="175" t="e">
        <f>+'Estimate Details'!#REF!</f>
        <v>#REF!</v>
      </c>
      <c r="AC1063" s="573" t="s">
        <v>1582</v>
      </c>
      <c r="AD1063" s="176" t="e">
        <f>+'Estimate Details'!#REF!</f>
        <v>#REF!</v>
      </c>
      <c r="AE1063" s="156"/>
      <c r="AF1063" s="156"/>
      <c r="AG1063" s="156"/>
      <c r="AH1063" s="156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</row>
    <row r="1064" spans="1:44" s="30" customFormat="1" ht="14.1" customHeight="1">
      <c r="A1064" s="42" t="e">
        <f>+'Estimate Details'!#REF!</f>
        <v>#REF!</v>
      </c>
      <c r="B1064" s="42"/>
      <c r="C1064" s="42"/>
      <c r="D1064" s="248"/>
      <c r="E1064" s="158" t="e">
        <f>+'Estimate Details'!#REF!</f>
        <v>#REF!</v>
      </c>
      <c r="F1064" s="216"/>
      <c r="G1064" s="166" t="e">
        <f>+'Estimate Details'!#REF!</f>
        <v>#REF!</v>
      </c>
      <c r="H1064" s="226" t="e">
        <f>+'Estimate Details'!#REF!</f>
        <v>#REF!</v>
      </c>
      <c r="I1064" s="108" t="e">
        <f>+'Estimate Details'!#REF!</f>
        <v>#REF!</v>
      </c>
      <c r="J1064" s="168" t="e">
        <f>+'Estimate Details'!#REF!</f>
        <v>#REF!</v>
      </c>
      <c r="K1064" s="168" t="e">
        <f>+'Estimate Details'!#REF!</f>
        <v>#REF!</v>
      </c>
      <c r="L1064" s="168" t="e">
        <f>+'Estimate Details'!#REF!</f>
        <v>#REF!</v>
      </c>
      <c r="M1064" s="245" t="e">
        <f>+'Estimate Details'!#REF!</f>
        <v>#REF!</v>
      </c>
      <c r="N1064" s="245" t="e">
        <f>+'Estimate Details'!#REF!</f>
        <v>#REF!</v>
      </c>
      <c r="O1064" s="241" t="e">
        <f>+'Estimate Details'!#REF!</f>
        <v>#REF!</v>
      </c>
      <c r="P1064" s="241" t="e">
        <f>+'Estimate Details'!#REF!</f>
        <v>#REF!</v>
      </c>
      <c r="Q1064" s="172" t="e">
        <f>+'Estimate Details'!#REF!</f>
        <v>#REF!</v>
      </c>
      <c r="R1064" s="246" t="e">
        <f>+'Estimate Details'!#REF!</f>
        <v>#REF!</v>
      </c>
      <c r="S1064" s="516"/>
      <c r="T1064" s="246" t="e">
        <f>+'Estimate Details'!#REF!</f>
        <v>#REF!</v>
      </c>
      <c r="U1064" s="240"/>
      <c r="V1064" s="241" t="e">
        <f>+'Estimate Details'!#REF!</f>
        <v>#REF!</v>
      </c>
      <c r="W1064" s="240"/>
      <c r="X1064" s="241" t="e">
        <f>+'Estimate Details'!#REF!</f>
        <v>#REF!</v>
      </c>
      <c r="Y1064" s="241" t="e">
        <f>+'Estimate Details'!#REF!</f>
        <v>#REF!</v>
      </c>
      <c r="Z1064" s="174" t="e">
        <f>+'Estimate Details'!#REF!</f>
        <v>#REF!</v>
      </c>
      <c r="AA1064" s="240"/>
      <c r="AB1064" s="175" t="e">
        <f>+'Estimate Details'!#REF!</f>
        <v>#REF!</v>
      </c>
      <c r="AC1064" s="573" t="s">
        <v>1583</v>
      </c>
      <c r="AD1064" s="176" t="e">
        <f>+'Estimate Details'!#REF!</f>
        <v>#REF!</v>
      </c>
      <c r="AE1064" s="156"/>
      <c r="AF1064" s="156"/>
      <c r="AG1064" s="156"/>
      <c r="AH1064" s="156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</row>
    <row r="1065" spans="1:44" s="30" customFormat="1" ht="14.1" customHeight="1">
      <c r="A1065" s="42" t="e">
        <f>+'Estimate Details'!#REF!</f>
        <v>#REF!</v>
      </c>
      <c r="B1065" s="42"/>
      <c r="C1065" s="42"/>
      <c r="D1065" s="248"/>
      <c r="E1065" s="158" t="e">
        <f>+'Estimate Details'!#REF!</f>
        <v>#REF!</v>
      </c>
      <c r="F1065" s="216"/>
      <c r="G1065" s="166" t="e">
        <f>+'Estimate Details'!#REF!</f>
        <v>#REF!</v>
      </c>
      <c r="H1065" s="226" t="e">
        <f>+'Estimate Details'!#REF!</f>
        <v>#REF!</v>
      </c>
      <c r="I1065" s="108" t="e">
        <f>+'Estimate Details'!#REF!</f>
        <v>#REF!</v>
      </c>
      <c r="J1065" s="168" t="e">
        <f>+'Estimate Details'!#REF!</f>
        <v>#REF!</v>
      </c>
      <c r="K1065" s="168" t="e">
        <f>+'Estimate Details'!#REF!</f>
        <v>#REF!</v>
      </c>
      <c r="L1065" s="168" t="e">
        <f>+'Estimate Details'!#REF!</f>
        <v>#REF!</v>
      </c>
      <c r="M1065" s="245" t="e">
        <f>+'Estimate Details'!#REF!</f>
        <v>#REF!</v>
      </c>
      <c r="N1065" s="245" t="e">
        <f>+'Estimate Details'!#REF!</f>
        <v>#REF!</v>
      </c>
      <c r="O1065" s="241" t="e">
        <f>+'Estimate Details'!#REF!</f>
        <v>#REF!</v>
      </c>
      <c r="P1065" s="241" t="e">
        <f>+'Estimate Details'!#REF!</f>
        <v>#REF!</v>
      </c>
      <c r="Q1065" s="172" t="e">
        <f>+'Estimate Details'!#REF!</f>
        <v>#REF!</v>
      </c>
      <c r="R1065" s="246" t="e">
        <f>+'Estimate Details'!#REF!</f>
        <v>#REF!</v>
      </c>
      <c r="S1065" s="516"/>
      <c r="T1065" s="246" t="e">
        <f>+'Estimate Details'!#REF!</f>
        <v>#REF!</v>
      </c>
      <c r="U1065" s="240"/>
      <c r="V1065" s="241" t="e">
        <f>+'Estimate Details'!#REF!</f>
        <v>#REF!</v>
      </c>
      <c r="W1065" s="240"/>
      <c r="X1065" s="241" t="e">
        <f>+'Estimate Details'!#REF!</f>
        <v>#REF!</v>
      </c>
      <c r="Y1065" s="241" t="e">
        <f>+'Estimate Details'!#REF!</f>
        <v>#REF!</v>
      </c>
      <c r="Z1065" s="174" t="e">
        <f>+'Estimate Details'!#REF!</f>
        <v>#REF!</v>
      </c>
      <c r="AA1065" s="240"/>
      <c r="AB1065" s="175" t="e">
        <f>+'Estimate Details'!#REF!</f>
        <v>#REF!</v>
      </c>
      <c r="AC1065" s="573" t="s">
        <v>1581</v>
      </c>
      <c r="AD1065" s="176" t="e">
        <f>+'Estimate Details'!#REF!</f>
        <v>#REF!</v>
      </c>
      <c r="AE1065" s="156"/>
      <c r="AF1065" s="156"/>
      <c r="AG1065" s="156"/>
      <c r="AH1065" s="156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</row>
    <row r="1066" spans="1:44" s="30" customFormat="1" ht="14.1" customHeight="1">
      <c r="A1066" s="42" t="e">
        <f>+'Estimate Details'!#REF!</f>
        <v>#REF!</v>
      </c>
      <c r="B1066" s="42"/>
      <c r="C1066" s="42"/>
      <c r="D1066" s="248"/>
      <c r="E1066" s="158" t="e">
        <f>+'Estimate Details'!#REF!</f>
        <v>#REF!</v>
      </c>
      <c r="F1066" s="216"/>
      <c r="G1066" s="166" t="e">
        <f>+'Estimate Details'!#REF!</f>
        <v>#REF!</v>
      </c>
      <c r="H1066" s="257" t="e">
        <f>+'Estimate Details'!#REF!</f>
        <v>#REF!</v>
      </c>
      <c r="I1066" s="108" t="e">
        <f>+'Estimate Details'!#REF!</f>
        <v>#REF!</v>
      </c>
      <c r="J1066" s="168" t="e">
        <f>+'Estimate Details'!#REF!</f>
        <v>#REF!</v>
      </c>
      <c r="K1066" s="168" t="e">
        <f>+'Estimate Details'!#REF!</f>
        <v>#REF!</v>
      </c>
      <c r="L1066" s="168" t="e">
        <f>+'Estimate Details'!#REF!</f>
        <v>#REF!</v>
      </c>
      <c r="M1066" s="245" t="e">
        <f>+'Estimate Details'!#REF!</f>
        <v>#REF!</v>
      </c>
      <c r="N1066" s="245" t="e">
        <f>+'Estimate Details'!#REF!</f>
        <v>#REF!</v>
      </c>
      <c r="O1066" s="241" t="e">
        <f>+'Estimate Details'!#REF!</f>
        <v>#REF!</v>
      </c>
      <c r="P1066" s="241" t="e">
        <f>+'Estimate Details'!#REF!</f>
        <v>#REF!</v>
      </c>
      <c r="Q1066" s="172" t="e">
        <f>+'Estimate Details'!#REF!</f>
        <v>#REF!</v>
      </c>
      <c r="R1066" s="246" t="e">
        <f>+'Estimate Details'!#REF!</f>
        <v>#REF!</v>
      </c>
      <c r="S1066" s="516"/>
      <c r="T1066" s="246" t="e">
        <f>+'Estimate Details'!#REF!</f>
        <v>#REF!</v>
      </c>
      <c r="U1066" s="240"/>
      <c r="V1066" s="241" t="e">
        <f>+'Estimate Details'!#REF!</f>
        <v>#REF!</v>
      </c>
      <c r="W1066" s="240"/>
      <c r="X1066" s="241" t="e">
        <f>+'Estimate Details'!#REF!</f>
        <v>#REF!</v>
      </c>
      <c r="Y1066" s="241" t="e">
        <f>+'Estimate Details'!#REF!</f>
        <v>#REF!</v>
      </c>
      <c r="Z1066" s="174" t="e">
        <f>+'Estimate Details'!#REF!</f>
        <v>#REF!</v>
      </c>
      <c r="AA1066" s="240"/>
      <c r="AB1066" s="175" t="e">
        <f>+'Estimate Details'!#REF!</f>
        <v>#REF!</v>
      </c>
      <c r="AC1066" s="573" t="s">
        <v>1584</v>
      </c>
      <c r="AD1066" s="176" t="e">
        <f>+'Estimate Details'!#REF!</f>
        <v>#REF!</v>
      </c>
      <c r="AE1066" s="156"/>
      <c r="AF1066" s="156"/>
      <c r="AG1066" s="156"/>
      <c r="AH1066" s="156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</row>
    <row r="1067" spans="1:44" s="30" customFormat="1" ht="14.1" customHeight="1">
      <c r="A1067" s="42" t="e">
        <f>+'Estimate Details'!#REF!</f>
        <v>#REF!</v>
      </c>
      <c r="B1067" s="42"/>
      <c r="C1067" s="42"/>
      <c r="D1067" s="248"/>
      <c r="E1067" s="158" t="e">
        <f>+'Estimate Details'!#REF!</f>
        <v>#REF!</v>
      </c>
      <c r="F1067" s="216"/>
      <c r="G1067" s="166" t="e">
        <f>+'Estimate Details'!#REF!</f>
        <v>#REF!</v>
      </c>
      <c r="H1067" s="257" t="e">
        <f>+'Estimate Details'!#REF!</f>
        <v>#REF!</v>
      </c>
      <c r="I1067" s="108" t="e">
        <f>+'Estimate Details'!#REF!</f>
        <v>#REF!</v>
      </c>
      <c r="J1067" s="168" t="e">
        <f>+'Estimate Details'!#REF!</f>
        <v>#REF!</v>
      </c>
      <c r="K1067" s="168" t="e">
        <f>+'Estimate Details'!#REF!</f>
        <v>#REF!</v>
      </c>
      <c r="L1067" s="168" t="e">
        <f>+'Estimate Details'!#REF!</f>
        <v>#REF!</v>
      </c>
      <c r="M1067" s="245" t="e">
        <f>+'Estimate Details'!#REF!</f>
        <v>#REF!</v>
      </c>
      <c r="N1067" s="245" t="e">
        <f>+'Estimate Details'!#REF!</f>
        <v>#REF!</v>
      </c>
      <c r="O1067" s="241" t="e">
        <f>+'Estimate Details'!#REF!</f>
        <v>#REF!</v>
      </c>
      <c r="P1067" s="241" t="e">
        <f>+'Estimate Details'!#REF!</f>
        <v>#REF!</v>
      </c>
      <c r="Q1067" s="172" t="e">
        <f>+'Estimate Details'!#REF!</f>
        <v>#REF!</v>
      </c>
      <c r="R1067" s="246" t="e">
        <f>+'Estimate Details'!#REF!</f>
        <v>#REF!</v>
      </c>
      <c r="S1067" s="516"/>
      <c r="T1067" s="246" t="e">
        <f>+'Estimate Details'!#REF!</f>
        <v>#REF!</v>
      </c>
      <c r="U1067" s="240"/>
      <c r="V1067" s="241" t="e">
        <f>+'Estimate Details'!#REF!</f>
        <v>#REF!</v>
      </c>
      <c r="W1067" s="240"/>
      <c r="X1067" s="241" t="e">
        <f>+'Estimate Details'!#REF!</f>
        <v>#REF!</v>
      </c>
      <c r="Y1067" s="241" t="e">
        <f>+'Estimate Details'!#REF!</f>
        <v>#REF!</v>
      </c>
      <c r="Z1067" s="174" t="e">
        <f>+'Estimate Details'!#REF!</f>
        <v>#REF!</v>
      </c>
      <c r="AA1067" s="240"/>
      <c r="AB1067" s="175" t="e">
        <f>+'Estimate Details'!#REF!</f>
        <v>#REF!</v>
      </c>
      <c r="AC1067" s="573" t="s">
        <v>1585</v>
      </c>
      <c r="AD1067" s="176" t="e">
        <f>+'Estimate Details'!#REF!</f>
        <v>#REF!</v>
      </c>
      <c r="AE1067" s="156"/>
      <c r="AF1067" s="156"/>
      <c r="AG1067" s="156"/>
      <c r="AH1067" s="156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</row>
    <row r="1068" spans="1:44" s="30" customFormat="1" ht="14.1" customHeight="1">
      <c r="A1068" s="42" t="e">
        <f>+'Estimate Details'!#REF!</f>
        <v>#REF!</v>
      </c>
      <c r="B1068" s="42"/>
      <c r="C1068" s="42"/>
      <c r="D1068" s="248"/>
      <c r="E1068" s="158" t="e">
        <f>+'Estimate Details'!#REF!</f>
        <v>#REF!</v>
      </c>
      <c r="F1068" s="216"/>
      <c r="G1068" s="166" t="e">
        <f>+'Estimate Details'!#REF!</f>
        <v>#REF!</v>
      </c>
      <c r="H1068" s="257" t="e">
        <f>+'Estimate Details'!#REF!</f>
        <v>#REF!</v>
      </c>
      <c r="I1068" s="108" t="e">
        <f>+'Estimate Details'!#REF!</f>
        <v>#REF!</v>
      </c>
      <c r="J1068" s="168" t="e">
        <f>+'Estimate Details'!#REF!</f>
        <v>#REF!</v>
      </c>
      <c r="K1068" s="168" t="e">
        <f>+'Estimate Details'!#REF!</f>
        <v>#REF!</v>
      </c>
      <c r="L1068" s="168" t="e">
        <f>+'Estimate Details'!#REF!</f>
        <v>#REF!</v>
      </c>
      <c r="M1068" s="245" t="e">
        <f>+'Estimate Details'!#REF!</f>
        <v>#REF!</v>
      </c>
      <c r="N1068" s="245" t="e">
        <f>+'Estimate Details'!#REF!</f>
        <v>#REF!</v>
      </c>
      <c r="O1068" s="241" t="e">
        <f>+'Estimate Details'!#REF!</f>
        <v>#REF!</v>
      </c>
      <c r="P1068" s="241" t="e">
        <f>+'Estimate Details'!#REF!</f>
        <v>#REF!</v>
      </c>
      <c r="Q1068" s="172" t="e">
        <f>+'Estimate Details'!#REF!</f>
        <v>#REF!</v>
      </c>
      <c r="R1068" s="246" t="e">
        <f>+'Estimate Details'!#REF!</f>
        <v>#REF!</v>
      </c>
      <c r="S1068" s="516"/>
      <c r="T1068" s="246" t="e">
        <f>+'Estimate Details'!#REF!</f>
        <v>#REF!</v>
      </c>
      <c r="U1068" s="240"/>
      <c r="V1068" s="241" t="e">
        <f>+'Estimate Details'!#REF!</f>
        <v>#REF!</v>
      </c>
      <c r="W1068" s="240"/>
      <c r="X1068" s="241" t="e">
        <f>+'Estimate Details'!#REF!</f>
        <v>#REF!</v>
      </c>
      <c r="Y1068" s="241" t="e">
        <f>+'Estimate Details'!#REF!</f>
        <v>#REF!</v>
      </c>
      <c r="Z1068" s="174" t="e">
        <f>+'Estimate Details'!#REF!</f>
        <v>#REF!</v>
      </c>
      <c r="AA1068" s="240"/>
      <c r="AB1068" s="175" t="e">
        <f>+'Estimate Details'!#REF!</f>
        <v>#REF!</v>
      </c>
      <c r="AC1068" s="573" t="s">
        <v>1586</v>
      </c>
      <c r="AD1068" s="176" t="e">
        <f>+'Estimate Details'!#REF!</f>
        <v>#REF!</v>
      </c>
      <c r="AE1068" s="156"/>
      <c r="AF1068" s="156"/>
      <c r="AG1068" s="156"/>
      <c r="AH1068" s="156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</row>
    <row r="1069" spans="1:44" s="30" customFormat="1" ht="14.1" customHeight="1">
      <c r="A1069" s="42" t="e">
        <f>+'Estimate Details'!#REF!</f>
        <v>#REF!</v>
      </c>
      <c r="B1069" s="42"/>
      <c r="C1069" s="42"/>
      <c r="D1069" s="248"/>
      <c r="E1069" s="158" t="e">
        <f>+'Estimate Details'!#REF!</f>
        <v>#REF!</v>
      </c>
      <c r="F1069" s="216"/>
      <c r="G1069" s="166" t="e">
        <f>+'Estimate Details'!#REF!</f>
        <v>#REF!</v>
      </c>
      <c r="H1069" s="257" t="e">
        <f>+'Estimate Details'!#REF!</f>
        <v>#REF!</v>
      </c>
      <c r="I1069" s="108" t="e">
        <f>+'Estimate Details'!#REF!</f>
        <v>#REF!</v>
      </c>
      <c r="J1069" s="168" t="e">
        <f>+'Estimate Details'!#REF!</f>
        <v>#REF!</v>
      </c>
      <c r="K1069" s="168" t="e">
        <f>+'Estimate Details'!#REF!</f>
        <v>#REF!</v>
      </c>
      <c r="L1069" s="168" t="e">
        <f>+'Estimate Details'!#REF!</f>
        <v>#REF!</v>
      </c>
      <c r="M1069" s="245" t="e">
        <f>+'Estimate Details'!#REF!</f>
        <v>#REF!</v>
      </c>
      <c r="N1069" s="245" t="e">
        <f>+'Estimate Details'!#REF!</f>
        <v>#REF!</v>
      </c>
      <c r="O1069" s="241" t="e">
        <f>+'Estimate Details'!#REF!</f>
        <v>#REF!</v>
      </c>
      <c r="P1069" s="241" t="e">
        <f>+'Estimate Details'!#REF!</f>
        <v>#REF!</v>
      </c>
      <c r="Q1069" s="172" t="e">
        <f>+'Estimate Details'!#REF!</f>
        <v>#REF!</v>
      </c>
      <c r="R1069" s="246" t="e">
        <f>+'Estimate Details'!#REF!</f>
        <v>#REF!</v>
      </c>
      <c r="S1069" s="516"/>
      <c r="T1069" s="246" t="e">
        <f>+'Estimate Details'!#REF!</f>
        <v>#REF!</v>
      </c>
      <c r="U1069" s="240"/>
      <c r="V1069" s="241" t="e">
        <f>+'Estimate Details'!#REF!</f>
        <v>#REF!</v>
      </c>
      <c r="W1069" s="240"/>
      <c r="X1069" s="241" t="e">
        <f>+'Estimate Details'!#REF!</f>
        <v>#REF!</v>
      </c>
      <c r="Y1069" s="241" t="e">
        <f>+'Estimate Details'!#REF!</f>
        <v>#REF!</v>
      </c>
      <c r="Z1069" s="174" t="e">
        <f>+'Estimate Details'!#REF!</f>
        <v>#REF!</v>
      </c>
      <c r="AA1069" s="240"/>
      <c r="AB1069" s="175" t="e">
        <f>+'Estimate Details'!#REF!</f>
        <v>#REF!</v>
      </c>
      <c r="AC1069" s="573"/>
      <c r="AD1069" s="176" t="e">
        <f>+'Estimate Details'!#REF!</f>
        <v>#REF!</v>
      </c>
      <c r="AE1069" s="156"/>
      <c r="AF1069" s="156"/>
      <c r="AG1069" s="156"/>
      <c r="AH1069" s="156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</row>
    <row r="1070" spans="1:44" s="30" customFormat="1" ht="14.1" customHeight="1">
      <c r="A1070" s="42" t="e">
        <f>+'Estimate Details'!#REF!</f>
        <v>#REF!</v>
      </c>
      <c r="B1070" s="42"/>
      <c r="C1070" s="42"/>
      <c r="D1070" s="248"/>
      <c r="E1070" s="158" t="e">
        <f>+'Estimate Details'!#REF!</f>
        <v>#REF!</v>
      </c>
      <c r="F1070" s="216"/>
      <c r="G1070" s="166" t="e">
        <f>+'Estimate Details'!#REF!</f>
        <v>#REF!</v>
      </c>
      <c r="H1070" s="226" t="e">
        <f>+'Estimate Details'!#REF!</f>
        <v>#REF!</v>
      </c>
      <c r="I1070" s="108" t="e">
        <f>+'Estimate Details'!#REF!</f>
        <v>#REF!</v>
      </c>
      <c r="J1070" s="168" t="e">
        <f>+'Estimate Details'!#REF!</f>
        <v>#REF!</v>
      </c>
      <c r="K1070" s="168" t="e">
        <f>+'Estimate Details'!#REF!</f>
        <v>#REF!</v>
      </c>
      <c r="L1070" s="168" t="e">
        <f>+'Estimate Details'!#REF!</f>
        <v>#REF!</v>
      </c>
      <c r="M1070" s="245" t="e">
        <f>+'Estimate Details'!#REF!</f>
        <v>#REF!</v>
      </c>
      <c r="N1070" s="245" t="e">
        <f>+'Estimate Details'!#REF!</f>
        <v>#REF!</v>
      </c>
      <c r="O1070" s="241" t="e">
        <f>+'Estimate Details'!#REF!</f>
        <v>#REF!</v>
      </c>
      <c r="P1070" s="241" t="e">
        <f>+'Estimate Details'!#REF!</f>
        <v>#REF!</v>
      </c>
      <c r="Q1070" s="172" t="e">
        <f>+'Estimate Details'!#REF!</f>
        <v>#REF!</v>
      </c>
      <c r="R1070" s="246" t="e">
        <f>+'Estimate Details'!#REF!</f>
        <v>#REF!</v>
      </c>
      <c r="S1070" s="516"/>
      <c r="T1070" s="246" t="e">
        <f>+'Estimate Details'!#REF!</f>
        <v>#REF!</v>
      </c>
      <c r="U1070" s="240"/>
      <c r="V1070" s="241" t="e">
        <f>+'Estimate Details'!#REF!</f>
        <v>#REF!</v>
      </c>
      <c r="W1070" s="240"/>
      <c r="X1070" s="241" t="e">
        <f>+'Estimate Details'!#REF!</f>
        <v>#REF!</v>
      </c>
      <c r="Y1070" s="241" t="e">
        <f>+'Estimate Details'!#REF!</f>
        <v>#REF!</v>
      </c>
      <c r="Z1070" s="174" t="e">
        <f>+'Estimate Details'!#REF!</f>
        <v>#REF!</v>
      </c>
      <c r="AA1070" s="240"/>
      <c r="AB1070" s="175" t="e">
        <f>+'Estimate Details'!#REF!</f>
        <v>#REF!</v>
      </c>
      <c r="AC1070" s="573" t="s">
        <v>1592</v>
      </c>
      <c r="AD1070" s="176" t="e">
        <f>+'Estimate Details'!#REF!</f>
        <v>#REF!</v>
      </c>
      <c r="AE1070" s="156"/>
      <c r="AF1070" s="156"/>
      <c r="AG1070" s="156"/>
      <c r="AH1070" s="156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</row>
    <row r="1071" spans="1:44" s="30" customFormat="1" ht="14.1" customHeight="1">
      <c r="A1071" s="42" t="e">
        <f>+'Estimate Details'!#REF!</f>
        <v>#REF!</v>
      </c>
      <c r="B1071" s="42"/>
      <c r="C1071" s="42"/>
      <c r="D1071" s="248"/>
      <c r="E1071" s="158" t="e">
        <f>+'Estimate Details'!#REF!</f>
        <v>#REF!</v>
      </c>
      <c r="F1071" s="216"/>
      <c r="G1071" s="166" t="e">
        <f>+'Estimate Details'!#REF!</f>
        <v>#REF!</v>
      </c>
      <c r="H1071" s="226" t="e">
        <f>+'Estimate Details'!#REF!</f>
        <v>#REF!</v>
      </c>
      <c r="I1071" s="108" t="e">
        <f>+'Estimate Details'!#REF!</f>
        <v>#REF!</v>
      </c>
      <c r="J1071" s="168" t="e">
        <f>+'Estimate Details'!#REF!</f>
        <v>#REF!</v>
      </c>
      <c r="K1071" s="168" t="e">
        <f>+'Estimate Details'!#REF!</f>
        <v>#REF!</v>
      </c>
      <c r="L1071" s="168" t="e">
        <f>+'Estimate Details'!#REF!</f>
        <v>#REF!</v>
      </c>
      <c r="M1071" s="245" t="e">
        <f>+'Estimate Details'!#REF!</f>
        <v>#REF!</v>
      </c>
      <c r="N1071" s="245" t="e">
        <f>+'Estimate Details'!#REF!</f>
        <v>#REF!</v>
      </c>
      <c r="O1071" s="241" t="e">
        <f>+'Estimate Details'!#REF!</f>
        <v>#REF!</v>
      </c>
      <c r="P1071" s="241" t="e">
        <f>+'Estimate Details'!#REF!</f>
        <v>#REF!</v>
      </c>
      <c r="Q1071" s="172" t="e">
        <f>+'Estimate Details'!#REF!</f>
        <v>#REF!</v>
      </c>
      <c r="R1071" s="246" t="e">
        <f>+'Estimate Details'!#REF!</f>
        <v>#REF!</v>
      </c>
      <c r="S1071" s="516"/>
      <c r="T1071" s="246" t="e">
        <f>+'Estimate Details'!#REF!</f>
        <v>#REF!</v>
      </c>
      <c r="U1071" s="240"/>
      <c r="V1071" s="241" t="e">
        <f>+'Estimate Details'!#REF!</f>
        <v>#REF!</v>
      </c>
      <c r="W1071" s="240"/>
      <c r="X1071" s="241" t="e">
        <f>+'Estimate Details'!#REF!</f>
        <v>#REF!</v>
      </c>
      <c r="Y1071" s="241" t="e">
        <f>+'Estimate Details'!#REF!</f>
        <v>#REF!</v>
      </c>
      <c r="Z1071" s="174" t="e">
        <f>+'Estimate Details'!#REF!</f>
        <v>#REF!</v>
      </c>
      <c r="AA1071" s="240"/>
      <c r="AB1071" s="175" t="e">
        <f>+'Estimate Details'!#REF!</f>
        <v>#REF!</v>
      </c>
      <c r="AC1071" s="573" t="s">
        <v>1590</v>
      </c>
      <c r="AD1071" s="176" t="e">
        <f>+'Estimate Details'!#REF!</f>
        <v>#REF!</v>
      </c>
      <c r="AE1071" s="156"/>
      <c r="AF1071" s="156"/>
      <c r="AG1071" s="156"/>
      <c r="AH1071" s="156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</row>
    <row r="1072" spans="1:44" s="30" customFormat="1" ht="14.1" customHeight="1">
      <c r="A1072" s="42" t="e">
        <f>+'Estimate Details'!#REF!</f>
        <v>#REF!</v>
      </c>
      <c r="B1072" s="42"/>
      <c r="C1072" s="42"/>
      <c r="D1072" s="248"/>
      <c r="E1072" s="158" t="e">
        <f>+'Estimate Details'!#REF!</f>
        <v>#REF!</v>
      </c>
      <c r="F1072" s="216"/>
      <c r="G1072" s="166" t="e">
        <f>+'Estimate Details'!#REF!</f>
        <v>#REF!</v>
      </c>
      <c r="H1072" s="226" t="e">
        <f>+'Estimate Details'!#REF!</f>
        <v>#REF!</v>
      </c>
      <c r="I1072" s="108" t="e">
        <f>+'Estimate Details'!#REF!</f>
        <v>#REF!</v>
      </c>
      <c r="J1072" s="168" t="e">
        <f>+'Estimate Details'!#REF!</f>
        <v>#REF!</v>
      </c>
      <c r="K1072" s="168" t="e">
        <f>+'Estimate Details'!#REF!</f>
        <v>#REF!</v>
      </c>
      <c r="L1072" s="168" t="e">
        <f>+'Estimate Details'!#REF!</f>
        <v>#REF!</v>
      </c>
      <c r="M1072" s="245" t="e">
        <f>+'Estimate Details'!#REF!</f>
        <v>#REF!</v>
      </c>
      <c r="N1072" s="245" t="e">
        <f>+'Estimate Details'!#REF!</f>
        <v>#REF!</v>
      </c>
      <c r="O1072" s="241" t="e">
        <f>+'Estimate Details'!#REF!</f>
        <v>#REF!</v>
      </c>
      <c r="P1072" s="241" t="e">
        <f>+'Estimate Details'!#REF!</f>
        <v>#REF!</v>
      </c>
      <c r="Q1072" s="172" t="e">
        <f>+'Estimate Details'!#REF!</f>
        <v>#REF!</v>
      </c>
      <c r="R1072" s="246" t="e">
        <f>+'Estimate Details'!#REF!</f>
        <v>#REF!</v>
      </c>
      <c r="S1072" s="516"/>
      <c r="T1072" s="246" t="e">
        <f>+'Estimate Details'!#REF!</f>
        <v>#REF!</v>
      </c>
      <c r="U1072" s="240"/>
      <c r="V1072" s="241" t="e">
        <f>+'Estimate Details'!#REF!</f>
        <v>#REF!</v>
      </c>
      <c r="W1072" s="240"/>
      <c r="X1072" s="241" t="e">
        <f>+'Estimate Details'!#REF!</f>
        <v>#REF!</v>
      </c>
      <c r="Y1072" s="241" t="e">
        <f>+'Estimate Details'!#REF!</f>
        <v>#REF!</v>
      </c>
      <c r="Z1072" s="174" t="e">
        <f>+'Estimate Details'!#REF!</f>
        <v>#REF!</v>
      </c>
      <c r="AA1072" s="240"/>
      <c r="AB1072" s="175" t="e">
        <f>+'Estimate Details'!#REF!</f>
        <v>#REF!</v>
      </c>
      <c r="AC1072" s="573" t="s">
        <v>1589</v>
      </c>
      <c r="AD1072" s="176" t="e">
        <f>+'Estimate Details'!#REF!</f>
        <v>#REF!</v>
      </c>
      <c r="AE1072" s="156"/>
      <c r="AF1072" s="156"/>
      <c r="AG1072" s="156"/>
      <c r="AH1072" s="156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</row>
    <row r="1073" spans="1:44" s="30" customFormat="1" ht="14.1" customHeight="1">
      <c r="A1073" s="42" t="e">
        <f>+'Estimate Details'!#REF!</f>
        <v>#REF!</v>
      </c>
      <c r="B1073" s="42"/>
      <c r="C1073" s="42"/>
      <c r="D1073" s="248"/>
      <c r="E1073" s="158" t="e">
        <f>+'Estimate Details'!#REF!</f>
        <v>#REF!</v>
      </c>
      <c r="F1073" s="216"/>
      <c r="G1073" s="166" t="e">
        <f>+'Estimate Details'!#REF!</f>
        <v>#REF!</v>
      </c>
      <c r="H1073" s="226" t="e">
        <f>+'Estimate Details'!#REF!</f>
        <v>#REF!</v>
      </c>
      <c r="I1073" s="108" t="e">
        <f>+'Estimate Details'!#REF!</f>
        <v>#REF!</v>
      </c>
      <c r="J1073" s="168" t="e">
        <f>+'Estimate Details'!#REF!</f>
        <v>#REF!</v>
      </c>
      <c r="K1073" s="168" t="e">
        <f>+'Estimate Details'!#REF!</f>
        <v>#REF!</v>
      </c>
      <c r="L1073" s="168" t="e">
        <f>+'Estimate Details'!#REF!</f>
        <v>#REF!</v>
      </c>
      <c r="M1073" s="245" t="e">
        <f>+'Estimate Details'!#REF!</f>
        <v>#REF!</v>
      </c>
      <c r="N1073" s="245" t="e">
        <f>+'Estimate Details'!#REF!</f>
        <v>#REF!</v>
      </c>
      <c r="O1073" s="241" t="e">
        <f>+'Estimate Details'!#REF!</f>
        <v>#REF!</v>
      </c>
      <c r="P1073" s="241" t="e">
        <f>+'Estimate Details'!#REF!</f>
        <v>#REF!</v>
      </c>
      <c r="Q1073" s="172" t="e">
        <f>+'Estimate Details'!#REF!</f>
        <v>#REF!</v>
      </c>
      <c r="R1073" s="246" t="e">
        <f>+'Estimate Details'!#REF!</f>
        <v>#REF!</v>
      </c>
      <c r="S1073" s="516"/>
      <c r="T1073" s="246" t="e">
        <f>+'Estimate Details'!#REF!</f>
        <v>#REF!</v>
      </c>
      <c r="U1073" s="240"/>
      <c r="V1073" s="241" t="e">
        <f>+'Estimate Details'!#REF!</f>
        <v>#REF!</v>
      </c>
      <c r="W1073" s="240"/>
      <c r="X1073" s="241" t="e">
        <f>+'Estimate Details'!#REF!</f>
        <v>#REF!</v>
      </c>
      <c r="Y1073" s="241" t="e">
        <f>+'Estimate Details'!#REF!</f>
        <v>#REF!</v>
      </c>
      <c r="Z1073" s="174" t="e">
        <f>+'Estimate Details'!#REF!</f>
        <v>#REF!</v>
      </c>
      <c r="AA1073" s="240"/>
      <c r="AB1073" s="175" t="e">
        <f>+'Estimate Details'!#REF!</f>
        <v>#REF!</v>
      </c>
      <c r="AC1073" s="573" t="s">
        <v>1591</v>
      </c>
      <c r="AD1073" s="176" t="e">
        <f>+'Estimate Details'!#REF!</f>
        <v>#REF!</v>
      </c>
      <c r="AE1073" s="156"/>
      <c r="AF1073" s="156"/>
      <c r="AG1073" s="156"/>
      <c r="AH1073" s="156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</row>
    <row r="1074" spans="1:44" s="30" customFormat="1" ht="14.1" customHeight="1">
      <c r="A1074" s="42" t="e">
        <f>+'Estimate Details'!#REF!</f>
        <v>#REF!</v>
      </c>
      <c r="B1074" s="42"/>
      <c r="C1074" s="42"/>
      <c r="D1074" s="248"/>
      <c r="E1074" s="158" t="e">
        <f>+'Estimate Details'!#REF!</f>
        <v>#REF!</v>
      </c>
      <c r="F1074" s="216"/>
      <c r="G1074" s="166" t="e">
        <f>+'Estimate Details'!#REF!</f>
        <v>#REF!</v>
      </c>
      <c r="H1074" s="226" t="e">
        <f>+'Estimate Details'!#REF!</f>
        <v>#REF!</v>
      </c>
      <c r="I1074" s="108" t="e">
        <f>+'Estimate Details'!#REF!</f>
        <v>#REF!</v>
      </c>
      <c r="J1074" s="168" t="e">
        <f>+'Estimate Details'!#REF!</f>
        <v>#REF!</v>
      </c>
      <c r="K1074" s="168" t="e">
        <f>+'Estimate Details'!#REF!</f>
        <v>#REF!</v>
      </c>
      <c r="L1074" s="168" t="e">
        <f>+'Estimate Details'!#REF!</f>
        <v>#REF!</v>
      </c>
      <c r="M1074" s="245" t="e">
        <f>+'Estimate Details'!#REF!</f>
        <v>#REF!</v>
      </c>
      <c r="N1074" s="245" t="e">
        <f>+'Estimate Details'!#REF!</f>
        <v>#REF!</v>
      </c>
      <c r="O1074" s="241" t="e">
        <f>+'Estimate Details'!#REF!</f>
        <v>#REF!</v>
      </c>
      <c r="P1074" s="241" t="e">
        <f>+'Estimate Details'!#REF!</f>
        <v>#REF!</v>
      </c>
      <c r="Q1074" s="172" t="e">
        <f>+'Estimate Details'!#REF!</f>
        <v>#REF!</v>
      </c>
      <c r="R1074" s="246" t="e">
        <f>+'Estimate Details'!#REF!</f>
        <v>#REF!</v>
      </c>
      <c r="S1074" s="516"/>
      <c r="T1074" s="246" t="e">
        <f>+'Estimate Details'!#REF!</f>
        <v>#REF!</v>
      </c>
      <c r="U1074" s="240"/>
      <c r="V1074" s="241" t="e">
        <f>+'Estimate Details'!#REF!</f>
        <v>#REF!</v>
      </c>
      <c r="W1074" s="240"/>
      <c r="X1074" s="241" t="e">
        <f>+'Estimate Details'!#REF!</f>
        <v>#REF!</v>
      </c>
      <c r="Y1074" s="241" t="e">
        <f>+'Estimate Details'!#REF!</f>
        <v>#REF!</v>
      </c>
      <c r="Z1074" s="174" t="e">
        <f>+'Estimate Details'!#REF!</f>
        <v>#REF!</v>
      </c>
      <c r="AA1074" s="240"/>
      <c r="AB1074" s="175" t="e">
        <f>+'Estimate Details'!#REF!</f>
        <v>#REF!</v>
      </c>
      <c r="AC1074" s="573" t="s">
        <v>1588</v>
      </c>
      <c r="AD1074" s="176" t="e">
        <f>+'Estimate Details'!#REF!</f>
        <v>#REF!</v>
      </c>
      <c r="AE1074" s="156"/>
      <c r="AF1074" s="156"/>
      <c r="AG1074" s="156"/>
      <c r="AH1074" s="156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</row>
    <row r="1075" spans="1:44" s="30" customFormat="1" ht="14.1" customHeight="1">
      <c r="A1075" s="42" t="e">
        <f>+'Estimate Details'!#REF!</f>
        <v>#REF!</v>
      </c>
      <c r="B1075" s="42"/>
      <c r="C1075" s="42"/>
      <c r="D1075" s="248"/>
      <c r="E1075" s="158" t="e">
        <f>+'Estimate Details'!#REF!</f>
        <v>#REF!</v>
      </c>
      <c r="F1075" s="216"/>
      <c r="G1075" s="166" t="e">
        <f>+'Estimate Details'!#REF!</f>
        <v>#REF!</v>
      </c>
      <c r="H1075" s="226" t="e">
        <f>+'Estimate Details'!#REF!</f>
        <v>#REF!</v>
      </c>
      <c r="I1075" s="108" t="e">
        <f>+'Estimate Details'!#REF!</f>
        <v>#REF!</v>
      </c>
      <c r="J1075" s="168" t="e">
        <f>+'Estimate Details'!#REF!</f>
        <v>#REF!</v>
      </c>
      <c r="K1075" s="168" t="e">
        <f>+'Estimate Details'!#REF!</f>
        <v>#REF!</v>
      </c>
      <c r="L1075" s="168" t="e">
        <f>+'Estimate Details'!#REF!</f>
        <v>#REF!</v>
      </c>
      <c r="M1075" s="245" t="e">
        <f>+'Estimate Details'!#REF!</f>
        <v>#REF!</v>
      </c>
      <c r="N1075" s="245" t="e">
        <f>+'Estimate Details'!#REF!</f>
        <v>#REF!</v>
      </c>
      <c r="O1075" s="241" t="e">
        <f>+'Estimate Details'!#REF!</f>
        <v>#REF!</v>
      </c>
      <c r="P1075" s="241" t="e">
        <f>+'Estimate Details'!#REF!</f>
        <v>#REF!</v>
      </c>
      <c r="Q1075" s="172" t="e">
        <f>+'Estimate Details'!#REF!</f>
        <v>#REF!</v>
      </c>
      <c r="R1075" s="246" t="e">
        <f>+'Estimate Details'!#REF!</f>
        <v>#REF!</v>
      </c>
      <c r="S1075" s="516"/>
      <c r="T1075" s="246" t="e">
        <f>+'Estimate Details'!#REF!</f>
        <v>#REF!</v>
      </c>
      <c r="U1075" s="240"/>
      <c r="V1075" s="241" t="e">
        <f>+'Estimate Details'!#REF!</f>
        <v>#REF!</v>
      </c>
      <c r="W1075" s="240"/>
      <c r="X1075" s="241" t="e">
        <f>+'Estimate Details'!#REF!</f>
        <v>#REF!</v>
      </c>
      <c r="Y1075" s="241" t="e">
        <f>+'Estimate Details'!#REF!</f>
        <v>#REF!</v>
      </c>
      <c r="Z1075" s="174" t="e">
        <f>+'Estimate Details'!#REF!</f>
        <v>#REF!</v>
      </c>
      <c r="AA1075" s="240"/>
      <c r="AB1075" s="175" t="e">
        <f>+'Estimate Details'!#REF!</f>
        <v>#REF!</v>
      </c>
      <c r="AC1075" s="573" t="s">
        <v>1587</v>
      </c>
      <c r="AD1075" s="176" t="e">
        <f>+'Estimate Details'!#REF!</f>
        <v>#REF!</v>
      </c>
      <c r="AE1075" s="156"/>
      <c r="AF1075" s="156"/>
      <c r="AG1075" s="156"/>
      <c r="AH1075" s="156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</row>
    <row r="1076" spans="1:44" s="30" customFormat="1" ht="14.1" customHeight="1">
      <c r="A1076" s="42" t="e">
        <f>+'Estimate Details'!#REF!</f>
        <v>#REF!</v>
      </c>
      <c r="B1076" s="42"/>
      <c r="C1076" s="42"/>
      <c r="D1076" s="248"/>
      <c r="E1076" s="158" t="e">
        <f>+'Estimate Details'!#REF!</f>
        <v>#REF!</v>
      </c>
      <c r="F1076" s="216"/>
      <c r="G1076" s="166" t="e">
        <f>+'Estimate Details'!#REF!</f>
        <v>#REF!</v>
      </c>
      <c r="H1076" s="257" t="e">
        <f>+'Estimate Details'!#REF!</f>
        <v>#REF!</v>
      </c>
      <c r="I1076" s="108" t="e">
        <f>+'Estimate Details'!#REF!</f>
        <v>#REF!</v>
      </c>
      <c r="J1076" s="168" t="e">
        <f>+'Estimate Details'!#REF!</f>
        <v>#REF!</v>
      </c>
      <c r="K1076" s="168" t="e">
        <f>+'Estimate Details'!#REF!</f>
        <v>#REF!</v>
      </c>
      <c r="L1076" s="168" t="e">
        <f>+'Estimate Details'!#REF!</f>
        <v>#REF!</v>
      </c>
      <c r="M1076" s="245" t="e">
        <f>+'Estimate Details'!#REF!</f>
        <v>#REF!</v>
      </c>
      <c r="N1076" s="245" t="e">
        <f>+'Estimate Details'!#REF!</f>
        <v>#REF!</v>
      </c>
      <c r="O1076" s="241" t="e">
        <f>+'Estimate Details'!#REF!</f>
        <v>#REF!</v>
      </c>
      <c r="P1076" s="241" t="e">
        <f>+'Estimate Details'!#REF!</f>
        <v>#REF!</v>
      </c>
      <c r="Q1076" s="172" t="e">
        <f>+'Estimate Details'!#REF!</f>
        <v>#REF!</v>
      </c>
      <c r="R1076" s="246" t="e">
        <f>+'Estimate Details'!#REF!</f>
        <v>#REF!</v>
      </c>
      <c r="S1076" s="516"/>
      <c r="T1076" s="246" t="e">
        <f>+'Estimate Details'!#REF!</f>
        <v>#REF!</v>
      </c>
      <c r="U1076" s="240"/>
      <c r="V1076" s="241" t="e">
        <f>+'Estimate Details'!#REF!</f>
        <v>#REF!</v>
      </c>
      <c r="W1076" s="240"/>
      <c r="X1076" s="241" t="e">
        <f>+'Estimate Details'!#REF!</f>
        <v>#REF!</v>
      </c>
      <c r="Y1076" s="241" t="e">
        <f>+'Estimate Details'!#REF!</f>
        <v>#REF!</v>
      </c>
      <c r="Z1076" s="174" t="e">
        <f>+'Estimate Details'!#REF!</f>
        <v>#REF!</v>
      </c>
      <c r="AA1076" s="240"/>
      <c r="AB1076" s="175" t="e">
        <f>+'Estimate Details'!#REF!</f>
        <v>#REF!</v>
      </c>
      <c r="AC1076" s="573" t="s">
        <v>572</v>
      </c>
      <c r="AD1076" s="176" t="e">
        <f>+'Estimate Details'!#REF!</f>
        <v>#REF!</v>
      </c>
      <c r="AE1076" s="156"/>
      <c r="AF1076" s="156"/>
      <c r="AG1076" s="156"/>
      <c r="AH1076" s="156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</row>
    <row r="1077" spans="1:44" s="30" customFormat="1" ht="14.1" customHeight="1">
      <c r="A1077" s="42" t="e">
        <f>+'Estimate Details'!#REF!</f>
        <v>#REF!</v>
      </c>
      <c r="B1077" s="42"/>
      <c r="C1077" s="42"/>
      <c r="D1077" s="248"/>
      <c r="E1077" s="158" t="e">
        <f>+'Estimate Details'!#REF!</f>
        <v>#REF!</v>
      </c>
      <c r="F1077" s="216"/>
      <c r="G1077" s="166" t="e">
        <f>+'Estimate Details'!#REF!</f>
        <v>#REF!</v>
      </c>
      <c r="H1077" s="257" t="e">
        <f>+'Estimate Details'!#REF!</f>
        <v>#REF!</v>
      </c>
      <c r="I1077" s="263" t="e">
        <f>+'Estimate Details'!#REF!</f>
        <v>#REF!</v>
      </c>
      <c r="J1077" s="168" t="e">
        <f>+'Estimate Details'!#REF!</f>
        <v>#REF!</v>
      </c>
      <c r="K1077" s="168" t="e">
        <f>+'Estimate Details'!#REF!</f>
        <v>#REF!</v>
      </c>
      <c r="L1077" s="168" t="e">
        <f>+'Estimate Details'!#REF!</f>
        <v>#REF!</v>
      </c>
      <c r="M1077" s="245" t="e">
        <f>+'Estimate Details'!#REF!</f>
        <v>#REF!</v>
      </c>
      <c r="N1077" s="245" t="e">
        <f>+'Estimate Details'!#REF!</f>
        <v>#REF!</v>
      </c>
      <c r="O1077" s="241" t="e">
        <f>+'Estimate Details'!#REF!</f>
        <v>#REF!</v>
      </c>
      <c r="P1077" s="241" t="e">
        <f>+'Estimate Details'!#REF!</f>
        <v>#REF!</v>
      </c>
      <c r="Q1077" s="172" t="e">
        <f>+'Estimate Details'!#REF!</f>
        <v>#REF!</v>
      </c>
      <c r="R1077" s="267" t="e">
        <f>+'Estimate Details'!#REF!</f>
        <v>#REF!</v>
      </c>
      <c r="S1077" s="517"/>
      <c r="T1077" s="267" t="e">
        <f>+'Estimate Details'!#REF!</f>
        <v>#REF!</v>
      </c>
      <c r="U1077" s="493"/>
      <c r="V1077" s="267" t="e">
        <f>+'Estimate Details'!#REF!</f>
        <v>#REF!</v>
      </c>
      <c r="W1077" s="493"/>
      <c r="X1077" s="241" t="e">
        <f>+'Estimate Details'!#REF!</f>
        <v>#REF!</v>
      </c>
      <c r="Y1077" s="267" t="e">
        <f>+'Estimate Details'!#REF!</f>
        <v>#REF!</v>
      </c>
      <c r="Z1077" s="267" t="e">
        <f>+'Estimate Details'!#REF!</f>
        <v>#REF!</v>
      </c>
      <c r="AA1077" s="493"/>
      <c r="AB1077" s="175" t="e">
        <f>+'Estimate Details'!#REF!</f>
        <v>#REF!</v>
      </c>
      <c r="AC1077" s="573" t="s">
        <v>1594</v>
      </c>
      <c r="AD1077" s="176" t="e">
        <f>+'Estimate Details'!#REF!</f>
        <v>#REF!</v>
      </c>
      <c r="AE1077" s="178"/>
      <c r="AF1077" s="156"/>
      <c r="AG1077" s="156"/>
      <c r="AH1077" s="156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</row>
    <row r="1078" spans="1:44" s="30" customFormat="1" ht="14.1" customHeight="1">
      <c r="A1078" s="42" t="e">
        <f>+'Estimate Details'!#REF!</f>
        <v>#REF!</v>
      </c>
      <c r="B1078" s="42"/>
      <c r="C1078" s="42"/>
      <c r="D1078" s="248"/>
      <c r="E1078" s="158" t="e">
        <f>+'Estimate Details'!#REF!</f>
        <v>#REF!</v>
      </c>
      <c r="F1078" s="216"/>
      <c r="G1078" s="166" t="e">
        <f>+'Estimate Details'!#REF!</f>
        <v>#REF!</v>
      </c>
      <c r="H1078" s="257" t="e">
        <f>+'Estimate Details'!#REF!</f>
        <v>#REF!</v>
      </c>
      <c r="I1078" s="108" t="e">
        <f>+'Estimate Details'!#REF!</f>
        <v>#REF!</v>
      </c>
      <c r="J1078" s="168" t="e">
        <f>+'Estimate Details'!#REF!</f>
        <v>#REF!</v>
      </c>
      <c r="K1078" s="168" t="e">
        <f>+'Estimate Details'!#REF!</f>
        <v>#REF!</v>
      </c>
      <c r="L1078" s="168" t="e">
        <f>+'Estimate Details'!#REF!</f>
        <v>#REF!</v>
      </c>
      <c r="M1078" s="245" t="e">
        <f>+'Estimate Details'!#REF!</f>
        <v>#REF!</v>
      </c>
      <c r="N1078" s="245" t="e">
        <f>+'Estimate Details'!#REF!</f>
        <v>#REF!</v>
      </c>
      <c r="O1078" s="241" t="e">
        <f>+'Estimate Details'!#REF!</f>
        <v>#REF!</v>
      </c>
      <c r="P1078" s="241" t="e">
        <f>+'Estimate Details'!#REF!</f>
        <v>#REF!</v>
      </c>
      <c r="Q1078" s="172" t="e">
        <f>+'Estimate Details'!#REF!</f>
        <v>#REF!</v>
      </c>
      <c r="R1078" s="246" t="e">
        <f>+'Estimate Details'!#REF!</f>
        <v>#REF!</v>
      </c>
      <c r="S1078" s="516"/>
      <c r="T1078" s="246" t="e">
        <f>+'Estimate Details'!#REF!</f>
        <v>#REF!</v>
      </c>
      <c r="U1078" s="240"/>
      <c r="V1078" s="241" t="e">
        <f>+'Estimate Details'!#REF!</f>
        <v>#REF!</v>
      </c>
      <c r="W1078" s="240"/>
      <c r="X1078" s="241" t="e">
        <f>+'Estimate Details'!#REF!</f>
        <v>#REF!</v>
      </c>
      <c r="Y1078" s="241" t="e">
        <f>+'Estimate Details'!#REF!</f>
        <v>#REF!</v>
      </c>
      <c r="Z1078" s="174" t="e">
        <f>+'Estimate Details'!#REF!</f>
        <v>#REF!</v>
      </c>
      <c r="AA1078" s="240"/>
      <c r="AB1078" s="175" t="e">
        <f>+'Estimate Details'!#REF!</f>
        <v>#REF!</v>
      </c>
      <c r="AC1078" s="573" t="s">
        <v>1595</v>
      </c>
      <c r="AD1078" s="176" t="e">
        <f>+'Estimate Details'!#REF!</f>
        <v>#REF!</v>
      </c>
      <c r="AE1078" s="156"/>
      <c r="AF1078" s="156"/>
      <c r="AG1078" s="156"/>
      <c r="AH1078" s="156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</row>
    <row r="1079" spans="1:44" s="30" customFormat="1" ht="14.1" customHeight="1">
      <c r="A1079" s="42" t="e">
        <f>+'Estimate Details'!#REF!</f>
        <v>#REF!</v>
      </c>
      <c r="B1079" s="42"/>
      <c r="C1079" s="42"/>
      <c r="D1079" s="248"/>
      <c r="E1079" s="158" t="e">
        <f>+'Estimate Details'!#REF!</f>
        <v>#REF!</v>
      </c>
      <c r="F1079" s="216"/>
      <c r="G1079" s="166" t="e">
        <f>+'Estimate Details'!#REF!</f>
        <v>#REF!</v>
      </c>
      <c r="H1079" s="257" t="e">
        <f>+'Estimate Details'!#REF!</f>
        <v>#REF!</v>
      </c>
      <c r="I1079" s="108" t="e">
        <f>+'Estimate Details'!#REF!</f>
        <v>#REF!</v>
      </c>
      <c r="J1079" s="168" t="e">
        <f>+'Estimate Details'!#REF!</f>
        <v>#REF!</v>
      </c>
      <c r="K1079" s="168" t="e">
        <f>+'Estimate Details'!#REF!</f>
        <v>#REF!</v>
      </c>
      <c r="L1079" s="168" t="e">
        <f>+'Estimate Details'!#REF!</f>
        <v>#REF!</v>
      </c>
      <c r="M1079" s="245" t="e">
        <f>+'Estimate Details'!#REF!</f>
        <v>#REF!</v>
      </c>
      <c r="N1079" s="245" t="e">
        <f>+'Estimate Details'!#REF!</f>
        <v>#REF!</v>
      </c>
      <c r="O1079" s="241" t="e">
        <f>+'Estimate Details'!#REF!</f>
        <v>#REF!</v>
      </c>
      <c r="P1079" s="241" t="e">
        <f>+'Estimate Details'!#REF!</f>
        <v>#REF!</v>
      </c>
      <c r="Q1079" s="172" t="e">
        <f>+'Estimate Details'!#REF!</f>
        <v>#REF!</v>
      </c>
      <c r="R1079" s="246" t="e">
        <f>+'Estimate Details'!#REF!</f>
        <v>#REF!</v>
      </c>
      <c r="S1079" s="516"/>
      <c r="T1079" s="246" t="e">
        <f>+'Estimate Details'!#REF!</f>
        <v>#REF!</v>
      </c>
      <c r="U1079" s="240"/>
      <c r="V1079" s="241" t="e">
        <f>+'Estimate Details'!#REF!</f>
        <v>#REF!</v>
      </c>
      <c r="W1079" s="240"/>
      <c r="X1079" s="241" t="e">
        <f>+'Estimate Details'!#REF!</f>
        <v>#REF!</v>
      </c>
      <c r="Y1079" s="241" t="e">
        <f>+'Estimate Details'!#REF!</f>
        <v>#REF!</v>
      </c>
      <c r="Z1079" s="174" t="e">
        <f>+'Estimate Details'!#REF!</f>
        <v>#REF!</v>
      </c>
      <c r="AA1079" s="240"/>
      <c r="AB1079" s="175" t="e">
        <f>+'Estimate Details'!#REF!</f>
        <v>#REF!</v>
      </c>
      <c r="AC1079" s="573" t="s">
        <v>118</v>
      </c>
      <c r="AD1079" s="176" t="e">
        <f>+'Estimate Details'!#REF!</f>
        <v>#REF!</v>
      </c>
      <c r="AE1079" s="156"/>
      <c r="AF1079" s="156"/>
      <c r="AG1079" s="156"/>
      <c r="AH1079" s="156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</row>
    <row r="1080" spans="1:44" s="30" customFormat="1" ht="14.1" customHeight="1">
      <c r="A1080" s="42" t="e">
        <f>+'Estimate Details'!#REF!</f>
        <v>#REF!</v>
      </c>
      <c r="B1080" s="42"/>
      <c r="C1080" s="42"/>
      <c r="D1080" s="248"/>
      <c r="E1080" s="158" t="e">
        <f>+'Estimate Details'!#REF!</f>
        <v>#REF!</v>
      </c>
      <c r="F1080" s="216"/>
      <c r="G1080" s="166" t="e">
        <f>+'Estimate Details'!#REF!</f>
        <v>#REF!</v>
      </c>
      <c r="H1080" s="257" t="e">
        <f>+'Estimate Details'!#REF!</f>
        <v>#REF!</v>
      </c>
      <c r="I1080" s="108" t="e">
        <f>+'Estimate Details'!#REF!</f>
        <v>#REF!</v>
      </c>
      <c r="J1080" s="168" t="e">
        <f>+'Estimate Details'!#REF!</f>
        <v>#REF!</v>
      </c>
      <c r="K1080" s="168" t="e">
        <f>+'Estimate Details'!#REF!</f>
        <v>#REF!</v>
      </c>
      <c r="L1080" s="168" t="e">
        <f>+'Estimate Details'!#REF!</f>
        <v>#REF!</v>
      </c>
      <c r="M1080" s="245" t="e">
        <f>+'Estimate Details'!#REF!</f>
        <v>#REF!</v>
      </c>
      <c r="N1080" s="245" t="e">
        <f>+'Estimate Details'!#REF!</f>
        <v>#REF!</v>
      </c>
      <c r="O1080" s="241" t="e">
        <f>+'Estimate Details'!#REF!</f>
        <v>#REF!</v>
      </c>
      <c r="P1080" s="241" t="e">
        <f>+'Estimate Details'!#REF!</f>
        <v>#REF!</v>
      </c>
      <c r="Q1080" s="172" t="e">
        <f>+'Estimate Details'!#REF!</f>
        <v>#REF!</v>
      </c>
      <c r="R1080" s="246" t="e">
        <f>+'Estimate Details'!#REF!</f>
        <v>#REF!</v>
      </c>
      <c r="S1080" s="516"/>
      <c r="T1080" s="246" t="e">
        <f>+'Estimate Details'!#REF!</f>
        <v>#REF!</v>
      </c>
      <c r="U1080" s="240"/>
      <c r="V1080" s="241" t="e">
        <f>+'Estimate Details'!#REF!</f>
        <v>#REF!</v>
      </c>
      <c r="W1080" s="240"/>
      <c r="X1080" s="241" t="e">
        <f>+'Estimate Details'!#REF!</f>
        <v>#REF!</v>
      </c>
      <c r="Y1080" s="241" t="e">
        <f>+'Estimate Details'!#REF!</f>
        <v>#REF!</v>
      </c>
      <c r="Z1080" s="174" t="e">
        <f>+'Estimate Details'!#REF!</f>
        <v>#REF!</v>
      </c>
      <c r="AA1080" s="240"/>
      <c r="AB1080" s="175" t="e">
        <f>+'Estimate Details'!#REF!</f>
        <v>#REF!</v>
      </c>
      <c r="AC1080" s="573" t="s">
        <v>1596</v>
      </c>
      <c r="AD1080" s="176" t="e">
        <f>+'Estimate Details'!#REF!</f>
        <v>#REF!</v>
      </c>
      <c r="AE1080" s="156"/>
      <c r="AF1080" s="156"/>
      <c r="AG1080" s="156"/>
      <c r="AH1080" s="156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</row>
    <row r="1081" spans="1:44" s="30" customFormat="1" ht="14.1" customHeight="1" thickBot="1">
      <c r="A1081" s="42" t="e">
        <f>+'Estimate Details'!#REF!</f>
        <v>#REF!</v>
      </c>
      <c r="B1081" s="42"/>
      <c r="C1081" s="42"/>
      <c r="D1081" s="248"/>
      <c r="E1081" s="158" t="e">
        <f>+'Estimate Details'!#REF!</f>
        <v>#REF!</v>
      </c>
      <c r="F1081" s="216"/>
      <c r="G1081" s="166" t="e">
        <f>+'Estimate Details'!#REF!</f>
        <v>#REF!</v>
      </c>
      <c r="H1081" s="257" t="e">
        <f>+'Estimate Details'!#REF!</f>
        <v>#REF!</v>
      </c>
      <c r="I1081" s="108" t="e">
        <f>+'Estimate Details'!#REF!</f>
        <v>#REF!</v>
      </c>
      <c r="J1081" s="168" t="e">
        <f>+'Estimate Details'!#REF!</f>
        <v>#REF!</v>
      </c>
      <c r="K1081" s="168" t="e">
        <f>+'Estimate Details'!#REF!</f>
        <v>#REF!</v>
      </c>
      <c r="L1081" s="168" t="e">
        <f>+'Estimate Details'!#REF!</f>
        <v>#REF!</v>
      </c>
      <c r="M1081" s="245" t="e">
        <f>+'Estimate Details'!#REF!</f>
        <v>#REF!</v>
      </c>
      <c r="N1081" s="245" t="e">
        <f>+'Estimate Details'!#REF!</f>
        <v>#REF!</v>
      </c>
      <c r="O1081" s="241" t="e">
        <f>+'Estimate Details'!#REF!</f>
        <v>#REF!</v>
      </c>
      <c r="P1081" s="241" t="e">
        <f>+'Estimate Details'!#REF!</f>
        <v>#REF!</v>
      </c>
      <c r="Q1081" s="172" t="e">
        <f>+'Estimate Details'!#REF!</f>
        <v>#REF!</v>
      </c>
      <c r="R1081" s="246" t="e">
        <f>+'Estimate Details'!#REF!</f>
        <v>#REF!</v>
      </c>
      <c r="S1081" s="516"/>
      <c r="T1081" s="246" t="e">
        <f>+'Estimate Details'!#REF!</f>
        <v>#REF!</v>
      </c>
      <c r="U1081" s="240"/>
      <c r="V1081" s="241" t="e">
        <f>+'Estimate Details'!#REF!</f>
        <v>#REF!</v>
      </c>
      <c r="W1081" s="240"/>
      <c r="X1081" s="241" t="e">
        <f>+'Estimate Details'!#REF!</f>
        <v>#REF!</v>
      </c>
      <c r="Y1081" s="241" t="e">
        <f>+'Estimate Details'!#REF!</f>
        <v>#REF!</v>
      </c>
      <c r="Z1081" s="174" t="e">
        <f>+'Estimate Details'!#REF!</f>
        <v>#REF!</v>
      </c>
      <c r="AA1081" s="240"/>
      <c r="AB1081" s="175" t="e">
        <f>+'Estimate Details'!#REF!</f>
        <v>#REF!</v>
      </c>
      <c r="AC1081" s="573" t="s">
        <v>1597</v>
      </c>
      <c r="AD1081" s="176" t="e">
        <f>+'Estimate Details'!#REF!</f>
        <v>#REF!</v>
      </c>
      <c r="AE1081" s="156"/>
      <c r="AF1081" s="156"/>
      <c r="AG1081" s="156"/>
      <c r="AH1081" s="156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</row>
    <row r="1082" spans="1:44" s="30" customFormat="1" ht="14.1" customHeight="1">
      <c r="A1082" s="322" t="e">
        <f>+'Estimate Details'!#REF!</f>
        <v>#REF!</v>
      </c>
      <c r="B1082" s="323"/>
      <c r="C1082" s="323"/>
      <c r="D1082" s="324"/>
      <c r="E1082" s="158" t="e">
        <f>+'Estimate Details'!#REF!</f>
        <v>#REF!</v>
      </c>
      <c r="F1082" s="269"/>
      <c r="G1082" s="269" t="e">
        <f>+'Estimate Details'!#REF!</f>
        <v>#REF!</v>
      </c>
      <c r="H1082" s="269" t="e">
        <f>+'Estimate Details'!#REF!</f>
        <v>#REF!</v>
      </c>
      <c r="I1082" s="270" t="e">
        <f>+'Estimate Details'!#REF!</f>
        <v>#REF!</v>
      </c>
      <c r="J1082" s="259" t="e">
        <f>+'Estimate Details'!#REF!</f>
        <v>#REF!</v>
      </c>
      <c r="K1082" s="259" t="e">
        <f>+'Estimate Details'!#REF!</f>
        <v>#REF!</v>
      </c>
      <c r="L1082" s="259" t="e">
        <f>+'Estimate Details'!#REF!</f>
        <v>#REF!</v>
      </c>
      <c r="M1082" s="271" t="e">
        <f>+'Estimate Details'!#REF!</f>
        <v>#REF!</v>
      </c>
      <c r="N1082" s="271" t="e">
        <f>+'Estimate Details'!#REF!</f>
        <v>#REF!</v>
      </c>
      <c r="O1082" s="272" t="e">
        <f>+'Estimate Details'!#REF!</f>
        <v>#REF!</v>
      </c>
      <c r="P1082" s="272" t="e">
        <f>+'Estimate Details'!#REF!</f>
        <v>#REF!</v>
      </c>
      <c r="Q1082" s="255" t="e">
        <f>+'Estimate Details'!#REF!</f>
        <v>#REF!</v>
      </c>
      <c r="R1082" s="273" t="e">
        <f>+'Estimate Details'!#REF!</f>
        <v>#REF!</v>
      </c>
      <c r="S1082" s="518"/>
      <c r="T1082" s="273" t="e">
        <f>+'Estimate Details'!#REF!</f>
        <v>#REF!</v>
      </c>
      <c r="U1082" s="494"/>
      <c r="V1082" s="272" t="e">
        <f>+'Estimate Details'!#REF!</f>
        <v>#REF!</v>
      </c>
      <c r="W1082" s="494"/>
      <c r="X1082" s="272" t="e">
        <f>+'Estimate Details'!#REF!</f>
        <v>#REF!</v>
      </c>
      <c r="Y1082" s="272" t="e">
        <f>+'Estimate Details'!#REF!</f>
        <v>#REF!</v>
      </c>
      <c r="Z1082" s="260" t="e">
        <f>+'Estimate Details'!#REF!</f>
        <v>#REF!</v>
      </c>
      <c r="AA1082" s="494"/>
      <c r="AC1082" s="573"/>
      <c r="AD1082" s="575"/>
      <c r="AE1082" s="156"/>
      <c r="AF1082" s="156"/>
      <c r="AG1082" s="156"/>
      <c r="AH1082" s="156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</row>
    <row r="1083" spans="1:44" s="30" customFormat="1" ht="14.1" customHeight="1">
      <c r="A1083" s="325" t="e">
        <f>+'Estimate Details'!#REF!</f>
        <v>#REF!</v>
      </c>
      <c r="B1083" s="326"/>
      <c r="C1083" s="326"/>
      <c r="D1083" s="327"/>
      <c r="E1083" s="158">
        <f>+'Estimate Details'!A132</f>
        <v>121</v>
      </c>
      <c r="F1083" s="310"/>
      <c r="G1083" s="310">
        <f>+'Estimate Details'!C134</f>
        <v>0</v>
      </c>
      <c r="H1083" s="310">
        <f>+'Estimate Details'!D134</f>
        <v>0</v>
      </c>
      <c r="I1083" s="199">
        <f>+'Estimate Details'!E134</f>
        <v>0</v>
      </c>
      <c r="J1083" s="200">
        <f>+'Estimate Details'!F134</f>
        <v>0</v>
      </c>
      <c r="K1083" s="200">
        <f>+'Estimate Details'!G134</f>
        <v>0</v>
      </c>
      <c r="L1083" s="200">
        <f>+'Estimate Details'!H134</f>
        <v>0</v>
      </c>
      <c r="M1083" s="311">
        <f>+'Estimate Details'!I134</f>
        <v>0</v>
      </c>
      <c r="N1083" s="311">
        <f>+'Estimate Details'!J134</f>
        <v>0</v>
      </c>
      <c r="O1083" s="312">
        <f>+'Estimate Details'!K134</f>
        <v>0</v>
      </c>
      <c r="P1083" s="312">
        <f>+'Estimate Details'!L134</f>
        <v>0</v>
      </c>
      <c r="Q1083" s="163">
        <f>+'Estimate Details'!M134</f>
        <v>0</v>
      </c>
      <c r="R1083" s="313">
        <f>+'Estimate Details'!N134</f>
        <v>0</v>
      </c>
      <c r="S1083" s="519"/>
      <c r="T1083" s="313">
        <f>+'Estimate Details'!O134</f>
        <v>0</v>
      </c>
      <c r="U1083" s="495"/>
      <c r="V1083" s="312">
        <f>+'Estimate Details'!R134</f>
        <v>0</v>
      </c>
      <c r="W1083" s="495"/>
      <c r="X1083" s="312">
        <f>+'Estimate Details'!S134</f>
        <v>0</v>
      </c>
      <c r="Y1083" s="312">
        <f>+'Estimate Details'!T134</f>
        <v>0</v>
      </c>
      <c r="Z1083" s="314">
        <f>+'Estimate Details'!U134</f>
        <v>0</v>
      </c>
      <c r="AA1083" s="495"/>
      <c r="AB1083" s="315">
        <f>+'Estimate Details'!V134</f>
        <v>0</v>
      </c>
      <c r="AC1083" s="573"/>
      <c r="AD1083" s="176">
        <f>+'Estimate Details'!X134</f>
        <v>0</v>
      </c>
      <c r="AE1083" s="156"/>
      <c r="AF1083" s="156"/>
      <c r="AG1083" s="156"/>
      <c r="AH1083" s="156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</row>
    <row r="1084" spans="1:44" s="30" customFormat="1" ht="14.1" customHeight="1" thickBot="1">
      <c r="A1084" s="42" t="e">
        <f>+'Estimate Details'!#REF!</f>
        <v>#REF!</v>
      </c>
      <c r="B1084" s="42"/>
      <c r="C1084" s="42"/>
      <c r="D1084" s="248"/>
      <c r="E1084" s="158">
        <f>+'Estimate Details'!A133</f>
        <v>122</v>
      </c>
      <c r="F1084" s="310"/>
      <c r="G1084" s="310">
        <f>+'Estimate Details'!C135</f>
        <v>0</v>
      </c>
      <c r="H1084" s="216" t="str">
        <f>+'Estimate Details'!D135</f>
        <v>Owner Contingency</v>
      </c>
      <c r="I1084" s="316">
        <f>+'Estimate Details'!E135</f>
        <v>0.15</v>
      </c>
      <c r="J1084" s="200" t="str">
        <f>+'Estimate Details'!F135</f>
        <v>%</v>
      </c>
      <c r="K1084" s="168" t="str">
        <f>+'Estimate Details'!G135</f>
        <v>Owner</v>
      </c>
      <c r="L1084" s="200">
        <f>+'Estimate Details'!H135</f>
        <v>0</v>
      </c>
      <c r="M1084" s="311">
        <f>+'Estimate Details'!I135</f>
        <v>0</v>
      </c>
      <c r="N1084" s="311">
        <f>+'Estimate Details'!J135</f>
        <v>0</v>
      </c>
      <c r="O1084" s="312">
        <f>+'Estimate Details'!K135</f>
        <v>0</v>
      </c>
      <c r="P1084" s="312">
        <f>+'Estimate Details'!L135</f>
        <v>0</v>
      </c>
      <c r="Q1084" s="163">
        <f>+'Estimate Details'!M135</f>
        <v>0</v>
      </c>
      <c r="R1084" s="313">
        <f>+'Estimate Details'!N135</f>
        <v>0</v>
      </c>
      <c r="S1084" s="519"/>
      <c r="T1084" s="313">
        <f>+'Estimate Details'!O135</f>
        <v>0</v>
      </c>
      <c r="U1084" s="495"/>
      <c r="V1084" s="312">
        <f>+'Estimate Details'!R135</f>
        <v>0</v>
      </c>
      <c r="W1084" s="495"/>
      <c r="X1084" s="312">
        <f>+'Estimate Details'!S135</f>
        <v>0</v>
      </c>
      <c r="Y1084" s="312">
        <f>+'Estimate Details'!T135</f>
        <v>0</v>
      </c>
      <c r="Z1084" s="314">
        <f>+'Estimate Details'!U135</f>
        <v>4348542.8642436331</v>
      </c>
      <c r="AA1084" s="495"/>
      <c r="AB1084" s="315">
        <f>+'Estimate Details'!V135</f>
        <v>4348542.8642436331</v>
      </c>
      <c r="AC1084" s="573" t="s">
        <v>1598</v>
      </c>
      <c r="AD1084" s="176" t="str">
        <f>+'Estimate Details'!X135</f>
        <v xml:space="preserve"> </v>
      </c>
      <c r="AE1084" s="156"/>
      <c r="AF1084" s="156"/>
      <c r="AG1084" s="156"/>
      <c r="AH1084" s="156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</row>
    <row r="1085" spans="1:44" s="30" customFormat="1" ht="14.1" customHeight="1">
      <c r="A1085" s="328" t="e">
        <f>+'Estimate Details'!#REF!</f>
        <v>#REF!</v>
      </c>
      <c r="B1085" s="329"/>
      <c r="C1085" s="329"/>
      <c r="D1085" s="330"/>
      <c r="E1085" s="158">
        <f>+'Estimate Details'!A134</f>
        <v>123</v>
      </c>
      <c r="F1085" s="310"/>
      <c r="G1085" s="310">
        <f>+'Estimate Details'!C136</f>
        <v>0</v>
      </c>
      <c r="H1085" s="310">
        <f>+'Estimate Details'!D136</f>
        <v>0</v>
      </c>
      <c r="I1085" s="199">
        <f>+'Estimate Details'!E136</f>
        <v>0</v>
      </c>
      <c r="J1085" s="200">
        <f>+'Estimate Details'!F136</f>
        <v>0</v>
      </c>
      <c r="K1085" s="200">
        <f>+'Estimate Details'!G136</f>
        <v>0</v>
      </c>
      <c r="L1085" s="200">
        <f>+'Estimate Details'!H136</f>
        <v>0</v>
      </c>
      <c r="M1085" s="311">
        <f>+'Estimate Details'!I136</f>
        <v>0</v>
      </c>
      <c r="N1085" s="311">
        <f>+'Estimate Details'!J136</f>
        <v>0</v>
      </c>
      <c r="O1085" s="312">
        <f>+'Estimate Details'!K136</f>
        <v>0</v>
      </c>
      <c r="P1085" s="312">
        <f>+'Estimate Details'!L136</f>
        <v>0</v>
      </c>
      <c r="Q1085" s="163">
        <f>+'Estimate Details'!M136</f>
        <v>0</v>
      </c>
      <c r="R1085" s="313">
        <f>+'Estimate Details'!N136</f>
        <v>0</v>
      </c>
      <c r="S1085" s="519"/>
      <c r="T1085" s="313">
        <f>+'Estimate Details'!O136</f>
        <v>0</v>
      </c>
      <c r="U1085" s="495"/>
      <c r="V1085" s="312">
        <f>+'Estimate Details'!R136</f>
        <v>0</v>
      </c>
      <c r="W1085" s="495"/>
      <c r="X1085" s="312">
        <f>+'Estimate Details'!S136</f>
        <v>0</v>
      </c>
      <c r="Y1085" s="312">
        <f>+'Estimate Details'!T136</f>
        <v>0</v>
      </c>
      <c r="Z1085" s="314">
        <f>+'Estimate Details'!U136</f>
        <v>0</v>
      </c>
      <c r="AA1085" s="495"/>
      <c r="AB1085" s="315">
        <f>+'Estimate Details'!V136</f>
        <v>0</v>
      </c>
      <c r="AC1085" s="573"/>
      <c r="AD1085" s="575" t="e">
        <f>SUM(AB1009:AB1084)</f>
        <v>#REF!</v>
      </c>
      <c r="AE1085" s="156"/>
      <c r="AF1085" s="156"/>
      <c r="AG1085" s="156"/>
      <c r="AH1085" s="156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</row>
    <row r="1086" spans="1:44" s="30" customFormat="1" ht="14.1" customHeight="1" thickBot="1">
      <c r="A1086" s="331" t="e">
        <f>+'Estimate Details'!#REF!</f>
        <v>#REF!</v>
      </c>
      <c r="B1086" s="332"/>
      <c r="C1086" s="332"/>
      <c r="D1086" s="333"/>
      <c r="E1086" s="158">
        <f>+'Estimate Details'!A135</f>
        <v>124</v>
      </c>
      <c r="F1086" s="275"/>
      <c r="G1086" s="275">
        <f>+'Estimate Details'!C137</f>
        <v>0</v>
      </c>
      <c r="H1086" s="275">
        <f>+'Estimate Details'!D137</f>
        <v>0</v>
      </c>
      <c r="I1086" s="199">
        <f>+'Estimate Details'!E137</f>
        <v>0</v>
      </c>
      <c r="J1086" s="200">
        <f>+'Estimate Details'!F137</f>
        <v>0</v>
      </c>
      <c r="K1086" s="200">
        <f>+'Estimate Details'!G137</f>
        <v>0</v>
      </c>
      <c r="L1086" s="200">
        <f>+'Estimate Details'!H137</f>
        <v>0</v>
      </c>
      <c r="M1086" s="212">
        <f>+'Estimate Details'!I137</f>
        <v>0</v>
      </c>
      <c r="N1086" s="202">
        <f>+'Estimate Details'!J137</f>
        <v>0</v>
      </c>
      <c r="O1086" s="162">
        <f>+'Estimate Details'!K137</f>
        <v>0</v>
      </c>
      <c r="P1086" s="163">
        <f>+'Estimate Details'!L137</f>
        <v>0</v>
      </c>
      <c r="Q1086" s="163">
        <f>+'Estimate Details'!M137</f>
        <v>0</v>
      </c>
      <c r="R1086" s="164">
        <f>+'Estimate Details'!N137</f>
        <v>0</v>
      </c>
      <c r="S1086" s="517"/>
      <c r="T1086" s="164">
        <f>+'Estimate Details'!O137</f>
        <v>0</v>
      </c>
      <c r="U1086" s="493"/>
      <c r="V1086" s="163">
        <f>+'Estimate Details'!R137</f>
        <v>0</v>
      </c>
      <c r="W1086" s="493"/>
      <c r="X1086" s="163">
        <f>+'Estimate Details'!S137</f>
        <v>0</v>
      </c>
      <c r="Y1086" s="163">
        <f>+'Estimate Details'!T137</f>
        <v>0</v>
      </c>
      <c r="Z1086" s="164">
        <f>+'Estimate Details'!U137</f>
        <v>0</v>
      </c>
      <c r="AA1086" s="493"/>
      <c r="AB1086" s="268">
        <f>+'Estimate Details'!V137</f>
        <v>0</v>
      </c>
      <c r="AC1086" s="573"/>
      <c r="AD1086" s="176">
        <f>+'Estimate Details'!X137</f>
        <v>0</v>
      </c>
      <c r="AE1086" s="156"/>
      <c r="AF1086" s="156"/>
      <c r="AG1086" s="156"/>
      <c r="AH1086" s="156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</row>
    <row r="1087" spans="1:44" s="30" customFormat="1" ht="14.1" customHeight="1">
      <c r="A1087" s="334" t="e">
        <f>+'Estimate Details'!#REF!</f>
        <v>#REF!</v>
      </c>
      <c r="B1087" s="335"/>
      <c r="C1087" s="335"/>
      <c r="D1087" s="336"/>
      <c r="E1087" s="158">
        <f>+'Estimate Details'!A136</f>
        <v>125</v>
      </c>
      <c r="F1087" s="226"/>
      <c r="G1087" s="216">
        <f>+'Estimate Details'!C138</f>
        <v>0</v>
      </c>
      <c r="H1087" s="277" t="str">
        <f>+'Estimate Details'!D138</f>
        <v>Total Owner Indirects</v>
      </c>
      <c r="I1087" s="250">
        <f>+'Estimate Details'!E138</f>
        <v>0</v>
      </c>
      <c r="J1087" s="251">
        <f>+'Estimate Details'!F138</f>
        <v>0</v>
      </c>
      <c r="K1087" s="251">
        <f>+'Estimate Details'!G138</f>
        <v>0</v>
      </c>
      <c r="L1087" s="251">
        <f>+'Estimate Details'!H138</f>
        <v>0</v>
      </c>
      <c r="M1087" s="252">
        <f>+'Estimate Details'!I138</f>
        <v>0</v>
      </c>
      <c r="N1087" s="253">
        <f>+'Estimate Details'!J138</f>
        <v>0</v>
      </c>
      <c r="O1087" s="254">
        <f>+'Estimate Details'!K138</f>
        <v>0</v>
      </c>
      <c r="P1087" s="255">
        <f>+'Estimate Details'!L138</f>
        <v>0</v>
      </c>
      <c r="Q1087" s="255">
        <f>+'Estimate Details'!M138</f>
        <v>0</v>
      </c>
      <c r="R1087" s="256">
        <f>+'Estimate Details'!N138</f>
        <v>0</v>
      </c>
      <c r="S1087" s="520"/>
      <c r="T1087" s="256">
        <f>+'Estimate Details'!O138</f>
        <v>0</v>
      </c>
      <c r="U1087" s="478"/>
      <c r="V1087" s="256">
        <f>+'Estimate Details'!R138</f>
        <v>0</v>
      </c>
      <c r="W1087" s="478"/>
      <c r="X1087" s="256">
        <f>+'Estimate Details'!S138</f>
        <v>0</v>
      </c>
      <c r="Y1087" s="256">
        <f>+'Estimate Details'!T138</f>
        <v>0</v>
      </c>
      <c r="Z1087" s="256">
        <f>+'Estimate Details'!U138</f>
        <v>7268542.8642436331</v>
      </c>
      <c r="AA1087" s="478"/>
      <c r="AB1087" s="276">
        <f>+'Estimate Details'!V138</f>
        <v>7268542.8642436331</v>
      </c>
      <c r="AC1087" s="573"/>
      <c r="AD1087" s="176">
        <f>+'Estimate Details'!X138</f>
        <v>0</v>
      </c>
      <c r="AE1087" s="244"/>
      <c r="AF1087" s="156"/>
      <c r="AG1087" s="156"/>
      <c r="AH1087" s="156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</row>
    <row r="1088" spans="1:44" s="30" customFormat="1" ht="16.2" thickBot="1">
      <c r="A1088" s="337" t="e">
        <f>+'Estimate Details'!#REF!</f>
        <v>#REF!</v>
      </c>
      <c r="B1088" s="338"/>
      <c r="C1088" s="338"/>
      <c r="D1088" s="339"/>
      <c r="E1088" s="158">
        <f>+'Estimate Details'!A137</f>
        <v>126</v>
      </c>
      <c r="F1088" s="185"/>
      <c r="G1088" s="185">
        <f>+'Estimate Details'!C139</f>
        <v>0</v>
      </c>
      <c r="H1088" s="185">
        <f>+'Estimate Details'!D139</f>
        <v>0</v>
      </c>
      <c r="I1088" s="185">
        <f>+'Estimate Details'!E139</f>
        <v>0</v>
      </c>
      <c r="J1088" s="185">
        <f>+'Estimate Details'!F139</f>
        <v>0</v>
      </c>
      <c r="K1088" s="185">
        <f>+'Estimate Details'!G139</f>
        <v>0</v>
      </c>
      <c r="L1088" s="185">
        <f>+'Estimate Details'!H139</f>
        <v>0</v>
      </c>
      <c r="M1088" s="258">
        <f>+'Estimate Details'!I139</f>
        <v>0</v>
      </c>
      <c r="N1088" s="185">
        <f>+'Estimate Details'!J139</f>
        <v>0</v>
      </c>
      <c r="O1088" s="190">
        <f>+'Estimate Details'!K139</f>
        <v>0</v>
      </c>
      <c r="P1088" s="185">
        <f>+'Estimate Details'!L139</f>
        <v>0</v>
      </c>
      <c r="Q1088" s="185">
        <f>+'Estimate Details'!M139</f>
        <v>0</v>
      </c>
      <c r="R1088" s="185">
        <f>+'Estimate Details'!N139</f>
        <v>0</v>
      </c>
      <c r="S1088" s="521"/>
      <c r="T1088" s="185">
        <f>+'Estimate Details'!O139</f>
        <v>0</v>
      </c>
      <c r="U1088" s="229"/>
      <c r="V1088" s="185">
        <f>+'Estimate Details'!R139</f>
        <v>0</v>
      </c>
      <c r="W1088" s="229"/>
      <c r="X1088" s="185">
        <f>+'Estimate Details'!S139</f>
        <v>0</v>
      </c>
      <c r="Y1088" s="185">
        <f>+'Estimate Details'!T139</f>
        <v>0</v>
      </c>
      <c r="Z1088" s="185">
        <f>+'Estimate Details'!U139</f>
        <v>0</v>
      </c>
      <c r="AA1088" s="229"/>
      <c r="AB1088" s="185">
        <f>+'Estimate Details'!V139</f>
        <v>0</v>
      </c>
      <c r="AC1088" s="193"/>
      <c r="AD1088" s="176">
        <f>+'Estimate Details'!X139</f>
        <v>0</v>
      </c>
      <c r="AE1088" s="156"/>
      <c r="AF1088" s="156"/>
      <c r="AG1088" s="156"/>
      <c r="AH1088" s="156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</row>
    <row r="1089" spans="1:44" s="30" customFormat="1" ht="16.8" thickTop="1" thickBot="1">
      <c r="A1089" s="318" t="e">
        <f>+'Estimate Details'!#REF!</f>
        <v>#REF!</v>
      </c>
      <c r="B1089" s="340"/>
      <c r="C1089" s="340"/>
      <c r="D1089" s="341"/>
      <c r="E1089" s="158">
        <f>+'Estimate Details'!A139</f>
        <v>128</v>
      </c>
      <c r="F1089" s="278"/>
      <c r="G1089" s="278">
        <f>+'Estimate Details'!C140</f>
        <v>0</v>
      </c>
      <c r="H1089" s="278" t="str">
        <f>+'Estimate Details'!D140</f>
        <v>TOTAL PROJECT COST</v>
      </c>
      <c r="I1089" s="262">
        <f>+'Estimate Details'!E140</f>
        <v>0</v>
      </c>
      <c r="J1089" s="262">
        <f>+'Estimate Details'!F140</f>
        <v>0</v>
      </c>
      <c r="K1089" s="262">
        <f>+'Estimate Details'!G140</f>
        <v>0</v>
      </c>
      <c r="L1089" s="262">
        <f>+'Estimate Details'!H140</f>
        <v>0</v>
      </c>
      <c r="M1089" s="279">
        <f>+'Estimate Details'!I140</f>
        <v>0</v>
      </c>
      <c r="N1089" s="262">
        <f>+'Estimate Details'!J140</f>
        <v>0</v>
      </c>
      <c r="O1089" s="280">
        <f>+'Estimate Details'!K140</f>
        <v>0</v>
      </c>
      <c r="P1089" s="262">
        <f>+'Estimate Details'!L140</f>
        <v>0</v>
      </c>
      <c r="Q1089" s="262">
        <f>+'Estimate Details'!M140</f>
        <v>0</v>
      </c>
      <c r="R1089" s="281">
        <f>+'Estimate Details'!N140</f>
        <v>0</v>
      </c>
      <c r="S1089" s="522"/>
      <c r="T1089" s="281">
        <f>+'Estimate Details'!O140</f>
        <v>15694870.356000001</v>
      </c>
      <c r="U1089" s="479"/>
      <c r="V1089" s="281">
        <f>+'Estimate Details'!R140</f>
        <v>3601939.2928424934</v>
      </c>
      <c r="W1089" s="479"/>
      <c r="X1089" s="281">
        <f>+'Estimate Details'!S140</f>
        <v>67529.347999999998</v>
      </c>
      <c r="Y1089" s="281">
        <f>+'Estimate Details'!T140</f>
        <v>19296809.648842495</v>
      </c>
      <c r="Z1089" s="282">
        <f>+'Estimate Details'!U140</f>
        <v>16962018.977025364</v>
      </c>
      <c r="AA1089" s="479"/>
      <c r="AB1089" s="283">
        <f>+'Estimate Details'!V140</f>
        <v>36258828.625867859</v>
      </c>
      <c r="AC1089" s="574"/>
      <c r="AD1089" s="176">
        <f>+'Estimate Details'!X140</f>
        <v>0</v>
      </c>
      <c r="AE1089" s="244"/>
      <c r="AF1089" s="156"/>
      <c r="AG1089" s="156"/>
      <c r="AH1089" s="156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</row>
    <row r="1090" spans="1:44" s="30" customFormat="1">
      <c r="A1090" s="114" t="e">
        <f>+'Estimate Details'!#REF!</f>
        <v>#REF!</v>
      </c>
      <c r="B1090" s="114"/>
      <c r="C1090" s="114"/>
      <c r="D1090" s="114"/>
      <c r="E1090" s="284">
        <f>+'Estimate Details'!A140</f>
        <v>129</v>
      </c>
      <c r="F1090" s="114"/>
      <c r="G1090" s="284">
        <f>+'Estimate Details'!C141</f>
        <v>0</v>
      </c>
      <c r="H1090" s="114">
        <f>+'Estimate Details'!D141</f>
        <v>0</v>
      </c>
      <c r="I1090" s="114">
        <f>+'Estimate Details'!E141</f>
        <v>0</v>
      </c>
      <c r="J1090" s="114">
        <f>+'Estimate Details'!F141</f>
        <v>0</v>
      </c>
      <c r="K1090" s="114">
        <f>+'Estimate Details'!G141</f>
        <v>0</v>
      </c>
      <c r="L1090" s="114">
        <f>+'Estimate Details'!H141</f>
        <v>0</v>
      </c>
      <c r="M1090" s="285">
        <f>+'Estimate Details'!I141</f>
        <v>0</v>
      </c>
      <c r="N1090" s="114">
        <f>+'Estimate Details'!J141</f>
        <v>0</v>
      </c>
      <c r="O1090" s="115">
        <f>+'Estimate Details'!K141</f>
        <v>0</v>
      </c>
      <c r="P1090" s="114">
        <f>+'Estimate Details'!L141</f>
        <v>0</v>
      </c>
      <c r="Q1090" s="114">
        <f>+'Estimate Details'!M141</f>
        <v>0</v>
      </c>
      <c r="R1090" s="114">
        <f>+'Estimate Details'!N141</f>
        <v>0</v>
      </c>
      <c r="S1090" s="523"/>
      <c r="T1090" s="114">
        <f>+'Estimate Details'!O141</f>
        <v>0</v>
      </c>
      <c r="U1090" s="496"/>
      <c r="V1090" s="114">
        <f>+'Estimate Details'!R141</f>
        <v>0</v>
      </c>
      <c r="W1090" s="496"/>
      <c r="X1090" s="114">
        <f>+'Estimate Details'!S141</f>
        <v>0</v>
      </c>
      <c r="Y1090" s="114">
        <f>+'Estimate Details'!T141</f>
        <v>0</v>
      </c>
      <c r="Z1090" s="114">
        <f>+'Estimate Details'!U141</f>
        <v>0</v>
      </c>
      <c r="AA1090" s="496"/>
      <c r="AB1090" s="114">
        <f>+'Estimate Details'!V141</f>
        <v>0</v>
      </c>
      <c r="AC1090" s="496"/>
      <c r="AD1090" s="114">
        <f>+'Estimate Details'!X141</f>
        <v>0</v>
      </c>
      <c r="AE1090" s="156"/>
      <c r="AF1090" s="156"/>
      <c r="AG1090" s="156"/>
      <c r="AH1090" s="156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</row>
    <row r="1091" spans="1:44" s="30" customFormat="1">
      <c r="A1091" s="114" t="e">
        <f>+'Estimate Details'!#REF!</f>
        <v>#REF!</v>
      </c>
      <c r="B1091" s="114"/>
      <c r="C1091" s="114"/>
      <c r="D1091" s="114"/>
      <c r="E1091" s="284" t="str">
        <f>+'Estimate Details'!A141</f>
        <v xml:space="preserve"> </v>
      </c>
      <c r="F1091" s="114"/>
      <c r="G1091" s="284">
        <f>+'Estimate Details'!C142</f>
        <v>0</v>
      </c>
      <c r="H1091" s="114">
        <f>+'Estimate Details'!D142</f>
        <v>0</v>
      </c>
      <c r="I1091" s="114">
        <f>+'Estimate Details'!E142</f>
        <v>0</v>
      </c>
      <c r="J1091" s="114">
        <f>+'Estimate Details'!F142</f>
        <v>0</v>
      </c>
      <c r="K1091" s="114">
        <f>+'Estimate Details'!G142</f>
        <v>0</v>
      </c>
      <c r="L1091" s="114">
        <f>+'Estimate Details'!H142</f>
        <v>0</v>
      </c>
      <c r="M1091" s="285">
        <f>+'Estimate Details'!I142</f>
        <v>0</v>
      </c>
      <c r="N1091" s="114">
        <f>+'Estimate Details'!J142</f>
        <v>0</v>
      </c>
      <c r="O1091" s="115">
        <f>+'Estimate Details'!K142</f>
        <v>0</v>
      </c>
      <c r="P1091" s="114">
        <f>+'Estimate Details'!L142</f>
        <v>0</v>
      </c>
      <c r="Q1091" s="114">
        <f>+'Estimate Details'!M142</f>
        <v>0</v>
      </c>
      <c r="R1091" s="114">
        <f>+'Estimate Details'!N142</f>
        <v>0</v>
      </c>
      <c r="S1091" s="523"/>
      <c r="T1091" s="114">
        <f>+'Estimate Details'!O142</f>
        <v>0</v>
      </c>
      <c r="U1091" s="496"/>
      <c r="V1091" s="114">
        <f>+'Estimate Details'!R142</f>
        <v>0</v>
      </c>
      <c r="W1091" s="496"/>
      <c r="X1091" s="114">
        <f>+'Estimate Details'!S142</f>
        <v>0</v>
      </c>
      <c r="Y1091" s="114">
        <f>+'Estimate Details'!T142</f>
        <v>0</v>
      </c>
      <c r="Z1091" s="286" t="str">
        <f>+'Estimate Details'!U142</f>
        <v>$/kW</v>
      </c>
      <c r="AA1091" s="496"/>
      <c r="AB1091" s="287">
        <f>+'Estimate Details'!V142</f>
        <v>3625.8828625867859</v>
      </c>
      <c r="AC1091" s="496"/>
      <c r="AD1091" s="114">
        <f>+'Estimate Details'!X142</f>
        <v>0</v>
      </c>
      <c r="AE1091" s="156"/>
      <c r="AF1091" s="156"/>
      <c r="AG1091" s="156"/>
      <c r="AH1091" s="156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</row>
    <row r="1092" spans="1:44">
      <c r="A1092" s="123"/>
      <c r="B1092" s="123"/>
      <c r="C1092" s="123"/>
      <c r="D1092" s="123"/>
      <c r="E1092" s="130"/>
      <c r="F1092" s="123"/>
      <c r="G1092" s="130"/>
      <c r="H1092" s="123"/>
      <c r="I1092" s="123"/>
      <c r="J1092" s="123"/>
      <c r="K1092" s="123"/>
      <c r="L1092" s="123"/>
      <c r="M1092" s="288"/>
      <c r="N1092" s="123"/>
      <c r="O1092" s="289"/>
      <c r="P1092" s="123"/>
      <c r="Q1092" s="123"/>
      <c r="R1092" s="123"/>
      <c r="S1092" s="524"/>
      <c r="T1092" s="123"/>
      <c r="U1092" s="497"/>
      <c r="V1092" s="123"/>
      <c r="W1092" s="497"/>
      <c r="X1092" s="123"/>
      <c r="Y1092" s="123"/>
      <c r="Z1092" s="123"/>
      <c r="AA1092" s="497"/>
      <c r="AB1092" s="123"/>
      <c r="AC1092" s="497"/>
      <c r="AD1092" s="123"/>
      <c r="AE1092" s="122"/>
      <c r="AF1092" s="122"/>
      <c r="AG1092" s="122"/>
      <c r="AH1092" s="122"/>
    </row>
    <row r="1093" spans="1:44">
      <c r="A1093" s="123"/>
      <c r="B1093" s="123"/>
      <c r="C1093" s="123"/>
      <c r="D1093" s="123"/>
      <c r="E1093" s="130"/>
      <c r="F1093" s="123"/>
      <c r="G1093" s="130"/>
      <c r="H1093" s="123"/>
      <c r="I1093" s="123"/>
      <c r="J1093" s="123"/>
      <c r="K1093" s="123"/>
      <c r="L1093" s="123"/>
      <c r="M1093" s="288"/>
      <c r="N1093" s="123"/>
      <c r="O1093" s="289"/>
      <c r="P1093" s="123"/>
      <c r="Q1093" s="123"/>
      <c r="R1093" s="123"/>
      <c r="S1093" s="524"/>
      <c r="T1093" s="123"/>
      <c r="U1093" s="497"/>
      <c r="V1093" s="123"/>
      <c r="W1093" s="497"/>
      <c r="X1093" s="123"/>
      <c r="Y1093" s="123"/>
      <c r="Z1093" s="123"/>
      <c r="AA1093" s="497"/>
      <c r="AB1093" s="123"/>
      <c r="AC1093" s="497"/>
      <c r="AD1093" s="123"/>
      <c r="AE1093" s="122"/>
      <c r="AF1093" s="122"/>
      <c r="AG1093" s="122"/>
      <c r="AH1093" s="122"/>
    </row>
    <row r="1094" spans="1:44">
      <c r="A1094" s="123"/>
      <c r="B1094" s="123"/>
      <c r="C1094" s="123"/>
      <c r="D1094" s="123"/>
      <c r="E1094" s="130"/>
      <c r="F1094" s="123"/>
      <c r="G1094" s="130"/>
      <c r="H1094" s="123"/>
      <c r="I1094" s="123"/>
      <c r="J1094" s="123"/>
      <c r="K1094" s="123"/>
      <c r="L1094" s="123"/>
      <c r="M1094" s="288"/>
      <c r="N1094" s="123"/>
      <c r="O1094" s="289"/>
      <c r="P1094" s="123"/>
      <c r="Q1094" s="123"/>
      <c r="R1094" s="123"/>
      <c r="S1094" s="524"/>
      <c r="T1094" s="123"/>
      <c r="U1094" s="497"/>
      <c r="V1094" s="123"/>
      <c r="W1094" s="497"/>
      <c r="X1094" s="123"/>
      <c r="Y1094" s="453" t="s">
        <v>924</v>
      </c>
      <c r="Z1094" s="123"/>
      <c r="AA1094" s="497"/>
      <c r="AB1094" s="474">
        <f>+AB1089-'Estimate Details'!V140</f>
        <v>0</v>
      </c>
      <c r="AC1094" s="497"/>
      <c r="AD1094" s="123"/>
      <c r="AE1094" s="122"/>
      <c r="AF1094" s="122"/>
      <c r="AG1094" s="122"/>
      <c r="AH1094" s="122"/>
    </row>
    <row r="1095" spans="1:44">
      <c r="A1095" s="123"/>
      <c r="B1095" s="123"/>
      <c r="C1095" s="123"/>
      <c r="D1095" s="123"/>
      <c r="E1095" s="130"/>
      <c r="F1095" s="123"/>
      <c r="G1095" s="130"/>
      <c r="H1095" s="123"/>
      <c r="I1095" s="123"/>
      <c r="J1095" s="123"/>
      <c r="K1095" s="123"/>
      <c r="L1095" s="123"/>
      <c r="M1095" s="288"/>
      <c r="N1095" s="123"/>
      <c r="O1095" s="289"/>
      <c r="P1095" s="123"/>
      <c r="Q1095" s="123"/>
      <c r="R1095" s="123"/>
      <c r="S1095" s="524"/>
      <c r="T1095" s="123"/>
      <c r="U1095" s="497"/>
      <c r="V1095" s="123"/>
      <c r="W1095" s="497"/>
      <c r="X1095" s="123"/>
      <c r="Y1095" s="123"/>
      <c r="Z1095" s="123"/>
      <c r="AA1095" s="497"/>
      <c r="AB1095" s="123"/>
      <c r="AC1095" s="497"/>
      <c r="AD1095" s="123"/>
      <c r="AE1095" s="122"/>
      <c r="AF1095" s="122"/>
      <c r="AG1095" s="122"/>
      <c r="AH1095" s="122"/>
    </row>
    <row r="1096" spans="1:44">
      <c r="A1096" s="123"/>
      <c r="B1096" s="123"/>
      <c r="C1096" s="123"/>
      <c r="D1096" s="123"/>
      <c r="E1096" s="130"/>
      <c r="F1096" s="123"/>
      <c r="G1096" s="130"/>
      <c r="H1096" s="123"/>
      <c r="I1096" s="123"/>
      <c r="J1096" s="123"/>
      <c r="K1096" s="123"/>
      <c r="L1096" s="123"/>
      <c r="M1096" s="288"/>
      <c r="N1096" s="123"/>
      <c r="O1096" s="289"/>
      <c r="P1096" s="123"/>
      <c r="Q1096" s="123"/>
      <c r="R1096" s="123"/>
      <c r="S1096" s="524"/>
      <c r="T1096" s="123"/>
      <c r="U1096" s="497"/>
      <c r="V1096" s="123"/>
      <c r="W1096" s="497"/>
      <c r="X1096" s="123"/>
      <c r="Y1096" s="123"/>
      <c r="Z1096" s="123"/>
      <c r="AA1096" s="497"/>
      <c r="AB1096" s="123"/>
      <c r="AC1096" s="497"/>
      <c r="AD1096" s="290"/>
      <c r="AE1096" s="122"/>
      <c r="AF1096" s="122"/>
      <c r="AG1096" s="122"/>
      <c r="AH1096" s="122"/>
    </row>
    <row r="1097" spans="1:44">
      <c r="A1097" s="123"/>
      <c r="B1097" s="123"/>
      <c r="C1097" s="123"/>
      <c r="D1097" s="123"/>
      <c r="E1097" s="130"/>
      <c r="F1097" s="123"/>
      <c r="G1097" s="130"/>
      <c r="H1097" s="123"/>
      <c r="I1097" s="123"/>
      <c r="J1097" s="123"/>
      <c r="K1097" s="123"/>
      <c r="L1097" s="123"/>
      <c r="M1097" s="288"/>
      <c r="N1097" s="123"/>
      <c r="O1097" s="289"/>
      <c r="P1097" s="123"/>
      <c r="Q1097" s="123"/>
      <c r="R1097" s="123"/>
      <c r="S1097" s="524"/>
      <c r="T1097" s="123"/>
      <c r="U1097" s="497"/>
      <c r="V1097" s="123"/>
      <c r="W1097" s="497"/>
      <c r="X1097" s="123"/>
      <c r="Y1097" s="123"/>
      <c r="Z1097" s="123"/>
      <c r="AA1097" s="497"/>
      <c r="AB1097" s="123"/>
      <c r="AC1097" s="497"/>
      <c r="AD1097" s="123"/>
      <c r="AE1097" s="122"/>
      <c r="AF1097" s="122"/>
      <c r="AG1097" s="122"/>
      <c r="AH1097" s="122"/>
    </row>
    <row r="1098" spans="1:44">
      <c r="A1098" s="123"/>
      <c r="B1098" s="123"/>
      <c r="C1098" s="123"/>
      <c r="D1098" s="123"/>
      <c r="E1098" s="130"/>
      <c r="F1098" s="123"/>
      <c r="G1098" s="130"/>
      <c r="H1098" s="123"/>
      <c r="I1098" s="123"/>
      <c r="J1098" s="123"/>
      <c r="K1098" s="123"/>
      <c r="L1098" s="123"/>
      <c r="M1098" s="288"/>
      <c r="N1098" s="123"/>
      <c r="O1098" s="289"/>
      <c r="P1098" s="123"/>
      <c r="Q1098" s="123"/>
      <c r="R1098" s="123"/>
      <c r="S1098" s="524"/>
      <c r="T1098" s="123"/>
      <c r="U1098" s="497"/>
      <c r="V1098" s="123"/>
      <c r="W1098" s="497"/>
      <c r="X1098" s="123"/>
      <c r="Y1098" s="123"/>
      <c r="Z1098" s="123"/>
      <c r="AA1098" s="497"/>
      <c r="AB1098" s="123"/>
      <c r="AC1098" s="497"/>
      <c r="AD1098" s="123"/>
      <c r="AE1098" s="122"/>
      <c r="AF1098" s="122"/>
      <c r="AG1098" s="122"/>
      <c r="AH1098" s="122"/>
    </row>
    <row r="1099" spans="1:44">
      <c r="A1099" s="123"/>
      <c r="B1099" s="123"/>
      <c r="C1099" s="123"/>
      <c r="D1099" s="123"/>
      <c r="E1099" s="130"/>
      <c r="F1099" s="123"/>
      <c r="G1099" s="130"/>
      <c r="H1099" s="123"/>
      <c r="I1099" s="123"/>
      <c r="J1099" s="123"/>
      <c r="K1099" s="123"/>
      <c r="L1099" s="123"/>
      <c r="M1099" s="288"/>
      <c r="N1099" s="123"/>
      <c r="O1099" s="289"/>
      <c r="P1099" s="123"/>
      <c r="Q1099" s="123"/>
      <c r="R1099" s="123"/>
      <c r="S1099" s="524"/>
      <c r="T1099" s="123"/>
      <c r="U1099" s="497"/>
      <c r="V1099" s="123"/>
      <c r="W1099" s="497"/>
      <c r="X1099" s="123"/>
      <c r="Y1099" s="123"/>
      <c r="Z1099" s="123"/>
      <c r="AA1099" s="497"/>
      <c r="AB1099" s="123"/>
      <c r="AC1099" s="497"/>
      <c r="AD1099" s="123"/>
      <c r="AE1099" s="122"/>
      <c r="AF1099" s="122"/>
      <c r="AG1099" s="122"/>
      <c r="AH1099" s="122"/>
    </row>
    <row r="1100" spans="1:44">
      <c r="A1100" s="123"/>
      <c r="B1100" s="123"/>
      <c r="C1100" s="123"/>
      <c r="D1100" s="123"/>
      <c r="E1100" s="130"/>
      <c r="F1100" s="123"/>
      <c r="G1100" s="130"/>
      <c r="H1100" s="123"/>
      <c r="I1100" s="123"/>
      <c r="J1100" s="123"/>
      <c r="K1100" s="123"/>
      <c r="L1100" s="123"/>
      <c r="M1100" s="288"/>
      <c r="N1100" s="123"/>
      <c r="O1100" s="289"/>
      <c r="P1100" s="123"/>
      <c r="Q1100" s="123"/>
      <c r="R1100" s="123"/>
      <c r="S1100" s="524"/>
      <c r="T1100" s="123"/>
      <c r="U1100" s="497"/>
      <c r="V1100" s="123"/>
      <c r="W1100" s="497"/>
      <c r="X1100" s="123"/>
      <c r="Y1100" s="123"/>
      <c r="Z1100" s="123"/>
      <c r="AA1100" s="497"/>
      <c r="AB1100" s="123"/>
      <c r="AC1100" s="497"/>
      <c r="AD1100" s="123"/>
      <c r="AE1100" s="122"/>
      <c r="AF1100" s="122"/>
      <c r="AG1100" s="122"/>
      <c r="AH1100" s="122"/>
    </row>
    <row r="1101" spans="1:44">
      <c r="A1101" s="123"/>
      <c r="B1101" s="123"/>
      <c r="C1101" s="123"/>
      <c r="D1101" s="123"/>
      <c r="E1101" s="130"/>
      <c r="F1101" s="123"/>
      <c r="G1101" s="130"/>
      <c r="H1101" s="123"/>
      <c r="I1101" s="123"/>
      <c r="J1101" s="123"/>
      <c r="K1101" s="123"/>
      <c r="L1101" s="123"/>
      <c r="M1101" s="288"/>
      <c r="N1101" s="123"/>
      <c r="O1101" s="289"/>
      <c r="P1101" s="123"/>
      <c r="Q1101" s="123"/>
      <c r="R1101" s="123"/>
      <c r="S1101" s="524"/>
      <c r="T1101" s="123"/>
      <c r="U1101" s="497"/>
      <c r="V1101" s="123"/>
      <c r="W1101" s="497"/>
      <c r="X1101" s="123"/>
      <c r="Y1101" s="123"/>
      <c r="Z1101" s="123"/>
      <c r="AA1101" s="497"/>
      <c r="AB1101" s="123"/>
      <c r="AC1101" s="497"/>
      <c r="AD1101" s="123"/>
      <c r="AE1101" s="122"/>
      <c r="AF1101" s="122"/>
      <c r="AG1101" s="122"/>
      <c r="AH1101" s="122"/>
    </row>
    <row r="1102" spans="1:44">
      <c r="A1102" s="123"/>
      <c r="B1102" s="123"/>
      <c r="C1102" s="123"/>
      <c r="D1102" s="123"/>
      <c r="E1102" s="130"/>
      <c r="F1102" s="123"/>
      <c r="G1102" s="130"/>
      <c r="H1102" s="123"/>
      <c r="I1102" s="123"/>
      <c r="J1102" s="123"/>
      <c r="K1102" s="123"/>
      <c r="L1102" s="123"/>
      <c r="M1102" s="288"/>
      <c r="N1102" s="123"/>
      <c r="O1102" s="289"/>
      <c r="P1102" s="123"/>
      <c r="Q1102" s="123"/>
      <c r="R1102" s="123"/>
      <c r="S1102" s="524"/>
      <c r="T1102" s="123"/>
      <c r="U1102" s="497"/>
      <c r="V1102" s="123"/>
      <c r="W1102" s="497"/>
      <c r="X1102" s="123"/>
      <c r="Y1102" s="123"/>
      <c r="Z1102" s="123"/>
      <c r="AA1102" s="497"/>
      <c r="AB1102" s="123"/>
      <c r="AC1102" s="497"/>
      <c r="AD1102" s="123"/>
      <c r="AE1102" s="122"/>
      <c r="AF1102" s="122"/>
      <c r="AG1102" s="122"/>
      <c r="AH1102" s="122"/>
    </row>
    <row r="1103" spans="1:44">
      <c r="A1103" s="123"/>
      <c r="B1103" s="123"/>
      <c r="C1103" s="123"/>
      <c r="D1103" s="123"/>
      <c r="E1103" s="130"/>
      <c r="F1103" s="123"/>
      <c r="G1103" s="130"/>
      <c r="H1103" s="123"/>
      <c r="I1103" s="123"/>
      <c r="J1103" s="123"/>
      <c r="K1103" s="123"/>
      <c r="L1103" s="123"/>
      <c r="M1103" s="288"/>
      <c r="N1103" s="123"/>
      <c r="O1103" s="289"/>
      <c r="P1103" s="123"/>
      <c r="Q1103" s="123"/>
      <c r="R1103" s="123"/>
      <c r="S1103" s="524"/>
      <c r="T1103" s="123"/>
      <c r="U1103" s="497"/>
      <c r="V1103" s="123"/>
      <c r="W1103" s="497"/>
      <c r="X1103" s="123"/>
      <c r="Y1103" s="123"/>
      <c r="Z1103" s="123"/>
      <c r="AA1103" s="497"/>
      <c r="AB1103" s="123"/>
      <c r="AC1103" s="497"/>
      <c r="AD1103" s="123"/>
      <c r="AE1103" s="122"/>
      <c r="AF1103" s="122"/>
      <c r="AG1103" s="122"/>
      <c r="AH1103" s="122"/>
    </row>
    <row r="1104" spans="1:44">
      <c r="A1104" s="123"/>
      <c r="B1104" s="123"/>
      <c r="C1104" s="123"/>
      <c r="D1104" s="123"/>
      <c r="E1104" s="130"/>
      <c r="F1104" s="123"/>
      <c r="G1104" s="130"/>
      <c r="H1104" s="123"/>
      <c r="I1104" s="123"/>
      <c r="J1104" s="123"/>
      <c r="K1104" s="123"/>
      <c r="L1104" s="123"/>
      <c r="M1104" s="288"/>
      <c r="N1104" s="123"/>
      <c r="O1104" s="289"/>
      <c r="P1104" s="123"/>
      <c r="Q1104" s="123"/>
      <c r="R1104" s="123"/>
      <c r="S1104" s="524"/>
      <c r="T1104" s="123"/>
      <c r="U1104" s="497"/>
      <c r="V1104" s="123"/>
      <c r="W1104" s="497"/>
      <c r="X1104" s="123"/>
      <c r="Y1104" s="123"/>
      <c r="Z1104" s="123"/>
      <c r="AA1104" s="497"/>
      <c r="AB1104" s="123"/>
      <c r="AC1104" s="497"/>
      <c r="AD1104" s="123"/>
      <c r="AE1104" s="122"/>
      <c r="AF1104" s="122"/>
      <c r="AG1104" s="122"/>
      <c r="AH1104" s="122"/>
    </row>
    <row r="1105" spans="1:34">
      <c r="A1105" s="123"/>
      <c r="B1105" s="123"/>
      <c r="C1105" s="123"/>
      <c r="D1105" s="123"/>
      <c r="E1105" s="130"/>
      <c r="F1105" s="123"/>
      <c r="G1105" s="130"/>
      <c r="H1105" s="123"/>
      <c r="I1105" s="123"/>
      <c r="J1105" s="123"/>
      <c r="K1105" s="123"/>
      <c r="L1105" s="123"/>
      <c r="M1105" s="288"/>
      <c r="N1105" s="123"/>
      <c r="O1105" s="289"/>
      <c r="P1105" s="123"/>
      <c r="Q1105" s="123"/>
      <c r="R1105" s="123"/>
      <c r="S1105" s="524"/>
      <c r="T1105" s="123"/>
      <c r="U1105" s="497"/>
      <c r="V1105" s="123"/>
      <c r="W1105" s="497"/>
      <c r="X1105" s="123"/>
      <c r="Y1105" s="123"/>
      <c r="Z1105" s="123"/>
      <c r="AA1105" s="497"/>
      <c r="AB1105" s="123"/>
      <c r="AC1105" s="497"/>
      <c r="AD1105" s="123"/>
      <c r="AE1105" s="122"/>
      <c r="AF1105" s="122"/>
      <c r="AG1105" s="122"/>
      <c r="AH1105" s="122"/>
    </row>
    <row r="1106" spans="1:34">
      <c r="A1106" s="123"/>
      <c r="B1106" s="123"/>
      <c r="C1106" s="123"/>
      <c r="D1106" s="123"/>
      <c r="E1106" s="130"/>
      <c r="F1106" s="123"/>
      <c r="G1106" s="130"/>
      <c r="H1106" s="123"/>
      <c r="I1106" s="123"/>
      <c r="J1106" s="123"/>
      <c r="K1106" s="123"/>
      <c r="L1106" s="123"/>
      <c r="M1106" s="288"/>
      <c r="N1106" s="123"/>
      <c r="O1106" s="289"/>
      <c r="P1106" s="123"/>
      <c r="Q1106" s="123"/>
      <c r="R1106" s="123"/>
      <c r="S1106" s="524"/>
      <c r="T1106" s="123"/>
      <c r="U1106" s="497"/>
      <c r="V1106" s="123"/>
      <c r="W1106" s="497"/>
      <c r="X1106" s="123"/>
      <c r="Y1106" s="123"/>
      <c r="Z1106" s="123"/>
      <c r="AA1106" s="497"/>
      <c r="AB1106" s="123"/>
      <c r="AC1106" s="497"/>
      <c r="AD1106" s="123"/>
      <c r="AE1106" s="122"/>
      <c r="AF1106" s="122"/>
      <c r="AG1106" s="122"/>
      <c r="AH1106" s="122"/>
    </row>
    <row r="1107" spans="1:34">
      <c r="A1107" s="123"/>
      <c r="B1107" s="123"/>
      <c r="C1107" s="123"/>
      <c r="D1107" s="123"/>
      <c r="E1107" s="130"/>
      <c r="F1107" s="123"/>
      <c r="G1107" s="130"/>
      <c r="H1107" s="123"/>
      <c r="I1107" s="123"/>
      <c r="J1107" s="123"/>
      <c r="K1107" s="123"/>
      <c r="L1107" s="123"/>
      <c r="M1107" s="288"/>
      <c r="N1107" s="123"/>
      <c r="O1107" s="289"/>
      <c r="P1107" s="123"/>
      <c r="Q1107" s="123"/>
      <c r="R1107" s="123"/>
      <c r="S1107" s="524"/>
      <c r="T1107" s="123"/>
      <c r="U1107" s="497"/>
      <c r="V1107" s="123"/>
      <c r="W1107" s="497"/>
      <c r="X1107" s="123"/>
      <c r="Y1107" s="123"/>
      <c r="Z1107" s="123"/>
      <c r="AA1107" s="497"/>
      <c r="AB1107" s="123"/>
      <c r="AC1107" s="497"/>
      <c r="AD1107" s="123"/>
      <c r="AE1107" s="122"/>
      <c r="AF1107" s="122"/>
      <c r="AG1107" s="122"/>
      <c r="AH1107" s="122"/>
    </row>
    <row r="1108" spans="1:34">
      <c r="A1108" s="123"/>
      <c r="B1108" s="123"/>
      <c r="C1108" s="123"/>
      <c r="D1108" s="123"/>
      <c r="E1108" s="130"/>
      <c r="F1108" s="123"/>
      <c r="G1108" s="130"/>
      <c r="H1108" s="123"/>
      <c r="I1108" s="123"/>
      <c r="J1108" s="123"/>
      <c r="K1108" s="123"/>
      <c r="L1108" s="123"/>
      <c r="M1108" s="288"/>
      <c r="N1108" s="123"/>
      <c r="O1108" s="289"/>
      <c r="P1108" s="123"/>
      <c r="Q1108" s="123"/>
      <c r="R1108" s="123"/>
      <c r="S1108" s="524"/>
      <c r="T1108" s="123"/>
      <c r="U1108" s="497"/>
      <c r="V1108" s="123"/>
      <c r="W1108" s="497"/>
      <c r="X1108" s="123"/>
      <c r="Y1108" s="123"/>
      <c r="Z1108" s="123"/>
      <c r="AA1108" s="497"/>
      <c r="AB1108" s="123"/>
      <c r="AC1108" s="497"/>
      <c r="AD1108" s="123"/>
      <c r="AE1108" s="122"/>
      <c r="AF1108" s="122"/>
      <c r="AG1108" s="122"/>
      <c r="AH1108" s="122"/>
    </row>
    <row r="1109" spans="1:34">
      <c r="A1109" s="123"/>
      <c r="B1109" s="123"/>
      <c r="C1109" s="123"/>
      <c r="D1109" s="123"/>
      <c r="E1109" s="130"/>
      <c r="F1109" s="123"/>
      <c r="G1109" s="130"/>
      <c r="H1109" s="123"/>
      <c r="I1109" s="123"/>
      <c r="J1109" s="123"/>
      <c r="K1109" s="123"/>
      <c r="L1109" s="123"/>
      <c r="M1109" s="288"/>
      <c r="N1109" s="123"/>
      <c r="O1109" s="289"/>
      <c r="P1109" s="123"/>
      <c r="Q1109" s="123"/>
      <c r="R1109" s="123"/>
      <c r="S1109" s="524"/>
      <c r="T1109" s="123"/>
      <c r="U1109" s="497"/>
      <c r="V1109" s="123"/>
      <c r="W1109" s="497"/>
      <c r="X1109" s="123"/>
      <c r="Y1109" s="123"/>
      <c r="Z1109" s="123"/>
      <c r="AA1109" s="497"/>
      <c r="AB1109" s="123"/>
      <c r="AC1109" s="497"/>
      <c r="AD1109" s="123"/>
      <c r="AE1109" s="122"/>
      <c r="AF1109" s="122"/>
      <c r="AG1109" s="122"/>
      <c r="AH1109" s="122"/>
    </row>
    <row r="1110" spans="1:34">
      <c r="A1110" s="123"/>
      <c r="B1110" s="123"/>
      <c r="C1110" s="123"/>
      <c r="D1110" s="123"/>
      <c r="E1110" s="130"/>
      <c r="F1110" s="123"/>
      <c r="G1110" s="130"/>
      <c r="H1110" s="123"/>
      <c r="I1110" s="123"/>
      <c r="J1110" s="123"/>
      <c r="K1110" s="123"/>
      <c r="L1110" s="123"/>
      <c r="M1110" s="288"/>
      <c r="N1110" s="123"/>
      <c r="O1110" s="289"/>
      <c r="P1110" s="123"/>
      <c r="Q1110" s="123"/>
      <c r="R1110" s="123"/>
      <c r="S1110" s="524"/>
      <c r="T1110" s="123"/>
      <c r="U1110" s="497"/>
      <c r="V1110" s="123"/>
      <c r="W1110" s="497"/>
      <c r="X1110" s="123"/>
      <c r="Y1110" s="123"/>
      <c r="Z1110" s="123"/>
      <c r="AA1110" s="497"/>
      <c r="AB1110" s="123"/>
      <c r="AC1110" s="497"/>
      <c r="AD1110" s="123"/>
      <c r="AE1110" s="122"/>
      <c r="AF1110" s="122"/>
      <c r="AG1110" s="122"/>
      <c r="AH1110" s="122"/>
    </row>
    <row r="1111" spans="1:34">
      <c r="A1111" s="123"/>
      <c r="B1111" s="123"/>
      <c r="C1111" s="123"/>
      <c r="D1111" s="123"/>
      <c r="E1111" s="130"/>
      <c r="F1111" s="123"/>
      <c r="G1111" s="130"/>
      <c r="H1111" s="123"/>
      <c r="I1111" s="123"/>
      <c r="J1111" s="123"/>
      <c r="K1111" s="123"/>
      <c r="L1111" s="123"/>
      <c r="M1111" s="288"/>
      <c r="N1111" s="123"/>
      <c r="O1111" s="289"/>
      <c r="P1111" s="123"/>
      <c r="Q1111" s="123"/>
      <c r="R1111" s="123"/>
      <c r="S1111" s="524"/>
      <c r="T1111" s="123"/>
      <c r="U1111" s="497"/>
      <c r="V1111" s="123"/>
      <c r="W1111" s="497"/>
      <c r="X1111" s="123"/>
      <c r="Y1111" s="123"/>
      <c r="Z1111" s="123"/>
      <c r="AA1111" s="497"/>
      <c r="AB1111" s="123"/>
      <c r="AC1111" s="497"/>
      <c r="AD1111" s="123"/>
      <c r="AE1111" s="122"/>
      <c r="AF1111" s="122"/>
      <c r="AG1111" s="122"/>
      <c r="AH1111" s="122"/>
    </row>
    <row r="1112" spans="1:34">
      <c r="A1112" s="123"/>
      <c r="B1112" s="123"/>
      <c r="C1112" s="123"/>
      <c r="D1112" s="123"/>
      <c r="E1112" s="130"/>
      <c r="F1112" s="123"/>
      <c r="G1112" s="130"/>
      <c r="H1112" s="123"/>
      <c r="I1112" s="123"/>
      <c r="J1112" s="123"/>
      <c r="K1112" s="123"/>
      <c r="L1112" s="123"/>
      <c r="M1112" s="288"/>
      <c r="N1112" s="123"/>
      <c r="O1112" s="289"/>
      <c r="P1112" s="123"/>
      <c r="Q1112" s="123"/>
      <c r="R1112" s="123"/>
      <c r="S1112" s="524"/>
      <c r="T1112" s="123"/>
      <c r="U1112" s="497"/>
      <c r="V1112" s="123"/>
      <c r="W1112" s="497"/>
      <c r="X1112" s="123"/>
      <c r="Y1112" s="123"/>
      <c r="Z1112" s="123"/>
      <c r="AA1112" s="497"/>
      <c r="AB1112" s="123"/>
      <c r="AC1112" s="497"/>
      <c r="AD1112" s="123"/>
      <c r="AE1112" s="122"/>
      <c r="AF1112" s="122"/>
      <c r="AG1112" s="122"/>
      <c r="AH1112" s="122"/>
    </row>
    <row r="1113" spans="1:34">
      <c r="A1113" s="123"/>
      <c r="B1113" s="123"/>
      <c r="C1113" s="123"/>
      <c r="D1113" s="123"/>
      <c r="E1113" s="130"/>
      <c r="F1113" s="123"/>
      <c r="G1113" s="130"/>
      <c r="H1113" s="123"/>
      <c r="I1113" s="123"/>
      <c r="J1113" s="123"/>
      <c r="K1113" s="123"/>
      <c r="L1113" s="123"/>
      <c r="M1113" s="288"/>
      <c r="N1113" s="123"/>
      <c r="O1113" s="289"/>
      <c r="P1113" s="123"/>
      <c r="Q1113" s="123"/>
      <c r="R1113" s="123"/>
      <c r="S1113" s="524"/>
      <c r="T1113" s="123"/>
      <c r="U1113" s="497"/>
      <c r="V1113" s="123"/>
      <c r="W1113" s="497"/>
      <c r="X1113" s="123"/>
      <c r="Y1113" s="123"/>
      <c r="Z1113" s="123"/>
      <c r="AA1113" s="497"/>
      <c r="AB1113" s="123"/>
      <c r="AC1113" s="497"/>
      <c r="AD1113" s="123"/>
      <c r="AE1113" s="122"/>
      <c r="AF1113" s="122"/>
      <c r="AG1113" s="122"/>
      <c r="AH1113" s="122"/>
    </row>
    <row r="1114" spans="1:34">
      <c r="A1114" s="123"/>
      <c r="B1114" s="123"/>
      <c r="C1114" s="123"/>
      <c r="D1114" s="123"/>
      <c r="E1114" s="130"/>
      <c r="F1114" s="123"/>
      <c r="G1114" s="130"/>
      <c r="H1114" s="123"/>
      <c r="I1114" s="123"/>
      <c r="J1114" s="123"/>
      <c r="K1114" s="123"/>
      <c r="L1114" s="123"/>
      <c r="M1114" s="288"/>
      <c r="N1114" s="123"/>
      <c r="O1114" s="289"/>
      <c r="P1114" s="123"/>
      <c r="Q1114" s="123"/>
      <c r="R1114" s="123"/>
      <c r="S1114" s="524"/>
      <c r="T1114" s="123"/>
      <c r="U1114" s="497"/>
      <c r="V1114" s="123"/>
      <c r="W1114" s="497"/>
      <c r="X1114" s="123"/>
      <c r="Y1114" s="123"/>
      <c r="Z1114" s="123"/>
      <c r="AA1114" s="497"/>
      <c r="AB1114" s="123"/>
      <c r="AC1114" s="497"/>
      <c r="AD1114" s="123"/>
      <c r="AE1114" s="122"/>
      <c r="AF1114" s="122"/>
      <c r="AG1114" s="122"/>
      <c r="AH1114" s="122"/>
    </row>
    <row r="1115" spans="1:34">
      <c r="A1115" s="123"/>
      <c r="B1115" s="123"/>
      <c r="C1115" s="123"/>
      <c r="D1115" s="123"/>
      <c r="E1115" s="130"/>
      <c r="F1115" s="123"/>
      <c r="G1115" s="130"/>
      <c r="H1115" s="123"/>
      <c r="I1115" s="123"/>
      <c r="J1115" s="123"/>
      <c r="K1115" s="123"/>
      <c r="L1115" s="123"/>
      <c r="M1115" s="288"/>
      <c r="N1115" s="123"/>
      <c r="O1115" s="289"/>
      <c r="P1115" s="123"/>
      <c r="Q1115" s="123"/>
      <c r="R1115" s="123"/>
      <c r="S1115" s="524"/>
      <c r="T1115" s="123"/>
      <c r="U1115" s="497"/>
      <c r="V1115" s="123"/>
      <c r="W1115" s="497"/>
      <c r="X1115" s="123"/>
      <c r="Y1115" s="123"/>
      <c r="Z1115" s="123"/>
      <c r="AA1115" s="497"/>
      <c r="AB1115" s="123"/>
      <c r="AC1115" s="497"/>
      <c r="AD1115" s="123"/>
      <c r="AE1115" s="122"/>
      <c r="AF1115" s="122"/>
      <c r="AG1115" s="122"/>
      <c r="AH1115" s="122"/>
    </row>
    <row r="1116" spans="1:34">
      <c r="A1116" s="123"/>
      <c r="B1116" s="123"/>
      <c r="C1116" s="123"/>
      <c r="D1116" s="123"/>
      <c r="E1116" s="130"/>
      <c r="F1116" s="123"/>
      <c r="G1116" s="130"/>
      <c r="H1116" s="123"/>
      <c r="I1116" s="123"/>
      <c r="J1116" s="123"/>
      <c r="K1116" s="123"/>
      <c r="L1116" s="123"/>
      <c r="M1116" s="288"/>
      <c r="N1116" s="123"/>
      <c r="O1116" s="289"/>
      <c r="P1116" s="123"/>
      <c r="Q1116" s="123"/>
      <c r="R1116" s="123"/>
      <c r="S1116" s="524"/>
      <c r="T1116" s="123"/>
      <c r="U1116" s="497"/>
      <c r="V1116" s="123"/>
      <c r="W1116" s="497"/>
      <c r="X1116" s="123"/>
      <c r="Y1116" s="123"/>
      <c r="Z1116" s="123"/>
      <c r="AA1116" s="497"/>
      <c r="AB1116" s="123"/>
      <c r="AC1116" s="497"/>
      <c r="AD1116" s="123"/>
      <c r="AE1116" s="122"/>
      <c r="AF1116" s="122"/>
      <c r="AG1116" s="122"/>
      <c r="AH1116" s="122"/>
    </row>
    <row r="1117" spans="1:34">
      <c r="A1117" s="123"/>
      <c r="B1117" s="123"/>
      <c r="C1117" s="123"/>
      <c r="D1117" s="123"/>
      <c r="E1117" s="130"/>
      <c r="F1117" s="123"/>
      <c r="G1117" s="130"/>
      <c r="H1117" s="123"/>
      <c r="I1117" s="123"/>
      <c r="J1117" s="123"/>
      <c r="K1117" s="123"/>
      <c r="L1117" s="123"/>
      <c r="M1117" s="288"/>
      <c r="N1117" s="123"/>
      <c r="O1117" s="289"/>
      <c r="P1117" s="123"/>
      <c r="Q1117" s="123"/>
      <c r="R1117" s="123"/>
      <c r="S1117" s="524"/>
      <c r="T1117" s="123"/>
      <c r="U1117" s="497"/>
      <c r="V1117" s="123"/>
      <c r="W1117" s="497"/>
      <c r="X1117" s="123"/>
      <c r="Y1117" s="123"/>
      <c r="Z1117" s="123"/>
      <c r="AA1117" s="497"/>
      <c r="AB1117" s="123"/>
      <c r="AC1117" s="497"/>
      <c r="AD1117" s="123"/>
      <c r="AE1117" s="122"/>
      <c r="AF1117" s="122"/>
      <c r="AG1117" s="122"/>
      <c r="AH1117" s="122"/>
    </row>
    <row r="1118" spans="1:34">
      <c r="A1118" s="123"/>
      <c r="B1118" s="123"/>
      <c r="C1118" s="123"/>
      <c r="D1118" s="123"/>
      <c r="E1118" s="130"/>
      <c r="F1118" s="123"/>
      <c r="G1118" s="130"/>
      <c r="H1118" s="123"/>
      <c r="I1118" s="123"/>
      <c r="J1118" s="123"/>
      <c r="K1118" s="123"/>
      <c r="L1118" s="123"/>
      <c r="M1118" s="288"/>
      <c r="N1118" s="123"/>
      <c r="O1118" s="289"/>
      <c r="P1118" s="123"/>
      <c r="Q1118" s="123"/>
      <c r="R1118" s="123"/>
      <c r="S1118" s="524"/>
      <c r="T1118" s="123"/>
      <c r="U1118" s="497"/>
      <c r="V1118" s="123"/>
      <c r="W1118" s="497"/>
      <c r="X1118" s="123"/>
      <c r="Y1118" s="123"/>
      <c r="Z1118" s="123"/>
      <c r="AA1118" s="497"/>
      <c r="AB1118" s="123"/>
      <c r="AC1118" s="497"/>
      <c r="AD1118" s="123"/>
      <c r="AE1118" s="122"/>
      <c r="AF1118" s="122"/>
      <c r="AG1118" s="122"/>
      <c r="AH1118" s="122"/>
    </row>
    <row r="1119" spans="1:34">
      <c r="A1119" s="123"/>
      <c r="B1119" s="123"/>
      <c r="C1119" s="123"/>
      <c r="D1119" s="123"/>
      <c r="E1119" s="130"/>
      <c r="F1119" s="123"/>
      <c r="G1119" s="130"/>
      <c r="H1119" s="123"/>
      <c r="I1119" s="123"/>
      <c r="J1119" s="123"/>
      <c r="K1119" s="123"/>
      <c r="L1119" s="123"/>
      <c r="M1119" s="288"/>
      <c r="N1119" s="123"/>
      <c r="O1119" s="289"/>
      <c r="P1119" s="123"/>
      <c r="Q1119" s="123"/>
      <c r="R1119" s="123"/>
      <c r="S1119" s="524"/>
      <c r="T1119" s="123"/>
      <c r="U1119" s="497"/>
      <c r="V1119" s="123"/>
      <c r="W1119" s="497"/>
      <c r="X1119" s="123"/>
      <c r="Y1119" s="123"/>
      <c r="Z1119" s="123"/>
      <c r="AA1119" s="497"/>
      <c r="AB1119" s="123"/>
      <c r="AC1119" s="497"/>
      <c r="AD1119" s="123"/>
      <c r="AE1119" s="122"/>
      <c r="AF1119" s="122"/>
      <c r="AG1119" s="122"/>
      <c r="AH1119" s="122"/>
    </row>
    <row r="1120" spans="1:34">
      <c r="A1120" s="123"/>
      <c r="B1120" s="123"/>
      <c r="C1120" s="123"/>
      <c r="D1120" s="123"/>
      <c r="E1120" s="130"/>
      <c r="F1120" s="123"/>
      <c r="G1120" s="130"/>
      <c r="H1120" s="123"/>
      <c r="I1120" s="123"/>
      <c r="J1120" s="123"/>
      <c r="K1120" s="123"/>
      <c r="L1120" s="123"/>
      <c r="M1120" s="288"/>
      <c r="N1120" s="123"/>
      <c r="O1120" s="289"/>
      <c r="P1120" s="123"/>
      <c r="Q1120" s="123"/>
      <c r="R1120" s="123"/>
      <c r="S1120" s="524"/>
      <c r="T1120" s="123"/>
      <c r="U1120" s="497"/>
      <c r="V1120" s="123"/>
      <c r="W1120" s="497"/>
      <c r="X1120" s="123"/>
      <c r="Y1120" s="123"/>
      <c r="Z1120" s="123"/>
      <c r="AA1120" s="497"/>
      <c r="AB1120" s="123"/>
      <c r="AC1120" s="497"/>
      <c r="AD1120" s="123"/>
      <c r="AE1120" s="122"/>
      <c r="AF1120" s="122"/>
      <c r="AG1120" s="122"/>
      <c r="AH1120" s="122"/>
    </row>
    <row r="1121" spans="1:34">
      <c r="A1121" s="123"/>
      <c r="B1121" s="123"/>
      <c r="C1121" s="123"/>
      <c r="D1121" s="123"/>
      <c r="E1121" s="130"/>
      <c r="F1121" s="123"/>
      <c r="G1121" s="130"/>
      <c r="H1121" s="123"/>
      <c r="I1121" s="123"/>
      <c r="J1121" s="123"/>
      <c r="K1121" s="123"/>
      <c r="L1121" s="123"/>
      <c r="M1121" s="288"/>
      <c r="N1121" s="123"/>
      <c r="O1121" s="289"/>
      <c r="P1121" s="123"/>
      <c r="Q1121" s="123"/>
      <c r="R1121" s="123"/>
      <c r="S1121" s="524"/>
      <c r="T1121" s="123"/>
      <c r="U1121" s="497"/>
      <c r="V1121" s="123"/>
      <c r="W1121" s="497"/>
      <c r="X1121" s="123"/>
      <c r="Y1121" s="123"/>
      <c r="Z1121" s="123"/>
      <c r="AA1121" s="497"/>
      <c r="AB1121" s="123"/>
      <c r="AC1121" s="497"/>
      <c r="AD1121" s="123"/>
      <c r="AE1121" s="122"/>
      <c r="AF1121" s="122"/>
      <c r="AG1121" s="122"/>
      <c r="AH1121" s="122"/>
    </row>
    <row r="1122" spans="1:34">
      <c r="A1122" s="123"/>
      <c r="B1122" s="123"/>
      <c r="C1122" s="123"/>
      <c r="D1122" s="123"/>
      <c r="E1122" s="130"/>
      <c r="F1122" s="123"/>
      <c r="G1122" s="130"/>
      <c r="H1122" s="123"/>
      <c r="I1122" s="123"/>
      <c r="J1122" s="123"/>
      <c r="K1122" s="123"/>
      <c r="L1122" s="123"/>
      <c r="M1122" s="288"/>
      <c r="N1122" s="123"/>
      <c r="O1122" s="289"/>
      <c r="P1122" s="123"/>
      <c r="Q1122" s="123"/>
      <c r="R1122" s="123"/>
      <c r="S1122" s="524"/>
      <c r="T1122" s="123"/>
      <c r="U1122" s="497"/>
      <c r="V1122" s="123"/>
      <c r="W1122" s="497"/>
      <c r="X1122" s="123"/>
      <c r="Y1122" s="123"/>
      <c r="Z1122" s="123"/>
      <c r="AA1122" s="497"/>
      <c r="AB1122" s="123"/>
      <c r="AC1122" s="497"/>
      <c r="AD1122" s="123"/>
      <c r="AE1122" s="122"/>
      <c r="AF1122" s="122"/>
      <c r="AG1122" s="122"/>
      <c r="AH1122" s="122"/>
    </row>
    <row r="1123" spans="1:34">
      <c r="A1123" s="123"/>
      <c r="B1123" s="123"/>
      <c r="C1123" s="123"/>
      <c r="D1123" s="123"/>
      <c r="E1123" s="130"/>
      <c r="F1123" s="123"/>
      <c r="G1123" s="130"/>
      <c r="H1123" s="123"/>
      <c r="I1123" s="123"/>
      <c r="J1123" s="123"/>
      <c r="K1123" s="123"/>
      <c r="L1123" s="123"/>
      <c r="M1123" s="288"/>
      <c r="N1123" s="123"/>
      <c r="O1123" s="289"/>
      <c r="P1123" s="123"/>
      <c r="Q1123" s="123"/>
      <c r="R1123" s="123"/>
      <c r="S1123" s="524"/>
      <c r="T1123" s="123"/>
      <c r="U1123" s="497"/>
      <c r="V1123" s="123"/>
      <c r="W1123" s="497"/>
      <c r="X1123" s="123"/>
      <c r="Y1123" s="123"/>
      <c r="Z1123" s="123"/>
      <c r="AA1123" s="497"/>
      <c r="AB1123" s="123"/>
      <c r="AC1123" s="497"/>
      <c r="AD1123" s="123"/>
      <c r="AE1123" s="122"/>
      <c r="AF1123" s="122"/>
      <c r="AG1123" s="122"/>
      <c r="AH1123" s="122"/>
    </row>
    <row r="1124" spans="1:34">
      <c r="A1124" s="123"/>
      <c r="B1124" s="123"/>
      <c r="C1124" s="123"/>
      <c r="D1124" s="123"/>
      <c r="E1124" s="130"/>
      <c r="F1124" s="123"/>
      <c r="G1124" s="130"/>
      <c r="H1124" s="123"/>
      <c r="I1124" s="123"/>
      <c r="J1124" s="123"/>
      <c r="K1124" s="123"/>
      <c r="L1124" s="123"/>
      <c r="M1124" s="288"/>
      <c r="N1124" s="123"/>
      <c r="O1124" s="289"/>
      <c r="P1124" s="123"/>
      <c r="Q1124" s="123"/>
      <c r="R1124" s="123"/>
      <c r="S1124" s="524"/>
      <c r="T1124" s="123"/>
      <c r="U1124" s="497"/>
      <c r="V1124" s="123"/>
      <c r="W1124" s="497"/>
      <c r="X1124" s="123"/>
      <c r="Y1124" s="123"/>
      <c r="Z1124" s="123"/>
      <c r="AA1124" s="497"/>
      <c r="AB1124" s="123"/>
      <c r="AC1124" s="497"/>
      <c r="AD1124" s="123"/>
      <c r="AE1124" s="122"/>
      <c r="AF1124" s="122"/>
      <c r="AG1124" s="122"/>
      <c r="AH1124" s="122"/>
    </row>
    <row r="1125" spans="1:34">
      <c r="A1125" s="123"/>
      <c r="B1125" s="123"/>
      <c r="C1125" s="123"/>
      <c r="D1125" s="123"/>
      <c r="E1125" s="130"/>
      <c r="F1125" s="123"/>
      <c r="G1125" s="130"/>
      <c r="H1125" s="123"/>
      <c r="I1125" s="123"/>
      <c r="J1125" s="123"/>
      <c r="K1125" s="123"/>
      <c r="L1125" s="123"/>
      <c r="M1125" s="288"/>
      <c r="N1125" s="123"/>
      <c r="O1125" s="289"/>
      <c r="P1125" s="123"/>
      <c r="Q1125" s="123"/>
      <c r="R1125" s="123"/>
      <c r="S1125" s="524"/>
      <c r="T1125" s="123"/>
      <c r="U1125" s="497"/>
      <c r="V1125" s="123"/>
      <c r="W1125" s="497"/>
      <c r="X1125" s="123"/>
      <c r="Y1125" s="123"/>
      <c r="Z1125" s="123"/>
      <c r="AA1125" s="497"/>
      <c r="AB1125" s="123"/>
      <c r="AC1125" s="497"/>
      <c r="AD1125" s="123"/>
      <c r="AE1125" s="122"/>
      <c r="AF1125" s="122"/>
      <c r="AG1125" s="122"/>
      <c r="AH1125" s="122"/>
    </row>
    <row r="1126" spans="1:34">
      <c r="A1126" s="123"/>
      <c r="B1126" s="123"/>
      <c r="C1126" s="123"/>
      <c r="D1126" s="123"/>
      <c r="E1126" s="130"/>
      <c r="F1126" s="123"/>
      <c r="G1126" s="130"/>
      <c r="H1126" s="123"/>
      <c r="I1126" s="123"/>
      <c r="J1126" s="123"/>
      <c r="K1126" s="123"/>
      <c r="L1126" s="123"/>
      <c r="M1126" s="288"/>
      <c r="N1126" s="123"/>
      <c r="O1126" s="289"/>
      <c r="P1126" s="123"/>
      <c r="Q1126" s="123"/>
      <c r="R1126" s="123"/>
      <c r="S1126" s="524"/>
      <c r="T1126" s="123"/>
      <c r="U1126" s="497"/>
      <c r="V1126" s="123"/>
      <c r="W1126" s="497"/>
      <c r="X1126" s="123"/>
      <c r="Y1126" s="123"/>
      <c r="Z1126" s="123"/>
      <c r="AA1126" s="497"/>
      <c r="AB1126" s="123"/>
      <c r="AC1126" s="497"/>
      <c r="AD1126" s="123"/>
      <c r="AE1126" s="122"/>
      <c r="AF1126" s="122"/>
      <c r="AG1126" s="122"/>
      <c r="AH1126" s="122"/>
    </row>
    <row r="1127" spans="1:34">
      <c r="A1127" s="123"/>
      <c r="B1127" s="123"/>
      <c r="C1127" s="123"/>
      <c r="D1127" s="123"/>
      <c r="E1127" s="130"/>
      <c r="F1127" s="123"/>
      <c r="G1127" s="130"/>
      <c r="H1127" s="123"/>
      <c r="I1127" s="123"/>
      <c r="J1127" s="123"/>
      <c r="K1127" s="123"/>
      <c r="L1127" s="123"/>
      <c r="M1127" s="288"/>
      <c r="N1127" s="123"/>
      <c r="O1127" s="289"/>
      <c r="P1127" s="123"/>
      <c r="Q1127" s="123"/>
      <c r="R1127" s="123"/>
      <c r="S1127" s="524"/>
      <c r="T1127" s="123"/>
      <c r="U1127" s="497"/>
      <c r="V1127" s="123"/>
      <c r="W1127" s="497"/>
      <c r="X1127" s="123"/>
      <c r="Y1127" s="123"/>
      <c r="Z1127" s="123"/>
      <c r="AA1127" s="497"/>
      <c r="AB1127" s="123"/>
      <c r="AC1127" s="497"/>
      <c r="AD1127" s="123"/>
      <c r="AE1127" s="122"/>
      <c r="AF1127" s="122"/>
      <c r="AG1127" s="122"/>
      <c r="AH1127" s="122"/>
    </row>
    <row r="1128" spans="1:34">
      <c r="A1128" s="123"/>
      <c r="B1128" s="123"/>
      <c r="C1128" s="123"/>
      <c r="D1128" s="123"/>
      <c r="E1128" s="130"/>
      <c r="F1128" s="123"/>
      <c r="G1128" s="130"/>
      <c r="H1128" s="123"/>
      <c r="I1128" s="123"/>
      <c r="J1128" s="123"/>
      <c r="K1128" s="123"/>
      <c r="L1128" s="123"/>
      <c r="M1128" s="288"/>
      <c r="N1128" s="123"/>
      <c r="O1128" s="289"/>
      <c r="P1128" s="123"/>
      <c r="Q1128" s="123"/>
      <c r="R1128" s="123"/>
      <c r="S1128" s="524"/>
      <c r="T1128" s="123"/>
      <c r="U1128" s="497"/>
      <c r="V1128" s="123"/>
      <c r="W1128" s="497"/>
      <c r="X1128" s="123"/>
      <c r="Y1128" s="123"/>
      <c r="Z1128" s="123"/>
      <c r="AA1128" s="497"/>
      <c r="AB1128" s="123"/>
      <c r="AC1128" s="497"/>
      <c r="AD1128" s="123"/>
      <c r="AE1128" s="122"/>
      <c r="AF1128" s="122"/>
      <c r="AG1128" s="122"/>
      <c r="AH1128" s="122"/>
    </row>
    <row r="1129" spans="1:34">
      <c r="A1129" s="123"/>
      <c r="B1129" s="123"/>
      <c r="C1129" s="123"/>
      <c r="D1129" s="123"/>
      <c r="E1129" s="130"/>
      <c r="F1129" s="123"/>
      <c r="G1129" s="130"/>
      <c r="H1129" s="123"/>
      <c r="I1129" s="123"/>
      <c r="J1129" s="123"/>
      <c r="K1129" s="123"/>
      <c r="L1129" s="123"/>
      <c r="M1129" s="288"/>
      <c r="N1129" s="123"/>
      <c r="O1129" s="289"/>
      <c r="P1129" s="123"/>
      <c r="Q1129" s="123"/>
      <c r="R1129" s="123"/>
      <c r="S1129" s="524"/>
      <c r="T1129" s="123"/>
      <c r="U1129" s="497"/>
      <c r="V1129" s="123"/>
      <c r="W1129" s="497"/>
      <c r="X1129" s="123"/>
      <c r="Y1129" s="123"/>
      <c r="Z1129" s="123"/>
      <c r="AA1129" s="497"/>
      <c r="AB1129" s="123"/>
      <c r="AC1129" s="497"/>
      <c r="AD1129" s="123"/>
      <c r="AE1129" s="122"/>
      <c r="AF1129" s="122"/>
      <c r="AG1129" s="122"/>
      <c r="AH1129" s="122"/>
    </row>
    <row r="1130" spans="1:34">
      <c r="A1130" s="123"/>
      <c r="B1130" s="123"/>
      <c r="C1130" s="123"/>
      <c r="D1130" s="123"/>
      <c r="E1130" s="130"/>
      <c r="F1130" s="123"/>
      <c r="G1130" s="130"/>
      <c r="H1130" s="123"/>
      <c r="I1130" s="123"/>
      <c r="J1130" s="123"/>
      <c r="K1130" s="123"/>
      <c r="L1130" s="123"/>
      <c r="M1130" s="288"/>
      <c r="N1130" s="123"/>
      <c r="O1130" s="289"/>
      <c r="P1130" s="123"/>
      <c r="Q1130" s="123"/>
      <c r="R1130" s="123"/>
      <c r="S1130" s="524"/>
      <c r="T1130" s="123"/>
      <c r="U1130" s="497"/>
      <c r="V1130" s="123"/>
      <c r="W1130" s="497"/>
      <c r="X1130" s="123"/>
      <c r="Y1130" s="123"/>
      <c r="Z1130" s="123"/>
      <c r="AA1130" s="497"/>
      <c r="AB1130" s="123"/>
      <c r="AC1130" s="497"/>
      <c r="AD1130" s="123"/>
      <c r="AE1130" s="122"/>
      <c r="AF1130" s="122"/>
      <c r="AG1130" s="122"/>
      <c r="AH1130" s="122"/>
    </row>
    <row r="1131" spans="1:34">
      <c r="A1131" s="123"/>
      <c r="B1131" s="123"/>
      <c r="C1131" s="123"/>
      <c r="D1131" s="123"/>
      <c r="E1131" s="130"/>
      <c r="F1131" s="123"/>
      <c r="G1131" s="130"/>
      <c r="H1131" s="123"/>
      <c r="I1131" s="123"/>
      <c r="J1131" s="123"/>
      <c r="K1131" s="123"/>
      <c r="L1131" s="123"/>
      <c r="M1131" s="288"/>
      <c r="N1131" s="123"/>
      <c r="O1131" s="289"/>
      <c r="P1131" s="123"/>
      <c r="Q1131" s="123"/>
      <c r="R1131" s="123"/>
      <c r="S1131" s="524"/>
      <c r="T1131" s="123"/>
      <c r="U1131" s="497"/>
      <c r="V1131" s="123"/>
      <c r="W1131" s="497"/>
      <c r="X1131" s="123"/>
      <c r="Y1131" s="123"/>
      <c r="Z1131" s="123"/>
      <c r="AA1131" s="497"/>
      <c r="AB1131" s="123"/>
      <c r="AC1131" s="497"/>
      <c r="AD1131" s="123"/>
      <c r="AE1131" s="122"/>
      <c r="AF1131" s="122"/>
      <c r="AG1131" s="122"/>
      <c r="AH1131" s="122"/>
    </row>
    <row r="1132" spans="1:34">
      <c r="A1132" s="123"/>
      <c r="B1132" s="123"/>
      <c r="C1132" s="123"/>
      <c r="D1132" s="123"/>
      <c r="E1132" s="130"/>
      <c r="F1132" s="123"/>
      <c r="G1132" s="130"/>
      <c r="H1132" s="123"/>
      <c r="I1132" s="123"/>
      <c r="J1132" s="123"/>
      <c r="K1132" s="123"/>
      <c r="L1132" s="123"/>
      <c r="M1132" s="288"/>
      <c r="N1132" s="123"/>
      <c r="O1132" s="289"/>
      <c r="P1132" s="123"/>
      <c r="Q1132" s="123"/>
      <c r="R1132" s="123"/>
      <c r="S1132" s="524"/>
      <c r="T1132" s="123"/>
      <c r="U1132" s="497"/>
      <c r="V1132" s="123"/>
      <c r="W1132" s="497"/>
      <c r="X1132" s="123"/>
      <c r="Y1132" s="123"/>
      <c r="Z1132" s="123"/>
      <c r="AA1132" s="497"/>
      <c r="AB1132" s="123"/>
      <c r="AC1132" s="497"/>
      <c r="AD1132" s="123"/>
      <c r="AE1132" s="122"/>
      <c r="AF1132" s="122"/>
      <c r="AG1132" s="122"/>
      <c r="AH1132" s="122"/>
    </row>
    <row r="1133" spans="1:34">
      <c r="A1133" s="123"/>
      <c r="B1133" s="123"/>
      <c r="C1133" s="123"/>
      <c r="D1133" s="123"/>
      <c r="E1133" s="130"/>
      <c r="F1133" s="123"/>
      <c r="G1133" s="130"/>
      <c r="H1133" s="123"/>
      <c r="I1133" s="123"/>
      <c r="J1133" s="123"/>
      <c r="K1133" s="123"/>
      <c r="L1133" s="123"/>
      <c r="M1133" s="288"/>
      <c r="N1133" s="123"/>
      <c r="O1133" s="289"/>
      <c r="P1133" s="123"/>
      <c r="Q1133" s="123"/>
      <c r="R1133" s="123"/>
      <c r="S1133" s="524"/>
      <c r="T1133" s="123"/>
      <c r="U1133" s="497"/>
      <c r="V1133" s="123"/>
      <c r="W1133" s="497"/>
      <c r="X1133" s="123"/>
      <c r="Y1133" s="123"/>
      <c r="Z1133" s="123"/>
      <c r="AA1133" s="497"/>
      <c r="AB1133" s="123"/>
      <c r="AC1133" s="497"/>
      <c r="AD1133" s="123"/>
      <c r="AE1133" s="122"/>
      <c r="AF1133" s="122"/>
      <c r="AG1133" s="122"/>
      <c r="AH1133" s="122"/>
    </row>
    <row r="1134" spans="1:34">
      <c r="A1134" s="123"/>
      <c r="B1134" s="123"/>
      <c r="C1134" s="123"/>
      <c r="D1134" s="123"/>
      <c r="E1134" s="130"/>
      <c r="F1134" s="123"/>
      <c r="G1134" s="130"/>
      <c r="H1134" s="123"/>
      <c r="I1134" s="123"/>
      <c r="J1134" s="123"/>
      <c r="K1134" s="123"/>
      <c r="L1134" s="123"/>
      <c r="M1134" s="288"/>
      <c r="N1134" s="123"/>
      <c r="O1134" s="289"/>
      <c r="P1134" s="123"/>
      <c r="Q1134" s="123"/>
      <c r="R1134" s="123"/>
      <c r="S1134" s="524"/>
      <c r="T1134" s="123"/>
      <c r="U1134" s="497"/>
      <c r="V1134" s="123"/>
      <c r="W1134" s="497"/>
      <c r="X1134" s="123"/>
      <c r="Y1134" s="123"/>
      <c r="Z1134" s="123"/>
      <c r="AA1134" s="497"/>
      <c r="AB1134" s="123"/>
      <c r="AC1134" s="497"/>
      <c r="AD1134" s="123"/>
      <c r="AE1134" s="122"/>
      <c r="AF1134" s="122"/>
      <c r="AG1134" s="122"/>
      <c r="AH1134" s="122"/>
    </row>
    <row r="1135" spans="1:34">
      <c r="A1135" s="123"/>
      <c r="B1135" s="123"/>
      <c r="C1135" s="123"/>
      <c r="D1135" s="123"/>
      <c r="E1135" s="130"/>
      <c r="F1135" s="123"/>
      <c r="G1135" s="130"/>
      <c r="H1135" s="123"/>
      <c r="I1135" s="123"/>
      <c r="J1135" s="123"/>
      <c r="K1135" s="123"/>
      <c r="L1135" s="123"/>
      <c r="M1135" s="288"/>
      <c r="N1135" s="123"/>
      <c r="O1135" s="289"/>
      <c r="P1135" s="123"/>
      <c r="Q1135" s="123"/>
      <c r="R1135" s="123"/>
      <c r="S1135" s="524"/>
      <c r="T1135" s="123"/>
      <c r="U1135" s="497"/>
      <c r="V1135" s="123"/>
      <c r="W1135" s="497"/>
      <c r="X1135" s="123"/>
      <c r="Y1135" s="123"/>
      <c r="Z1135" s="123"/>
      <c r="AA1135" s="497"/>
      <c r="AB1135" s="123"/>
      <c r="AC1135" s="497"/>
      <c r="AD1135" s="123"/>
      <c r="AE1135" s="122"/>
      <c r="AF1135" s="122"/>
      <c r="AG1135" s="122"/>
      <c r="AH1135" s="122"/>
    </row>
    <row r="1136" spans="1:34">
      <c r="A1136" s="123"/>
      <c r="B1136" s="123"/>
      <c r="C1136" s="123"/>
      <c r="D1136" s="123"/>
      <c r="E1136" s="130"/>
      <c r="F1136" s="123"/>
      <c r="G1136" s="130"/>
      <c r="H1136" s="123"/>
      <c r="I1136" s="123"/>
      <c r="J1136" s="123"/>
      <c r="K1136" s="123"/>
      <c r="L1136" s="123"/>
      <c r="M1136" s="288"/>
      <c r="N1136" s="123"/>
      <c r="O1136" s="289"/>
      <c r="P1136" s="123"/>
      <c r="Q1136" s="123"/>
      <c r="R1136" s="123"/>
      <c r="S1136" s="524"/>
      <c r="T1136" s="123"/>
      <c r="U1136" s="497"/>
      <c r="V1136" s="123"/>
      <c r="W1136" s="497"/>
      <c r="X1136" s="123"/>
      <c r="Y1136" s="123"/>
      <c r="Z1136" s="123"/>
      <c r="AA1136" s="497"/>
      <c r="AB1136" s="123"/>
      <c r="AC1136" s="497"/>
      <c r="AD1136" s="123"/>
      <c r="AE1136" s="122"/>
      <c r="AF1136" s="122"/>
      <c r="AG1136" s="122"/>
      <c r="AH1136" s="122"/>
    </row>
    <row r="1137" spans="1:34">
      <c r="A1137" s="123"/>
      <c r="B1137" s="123"/>
      <c r="C1137" s="123"/>
      <c r="D1137" s="123"/>
      <c r="E1137" s="130"/>
      <c r="F1137" s="123"/>
      <c r="G1137" s="130"/>
      <c r="H1137" s="123"/>
      <c r="I1137" s="123"/>
      <c r="J1137" s="123"/>
      <c r="K1137" s="123"/>
      <c r="L1137" s="123"/>
      <c r="M1137" s="288"/>
      <c r="N1137" s="123"/>
      <c r="O1137" s="289"/>
      <c r="P1137" s="123"/>
      <c r="Q1137" s="123"/>
      <c r="R1137" s="123"/>
      <c r="S1137" s="524"/>
      <c r="T1137" s="123"/>
      <c r="U1137" s="497"/>
      <c r="V1137" s="123"/>
      <c r="W1137" s="497"/>
      <c r="X1137" s="123"/>
      <c r="Y1137" s="123"/>
      <c r="Z1137" s="123"/>
      <c r="AA1137" s="497"/>
      <c r="AB1137" s="123"/>
      <c r="AC1137" s="497"/>
      <c r="AD1137" s="123"/>
      <c r="AE1137" s="122"/>
      <c r="AF1137" s="122"/>
      <c r="AG1137" s="122"/>
      <c r="AH1137" s="122"/>
    </row>
    <row r="1138" spans="1:34">
      <c r="A1138" s="123"/>
      <c r="B1138" s="123"/>
      <c r="C1138" s="123"/>
      <c r="D1138" s="123"/>
      <c r="E1138" s="130"/>
      <c r="F1138" s="123"/>
      <c r="G1138" s="130"/>
      <c r="H1138" s="123"/>
      <c r="I1138" s="123"/>
      <c r="J1138" s="123"/>
      <c r="K1138" s="123"/>
      <c r="L1138" s="123"/>
      <c r="M1138" s="288"/>
      <c r="N1138" s="123"/>
      <c r="O1138" s="289"/>
      <c r="P1138" s="123"/>
      <c r="Q1138" s="123"/>
      <c r="R1138" s="123"/>
      <c r="S1138" s="524"/>
      <c r="T1138" s="123"/>
      <c r="U1138" s="497"/>
      <c r="V1138" s="123"/>
      <c r="W1138" s="497"/>
      <c r="X1138" s="123"/>
      <c r="Y1138" s="123"/>
      <c r="Z1138" s="123"/>
      <c r="AA1138" s="497"/>
      <c r="AB1138" s="123"/>
      <c r="AC1138" s="497"/>
      <c r="AD1138" s="123"/>
      <c r="AE1138" s="122"/>
      <c r="AF1138" s="122"/>
      <c r="AG1138" s="122"/>
      <c r="AH1138" s="122"/>
    </row>
    <row r="1139" spans="1:34">
      <c r="A1139" s="123"/>
      <c r="B1139" s="123"/>
      <c r="C1139" s="123"/>
      <c r="D1139" s="123"/>
      <c r="E1139" s="130"/>
      <c r="F1139" s="123"/>
      <c r="G1139" s="130"/>
      <c r="H1139" s="123"/>
      <c r="I1139" s="123"/>
      <c r="J1139" s="123"/>
      <c r="K1139" s="123"/>
      <c r="L1139" s="123"/>
      <c r="M1139" s="288"/>
      <c r="N1139" s="123"/>
      <c r="O1139" s="289"/>
      <c r="P1139" s="123"/>
      <c r="Q1139" s="123"/>
      <c r="R1139" s="123"/>
      <c r="S1139" s="524"/>
      <c r="T1139" s="123"/>
      <c r="U1139" s="497"/>
      <c r="V1139" s="123"/>
      <c r="W1139" s="497"/>
      <c r="X1139" s="123"/>
      <c r="Y1139" s="123"/>
      <c r="Z1139" s="123"/>
      <c r="AA1139" s="497"/>
      <c r="AB1139" s="123"/>
      <c r="AC1139" s="497"/>
      <c r="AD1139" s="123"/>
      <c r="AE1139" s="122"/>
      <c r="AF1139" s="122"/>
      <c r="AG1139" s="122"/>
      <c r="AH1139" s="122"/>
    </row>
    <row r="1140" spans="1:34">
      <c r="A1140" s="123"/>
      <c r="B1140" s="123"/>
      <c r="C1140" s="123"/>
      <c r="D1140" s="123"/>
      <c r="E1140" s="130"/>
      <c r="F1140" s="123"/>
      <c r="G1140" s="130"/>
      <c r="H1140" s="123"/>
      <c r="I1140" s="123"/>
      <c r="J1140" s="123"/>
      <c r="K1140" s="123"/>
      <c r="L1140" s="123"/>
      <c r="M1140" s="288"/>
      <c r="N1140" s="123"/>
      <c r="O1140" s="289"/>
      <c r="P1140" s="123"/>
      <c r="Q1140" s="123"/>
      <c r="R1140" s="123"/>
      <c r="S1140" s="524"/>
      <c r="T1140" s="123"/>
      <c r="U1140" s="497"/>
      <c r="V1140" s="123"/>
      <c r="W1140" s="497"/>
      <c r="X1140" s="123"/>
      <c r="Y1140" s="123"/>
      <c r="Z1140" s="123"/>
      <c r="AA1140" s="497"/>
      <c r="AB1140" s="123"/>
      <c r="AC1140" s="497"/>
      <c r="AD1140" s="123"/>
      <c r="AE1140" s="122"/>
      <c r="AF1140" s="122"/>
      <c r="AG1140" s="122"/>
      <c r="AH1140" s="122"/>
    </row>
    <row r="1141" spans="1:34">
      <c r="A1141" s="123"/>
      <c r="B1141" s="123"/>
      <c r="C1141" s="123"/>
      <c r="D1141" s="123"/>
      <c r="E1141" s="130"/>
      <c r="F1141" s="123"/>
      <c r="G1141" s="130"/>
      <c r="H1141" s="123"/>
      <c r="I1141" s="123"/>
      <c r="J1141" s="123"/>
      <c r="K1141" s="123"/>
      <c r="L1141" s="123"/>
      <c r="M1141" s="288"/>
      <c r="N1141" s="123"/>
      <c r="O1141" s="289"/>
      <c r="P1141" s="123"/>
      <c r="Q1141" s="123"/>
      <c r="R1141" s="123"/>
      <c r="S1141" s="524"/>
      <c r="T1141" s="123"/>
      <c r="U1141" s="497"/>
      <c r="V1141" s="123"/>
      <c r="W1141" s="497"/>
      <c r="X1141" s="123"/>
      <c r="Y1141" s="123"/>
      <c r="Z1141" s="123"/>
      <c r="AA1141" s="497"/>
      <c r="AB1141" s="123"/>
      <c r="AC1141" s="497"/>
      <c r="AD1141" s="123"/>
      <c r="AE1141" s="122"/>
      <c r="AF1141" s="122"/>
      <c r="AG1141" s="122"/>
      <c r="AH1141" s="122"/>
    </row>
    <row r="1142" spans="1:34">
      <c r="A1142" s="123"/>
      <c r="B1142" s="123"/>
      <c r="C1142" s="123"/>
      <c r="D1142" s="123"/>
      <c r="E1142" s="130"/>
      <c r="F1142" s="123"/>
      <c r="G1142" s="130"/>
      <c r="H1142" s="123"/>
      <c r="I1142" s="123"/>
      <c r="J1142" s="123"/>
      <c r="K1142" s="123"/>
      <c r="L1142" s="123"/>
      <c r="M1142" s="288"/>
      <c r="N1142" s="123"/>
      <c r="O1142" s="289"/>
      <c r="P1142" s="123"/>
      <c r="Q1142" s="123"/>
      <c r="R1142" s="123"/>
      <c r="S1142" s="524"/>
      <c r="T1142" s="123"/>
      <c r="U1142" s="497"/>
      <c r="V1142" s="123"/>
      <c r="W1142" s="497"/>
      <c r="X1142" s="123"/>
      <c r="Y1142" s="123"/>
      <c r="Z1142" s="123"/>
      <c r="AA1142" s="497"/>
      <c r="AB1142" s="123"/>
      <c r="AC1142" s="497"/>
      <c r="AD1142" s="123"/>
      <c r="AE1142" s="122"/>
      <c r="AF1142" s="122"/>
      <c r="AG1142" s="122"/>
      <c r="AH1142" s="122"/>
    </row>
    <row r="1143" spans="1:34">
      <c r="A1143" s="123"/>
      <c r="B1143" s="123"/>
      <c r="C1143" s="123"/>
      <c r="D1143" s="123"/>
      <c r="E1143" s="130"/>
      <c r="F1143" s="123"/>
      <c r="G1143" s="130"/>
      <c r="H1143" s="123"/>
      <c r="I1143" s="123"/>
      <c r="J1143" s="123"/>
      <c r="K1143" s="123"/>
      <c r="L1143" s="123"/>
      <c r="M1143" s="288"/>
      <c r="N1143" s="123"/>
      <c r="O1143" s="289"/>
      <c r="P1143" s="123"/>
      <c r="Q1143" s="123"/>
      <c r="R1143" s="123"/>
      <c r="S1143" s="524"/>
      <c r="T1143" s="123"/>
      <c r="U1143" s="497"/>
      <c r="V1143" s="123"/>
      <c r="W1143" s="497"/>
      <c r="X1143" s="123"/>
      <c r="Y1143" s="123"/>
      <c r="Z1143" s="123"/>
      <c r="AA1143" s="497"/>
      <c r="AB1143" s="123"/>
      <c r="AC1143" s="497"/>
      <c r="AD1143" s="123"/>
      <c r="AE1143" s="122"/>
      <c r="AF1143" s="122"/>
      <c r="AG1143" s="122"/>
      <c r="AH1143" s="122"/>
    </row>
    <row r="1144" spans="1:34">
      <c r="A1144" s="123"/>
      <c r="B1144" s="123"/>
      <c r="C1144" s="123"/>
      <c r="D1144" s="123"/>
      <c r="E1144" s="130"/>
      <c r="F1144" s="123"/>
      <c r="G1144" s="130"/>
      <c r="H1144" s="123"/>
      <c r="I1144" s="123"/>
      <c r="J1144" s="123"/>
      <c r="K1144" s="123"/>
      <c r="L1144" s="123"/>
      <c r="M1144" s="288"/>
      <c r="N1144" s="123"/>
      <c r="O1144" s="289"/>
      <c r="P1144" s="123"/>
      <c r="Q1144" s="123"/>
      <c r="R1144" s="123"/>
      <c r="S1144" s="524"/>
      <c r="T1144" s="123"/>
      <c r="U1144" s="497"/>
      <c r="V1144" s="123"/>
      <c r="W1144" s="497"/>
      <c r="X1144" s="123"/>
      <c r="Y1144" s="123"/>
      <c r="Z1144" s="123"/>
      <c r="AA1144" s="497"/>
      <c r="AB1144" s="123"/>
      <c r="AC1144" s="497"/>
      <c r="AD1144" s="123"/>
      <c r="AE1144" s="122"/>
      <c r="AF1144" s="122"/>
      <c r="AG1144" s="122"/>
      <c r="AH1144" s="122"/>
    </row>
    <row r="1145" spans="1:34">
      <c r="A1145" s="123"/>
      <c r="B1145" s="123"/>
      <c r="C1145" s="123"/>
      <c r="D1145" s="123"/>
      <c r="E1145" s="130"/>
      <c r="F1145" s="123"/>
      <c r="G1145" s="130"/>
      <c r="H1145" s="123"/>
      <c r="I1145" s="123"/>
      <c r="J1145" s="123"/>
      <c r="K1145" s="123"/>
      <c r="L1145" s="123"/>
      <c r="M1145" s="288"/>
      <c r="N1145" s="123"/>
      <c r="O1145" s="289"/>
      <c r="P1145" s="123"/>
      <c r="Q1145" s="123"/>
      <c r="R1145" s="123"/>
      <c r="S1145" s="524"/>
      <c r="T1145" s="123"/>
      <c r="U1145" s="497"/>
      <c r="V1145" s="123"/>
      <c r="W1145" s="497"/>
      <c r="X1145" s="123"/>
      <c r="Y1145" s="123"/>
      <c r="Z1145" s="123"/>
      <c r="AA1145" s="497"/>
      <c r="AB1145" s="123"/>
      <c r="AC1145" s="497"/>
      <c r="AD1145" s="123"/>
      <c r="AE1145" s="122"/>
      <c r="AF1145" s="122"/>
      <c r="AG1145" s="122"/>
      <c r="AH1145" s="122"/>
    </row>
    <row r="1146" spans="1:34">
      <c r="A1146" s="123"/>
      <c r="B1146" s="123"/>
      <c r="C1146" s="123"/>
      <c r="D1146" s="123"/>
      <c r="E1146" s="130"/>
      <c r="F1146" s="123"/>
      <c r="G1146" s="130"/>
      <c r="H1146" s="123"/>
      <c r="I1146" s="123"/>
      <c r="J1146" s="123"/>
      <c r="K1146" s="123"/>
      <c r="L1146" s="123"/>
      <c r="M1146" s="288"/>
      <c r="N1146" s="123"/>
      <c r="O1146" s="289"/>
      <c r="P1146" s="123"/>
      <c r="Q1146" s="123"/>
      <c r="R1146" s="123"/>
      <c r="S1146" s="524"/>
      <c r="T1146" s="123"/>
      <c r="U1146" s="497"/>
      <c r="V1146" s="123"/>
      <c r="W1146" s="497"/>
      <c r="X1146" s="123"/>
      <c r="Y1146" s="123"/>
      <c r="Z1146" s="123"/>
      <c r="AA1146" s="497"/>
      <c r="AB1146" s="123"/>
      <c r="AC1146" s="497"/>
      <c r="AD1146" s="123"/>
      <c r="AE1146" s="122"/>
      <c r="AF1146" s="122"/>
      <c r="AG1146" s="122"/>
      <c r="AH1146" s="122"/>
    </row>
    <row r="1147" spans="1:34">
      <c r="A1147" s="123"/>
      <c r="B1147" s="123"/>
      <c r="C1147" s="123"/>
      <c r="D1147" s="123"/>
      <c r="E1147" s="130"/>
      <c r="F1147" s="123"/>
      <c r="G1147" s="130"/>
      <c r="H1147" s="123"/>
      <c r="I1147" s="123"/>
      <c r="J1147" s="123"/>
      <c r="K1147" s="123"/>
      <c r="L1147" s="123"/>
      <c r="M1147" s="288"/>
      <c r="N1147" s="123"/>
      <c r="O1147" s="289"/>
      <c r="P1147" s="123"/>
      <c r="Q1147" s="123"/>
      <c r="R1147" s="123"/>
      <c r="S1147" s="524"/>
      <c r="T1147" s="123"/>
      <c r="U1147" s="497"/>
      <c r="V1147" s="123"/>
      <c r="W1147" s="497"/>
      <c r="X1147" s="123"/>
      <c r="Y1147" s="123"/>
      <c r="Z1147" s="123"/>
      <c r="AA1147" s="497"/>
      <c r="AB1147" s="123"/>
      <c r="AC1147" s="497"/>
      <c r="AD1147" s="123"/>
      <c r="AE1147" s="122"/>
      <c r="AF1147" s="122"/>
      <c r="AG1147" s="122"/>
      <c r="AH1147" s="122"/>
    </row>
    <row r="1148" spans="1:34">
      <c r="A1148" s="123"/>
      <c r="B1148" s="123"/>
      <c r="C1148" s="123"/>
      <c r="D1148" s="123"/>
      <c r="E1148" s="130"/>
      <c r="F1148" s="123"/>
      <c r="G1148" s="130"/>
      <c r="H1148" s="123"/>
      <c r="I1148" s="123"/>
      <c r="J1148" s="123"/>
      <c r="K1148" s="123"/>
      <c r="L1148" s="123"/>
      <c r="M1148" s="288"/>
      <c r="N1148" s="123"/>
      <c r="O1148" s="289"/>
      <c r="P1148" s="123"/>
      <c r="Q1148" s="123"/>
      <c r="R1148" s="123"/>
      <c r="S1148" s="524"/>
      <c r="T1148" s="123"/>
      <c r="U1148" s="497"/>
      <c r="V1148" s="123"/>
      <c r="W1148" s="497"/>
      <c r="X1148" s="123"/>
      <c r="Y1148" s="123"/>
      <c r="Z1148" s="123"/>
      <c r="AA1148" s="497"/>
      <c r="AB1148" s="123"/>
      <c r="AC1148" s="497"/>
      <c r="AD1148" s="123"/>
      <c r="AE1148" s="122"/>
      <c r="AF1148" s="122"/>
      <c r="AG1148" s="122"/>
      <c r="AH1148" s="122"/>
    </row>
    <row r="1149" spans="1:34">
      <c r="A1149" s="123"/>
      <c r="B1149" s="123"/>
      <c r="C1149" s="123"/>
      <c r="D1149" s="123"/>
      <c r="E1149" s="130"/>
      <c r="F1149" s="123"/>
      <c r="G1149" s="130"/>
      <c r="H1149" s="123"/>
      <c r="I1149" s="123"/>
      <c r="J1149" s="123"/>
      <c r="K1149" s="123"/>
      <c r="L1149" s="123"/>
      <c r="M1149" s="288"/>
      <c r="N1149" s="123"/>
      <c r="O1149" s="289"/>
      <c r="P1149" s="123"/>
      <c r="Q1149" s="123"/>
      <c r="R1149" s="123"/>
      <c r="S1149" s="524"/>
      <c r="T1149" s="123"/>
      <c r="U1149" s="497"/>
      <c r="V1149" s="123"/>
      <c r="W1149" s="497"/>
      <c r="X1149" s="123"/>
      <c r="Y1149" s="123"/>
      <c r="Z1149" s="123"/>
      <c r="AA1149" s="497"/>
      <c r="AB1149" s="123"/>
      <c r="AC1149" s="497"/>
      <c r="AD1149" s="123"/>
      <c r="AE1149" s="122"/>
      <c r="AF1149" s="122"/>
      <c r="AG1149" s="122"/>
      <c r="AH1149" s="122"/>
    </row>
    <row r="1150" spans="1:34">
      <c r="A1150" s="123"/>
      <c r="B1150" s="123"/>
      <c r="C1150" s="123"/>
      <c r="D1150" s="123"/>
      <c r="E1150" s="130"/>
      <c r="F1150" s="123"/>
      <c r="G1150" s="130"/>
      <c r="H1150" s="123"/>
      <c r="I1150" s="123"/>
      <c r="J1150" s="123"/>
      <c r="K1150" s="123"/>
      <c r="L1150" s="123"/>
      <c r="M1150" s="288"/>
      <c r="N1150" s="123"/>
      <c r="O1150" s="289"/>
      <c r="P1150" s="123"/>
      <c r="Q1150" s="123"/>
      <c r="R1150" s="123"/>
      <c r="S1150" s="524"/>
      <c r="T1150" s="123"/>
      <c r="U1150" s="497"/>
      <c r="V1150" s="123"/>
      <c r="W1150" s="497"/>
      <c r="X1150" s="123"/>
      <c r="Y1150" s="123"/>
      <c r="Z1150" s="123"/>
      <c r="AA1150" s="497"/>
      <c r="AB1150" s="123"/>
      <c r="AC1150" s="497"/>
      <c r="AD1150" s="123"/>
      <c r="AE1150" s="122"/>
      <c r="AF1150" s="122"/>
      <c r="AG1150" s="122"/>
      <c r="AH1150" s="122"/>
    </row>
    <row r="1151" spans="1:34">
      <c r="A1151" s="123"/>
      <c r="B1151" s="123"/>
      <c r="C1151" s="123"/>
      <c r="D1151" s="123"/>
      <c r="E1151" s="130"/>
      <c r="F1151" s="123"/>
      <c r="G1151" s="130"/>
      <c r="H1151" s="123"/>
      <c r="I1151" s="123"/>
      <c r="J1151" s="123"/>
      <c r="K1151" s="123"/>
      <c r="L1151" s="123"/>
      <c r="M1151" s="288"/>
      <c r="N1151" s="123"/>
      <c r="O1151" s="289"/>
      <c r="P1151" s="123"/>
      <c r="Q1151" s="123"/>
      <c r="R1151" s="123"/>
      <c r="S1151" s="524"/>
      <c r="T1151" s="123"/>
      <c r="U1151" s="497"/>
      <c r="V1151" s="123"/>
      <c r="W1151" s="497"/>
      <c r="X1151" s="123"/>
      <c r="Y1151" s="123"/>
      <c r="Z1151" s="123"/>
      <c r="AA1151" s="497"/>
      <c r="AB1151" s="123"/>
      <c r="AC1151" s="497"/>
      <c r="AD1151" s="123"/>
      <c r="AE1151" s="122"/>
      <c r="AF1151" s="122"/>
      <c r="AG1151" s="122"/>
      <c r="AH1151" s="122"/>
    </row>
    <row r="1152" spans="1:34">
      <c r="A1152" s="123"/>
      <c r="B1152" s="123"/>
      <c r="C1152" s="123"/>
      <c r="D1152" s="123"/>
      <c r="E1152" s="130"/>
      <c r="F1152" s="123"/>
      <c r="G1152" s="130"/>
      <c r="H1152" s="123"/>
      <c r="I1152" s="123"/>
      <c r="J1152" s="123"/>
      <c r="K1152" s="123"/>
      <c r="L1152" s="123"/>
      <c r="M1152" s="288"/>
      <c r="N1152" s="123"/>
      <c r="O1152" s="289"/>
      <c r="P1152" s="123"/>
      <c r="Q1152" s="123"/>
      <c r="R1152" s="123"/>
      <c r="S1152" s="524"/>
      <c r="T1152" s="123"/>
      <c r="U1152" s="497"/>
      <c r="V1152" s="123"/>
      <c r="W1152" s="497"/>
      <c r="X1152" s="123"/>
      <c r="Y1152" s="123"/>
      <c r="Z1152" s="123"/>
      <c r="AA1152" s="497"/>
      <c r="AB1152" s="123"/>
      <c r="AC1152" s="497"/>
      <c r="AD1152" s="123"/>
      <c r="AE1152" s="122"/>
      <c r="AF1152" s="122"/>
      <c r="AG1152" s="122"/>
      <c r="AH1152" s="122"/>
    </row>
    <row r="1153" spans="1:34">
      <c r="A1153" s="123"/>
      <c r="B1153" s="123"/>
      <c r="C1153" s="123"/>
      <c r="D1153" s="123"/>
      <c r="E1153" s="130"/>
      <c r="F1153" s="123"/>
      <c r="G1153" s="130"/>
      <c r="H1153" s="123"/>
      <c r="I1153" s="123"/>
      <c r="J1153" s="123"/>
      <c r="K1153" s="123"/>
      <c r="L1153" s="123"/>
      <c r="M1153" s="288"/>
      <c r="N1153" s="123"/>
      <c r="O1153" s="289"/>
      <c r="P1153" s="123"/>
      <c r="Q1153" s="123"/>
      <c r="R1153" s="123"/>
      <c r="S1153" s="524"/>
      <c r="T1153" s="123"/>
      <c r="U1153" s="497"/>
      <c r="V1153" s="123"/>
      <c r="W1153" s="497"/>
      <c r="X1153" s="123"/>
      <c r="Y1153" s="123"/>
      <c r="Z1153" s="123"/>
      <c r="AA1153" s="497"/>
      <c r="AB1153" s="123"/>
      <c r="AC1153" s="497"/>
      <c r="AD1153" s="123"/>
      <c r="AE1153" s="122"/>
      <c r="AF1153" s="122"/>
      <c r="AG1153" s="122"/>
      <c r="AH1153" s="122"/>
    </row>
    <row r="1154" spans="1:34">
      <c r="A1154" s="123"/>
      <c r="B1154" s="123"/>
      <c r="C1154" s="123"/>
      <c r="D1154" s="123"/>
      <c r="E1154" s="130"/>
      <c r="F1154" s="123"/>
      <c r="G1154" s="130"/>
      <c r="H1154" s="123"/>
      <c r="I1154" s="123"/>
      <c r="J1154" s="123"/>
      <c r="K1154" s="123"/>
      <c r="L1154" s="123"/>
      <c r="M1154" s="288"/>
      <c r="N1154" s="123"/>
      <c r="O1154" s="289"/>
      <c r="P1154" s="123"/>
      <c r="Q1154" s="123"/>
      <c r="R1154" s="123"/>
      <c r="S1154" s="524"/>
      <c r="T1154" s="123"/>
      <c r="U1154" s="497"/>
      <c r="V1154" s="123"/>
      <c r="W1154" s="497"/>
      <c r="X1154" s="123"/>
      <c r="Y1154" s="123"/>
      <c r="Z1154" s="123"/>
      <c r="AA1154" s="497"/>
      <c r="AB1154" s="123"/>
      <c r="AC1154" s="497"/>
      <c r="AD1154" s="123"/>
      <c r="AE1154" s="122"/>
      <c r="AF1154" s="122"/>
      <c r="AG1154" s="122"/>
      <c r="AH1154" s="122"/>
    </row>
    <row r="1155" spans="1:34">
      <c r="A1155" s="123"/>
      <c r="B1155" s="123"/>
      <c r="C1155" s="123"/>
      <c r="D1155" s="123"/>
      <c r="E1155" s="130"/>
      <c r="F1155" s="123"/>
      <c r="G1155" s="130"/>
      <c r="H1155" s="123"/>
      <c r="I1155" s="123"/>
      <c r="J1155" s="123"/>
      <c r="K1155" s="123"/>
      <c r="L1155" s="123"/>
      <c r="M1155" s="288"/>
      <c r="N1155" s="123"/>
      <c r="O1155" s="289"/>
      <c r="P1155" s="123"/>
      <c r="Q1155" s="123"/>
      <c r="R1155" s="123"/>
      <c r="S1155" s="524"/>
      <c r="T1155" s="123"/>
      <c r="U1155" s="497"/>
      <c r="V1155" s="123"/>
      <c r="W1155" s="497"/>
      <c r="X1155" s="123"/>
      <c r="Y1155" s="123"/>
      <c r="Z1155" s="123"/>
      <c r="AA1155" s="497"/>
      <c r="AB1155" s="123"/>
      <c r="AC1155" s="497"/>
      <c r="AD1155" s="123"/>
      <c r="AE1155" s="122"/>
      <c r="AF1155" s="122"/>
      <c r="AG1155" s="122"/>
      <c r="AH1155" s="122"/>
    </row>
    <row r="1156" spans="1:34">
      <c r="A1156" s="123"/>
      <c r="B1156" s="123"/>
      <c r="C1156" s="123"/>
      <c r="D1156" s="123"/>
      <c r="E1156" s="130"/>
      <c r="F1156" s="123"/>
      <c r="G1156" s="130"/>
      <c r="H1156" s="123"/>
      <c r="I1156" s="123"/>
      <c r="J1156" s="123"/>
      <c r="K1156" s="123"/>
      <c r="L1156" s="123"/>
      <c r="M1156" s="288"/>
      <c r="N1156" s="123"/>
      <c r="O1156" s="289"/>
      <c r="P1156" s="123"/>
      <c r="Q1156" s="123"/>
      <c r="R1156" s="123"/>
      <c r="S1156" s="524"/>
      <c r="T1156" s="123"/>
      <c r="U1156" s="497"/>
      <c r="V1156" s="123"/>
      <c r="W1156" s="497"/>
      <c r="X1156" s="123"/>
      <c r="Y1156" s="123"/>
      <c r="Z1156" s="123"/>
      <c r="AA1156" s="497"/>
      <c r="AB1156" s="123"/>
      <c r="AC1156" s="497"/>
      <c r="AD1156" s="123"/>
      <c r="AE1156" s="122"/>
      <c r="AF1156" s="122"/>
      <c r="AG1156" s="122"/>
      <c r="AH1156" s="122"/>
    </row>
    <row r="1157" spans="1:34">
      <c r="A1157" s="123"/>
      <c r="B1157" s="123"/>
      <c r="C1157" s="123"/>
      <c r="D1157" s="123"/>
      <c r="E1157" s="130"/>
      <c r="F1157" s="123"/>
      <c r="G1157" s="130"/>
      <c r="H1157" s="123"/>
      <c r="I1157" s="123"/>
      <c r="J1157" s="123"/>
      <c r="K1157" s="123"/>
      <c r="L1157" s="123"/>
      <c r="M1157" s="288"/>
      <c r="N1157" s="123"/>
      <c r="O1157" s="289"/>
      <c r="P1157" s="123"/>
      <c r="Q1157" s="123"/>
      <c r="R1157" s="123"/>
      <c r="S1157" s="524"/>
      <c r="T1157" s="123"/>
      <c r="U1157" s="497"/>
      <c r="V1157" s="123"/>
      <c r="W1157" s="497"/>
      <c r="X1157" s="123"/>
      <c r="Y1157" s="123"/>
      <c r="Z1157" s="123"/>
      <c r="AA1157" s="497"/>
      <c r="AB1157" s="123"/>
      <c r="AC1157" s="497"/>
      <c r="AD1157" s="123"/>
      <c r="AE1157" s="122"/>
      <c r="AF1157" s="122"/>
      <c r="AG1157" s="122"/>
      <c r="AH1157" s="122"/>
    </row>
    <row r="1158" spans="1:34">
      <c r="A1158" s="123"/>
      <c r="B1158" s="123"/>
      <c r="C1158" s="123"/>
      <c r="D1158" s="123"/>
      <c r="E1158" s="130"/>
      <c r="F1158" s="123"/>
      <c r="G1158" s="130"/>
      <c r="H1158" s="123"/>
      <c r="I1158" s="123"/>
      <c r="J1158" s="123"/>
      <c r="K1158" s="123"/>
      <c r="L1158" s="123"/>
      <c r="M1158" s="288"/>
      <c r="N1158" s="123"/>
      <c r="O1158" s="289"/>
      <c r="P1158" s="123"/>
      <c r="Q1158" s="123"/>
      <c r="R1158" s="123"/>
      <c r="S1158" s="524"/>
      <c r="T1158" s="123"/>
      <c r="U1158" s="497"/>
      <c r="V1158" s="123"/>
      <c r="W1158" s="497"/>
      <c r="X1158" s="123"/>
      <c r="Y1158" s="123"/>
      <c r="Z1158" s="123"/>
      <c r="AA1158" s="497"/>
      <c r="AB1158" s="123"/>
      <c r="AC1158" s="497"/>
      <c r="AD1158" s="123"/>
      <c r="AE1158" s="122"/>
      <c r="AF1158" s="122"/>
      <c r="AG1158" s="122"/>
      <c r="AH1158" s="122"/>
    </row>
    <row r="1159" spans="1:34">
      <c r="A1159" s="123"/>
      <c r="B1159" s="123"/>
      <c r="C1159" s="123"/>
      <c r="D1159" s="123"/>
      <c r="E1159" s="130"/>
      <c r="F1159" s="123"/>
      <c r="G1159" s="130"/>
      <c r="H1159" s="123"/>
      <c r="I1159" s="123"/>
      <c r="J1159" s="123"/>
      <c r="K1159" s="123"/>
      <c r="L1159" s="123"/>
      <c r="M1159" s="288"/>
      <c r="N1159" s="123"/>
      <c r="O1159" s="289"/>
      <c r="P1159" s="123"/>
      <c r="Q1159" s="123"/>
      <c r="R1159" s="123"/>
      <c r="S1159" s="524"/>
      <c r="T1159" s="123"/>
      <c r="U1159" s="497"/>
      <c r="V1159" s="123"/>
      <c r="W1159" s="497"/>
      <c r="X1159" s="123"/>
      <c r="Y1159" s="123"/>
      <c r="Z1159" s="123"/>
      <c r="AA1159" s="497"/>
      <c r="AB1159" s="123"/>
      <c r="AC1159" s="497"/>
      <c r="AD1159" s="123"/>
      <c r="AE1159" s="122"/>
      <c r="AF1159" s="122"/>
      <c r="AG1159" s="122"/>
      <c r="AH1159" s="122"/>
    </row>
    <row r="1160" spans="1:34">
      <c r="A1160" s="123"/>
      <c r="B1160" s="123"/>
      <c r="C1160" s="123"/>
      <c r="D1160" s="123"/>
      <c r="E1160" s="130"/>
      <c r="F1160" s="123"/>
      <c r="G1160" s="130"/>
      <c r="H1160" s="123"/>
      <c r="I1160" s="123"/>
      <c r="J1160" s="123"/>
      <c r="K1160" s="123"/>
      <c r="L1160" s="123"/>
      <c r="M1160" s="288"/>
      <c r="N1160" s="123"/>
      <c r="O1160" s="289"/>
      <c r="P1160" s="123"/>
      <c r="Q1160" s="123"/>
      <c r="R1160" s="123"/>
      <c r="S1160" s="524"/>
      <c r="T1160" s="123"/>
      <c r="U1160" s="497"/>
      <c r="V1160" s="123"/>
      <c r="W1160" s="497"/>
      <c r="X1160" s="123"/>
      <c r="Y1160" s="123"/>
      <c r="Z1160" s="123"/>
      <c r="AA1160" s="497"/>
      <c r="AB1160" s="123"/>
      <c r="AC1160" s="497"/>
      <c r="AD1160" s="123"/>
      <c r="AE1160" s="122"/>
      <c r="AF1160" s="122"/>
      <c r="AG1160" s="122"/>
      <c r="AH1160" s="122"/>
    </row>
    <row r="1161" spans="1:34">
      <c r="A1161" s="123"/>
      <c r="B1161" s="123"/>
      <c r="C1161" s="123"/>
      <c r="D1161" s="123"/>
      <c r="E1161" s="130"/>
      <c r="F1161" s="123"/>
      <c r="G1161" s="130"/>
      <c r="H1161" s="123"/>
      <c r="I1161" s="123"/>
      <c r="J1161" s="123"/>
      <c r="K1161" s="123"/>
      <c r="L1161" s="123"/>
      <c r="M1161" s="288"/>
      <c r="N1161" s="123"/>
      <c r="O1161" s="289"/>
      <c r="P1161" s="123"/>
      <c r="Q1161" s="123"/>
      <c r="R1161" s="123"/>
      <c r="S1161" s="524"/>
      <c r="T1161" s="123"/>
      <c r="U1161" s="497"/>
      <c r="V1161" s="123"/>
      <c r="W1161" s="497"/>
      <c r="X1161" s="123"/>
      <c r="Y1161" s="123"/>
      <c r="Z1161" s="123"/>
      <c r="AA1161" s="497"/>
      <c r="AB1161" s="123"/>
      <c r="AC1161" s="497"/>
      <c r="AD1161" s="123"/>
      <c r="AE1161" s="122"/>
      <c r="AF1161" s="122"/>
      <c r="AG1161" s="122"/>
      <c r="AH1161" s="122"/>
    </row>
    <row r="1162" spans="1:34">
      <c r="A1162" s="123"/>
      <c r="B1162" s="123"/>
      <c r="C1162" s="123"/>
      <c r="D1162" s="123"/>
      <c r="E1162" s="130"/>
      <c r="F1162" s="123"/>
      <c r="G1162" s="130"/>
      <c r="H1162" s="123"/>
      <c r="I1162" s="123"/>
      <c r="J1162" s="123"/>
      <c r="K1162" s="123"/>
      <c r="L1162" s="123"/>
      <c r="M1162" s="288"/>
      <c r="N1162" s="123"/>
      <c r="O1162" s="289"/>
      <c r="P1162" s="123"/>
      <c r="Q1162" s="123"/>
      <c r="R1162" s="123"/>
      <c r="S1162" s="524"/>
      <c r="T1162" s="123"/>
      <c r="U1162" s="497"/>
      <c r="V1162" s="123"/>
      <c r="W1162" s="497"/>
      <c r="X1162" s="123"/>
      <c r="Y1162" s="123"/>
      <c r="Z1162" s="123"/>
      <c r="AA1162" s="497"/>
      <c r="AB1162" s="123"/>
      <c r="AC1162" s="497"/>
      <c r="AD1162" s="123"/>
      <c r="AE1162" s="122"/>
      <c r="AF1162" s="122"/>
      <c r="AG1162" s="122"/>
      <c r="AH1162" s="122"/>
    </row>
    <row r="1163" spans="1:34">
      <c r="A1163" s="123"/>
      <c r="B1163" s="123"/>
      <c r="C1163" s="123"/>
      <c r="D1163" s="123"/>
      <c r="E1163" s="130"/>
      <c r="F1163" s="123"/>
      <c r="G1163" s="130"/>
      <c r="H1163" s="123"/>
      <c r="I1163" s="123"/>
      <c r="J1163" s="123"/>
      <c r="K1163" s="123"/>
      <c r="L1163" s="123"/>
      <c r="M1163" s="288"/>
      <c r="N1163" s="123"/>
      <c r="O1163" s="289"/>
      <c r="P1163" s="123"/>
      <c r="Q1163" s="123"/>
      <c r="R1163" s="123"/>
      <c r="S1163" s="524"/>
      <c r="T1163" s="123"/>
      <c r="U1163" s="497"/>
      <c r="V1163" s="123"/>
      <c r="W1163" s="497"/>
      <c r="X1163" s="123"/>
      <c r="Y1163" s="123"/>
      <c r="Z1163" s="123"/>
      <c r="AA1163" s="497"/>
      <c r="AB1163" s="123"/>
      <c r="AC1163" s="497"/>
      <c r="AD1163" s="123"/>
      <c r="AE1163" s="122"/>
      <c r="AF1163" s="122"/>
      <c r="AG1163" s="122"/>
      <c r="AH1163" s="122"/>
    </row>
    <row r="1164" spans="1:34">
      <c r="A1164" s="123"/>
      <c r="B1164" s="123"/>
      <c r="C1164" s="123"/>
      <c r="D1164" s="123"/>
      <c r="E1164" s="130"/>
      <c r="F1164" s="123"/>
      <c r="G1164" s="130"/>
      <c r="H1164" s="123"/>
      <c r="I1164" s="123"/>
      <c r="J1164" s="123"/>
      <c r="K1164" s="123"/>
      <c r="L1164" s="123"/>
      <c r="M1164" s="288"/>
      <c r="N1164" s="123"/>
      <c r="O1164" s="289"/>
      <c r="P1164" s="123"/>
      <c r="Q1164" s="123"/>
      <c r="R1164" s="123"/>
      <c r="S1164" s="524"/>
      <c r="T1164" s="123"/>
      <c r="U1164" s="497"/>
      <c r="V1164" s="123"/>
      <c r="W1164" s="497"/>
      <c r="X1164" s="123"/>
      <c r="Y1164" s="123"/>
      <c r="Z1164" s="123"/>
      <c r="AA1164" s="497"/>
      <c r="AB1164" s="123"/>
      <c r="AC1164" s="497"/>
      <c r="AD1164" s="123"/>
      <c r="AE1164" s="122"/>
      <c r="AF1164" s="122"/>
      <c r="AG1164" s="122"/>
      <c r="AH1164" s="122"/>
    </row>
    <row r="1165" spans="1:34">
      <c r="A1165" s="123"/>
      <c r="B1165" s="123"/>
      <c r="C1165" s="123"/>
      <c r="D1165" s="123"/>
      <c r="E1165" s="130"/>
      <c r="F1165" s="123"/>
      <c r="G1165" s="130"/>
      <c r="H1165" s="123"/>
      <c r="I1165" s="123"/>
      <c r="J1165" s="123"/>
      <c r="K1165" s="123"/>
      <c r="L1165" s="123"/>
      <c r="M1165" s="288"/>
      <c r="N1165" s="123"/>
      <c r="O1165" s="289"/>
      <c r="P1165" s="123"/>
      <c r="Q1165" s="123"/>
      <c r="R1165" s="123"/>
      <c r="S1165" s="524"/>
      <c r="T1165" s="123"/>
      <c r="U1165" s="497"/>
      <c r="V1165" s="123"/>
      <c r="W1165" s="497"/>
      <c r="X1165" s="123"/>
      <c r="Y1165" s="123"/>
      <c r="Z1165" s="123"/>
      <c r="AA1165" s="497"/>
      <c r="AB1165" s="123"/>
      <c r="AC1165" s="497"/>
      <c r="AD1165" s="123"/>
      <c r="AE1165" s="122"/>
      <c r="AF1165" s="122"/>
      <c r="AG1165" s="122"/>
      <c r="AH1165" s="122"/>
    </row>
    <row r="1166" spans="1:34">
      <c r="A1166" s="123"/>
      <c r="B1166" s="123"/>
      <c r="C1166" s="123"/>
      <c r="D1166" s="123"/>
      <c r="E1166" s="130"/>
      <c r="F1166" s="123"/>
      <c r="G1166" s="130"/>
      <c r="H1166" s="123"/>
      <c r="I1166" s="123"/>
      <c r="J1166" s="123"/>
      <c r="K1166" s="123"/>
      <c r="L1166" s="123"/>
      <c r="M1166" s="288"/>
      <c r="N1166" s="123"/>
      <c r="O1166" s="289"/>
      <c r="P1166" s="123"/>
      <c r="Q1166" s="123"/>
      <c r="R1166" s="123"/>
      <c r="S1166" s="524"/>
      <c r="T1166" s="123"/>
      <c r="U1166" s="497"/>
      <c r="V1166" s="123"/>
      <c r="W1166" s="497"/>
      <c r="X1166" s="123"/>
      <c r="Y1166" s="123"/>
      <c r="Z1166" s="123"/>
      <c r="AA1166" s="497"/>
      <c r="AB1166" s="123"/>
      <c r="AC1166" s="497"/>
      <c r="AD1166" s="123"/>
      <c r="AE1166" s="122"/>
      <c r="AF1166" s="122"/>
      <c r="AG1166" s="122"/>
      <c r="AH1166" s="122"/>
    </row>
    <row r="1167" spans="1:34">
      <c r="A1167" s="123"/>
      <c r="B1167" s="123"/>
      <c r="C1167" s="123"/>
      <c r="D1167" s="123"/>
      <c r="E1167" s="130"/>
      <c r="F1167" s="123"/>
      <c r="G1167" s="130"/>
      <c r="H1167" s="123"/>
      <c r="I1167" s="123"/>
      <c r="J1167" s="123"/>
      <c r="K1167" s="123"/>
      <c r="L1167" s="123"/>
      <c r="M1167" s="288"/>
      <c r="N1167" s="123"/>
      <c r="O1167" s="289"/>
      <c r="P1167" s="123"/>
      <c r="Q1167" s="123"/>
      <c r="R1167" s="123"/>
      <c r="S1167" s="524"/>
      <c r="T1167" s="123"/>
      <c r="U1167" s="497"/>
      <c r="V1167" s="123"/>
      <c r="W1167" s="497"/>
      <c r="X1167" s="123"/>
      <c r="Y1167" s="123"/>
      <c r="Z1167" s="123"/>
      <c r="AA1167" s="497"/>
      <c r="AB1167" s="123"/>
      <c r="AC1167" s="497"/>
      <c r="AD1167" s="123"/>
      <c r="AE1167" s="122"/>
      <c r="AF1167" s="122"/>
      <c r="AG1167" s="122"/>
      <c r="AH1167" s="122"/>
    </row>
    <row r="1168" spans="1:34">
      <c r="A1168" s="123"/>
      <c r="B1168" s="123"/>
      <c r="C1168" s="123"/>
      <c r="D1168" s="123"/>
      <c r="E1168" s="130"/>
      <c r="F1168" s="123"/>
      <c r="G1168" s="130"/>
      <c r="H1168" s="123"/>
      <c r="I1168" s="123"/>
      <c r="J1168" s="123"/>
      <c r="K1168" s="123"/>
      <c r="L1168" s="123"/>
      <c r="M1168" s="288"/>
      <c r="N1168" s="123"/>
      <c r="O1168" s="289"/>
      <c r="P1168" s="123"/>
      <c r="Q1168" s="123"/>
      <c r="R1168" s="123"/>
      <c r="S1168" s="524"/>
      <c r="T1168" s="123"/>
      <c r="U1168" s="497"/>
      <c r="V1168" s="123"/>
      <c r="W1168" s="497"/>
      <c r="X1168" s="123"/>
      <c r="Y1168" s="123"/>
      <c r="Z1168" s="123"/>
      <c r="AA1168" s="497"/>
      <c r="AB1168" s="123"/>
      <c r="AC1168" s="497"/>
      <c r="AD1168" s="123"/>
      <c r="AE1168" s="122"/>
      <c r="AF1168" s="122"/>
      <c r="AG1168" s="122"/>
      <c r="AH1168" s="122"/>
    </row>
    <row r="1169" spans="1:34">
      <c r="A1169" s="123"/>
      <c r="B1169" s="123"/>
      <c r="C1169" s="123"/>
      <c r="D1169" s="123"/>
      <c r="E1169" s="130"/>
      <c r="F1169" s="123"/>
      <c r="G1169" s="130"/>
      <c r="H1169" s="123"/>
      <c r="I1169" s="123"/>
      <c r="J1169" s="123"/>
      <c r="K1169" s="123"/>
      <c r="L1169" s="123"/>
      <c r="M1169" s="288"/>
      <c r="N1169" s="123"/>
      <c r="O1169" s="289"/>
      <c r="P1169" s="123"/>
      <c r="Q1169" s="123"/>
      <c r="R1169" s="123"/>
      <c r="S1169" s="524"/>
      <c r="T1169" s="123"/>
      <c r="U1169" s="497"/>
      <c r="V1169" s="123"/>
      <c r="W1169" s="497"/>
      <c r="X1169" s="123"/>
      <c r="Y1169" s="123"/>
      <c r="Z1169" s="123"/>
      <c r="AA1169" s="497"/>
      <c r="AB1169" s="123"/>
      <c r="AC1169" s="497"/>
      <c r="AD1169" s="123"/>
      <c r="AE1169" s="122"/>
      <c r="AF1169" s="122"/>
      <c r="AG1169" s="122"/>
      <c r="AH1169" s="122"/>
    </row>
    <row r="1170" spans="1:34">
      <c r="A1170" s="123"/>
      <c r="B1170" s="123"/>
      <c r="C1170" s="123"/>
      <c r="D1170" s="123"/>
      <c r="E1170" s="130"/>
      <c r="F1170" s="123"/>
      <c r="G1170" s="130"/>
      <c r="H1170" s="123"/>
      <c r="I1170" s="123"/>
      <c r="J1170" s="123"/>
      <c r="K1170" s="123"/>
      <c r="L1170" s="123"/>
      <c r="M1170" s="288"/>
      <c r="N1170" s="123"/>
      <c r="O1170" s="289"/>
      <c r="P1170" s="123"/>
      <c r="Q1170" s="123"/>
      <c r="R1170" s="123"/>
      <c r="S1170" s="524"/>
      <c r="T1170" s="123"/>
      <c r="U1170" s="497"/>
      <c r="V1170" s="123"/>
      <c r="W1170" s="497"/>
      <c r="X1170" s="123"/>
      <c r="Y1170" s="123"/>
      <c r="Z1170" s="123"/>
      <c r="AA1170" s="497"/>
      <c r="AB1170" s="123"/>
      <c r="AC1170" s="497"/>
      <c r="AD1170" s="123"/>
      <c r="AE1170" s="122"/>
      <c r="AF1170" s="122"/>
      <c r="AG1170" s="122"/>
      <c r="AH1170" s="122"/>
    </row>
    <row r="1171" spans="1:34">
      <c r="A1171" s="123"/>
      <c r="B1171" s="123"/>
      <c r="C1171" s="123"/>
      <c r="D1171" s="123"/>
      <c r="E1171" s="130"/>
      <c r="F1171" s="123"/>
      <c r="G1171" s="130"/>
      <c r="H1171" s="123"/>
      <c r="I1171" s="123"/>
      <c r="J1171" s="123"/>
      <c r="K1171" s="123"/>
      <c r="L1171" s="123"/>
      <c r="M1171" s="288"/>
      <c r="N1171" s="123"/>
      <c r="O1171" s="289"/>
      <c r="P1171" s="123"/>
      <c r="Q1171" s="123"/>
      <c r="R1171" s="123"/>
      <c r="S1171" s="524"/>
      <c r="T1171" s="123"/>
      <c r="U1171" s="497"/>
      <c r="V1171" s="123"/>
      <c r="W1171" s="497"/>
      <c r="X1171" s="123"/>
      <c r="Y1171" s="123"/>
      <c r="Z1171" s="123"/>
      <c r="AA1171" s="497"/>
      <c r="AB1171" s="123"/>
      <c r="AC1171" s="497"/>
      <c r="AD1171" s="123"/>
      <c r="AE1171" s="122"/>
      <c r="AF1171" s="122"/>
      <c r="AG1171" s="122"/>
      <c r="AH1171" s="122"/>
    </row>
    <row r="1172" spans="1:34">
      <c r="A1172" s="123"/>
      <c r="B1172" s="123"/>
      <c r="C1172" s="123"/>
      <c r="D1172" s="123"/>
      <c r="E1172" s="130"/>
      <c r="F1172" s="123"/>
      <c r="G1172" s="130"/>
      <c r="H1172" s="123"/>
      <c r="I1172" s="123"/>
      <c r="J1172" s="123"/>
      <c r="K1172" s="123"/>
      <c r="L1172" s="123"/>
      <c r="M1172" s="288"/>
      <c r="N1172" s="123"/>
      <c r="O1172" s="289"/>
      <c r="P1172" s="123"/>
      <c r="Q1172" s="123"/>
      <c r="R1172" s="123"/>
      <c r="S1172" s="524"/>
      <c r="T1172" s="123"/>
      <c r="U1172" s="497"/>
      <c r="V1172" s="123"/>
      <c r="W1172" s="497"/>
      <c r="X1172" s="123"/>
      <c r="Y1172" s="123"/>
      <c r="Z1172" s="123"/>
      <c r="AA1172" s="497"/>
      <c r="AB1172" s="123"/>
      <c r="AC1172" s="497"/>
      <c r="AD1172" s="123"/>
      <c r="AE1172" s="122"/>
      <c r="AF1172" s="122"/>
      <c r="AG1172" s="122"/>
      <c r="AH1172" s="122"/>
    </row>
    <row r="1173" spans="1:34">
      <c r="A1173" s="123"/>
      <c r="B1173" s="123"/>
      <c r="C1173" s="123"/>
      <c r="D1173" s="123"/>
      <c r="E1173" s="130"/>
      <c r="F1173" s="123"/>
      <c r="G1173" s="130"/>
      <c r="H1173" s="123"/>
      <c r="I1173" s="123"/>
      <c r="J1173" s="123"/>
      <c r="K1173" s="123"/>
      <c r="L1173" s="123"/>
      <c r="M1173" s="288"/>
      <c r="N1173" s="123"/>
      <c r="O1173" s="289"/>
      <c r="P1173" s="123"/>
      <c r="Q1173" s="123"/>
      <c r="R1173" s="123"/>
      <c r="S1173" s="524"/>
      <c r="T1173" s="123"/>
      <c r="U1173" s="497"/>
      <c r="V1173" s="123"/>
      <c r="W1173" s="497"/>
      <c r="X1173" s="123"/>
      <c r="Y1173" s="123"/>
      <c r="Z1173" s="123"/>
      <c r="AA1173" s="497"/>
      <c r="AB1173" s="123"/>
      <c r="AC1173" s="497"/>
      <c r="AD1173" s="123"/>
      <c r="AE1173" s="122"/>
      <c r="AF1173" s="122"/>
      <c r="AG1173" s="122"/>
      <c r="AH1173" s="122"/>
    </row>
    <row r="1174" spans="1:34">
      <c r="A1174" s="123"/>
      <c r="B1174" s="123"/>
      <c r="C1174" s="123"/>
      <c r="D1174" s="123"/>
      <c r="E1174" s="130"/>
      <c r="F1174" s="123"/>
      <c r="G1174" s="130"/>
      <c r="H1174" s="123"/>
      <c r="I1174" s="123"/>
      <c r="J1174" s="123"/>
      <c r="K1174" s="123"/>
      <c r="L1174" s="123"/>
      <c r="M1174" s="288"/>
      <c r="N1174" s="123"/>
      <c r="O1174" s="289"/>
      <c r="P1174" s="123"/>
      <c r="Q1174" s="123"/>
      <c r="R1174" s="123"/>
      <c r="S1174" s="524"/>
      <c r="T1174" s="123"/>
      <c r="U1174" s="497"/>
      <c r="V1174" s="123"/>
      <c r="W1174" s="497"/>
      <c r="X1174" s="123"/>
      <c r="Y1174" s="123"/>
      <c r="Z1174" s="123"/>
      <c r="AA1174" s="497"/>
      <c r="AB1174" s="123"/>
      <c r="AC1174" s="497"/>
      <c r="AD1174" s="123"/>
      <c r="AE1174" s="122"/>
      <c r="AF1174" s="122"/>
      <c r="AG1174" s="122"/>
      <c r="AH1174" s="122"/>
    </row>
    <row r="1175" spans="1:34">
      <c r="A1175" s="123"/>
      <c r="B1175" s="123"/>
      <c r="C1175" s="123"/>
      <c r="D1175" s="123"/>
      <c r="E1175" s="130"/>
      <c r="F1175" s="123"/>
      <c r="G1175" s="130"/>
      <c r="H1175" s="123"/>
      <c r="I1175" s="123"/>
      <c r="J1175" s="123"/>
      <c r="K1175" s="123"/>
      <c r="L1175" s="123"/>
      <c r="M1175" s="288"/>
      <c r="N1175" s="123"/>
      <c r="O1175" s="289"/>
      <c r="P1175" s="123"/>
      <c r="Q1175" s="123"/>
      <c r="R1175" s="123"/>
      <c r="S1175" s="524"/>
      <c r="T1175" s="123"/>
      <c r="U1175" s="497"/>
      <c r="V1175" s="123"/>
      <c r="W1175" s="497"/>
      <c r="X1175" s="123"/>
      <c r="Y1175" s="123"/>
      <c r="Z1175" s="123"/>
      <c r="AA1175" s="497"/>
      <c r="AB1175" s="123"/>
      <c r="AC1175" s="497"/>
      <c r="AD1175" s="123"/>
      <c r="AE1175" s="122"/>
      <c r="AF1175" s="122"/>
      <c r="AG1175" s="122"/>
      <c r="AH1175" s="122"/>
    </row>
    <row r="1176" spans="1:34">
      <c r="A1176" s="123"/>
      <c r="B1176" s="123"/>
      <c r="C1176" s="123"/>
      <c r="D1176" s="123"/>
      <c r="E1176" s="130"/>
      <c r="F1176" s="123"/>
      <c r="G1176" s="130"/>
      <c r="H1176" s="123"/>
      <c r="I1176" s="123"/>
      <c r="J1176" s="123"/>
      <c r="K1176" s="123"/>
      <c r="L1176" s="123"/>
      <c r="M1176" s="288"/>
      <c r="N1176" s="123"/>
      <c r="O1176" s="289"/>
      <c r="P1176" s="123"/>
      <c r="Q1176" s="123"/>
      <c r="R1176" s="123"/>
      <c r="S1176" s="524"/>
      <c r="T1176" s="123"/>
      <c r="U1176" s="497"/>
      <c r="V1176" s="123"/>
      <c r="W1176" s="497"/>
      <c r="X1176" s="123"/>
      <c r="Y1176" s="123"/>
      <c r="Z1176" s="123"/>
      <c r="AA1176" s="497"/>
      <c r="AB1176" s="123"/>
      <c r="AC1176" s="497"/>
      <c r="AD1176" s="123"/>
      <c r="AE1176" s="122"/>
      <c r="AF1176" s="122"/>
      <c r="AG1176" s="122"/>
      <c r="AH1176" s="122"/>
    </row>
    <row r="1177" spans="1:34">
      <c r="A1177" s="123"/>
      <c r="B1177" s="123"/>
      <c r="C1177" s="123"/>
      <c r="D1177" s="123"/>
      <c r="E1177" s="130"/>
      <c r="F1177" s="123"/>
      <c r="G1177" s="130"/>
      <c r="H1177" s="123"/>
      <c r="I1177" s="123"/>
      <c r="J1177" s="123"/>
      <c r="K1177" s="123"/>
      <c r="L1177" s="123"/>
      <c r="M1177" s="288"/>
      <c r="N1177" s="123"/>
      <c r="O1177" s="289"/>
      <c r="P1177" s="123"/>
      <c r="Q1177" s="123"/>
      <c r="R1177" s="123"/>
      <c r="S1177" s="524"/>
      <c r="T1177" s="123"/>
      <c r="U1177" s="497"/>
      <c r="V1177" s="123"/>
      <c r="W1177" s="497"/>
      <c r="X1177" s="123"/>
      <c r="Y1177" s="123"/>
      <c r="Z1177" s="123"/>
      <c r="AA1177" s="497"/>
      <c r="AB1177" s="123"/>
      <c r="AC1177" s="497"/>
      <c r="AD1177" s="123"/>
      <c r="AE1177" s="122"/>
      <c r="AF1177" s="122"/>
      <c r="AG1177" s="122"/>
      <c r="AH1177" s="122"/>
    </row>
    <row r="1178" spans="1:34">
      <c r="A1178" s="123"/>
      <c r="B1178" s="123"/>
      <c r="C1178" s="123"/>
      <c r="D1178" s="123"/>
      <c r="E1178" s="130"/>
      <c r="F1178" s="123"/>
      <c r="G1178" s="130"/>
      <c r="H1178" s="123"/>
      <c r="I1178" s="123"/>
      <c r="J1178" s="123"/>
      <c r="K1178" s="123"/>
      <c r="L1178" s="123"/>
      <c r="M1178" s="288"/>
      <c r="N1178" s="123"/>
      <c r="O1178" s="289"/>
      <c r="P1178" s="123"/>
      <c r="Q1178" s="123"/>
      <c r="R1178" s="123"/>
      <c r="S1178" s="524"/>
      <c r="T1178" s="123"/>
      <c r="U1178" s="497"/>
      <c r="V1178" s="123"/>
      <c r="W1178" s="497"/>
      <c r="X1178" s="123"/>
      <c r="Y1178" s="123"/>
      <c r="Z1178" s="123"/>
      <c r="AA1178" s="497"/>
      <c r="AB1178" s="123"/>
      <c r="AC1178" s="497"/>
      <c r="AD1178" s="123"/>
      <c r="AE1178" s="122"/>
      <c r="AF1178" s="122"/>
      <c r="AG1178" s="122"/>
      <c r="AH1178" s="122"/>
    </row>
    <row r="1179" spans="1:34">
      <c r="A1179" s="123"/>
      <c r="B1179" s="123"/>
      <c r="C1179" s="123"/>
      <c r="D1179" s="123"/>
      <c r="E1179" s="130"/>
      <c r="F1179" s="123"/>
      <c r="G1179" s="130"/>
      <c r="H1179" s="123"/>
      <c r="I1179" s="123"/>
      <c r="J1179" s="123"/>
      <c r="K1179" s="123"/>
      <c r="L1179" s="123"/>
      <c r="M1179" s="288"/>
      <c r="N1179" s="123"/>
      <c r="O1179" s="289"/>
      <c r="P1179" s="123"/>
      <c r="Q1179" s="123"/>
      <c r="R1179" s="123"/>
      <c r="S1179" s="524"/>
      <c r="T1179" s="123"/>
      <c r="U1179" s="497"/>
      <c r="V1179" s="123"/>
      <c r="W1179" s="497"/>
      <c r="X1179" s="123"/>
      <c r="Y1179" s="123"/>
      <c r="Z1179" s="123"/>
      <c r="AA1179" s="497"/>
      <c r="AB1179" s="123"/>
      <c r="AC1179" s="497"/>
      <c r="AD1179" s="123"/>
      <c r="AE1179" s="122"/>
      <c r="AF1179" s="122"/>
      <c r="AG1179" s="122"/>
      <c r="AH1179" s="122"/>
    </row>
    <row r="1180" spans="1:34">
      <c r="A1180" s="123"/>
      <c r="B1180" s="123"/>
      <c r="C1180" s="123"/>
      <c r="D1180" s="123"/>
      <c r="E1180" s="130"/>
      <c r="F1180" s="123"/>
      <c r="G1180" s="130"/>
      <c r="H1180" s="123"/>
      <c r="I1180" s="123"/>
      <c r="J1180" s="123"/>
      <c r="K1180" s="123"/>
      <c r="L1180" s="123"/>
      <c r="M1180" s="288"/>
      <c r="N1180" s="123"/>
      <c r="O1180" s="289"/>
      <c r="P1180" s="123"/>
      <c r="Q1180" s="123"/>
      <c r="R1180" s="123"/>
      <c r="S1180" s="524"/>
      <c r="T1180" s="123"/>
      <c r="U1180" s="497"/>
      <c r="V1180" s="123"/>
      <c r="W1180" s="497"/>
      <c r="X1180" s="123"/>
      <c r="Y1180" s="123"/>
      <c r="Z1180" s="123"/>
      <c r="AA1180" s="497"/>
      <c r="AB1180" s="123"/>
      <c r="AC1180" s="497"/>
      <c r="AD1180" s="123"/>
      <c r="AE1180" s="122"/>
      <c r="AF1180" s="122"/>
      <c r="AG1180" s="122"/>
      <c r="AH1180" s="122"/>
    </row>
    <row r="1181" spans="1:34">
      <c r="A1181" s="123"/>
      <c r="B1181" s="123"/>
      <c r="C1181" s="123"/>
      <c r="D1181" s="123"/>
      <c r="E1181" s="130"/>
      <c r="F1181" s="123"/>
      <c r="G1181" s="130"/>
      <c r="H1181" s="123"/>
      <c r="I1181" s="123"/>
      <c r="J1181" s="123"/>
      <c r="K1181" s="123"/>
      <c r="L1181" s="123"/>
      <c r="M1181" s="288"/>
      <c r="N1181" s="123"/>
      <c r="O1181" s="289"/>
      <c r="P1181" s="123"/>
      <c r="Q1181" s="123"/>
      <c r="R1181" s="123"/>
      <c r="S1181" s="524"/>
      <c r="T1181" s="123"/>
      <c r="U1181" s="497"/>
      <c r="V1181" s="123"/>
      <c r="W1181" s="497"/>
      <c r="X1181" s="123"/>
      <c r="Y1181" s="123"/>
      <c r="Z1181" s="123"/>
      <c r="AA1181" s="497"/>
      <c r="AB1181" s="123"/>
      <c r="AC1181" s="497"/>
      <c r="AD1181" s="123"/>
      <c r="AE1181" s="122"/>
      <c r="AF1181" s="122"/>
      <c r="AG1181" s="122"/>
      <c r="AH1181" s="122"/>
    </row>
    <row r="1182" spans="1:34">
      <c r="A1182" s="123"/>
      <c r="B1182" s="123"/>
      <c r="C1182" s="123"/>
      <c r="D1182" s="123"/>
      <c r="E1182" s="130"/>
      <c r="F1182" s="123"/>
      <c r="G1182" s="130"/>
      <c r="H1182" s="123"/>
      <c r="I1182" s="123"/>
      <c r="J1182" s="123"/>
      <c r="K1182" s="123"/>
      <c r="L1182" s="123"/>
      <c r="M1182" s="288"/>
      <c r="N1182" s="123"/>
      <c r="O1182" s="289"/>
      <c r="P1182" s="123"/>
      <c r="Q1182" s="123"/>
      <c r="R1182" s="123"/>
      <c r="S1182" s="524"/>
      <c r="T1182" s="123"/>
      <c r="U1182" s="497"/>
      <c r="V1182" s="123"/>
      <c r="W1182" s="497"/>
      <c r="X1182" s="123"/>
      <c r="Y1182" s="123"/>
      <c r="Z1182" s="123"/>
      <c r="AA1182" s="497"/>
      <c r="AB1182" s="123"/>
      <c r="AC1182" s="497"/>
      <c r="AD1182" s="123"/>
      <c r="AE1182" s="122"/>
      <c r="AF1182" s="122"/>
      <c r="AG1182" s="122"/>
      <c r="AH1182" s="122"/>
    </row>
    <row r="1183" spans="1:34">
      <c r="A1183" s="123"/>
      <c r="B1183" s="123"/>
      <c r="C1183" s="123"/>
      <c r="D1183" s="123"/>
      <c r="E1183" s="130"/>
      <c r="F1183" s="123"/>
      <c r="G1183" s="130"/>
      <c r="H1183" s="123"/>
      <c r="I1183" s="123"/>
      <c r="J1183" s="123"/>
      <c r="K1183" s="123"/>
      <c r="L1183" s="123"/>
      <c r="M1183" s="288"/>
      <c r="N1183" s="123"/>
      <c r="O1183" s="289"/>
      <c r="P1183" s="123"/>
      <c r="Q1183" s="123"/>
      <c r="R1183" s="123"/>
      <c r="S1183" s="524"/>
      <c r="T1183" s="123"/>
      <c r="U1183" s="497"/>
      <c r="V1183" s="123"/>
      <c r="W1183" s="497"/>
      <c r="X1183" s="123"/>
      <c r="Y1183" s="123"/>
      <c r="Z1183" s="123"/>
      <c r="AA1183" s="497"/>
      <c r="AB1183" s="123"/>
      <c r="AC1183" s="497"/>
      <c r="AD1183" s="123"/>
      <c r="AE1183" s="122"/>
      <c r="AF1183" s="122"/>
      <c r="AG1183" s="122"/>
      <c r="AH1183" s="122"/>
    </row>
    <row r="1184" spans="1:34">
      <c r="A1184" s="123"/>
      <c r="B1184" s="123"/>
      <c r="C1184" s="123"/>
      <c r="D1184" s="123"/>
      <c r="E1184" s="130"/>
      <c r="F1184" s="123"/>
      <c r="G1184" s="130"/>
      <c r="H1184" s="123"/>
      <c r="I1184" s="123"/>
      <c r="J1184" s="123"/>
      <c r="K1184" s="123"/>
      <c r="L1184" s="123"/>
      <c r="M1184" s="288"/>
      <c r="N1184" s="123"/>
      <c r="O1184" s="289"/>
      <c r="P1184" s="123"/>
      <c r="Q1184" s="123"/>
      <c r="R1184" s="123"/>
      <c r="S1184" s="524"/>
      <c r="T1184" s="123"/>
      <c r="U1184" s="497"/>
      <c r="V1184" s="123"/>
      <c r="W1184" s="497"/>
      <c r="X1184" s="123"/>
      <c r="Y1184" s="123"/>
      <c r="Z1184" s="123"/>
      <c r="AA1184" s="497"/>
      <c r="AB1184" s="123"/>
      <c r="AC1184" s="497"/>
      <c r="AD1184" s="123"/>
      <c r="AE1184" s="122"/>
      <c r="AF1184" s="122"/>
      <c r="AG1184" s="122"/>
      <c r="AH1184" s="122"/>
    </row>
    <row r="1185" spans="1:34">
      <c r="A1185" s="123"/>
      <c r="B1185" s="123"/>
      <c r="C1185" s="123"/>
      <c r="D1185" s="123"/>
      <c r="E1185" s="130"/>
      <c r="F1185" s="123"/>
      <c r="G1185" s="130"/>
      <c r="H1185" s="123"/>
      <c r="I1185" s="123"/>
      <c r="J1185" s="123"/>
      <c r="K1185" s="123"/>
      <c r="L1185" s="123"/>
      <c r="M1185" s="288"/>
      <c r="N1185" s="123"/>
      <c r="O1185" s="289"/>
      <c r="P1185" s="123"/>
      <c r="Q1185" s="123"/>
      <c r="R1185" s="123"/>
      <c r="S1185" s="524"/>
      <c r="T1185" s="123"/>
      <c r="U1185" s="497"/>
      <c r="V1185" s="123"/>
      <c r="W1185" s="497"/>
      <c r="X1185" s="123"/>
      <c r="Y1185" s="123"/>
      <c r="Z1185" s="123"/>
      <c r="AA1185" s="497"/>
      <c r="AB1185" s="123"/>
      <c r="AC1185" s="497"/>
      <c r="AD1185" s="123"/>
      <c r="AE1185" s="122"/>
      <c r="AF1185" s="122"/>
      <c r="AG1185" s="122"/>
      <c r="AH1185" s="122"/>
    </row>
    <row r="1186" spans="1:34">
      <c r="A1186" s="123"/>
      <c r="B1186" s="123"/>
      <c r="C1186" s="123"/>
      <c r="D1186" s="123"/>
      <c r="E1186" s="130"/>
      <c r="F1186" s="123"/>
      <c r="G1186" s="130"/>
      <c r="H1186" s="123"/>
      <c r="I1186" s="123"/>
      <c r="J1186" s="123"/>
      <c r="K1186" s="123"/>
      <c r="L1186" s="123"/>
      <c r="M1186" s="288"/>
      <c r="N1186" s="123"/>
      <c r="O1186" s="289"/>
      <c r="P1186" s="123"/>
      <c r="Q1186" s="123"/>
      <c r="R1186" s="123"/>
      <c r="S1186" s="524"/>
      <c r="T1186" s="123"/>
      <c r="U1186" s="497"/>
      <c r="V1186" s="123"/>
      <c r="W1186" s="497"/>
      <c r="X1186" s="123"/>
      <c r="Y1186" s="123"/>
      <c r="Z1186" s="123"/>
      <c r="AA1186" s="497"/>
      <c r="AB1186" s="123"/>
      <c r="AC1186" s="497"/>
      <c r="AD1186" s="123"/>
      <c r="AE1186" s="122"/>
      <c r="AF1186" s="122"/>
      <c r="AG1186" s="122"/>
      <c r="AH1186" s="122"/>
    </row>
    <row r="1187" spans="1:34">
      <c r="A1187" s="123"/>
      <c r="B1187" s="123"/>
      <c r="C1187" s="123"/>
      <c r="D1187" s="123"/>
      <c r="E1187" s="130"/>
      <c r="F1187" s="123"/>
      <c r="G1187" s="130"/>
      <c r="H1187" s="123"/>
      <c r="I1187" s="123"/>
      <c r="J1187" s="123"/>
      <c r="K1187" s="123"/>
      <c r="L1187" s="123"/>
      <c r="M1187" s="288"/>
      <c r="N1187" s="123"/>
      <c r="O1187" s="289"/>
      <c r="P1187" s="123"/>
      <c r="Q1187" s="123"/>
      <c r="R1187" s="123"/>
      <c r="S1187" s="524"/>
      <c r="T1187" s="123"/>
      <c r="U1187" s="497"/>
      <c r="V1187" s="123"/>
      <c r="W1187" s="497"/>
      <c r="X1187" s="123"/>
      <c r="Y1187" s="123"/>
      <c r="Z1187" s="123"/>
      <c r="AA1187" s="497"/>
      <c r="AB1187" s="123"/>
      <c r="AC1187" s="497"/>
      <c r="AD1187" s="123"/>
      <c r="AE1187" s="122"/>
      <c r="AF1187" s="122"/>
      <c r="AG1187" s="122"/>
      <c r="AH1187" s="122"/>
    </row>
    <row r="1188" spans="1:34">
      <c r="A1188" s="123"/>
      <c r="B1188" s="123"/>
      <c r="C1188" s="123"/>
      <c r="D1188" s="123"/>
      <c r="E1188" s="130"/>
      <c r="F1188" s="123"/>
      <c r="G1188" s="130"/>
      <c r="H1188" s="123"/>
      <c r="I1188" s="123"/>
      <c r="J1188" s="123"/>
      <c r="K1188" s="123"/>
      <c r="L1188" s="123"/>
      <c r="M1188" s="288"/>
      <c r="N1188" s="123"/>
      <c r="O1188" s="289"/>
      <c r="P1188" s="123"/>
      <c r="Q1188" s="123"/>
      <c r="R1188" s="123"/>
      <c r="S1188" s="524"/>
      <c r="T1188" s="123"/>
      <c r="U1188" s="497"/>
      <c r="V1188" s="123"/>
      <c r="W1188" s="497"/>
      <c r="X1188" s="123"/>
      <c r="Y1188" s="123"/>
      <c r="Z1188" s="123"/>
      <c r="AA1188" s="497"/>
      <c r="AB1188" s="123"/>
      <c r="AC1188" s="497"/>
      <c r="AD1188" s="123"/>
      <c r="AE1188" s="122"/>
      <c r="AF1188" s="122"/>
      <c r="AG1188" s="122"/>
      <c r="AH1188" s="122"/>
    </row>
    <row r="1189" spans="1:34">
      <c r="A1189" s="123"/>
      <c r="B1189" s="123"/>
      <c r="C1189" s="123"/>
      <c r="D1189" s="123"/>
      <c r="E1189" s="130"/>
      <c r="F1189" s="123"/>
      <c r="G1189" s="130"/>
      <c r="H1189" s="123"/>
      <c r="I1189" s="123"/>
      <c r="J1189" s="123"/>
      <c r="K1189" s="123"/>
      <c r="L1189" s="123"/>
      <c r="M1189" s="288"/>
      <c r="N1189" s="123"/>
      <c r="O1189" s="289"/>
      <c r="P1189" s="123"/>
      <c r="Q1189" s="123"/>
      <c r="R1189" s="123"/>
      <c r="S1189" s="524"/>
      <c r="T1189" s="123"/>
      <c r="U1189" s="497"/>
      <c r="V1189" s="123"/>
      <c r="W1189" s="497"/>
      <c r="X1189" s="123"/>
      <c r="Y1189" s="123"/>
      <c r="Z1189" s="123"/>
      <c r="AA1189" s="497"/>
      <c r="AB1189" s="123"/>
      <c r="AC1189" s="497"/>
      <c r="AD1189" s="123"/>
      <c r="AE1189" s="122"/>
      <c r="AF1189" s="122"/>
      <c r="AG1189" s="122"/>
      <c r="AH1189" s="122"/>
    </row>
    <row r="1190" spans="1:34">
      <c r="A1190" s="123"/>
      <c r="B1190" s="123"/>
      <c r="C1190" s="123"/>
      <c r="D1190" s="123"/>
      <c r="E1190" s="130"/>
      <c r="F1190" s="123"/>
      <c r="G1190" s="130"/>
      <c r="H1190" s="123"/>
      <c r="I1190" s="123"/>
      <c r="J1190" s="123"/>
      <c r="K1190" s="123"/>
      <c r="L1190" s="123"/>
      <c r="M1190" s="288"/>
      <c r="N1190" s="123"/>
      <c r="O1190" s="289"/>
      <c r="P1190" s="123"/>
      <c r="Q1190" s="123"/>
      <c r="R1190" s="123"/>
      <c r="S1190" s="524"/>
      <c r="T1190" s="123"/>
      <c r="U1190" s="497"/>
      <c r="V1190" s="123"/>
      <c r="W1190" s="497"/>
      <c r="X1190" s="123"/>
      <c r="Y1190" s="123"/>
      <c r="Z1190" s="123"/>
      <c r="AA1190" s="497"/>
      <c r="AB1190" s="123"/>
      <c r="AC1190" s="497"/>
      <c r="AD1190" s="123"/>
      <c r="AE1190" s="122"/>
      <c r="AF1190" s="122"/>
      <c r="AG1190" s="122"/>
      <c r="AH1190" s="122"/>
    </row>
    <row r="1191" spans="1:34">
      <c r="A1191" s="123"/>
      <c r="B1191" s="123"/>
      <c r="C1191" s="123"/>
      <c r="D1191" s="123"/>
      <c r="E1191" s="130"/>
      <c r="F1191" s="123"/>
      <c r="G1191" s="130"/>
      <c r="H1191" s="123"/>
      <c r="I1191" s="123"/>
      <c r="J1191" s="123"/>
      <c r="K1191" s="123"/>
      <c r="L1191" s="123"/>
      <c r="M1191" s="288"/>
      <c r="N1191" s="123"/>
      <c r="O1191" s="289"/>
      <c r="P1191" s="123"/>
      <c r="Q1191" s="123"/>
      <c r="R1191" s="123"/>
      <c r="S1191" s="524"/>
      <c r="T1191" s="123"/>
      <c r="U1191" s="497"/>
      <c r="V1191" s="123"/>
      <c r="W1191" s="497"/>
      <c r="X1191" s="123"/>
      <c r="Y1191" s="123"/>
      <c r="Z1191" s="123"/>
      <c r="AA1191" s="497"/>
      <c r="AB1191" s="123"/>
      <c r="AC1191" s="497"/>
      <c r="AD1191" s="123"/>
      <c r="AE1191" s="122"/>
      <c r="AF1191" s="122"/>
      <c r="AG1191" s="122"/>
      <c r="AH1191" s="122"/>
    </row>
    <row r="1192" spans="1:34">
      <c r="A1192" s="123"/>
      <c r="B1192" s="123"/>
      <c r="C1192" s="123"/>
      <c r="D1192" s="123"/>
      <c r="E1192" s="130"/>
      <c r="F1192" s="123"/>
      <c r="G1192" s="130"/>
      <c r="H1192" s="123"/>
      <c r="I1192" s="123"/>
      <c r="J1192" s="123"/>
      <c r="K1192" s="123"/>
      <c r="L1192" s="123"/>
      <c r="M1192" s="288"/>
      <c r="N1192" s="123"/>
      <c r="O1192" s="289"/>
      <c r="P1192" s="123"/>
      <c r="Q1192" s="123"/>
      <c r="R1192" s="123"/>
      <c r="S1192" s="524"/>
      <c r="T1192" s="123"/>
      <c r="U1192" s="497"/>
      <c r="V1192" s="123"/>
      <c r="W1192" s="497"/>
      <c r="X1192" s="123"/>
      <c r="Y1192" s="123"/>
      <c r="Z1192" s="123"/>
      <c r="AA1192" s="497"/>
      <c r="AB1192" s="123"/>
      <c r="AC1192" s="497"/>
      <c r="AD1192" s="123"/>
      <c r="AE1192" s="122"/>
      <c r="AF1192" s="122"/>
      <c r="AG1192" s="122"/>
      <c r="AH1192" s="122"/>
    </row>
    <row r="1193" spans="1:34">
      <c r="A1193" s="123"/>
      <c r="B1193" s="123"/>
      <c r="C1193" s="123"/>
      <c r="D1193" s="123"/>
      <c r="E1193" s="130"/>
      <c r="F1193" s="123"/>
      <c r="G1193" s="130"/>
      <c r="H1193" s="123"/>
      <c r="I1193" s="123"/>
      <c r="J1193" s="123"/>
      <c r="K1193" s="123"/>
      <c r="L1193" s="123"/>
      <c r="M1193" s="288"/>
      <c r="N1193" s="123"/>
      <c r="O1193" s="289"/>
      <c r="P1193" s="123"/>
      <c r="Q1193" s="123"/>
      <c r="R1193" s="123"/>
      <c r="S1193" s="524"/>
      <c r="T1193" s="123"/>
      <c r="U1193" s="497"/>
      <c r="V1193" s="123"/>
      <c r="W1193" s="497"/>
      <c r="X1193" s="123"/>
      <c r="Y1193" s="123"/>
      <c r="Z1193" s="123"/>
      <c r="AA1193" s="497"/>
      <c r="AB1193" s="123"/>
      <c r="AC1193" s="497"/>
      <c r="AD1193" s="123"/>
      <c r="AE1193" s="122"/>
      <c r="AF1193" s="122"/>
      <c r="AG1193" s="122"/>
      <c r="AH1193" s="122"/>
    </row>
    <row r="1194" spans="1:34">
      <c r="A1194" s="123"/>
      <c r="B1194" s="123"/>
      <c r="C1194" s="123"/>
      <c r="D1194" s="123"/>
      <c r="E1194" s="130"/>
      <c r="F1194" s="123"/>
      <c r="G1194" s="130"/>
      <c r="H1194" s="123"/>
      <c r="I1194" s="123"/>
      <c r="J1194" s="123"/>
      <c r="K1194" s="123"/>
      <c r="L1194" s="123"/>
      <c r="M1194" s="288"/>
      <c r="N1194" s="123"/>
      <c r="O1194" s="289"/>
      <c r="P1194" s="123"/>
      <c r="Q1194" s="123"/>
      <c r="R1194" s="123"/>
      <c r="S1194" s="524"/>
      <c r="T1194" s="123"/>
      <c r="U1194" s="497"/>
      <c r="V1194" s="123"/>
      <c r="W1194" s="497"/>
      <c r="X1194" s="123"/>
      <c r="Y1194" s="123"/>
      <c r="Z1194" s="123"/>
      <c r="AA1194" s="497"/>
      <c r="AB1194" s="123"/>
      <c r="AC1194" s="497"/>
      <c r="AD1194" s="123"/>
      <c r="AE1194" s="122"/>
      <c r="AF1194" s="122"/>
      <c r="AG1194" s="122"/>
      <c r="AH1194" s="122"/>
    </row>
    <row r="1195" spans="1:34">
      <c r="A1195" s="123"/>
      <c r="B1195" s="123"/>
      <c r="C1195" s="123"/>
      <c r="D1195" s="123"/>
      <c r="E1195" s="130"/>
      <c r="F1195" s="123"/>
      <c r="G1195" s="130"/>
      <c r="H1195" s="123"/>
      <c r="I1195" s="123"/>
      <c r="J1195" s="123"/>
      <c r="K1195" s="123"/>
      <c r="L1195" s="123"/>
      <c r="M1195" s="288"/>
      <c r="N1195" s="123"/>
      <c r="O1195" s="289"/>
      <c r="P1195" s="123"/>
      <c r="Q1195" s="123"/>
      <c r="R1195" s="123"/>
      <c r="S1195" s="524"/>
      <c r="T1195" s="123"/>
      <c r="U1195" s="497"/>
      <c r="V1195" s="123"/>
      <c r="W1195" s="497"/>
      <c r="X1195" s="123"/>
      <c r="Y1195" s="123"/>
      <c r="Z1195" s="123"/>
      <c r="AA1195" s="497"/>
      <c r="AB1195" s="123"/>
      <c r="AC1195" s="497"/>
      <c r="AD1195" s="123"/>
      <c r="AE1195" s="122"/>
      <c r="AF1195" s="122"/>
      <c r="AG1195" s="122"/>
      <c r="AH1195" s="122"/>
    </row>
    <row r="1196" spans="1:34">
      <c r="A1196" s="123"/>
      <c r="B1196" s="123"/>
      <c r="C1196" s="123"/>
      <c r="D1196" s="123"/>
      <c r="E1196" s="130"/>
      <c r="F1196" s="123"/>
      <c r="G1196" s="130"/>
      <c r="H1196" s="123"/>
      <c r="I1196" s="123"/>
      <c r="J1196" s="123"/>
      <c r="K1196" s="123"/>
      <c r="L1196" s="123"/>
      <c r="M1196" s="288"/>
      <c r="N1196" s="123"/>
      <c r="O1196" s="289"/>
      <c r="P1196" s="123"/>
      <c r="Q1196" s="123"/>
      <c r="R1196" s="123"/>
      <c r="S1196" s="524"/>
      <c r="T1196" s="123"/>
      <c r="U1196" s="497"/>
      <c r="V1196" s="123"/>
      <c r="W1196" s="497"/>
      <c r="X1196" s="123"/>
      <c r="Y1196" s="123"/>
      <c r="Z1196" s="123"/>
      <c r="AA1196" s="497"/>
      <c r="AB1196" s="123"/>
      <c r="AC1196" s="497"/>
      <c r="AD1196" s="123"/>
      <c r="AE1196" s="122"/>
      <c r="AF1196" s="122"/>
      <c r="AG1196" s="122"/>
      <c r="AH1196" s="122"/>
    </row>
    <row r="1197" spans="1:34">
      <c r="A1197" s="123"/>
      <c r="B1197" s="123"/>
      <c r="C1197" s="123"/>
      <c r="D1197" s="123"/>
      <c r="E1197" s="130"/>
      <c r="F1197" s="123"/>
      <c r="G1197" s="130"/>
      <c r="H1197" s="123"/>
      <c r="I1197" s="123"/>
      <c r="J1197" s="123"/>
      <c r="K1197" s="123"/>
      <c r="L1197" s="123"/>
      <c r="M1197" s="288"/>
      <c r="N1197" s="123"/>
      <c r="O1197" s="289"/>
      <c r="P1197" s="123"/>
      <c r="Q1197" s="123"/>
      <c r="R1197" s="123"/>
      <c r="S1197" s="524"/>
      <c r="T1197" s="123"/>
      <c r="U1197" s="497"/>
      <c r="V1197" s="123"/>
      <c r="W1197" s="497"/>
      <c r="X1197" s="123"/>
      <c r="Y1197" s="123"/>
      <c r="Z1197" s="123"/>
      <c r="AA1197" s="497"/>
      <c r="AB1197" s="123"/>
      <c r="AC1197" s="497"/>
      <c r="AD1197" s="123"/>
      <c r="AE1197" s="122"/>
      <c r="AF1197" s="122"/>
      <c r="AG1197" s="122"/>
      <c r="AH1197" s="122"/>
    </row>
    <row r="1198" spans="1:34">
      <c r="A1198" s="123"/>
      <c r="B1198" s="123"/>
      <c r="C1198" s="123"/>
      <c r="D1198" s="123"/>
      <c r="E1198" s="130"/>
      <c r="F1198" s="123"/>
      <c r="G1198" s="130"/>
      <c r="H1198" s="123"/>
      <c r="I1198" s="123"/>
      <c r="J1198" s="123"/>
      <c r="K1198" s="123"/>
      <c r="L1198" s="123"/>
      <c r="M1198" s="288"/>
      <c r="N1198" s="123"/>
      <c r="O1198" s="289"/>
      <c r="P1198" s="123"/>
      <c r="Q1198" s="123"/>
      <c r="R1198" s="123"/>
      <c r="S1198" s="524"/>
      <c r="T1198" s="123"/>
      <c r="U1198" s="497"/>
      <c r="V1198" s="123"/>
      <c r="W1198" s="497"/>
      <c r="X1198" s="123"/>
      <c r="Y1198" s="123"/>
      <c r="Z1198" s="123"/>
      <c r="AA1198" s="497"/>
      <c r="AB1198" s="123"/>
      <c r="AC1198" s="497"/>
      <c r="AD1198" s="123"/>
      <c r="AE1198" s="122"/>
      <c r="AF1198" s="122"/>
      <c r="AG1198" s="122"/>
      <c r="AH1198" s="122"/>
    </row>
    <row r="1199" spans="1:34">
      <c r="A1199" s="123"/>
      <c r="B1199" s="123"/>
      <c r="C1199" s="123"/>
      <c r="D1199" s="123"/>
      <c r="E1199" s="130"/>
      <c r="F1199" s="123"/>
      <c r="G1199" s="130"/>
      <c r="H1199" s="123"/>
      <c r="I1199" s="123"/>
      <c r="J1199" s="123"/>
      <c r="K1199" s="123"/>
      <c r="L1199" s="123"/>
      <c r="M1199" s="288"/>
      <c r="N1199" s="123"/>
      <c r="O1199" s="289"/>
      <c r="P1199" s="123"/>
      <c r="Q1199" s="123"/>
      <c r="R1199" s="123"/>
      <c r="S1199" s="524"/>
      <c r="T1199" s="123"/>
      <c r="U1199" s="497"/>
      <c r="V1199" s="123"/>
      <c r="W1199" s="497"/>
      <c r="X1199" s="123"/>
      <c r="Y1199" s="123"/>
      <c r="Z1199" s="123"/>
      <c r="AA1199" s="497"/>
      <c r="AB1199" s="123"/>
      <c r="AC1199" s="497"/>
      <c r="AD1199" s="123"/>
      <c r="AE1199" s="122"/>
      <c r="AF1199" s="122"/>
      <c r="AG1199" s="122"/>
      <c r="AH1199" s="122"/>
    </row>
    <row r="1200" spans="1:34">
      <c r="A1200" s="123"/>
      <c r="B1200" s="123"/>
      <c r="C1200" s="123"/>
      <c r="D1200" s="123"/>
      <c r="E1200" s="130"/>
      <c r="F1200" s="123"/>
      <c r="G1200" s="130"/>
      <c r="H1200" s="123"/>
      <c r="I1200" s="123"/>
      <c r="J1200" s="123"/>
      <c r="K1200" s="123"/>
      <c r="L1200" s="123"/>
      <c r="M1200" s="288"/>
      <c r="N1200" s="123"/>
      <c r="O1200" s="289"/>
      <c r="P1200" s="123"/>
      <c r="Q1200" s="123"/>
      <c r="R1200" s="123"/>
      <c r="S1200" s="524"/>
      <c r="T1200" s="123"/>
      <c r="U1200" s="497"/>
      <c r="V1200" s="123"/>
      <c r="W1200" s="497"/>
      <c r="X1200" s="123"/>
      <c r="Y1200" s="123"/>
      <c r="Z1200" s="123"/>
      <c r="AA1200" s="497"/>
      <c r="AB1200" s="123"/>
      <c r="AC1200" s="497"/>
      <c r="AD1200" s="123"/>
      <c r="AE1200" s="122"/>
      <c r="AF1200" s="122"/>
      <c r="AG1200" s="122"/>
      <c r="AH1200" s="122"/>
    </row>
    <row r="1201" spans="1:34">
      <c r="A1201" s="123"/>
      <c r="B1201" s="123"/>
      <c r="C1201" s="123"/>
      <c r="D1201" s="123"/>
      <c r="E1201" s="130"/>
      <c r="F1201" s="123"/>
      <c r="G1201" s="130"/>
      <c r="H1201" s="123"/>
      <c r="I1201" s="123"/>
      <c r="J1201" s="123"/>
      <c r="K1201" s="123"/>
      <c r="L1201" s="123"/>
      <c r="M1201" s="288"/>
      <c r="N1201" s="123"/>
      <c r="O1201" s="289"/>
      <c r="P1201" s="123"/>
      <c r="Q1201" s="123"/>
      <c r="R1201" s="123"/>
      <c r="S1201" s="524"/>
      <c r="T1201" s="123"/>
      <c r="U1201" s="497"/>
      <c r="V1201" s="123"/>
      <c r="W1201" s="497"/>
      <c r="X1201" s="123"/>
      <c r="Y1201" s="123"/>
      <c r="Z1201" s="123"/>
      <c r="AA1201" s="497"/>
      <c r="AB1201" s="123"/>
      <c r="AC1201" s="497"/>
      <c r="AD1201" s="123"/>
      <c r="AE1201" s="122"/>
      <c r="AF1201" s="122"/>
      <c r="AG1201" s="122"/>
      <c r="AH1201" s="122"/>
    </row>
    <row r="1202" spans="1:34">
      <c r="A1202" s="123"/>
      <c r="B1202" s="123"/>
      <c r="C1202" s="123"/>
      <c r="D1202" s="123"/>
      <c r="E1202" s="130"/>
      <c r="F1202" s="123"/>
      <c r="G1202" s="130"/>
      <c r="H1202" s="123"/>
      <c r="I1202" s="123"/>
      <c r="J1202" s="123"/>
      <c r="K1202" s="123"/>
      <c r="L1202" s="123"/>
      <c r="M1202" s="288"/>
      <c r="N1202" s="123"/>
      <c r="O1202" s="289"/>
      <c r="P1202" s="123"/>
      <c r="Q1202" s="123"/>
      <c r="R1202" s="123"/>
      <c r="S1202" s="524"/>
      <c r="T1202" s="123"/>
      <c r="U1202" s="497"/>
      <c r="V1202" s="123"/>
      <c r="W1202" s="497"/>
      <c r="X1202" s="123"/>
      <c r="Y1202" s="123"/>
      <c r="Z1202" s="123"/>
      <c r="AA1202" s="497"/>
      <c r="AB1202" s="123"/>
      <c r="AC1202" s="497"/>
      <c r="AD1202" s="123"/>
      <c r="AE1202" s="122"/>
      <c r="AF1202" s="122"/>
      <c r="AG1202" s="122"/>
      <c r="AH1202" s="122"/>
    </row>
    <row r="1203" spans="1:34">
      <c r="A1203" s="123"/>
      <c r="B1203" s="123"/>
      <c r="C1203" s="123"/>
      <c r="D1203" s="123"/>
      <c r="E1203" s="130"/>
      <c r="F1203" s="123"/>
      <c r="G1203" s="130"/>
      <c r="H1203" s="123"/>
      <c r="I1203" s="123"/>
      <c r="J1203" s="123"/>
      <c r="K1203" s="123"/>
      <c r="L1203" s="123"/>
      <c r="M1203" s="288"/>
      <c r="N1203" s="123"/>
      <c r="O1203" s="289"/>
      <c r="P1203" s="123"/>
      <c r="Q1203" s="123"/>
      <c r="R1203" s="123"/>
      <c r="S1203" s="524"/>
      <c r="T1203" s="123"/>
      <c r="U1203" s="497"/>
      <c r="V1203" s="123"/>
      <c r="W1203" s="497"/>
      <c r="X1203" s="123"/>
      <c r="Y1203" s="123"/>
      <c r="Z1203" s="123"/>
      <c r="AA1203" s="497"/>
      <c r="AB1203" s="123"/>
      <c r="AC1203" s="497"/>
      <c r="AD1203" s="123"/>
      <c r="AE1203" s="122"/>
      <c r="AF1203" s="122"/>
      <c r="AG1203" s="122"/>
      <c r="AH1203" s="122"/>
    </row>
    <row r="1204" spans="1:34">
      <c r="A1204" s="123"/>
      <c r="B1204" s="123"/>
      <c r="C1204" s="123"/>
      <c r="D1204" s="123"/>
      <c r="E1204" s="130"/>
      <c r="F1204" s="123"/>
      <c r="G1204" s="130"/>
      <c r="H1204" s="123"/>
      <c r="I1204" s="123"/>
      <c r="J1204" s="123"/>
      <c r="K1204" s="123"/>
      <c r="L1204" s="123"/>
      <c r="M1204" s="288"/>
      <c r="N1204" s="123"/>
      <c r="O1204" s="289"/>
      <c r="P1204" s="123"/>
      <c r="Q1204" s="123"/>
      <c r="R1204" s="123"/>
      <c r="S1204" s="524"/>
      <c r="T1204" s="123"/>
      <c r="U1204" s="497"/>
      <c r="V1204" s="123"/>
      <c r="W1204" s="497"/>
      <c r="X1204" s="123"/>
      <c r="Y1204" s="123"/>
      <c r="Z1204" s="123"/>
      <c r="AA1204" s="497"/>
      <c r="AB1204" s="123"/>
      <c r="AC1204" s="497"/>
      <c r="AD1204" s="123"/>
      <c r="AE1204" s="122"/>
      <c r="AF1204" s="122"/>
      <c r="AG1204" s="122"/>
      <c r="AH1204" s="122"/>
    </row>
    <row r="1205" spans="1:34">
      <c r="A1205" s="123"/>
      <c r="B1205" s="123"/>
      <c r="C1205" s="123"/>
      <c r="D1205" s="123"/>
      <c r="E1205" s="130"/>
      <c r="F1205" s="123"/>
      <c r="G1205" s="130"/>
      <c r="H1205" s="123"/>
      <c r="I1205" s="123"/>
      <c r="J1205" s="123"/>
      <c r="K1205" s="123"/>
      <c r="L1205" s="123"/>
      <c r="M1205" s="288"/>
      <c r="N1205" s="123"/>
      <c r="O1205" s="289"/>
      <c r="P1205" s="123"/>
      <c r="Q1205" s="123"/>
      <c r="R1205" s="123"/>
      <c r="S1205" s="524"/>
      <c r="T1205" s="123"/>
      <c r="U1205" s="497"/>
      <c r="V1205" s="123"/>
      <c r="W1205" s="497"/>
      <c r="X1205" s="123"/>
      <c r="Y1205" s="123"/>
      <c r="Z1205" s="123"/>
      <c r="AA1205" s="497"/>
      <c r="AB1205" s="123"/>
      <c r="AC1205" s="497"/>
      <c r="AD1205" s="123"/>
      <c r="AE1205" s="122"/>
      <c r="AF1205" s="122"/>
      <c r="AG1205" s="122"/>
      <c r="AH1205" s="122"/>
    </row>
    <row r="1206" spans="1:34">
      <c r="A1206" s="123"/>
      <c r="B1206" s="123"/>
      <c r="C1206" s="123"/>
      <c r="D1206" s="123"/>
      <c r="E1206" s="130"/>
      <c r="F1206" s="123"/>
      <c r="G1206" s="130"/>
      <c r="H1206" s="123"/>
      <c r="I1206" s="123"/>
      <c r="J1206" s="123"/>
      <c r="K1206" s="123"/>
      <c r="L1206" s="123"/>
      <c r="M1206" s="288"/>
      <c r="N1206" s="123"/>
      <c r="O1206" s="289"/>
      <c r="P1206" s="123"/>
      <c r="Q1206" s="123"/>
      <c r="R1206" s="123"/>
      <c r="S1206" s="524"/>
      <c r="T1206" s="123"/>
      <c r="U1206" s="497"/>
      <c r="V1206" s="123"/>
      <c r="W1206" s="497"/>
      <c r="X1206" s="123"/>
      <c r="Y1206" s="123"/>
      <c r="Z1206" s="123"/>
      <c r="AA1206" s="497"/>
      <c r="AB1206" s="123"/>
      <c r="AC1206" s="497"/>
      <c r="AD1206" s="123"/>
      <c r="AE1206" s="122"/>
      <c r="AF1206" s="122"/>
      <c r="AG1206" s="122"/>
      <c r="AH1206" s="122"/>
    </row>
    <row r="1207" spans="1:34">
      <c r="A1207" s="123"/>
      <c r="B1207" s="123"/>
      <c r="C1207" s="123"/>
      <c r="D1207" s="123"/>
      <c r="E1207" s="130"/>
      <c r="F1207" s="123"/>
      <c r="G1207" s="130"/>
      <c r="H1207" s="123"/>
      <c r="I1207" s="123"/>
      <c r="J1207" s="123"/>
      <c r="K1207" s="123"/>
      <c r="L1207" s="123"/>
      <c r="M1207" s="288"/>
      <c r="N1207" s="123"/>
      <c r="O1207" s="289"/>
      <c r="P1207" s="123"/>
      <c r="Q1207" s="123"/>
      <c r="R1207" s="123"/>
      <c r="S1207" s="524"/>
      <c r="T1207" s="123"/>
      <c r="U1207" s="497"/>
      <c r="V1207" s="123"/>
      <c r="W1207" s="497"/>
      <c r="X1207" s="123"/>
      <c r="Y1207" s="123"/>
      <c r="Z1207" s="123"/>
      <c r="AA1207" s="497"/>
      <c r="AB1207" s="123"/>
      <c r="AC1207" s="497"/>
      <c r="AD1207" s="123"/>
      <c r="AE1207" s="122"/>
      <c r="AF1207" s="122"/>
      <c r="AG1207" s="122"/>
      <c r="AH1207" s="122"/>
    </row>
    <row r="1208" spans="1:34">
      <c r="A1208" s="123"/>
      <c r="B1208" s="123"/>
      <c r="C1208" s="123"/>
      <c r="D1208" s="123"/>
      <c r="E1208" s="130"/>
      <c r="F1208" s="123"/>
      <c r="G1208" s="130"/>
      <c r="H1208" s="123"/>
      <c r="I1208" s="123"/>
      <c r="J1208" s="123"/>
      <c r="K1208" s="123"/>
      <c r="L1208" s="123"/>
      <c r="M1208" s="288"/>
      <c r="N1208" s="123"/>
      <c r="O1208" s="289"/>
      <c r="P1208" s="123"/>
      <c r="Q1208" s="123"/>
      <c r="R1208" s="123"/>
      <c r="S1208" s="524"/>
      <c r="T1208" s="123"/>
      <c r="U1208" s="497"/>
      <c r="V1208" s="123"/>
      <c r="W1208" s="497"/>
      <c r="X1208" s="123"/>
      <c r="Y1208" s="123"/>
      <c r="Z1208" s="123"/>
      <c r="AA1208" s="497"/>
      <c r="AB1208" s="123"/>
      <c r="AC1208" s="497"/>
      <c r="AD1208" s="123"/>
      <c r="AE1208" s="122"/>
      <c r="AF1208" s="122"/>
      <c r="AG1208" s="122"/>
      <c r="AH1208" s="122"/>
    </row>
    <row r="1209" spans="1:34">
      <c r="A1209" s="123"/>
      <c r="B1209" s="123"/>
      <c r="C1209" s="123"/>
      <c r="D1209" s="123"/>
      <c r="E1209" s="130"/>
      <c r="F1209" s="123"/>
      <c r="G1209" s="130"/>
      <c r="H1209" s="123"/>
      <c r="I1209" s="123"/>
      <c r="J1209" s="123"/>
      <c r="K1209" s="123"/>
      <c r="L1209" s="123"/>
      <c r="M1209" s="288"/>
      <c r="N1209" s="123"/>
      <c r="O1209" s="289"/>
      <c r="P1209" s="123"/>
      <c r="Q1209" s="123"/>
      <c r="R1209" s="123"/>
      <c r="S1209" s="524"/>
      <c r="T1209" s="123"/>
      <c r="U1209" s="497"/>
      <c r="V1209" s="123"/>
      <c r="W1209" s="497"/>
      <c r="X1209" s="123"/>
      <c r="Y1209" s="123"/>
      <c r="Z1209" s="123"/>
      <c r="AA1209" s="497"/>
      <c r="AB1209" s="123"/>
      <c r="AC1209" s="497"/>
      <c r="AD1209" s="123"/>
      <c r="AE1209" s="122"/>
      <c r="AF1209" s="122"/>
      <c r="AG1209" s="122"/>
      <c r="AH1209" s="122"/>
    </row>
    <row r="1210" spans="1:34">
      <c r="A1210" s="123"/>
      <c r="B1210" s="123"/>
      <c r="C1210" s="123"/>
      <c r="D1210" s="123"/>
      <c r="E1210" s="130"/>
      <c r="F1210" s="123"/>
      <c r="G1210" s="130"/>
      <c r="H1210" s="123"/>
      <c r="I1210" s="123"/>
      <c r="J1210" s="123"/>
      <c r="K1210" s="123"/>
      <c r="L1210" s="123"/>
      <c r="M1210" s="288"/>
      <c r="N1210" s="123"/>
      <c r="O1210" s="289"/>
      <c r="P1210" s="123"/>
      <c r="Q1210" s="123"/>
      <c r="R1210" s="123"/>
      <c r="S1210" s="524"/>
      <c r="T1210" s="123"/>
      <c r="U1210" s="497"/>
      <c r="V1210" s="123"/>
      <c r="W1210" s="497"/>
      <c r="X1210" s="123"/>
      <c r="Y1210" s="123"/>
      <c r="Z1210" s="123"/>
      <c r="AA1210" s="497"/>
      <c r="AB1210" s="123"/>
      <c r="AC1210" s="497"/>
      <c r="AD1210" s="123"/>
      <c r="AE1210" s="122"/>
      <c r="AF1210" s="122"/>
      <c r="AG1210" s="122"/>
      <c r="AH1210" s="122"/>
    </row>
    <row r="1211" spans="1:34">
      <c r="A1211" s="123"/>
      <c r="B1211" s="123"/>
      <c r="C1211" s="123"/>
      <c r="D1211" s="123"/>
      <c r="E1211" s="130"/>
      <c r="F1211" s="123"/>
      <c r="G1211" s="130"/>
      <c r="H1211" s="123"/>
      <c r="I1211" s="123"/>
      <c r="J1211" s="123"/>
      <c r="K1211" s="123"/>
      <c r="L1211" s="123"/>
      <c r="M1211" s="288"/>
      <c r="N1211" s="123"/>
      <c r="O1211" s="289"/>
      <c r="P1211" s="123"/>
      <c r="Q1211" s="123"/>
      <c r="R1211" s="123"/>
      <c r="S1211" s="524"/>
      <c r="T1211" s="123"/>
      <c r="U1211" s="497"/>
      <c r="V1211" s="123"/>
      <c r="W1211" s="497"/>
      <c r="X1211" s="123"/>
      <c r="Y1211" s="123"/>
      <c r="Z1211" s="123"/>
      <c r="AA1211" s="497"/>
      <c r="AB1211" s="123"/>
      <c r="AC1211" s="497"/>
      <c r="AD1211" s="123"/>
      <c r="AE1211" s="122"/>
      <c r="AF1211" s="122"/>
      <c r="AG1211" s="122"/>
      <c r="AH1211" s="122"/>
    </row>
    <row r="1212" spans="1:34">
      <c r="A1212" s="123"/>
      <c r="B1212" s="123"/>
      <c r="C1212" s="123"/>
      <c r="D1212" s="123"/>
      <c r="E1212" s="130"/>
      <c r="F1212" s="123"/>
      <c r="G1212" s="130"/>
      <c r="H1212" s="123"/>
      <c r="I1212" s="123"/>
      <c r="J1212" s="123"/>
      <c r="K1212" s="123"/>
      <c r="L1212" s="123"/>
      <c r="M1212" s="288"/>
      <c r="N1212" s="123"/>
      <c r="O1212" s="289"/>
      <c r="P1212" s="123"/>
      <c r="Q1212" s="123"/>
      <c r="R1212" s="123"/>
      <c r="S1212" s="524"/>
      <c r="T1212" s="123"/>
      <c r="U1212" s="497"/>
      <c r="V1212" s="123"/>
      <c r="W1212" s="497"/>
      <c r="X1212" s="123"/>
      <c r="Y1212" s="123"/>
      <c r="Z1212" s="123"/>
      <c r="AA1212" s="497"/>
      <c r="AB1212" s="123"/>
      <c r="AC1212" s="497"/>
      <c r="AD1212" s="123"/>
      <c r="AE1212" s="122"/>
      <c r="AF1212" s="122"/>
      <c r="AG1212" s="122"/>
      <c r="AH1212" s="122"/>
    </row>
    <row r="1213" spans="1:34">
      <c r="A1213" s="123"/>
      <c r="B1213" s="123"/>
      <c r="C1213" s="123"/>
      <c r="D1213" s="123"/>
      <c r="E1213" s="130"/>
      <c r="F1213" s="123"/>
      <c r="G1213" s="130"/>
      <c r="H1213" s="123"/>
      <c r="I1213" s="123"/>
      <c r="J1213" s="123"/>
      <c r="K1213" s="123"/>
      <c r="L1213" s="123"/>
      <c r="M1213" s="288"/>
      <c r="N1213" s="123"/>
      <c r="O1213" s="289"/>
      <c r="P1213" s="123"/>
      <c r="Q1213" s="123"/>
      <c r="R1213" s="123"/>
      <c r="S1213" s="524"/>
      <c r="T1213" s="123"/>
      <c r="U1213" s="497"/>
      <c r="V1213" s="123"/>
      <c r="W1213" s="497"/>
      <c r="X1213" s="123"/>
      <c r="Y1213" s="123"/>
      <c r="Z1213" s="123"/>
      <c r="AA1213" s="497"/>
      <c r="AB1213" s="123"/>
      <c r="AC1213" s="497"/>
      <c r="AD1213" s="123"/>
      <c r="AE1213" s="122"/>
      <c r="AF1213" s="122"/>
      <c r="AG1213" s="122"/>
      <c r="AH1213" s="122"/>
    </row>
    <row r="1214" spans="1:34">
      <c r="A1214" s="123"/>
      <c r="B1214" s="123"/>
      <c r="C1214" s="123"/>
      <c r="D1214" s="123"/>
      <c r="E1214" s="130"/>
      <c r="F1214" s="123"/>
      <c r="G1214" s="130"/>
      <c r="H1214" s="123"/>
      <c r="I1214" s="123"/>
      <c r="J1214" s="123"/>
      <c r="K1214" s="123"/>
      <c r="L1214" s="123"/>
      <c r="M1214" s="288"/>
      <c r="N1214" s="123"/>
      <c r="O1214" s="289"/>
      <c r="P1214" s="123"/>
      <c r="Q1214" s="123"/>
      <c r="R1214" s="123"/>
      <c r="S1214" s="524"/>
      <c r="T1214" s="123"/>
      <c r="U1214" s="497"/>
      <c r="V1214" s="123"/>
      <c r="W1214" s="497"/>
      <c r="X1214" s="123"/>
      <c r="Y1214" s="123"/>
      <c r="Z1214" s="123"/>
      <c r="AA1214" s="497"/>
      <c r="AB1214" s="123"/>
      <c r="AC1214" s="497"/>
      <c r="AD1214" s="123"/>
      <c r="AE1214" s="122"/>
      <c r="AF1214" s="122"/>
      <c r="AG1214" s="122"/>
      <c r="AH1214" s="122"/>
    </row>
    <row r="1215" spans="1:34">
      <c r="A1215" s="123"/>
      <c r="B1215" s="123"/>
      <c r="C1215" s="123"/>
      <c r="D1215" s="123"/>
      <c r="E1215" s="130"/>
      <c r="F1215" s="123"/>
      <c r="G1215" s="130"/>
      <c r="H1215" s="123"/>
      <c r="I1215" s="123"/>
      <c r="J1215" s="123"/>
      <c r="K1215" s="123"/>
      <c r="L1215" s="123"/>
      <c r="M1215" s="288"/>
      <c r="N1215" s="123"/>
      <c r="O1215" s="289"/>
      <c r="P1215" s="123"/>
      <c r="Q1215" s="123"/>
      <c r="R1215" s="123"/>
      <c r="S1215" s="524"/>
      <c r="T1215" s="123"/>
      <c r="U1215" s="497"/>
      <c r="V1215" s="123"/>
      <c r="W1215" s="497"/>
      <c r="X1215" s="123"/>
      <c r="Y1215" s="123"/>
      <c r="Z1215" s="123"/>
      <c r="AA1215" s="497"/>
      <c r="AB1215" s="123"/>
      <c r="AC1215" s="497"/>
      <c r="AD1215" s="123"/>
      <c r="AE1215" s="122"/>
      <c r="AF1215" s="122"/>
      <c r="AG1215" s="122"/>
      <c r="AH1215" s="122"/>
    </row>
    <row r="1216" spans="1:34">
      <c r="A1216" s="123"/>
      <c r="B1216" s="123"/>
      <c r="C1216" s="123"/>
      <c r="D1216" s="123"/>
      <c r="E1216" s="130"/>
      <c r="F1216" s="123"/>
      <c r="G1216" s="130"/>
      <c r="H1216" s="123"/>
      <c r="I1216" s="123"/>
      <c r="J1216" s="123"/>
      <c r="K1216" s="123"/>
      <c r="L1216" s="123"/>
      <c r="M1216" s="288"/>
      <c r="N1216" s="123"/>
      <c r="O1216" s="289"/>
      <c r="P1216" s="123"/>
      <c r="Q1216" s="123"/>
      <c r="R1216" s="123"/>
      <c r="S1216" s="524"/>
      <c r="T1216" s="123"/>
      <c r="U1216" s="497"/>
      <c r="V1216" s="123"/>
      <c r="W1216" s="497"/>
      <c r="X1216" s="123"/>
      <c r="Y1216" s="123"/>
      <c r="Z1216" s="123"/>
      <c r="AA1216" s="497"/>
      <c r="AB1216" s="123"/>
      <c r="AC1216" s="497"/>
      <c r="AD1216" s="123"/>
      <c r="AE1216" s="122"/>
      <c r="AF1216" s="122"/>
      <c r="AG1216" s="122"/>
      <c r="AH1216" s="122"/>
    </row>
    <row r="1217" spans="1:34">
      <c r="A1217" s="123"/>
      <c r="B1217" s="123"/>
      <c r="C1217" s="123"/>
      <c r="D1217" s="123"/>
      <c r="E1217" s="130"/>
      <c r="F1217" s="123"/>
      <c r="G1217" s="130"/>
      <c r="H1217" s="123"/>
      <c r="I1217" s="123"/>
      <c r="J1217" s="123"/>
      <c r="K1217" s="123"/>
      <c r="L1217" s="123"/>
      <c r="M1217" s="288"/>
      <c r="N1217" s="123"/>
      <c r="O1217" s="289"/>
      <c r="P1217" s="123"/>
      <c r="Q1217" s="123"/>
      <c r="R1217" s="123"/>
      <c r="S1217" s="524"/>
      <c r="T1217" s="123"/>
      <c r="U1217" s="497"/>
      <c r="V1217" s="123"/>
      <c r="W1217" s="497"/>
      <c r="X1217" s="123"/>
      <c r="Y1217" s="123"/>
      <c r="Z1217" s="123"/>
      <c r="AA1217" s="497"/>
      <c r="AB1217" s="123"/>
      <c r="AC1217" s="497"/>
      <c r="AD1217" s="123"/>
      <c r="AE1217" s="122"/>
      <c r="AF1217" s="122"/>
      <c r="AG1217" s="122"/>
      <c r="AH1217" s="122"/>
    </row>
    <row r="1218" spans="1:34">
      <c r="A1218" s="123"/>
      <c r="B1218" s="123"/>
      <c r="C1218" s="123"/>
      <c r="D1218" s="123"/>
      <c r="E1218" s="130"/>
      <c r="F1218" s="123"/>
      <c r="G1218" s="130"/>
      <c r="H1218" s="123"/>
      <c r="I1218" s="123"/>
      <c r="J1218" s="123"/>
      <c r="K1218" s="123"/>
      <c r="L1218" s="123"/>
      <c r="M1218" s="288"/>
      <c r="N1218" s="123"/>
      <c r="O1218" s="289"/>
      <c r="P1218" s="123"/>
      <c r="Q1218" s="123"/>
      <c r="R1218" s="123"/>
      <c r="S1218" s="524"/>
      <c r="T1218" s="123"/>
      <c r="U1218" s="497"/>
      <c r="V1218" s="123"/>
      <c r="W1218" s="497"/>
      <c r="X1218" s="123"/>
      <c r="Y1218" s="123"/>
      <c r="Z1218" s="123"/>
      <c r="AA1218" s="497"/>
      <c r="AB1218" s="123"/>
      <c r="AC1218" s="497"/>
      <c r="AD1218" s="123"/>
      <c r="AE1218" s="122"/>
      <c r="AF1218" s="122"/>
      <c r="AG1218" s="122"/>
      <c r="AH1218" s="122"/>
    </row>
    <row r="1219" spans="1:34">
      <c r="A1219" s="123"/>
      <c r="B1219" s="123"/>
      <c r="C1219" s="123"/>
      <c r="D1219" s="123"/>
      <c r="E1219" s="130"/>
      <c r="F1219" s="123"/>
      <c r="G1219" s="130"/>
      <c r="H1219" s="123"/>
      <c r="I1219" s="123"/>
      <c r="J1219" s="123"/>
      <c r="K1219" s="123"/>
      <c r="L1219" s="123"/>
      <c r="M1219" s="288"/>
      <c r="N1219" s="123"/>
      <c r="O1219" s="289"/>
      <c r="P1219" s="123"/>
      <c r="Q1219" s="123"/>
      <c r="R1219" s="123"/>
      <c r="S1219" s="524"/>
      <c r="T1219" s="123"/>
      <c r="U1219" s="497"/>
      <c r="V1219" s="123"/>
      <c r="W1219" s="497"/>
      <c r="X1219" s="123"/>
      <c r="Y1219" s="123"/>
      <c r="Z1219" s="123"/>
      <c r="AA1219" s="497"/>
      <c r="AB1219" s="123"/>
      <c r="AC1219" s="497"/>
      <c r="AD1219" s="123"/>
      <c r="AE1219" s="122"/>
      <c r="AF1219" s="122"/>
      <c r="AG1219" s="122"/>
      <c r="AH1219" s="122"/>
    </row>
    <row r="1220" spans="1:34">
      <c r="A1220" s="123"/>
      <c r="B1220" s="123"/>
      <c r="C1220" s="123"/>
      <c r="D1220" s="123"/>
      <c r="E1220" s="130"/>
      <c r="F1220" s="123"/>
      <c r="G1220" s="130"/>
      <c r="H1220" s="123"/>
      <c r="I1220" s="123"/>
      <c r="J1220" s="123"/>
      <c r="K1220" s="123"/>
      <c r="L1220" s="123"/>
      <c r="M1220" s="288"/>
      <c r="N1220" s="123"/>
      <c r="O1220" s="289"/>
      <c r="P1220" s="123"/>
      <c r="Q1220" s="123"/>
      <c r="R1220" s="123"/>
      <c r="S1220" s="524"/>
      <c r="T1220" s="123"/>
      <c r="U1220" s="497"/>
      <c r="V1220" s="123"/>
      <c r="W1220" s="497"/>
      <c r="X1220" s="123"/>
      <c r="Y1220" s="123"/>
      <c r="Z1220" s="123"/>
      <c r="AA1220" s="497"/>
      <c r="AB1220" s="123"/>
      <c r="AC1220" s="497"/>
      <c r="AD1220" s="123"/>
      <c r="AE1220" s="122"/>
      <c r="AF1220" s="122"/>
      <c r="AG1220" s="122"/>
      <c r="AH1220" s="122"/>
    </row>
    <row r="1221" spans="1:34">
      <c r="A1221" s="123"/>
      <c r="B1221" s="123"/>
      <c r="C1221" s="123"/>
      <c r="D1221" s="123"/>
      <c r="E1221" s="130"/>
      <c r="F1221" s="123"/>
      <c r="G1221" s="130"/>
      <c r="H1221" s="123"/>
      <c r="I1221" s="123"/>
      <c r="J1221" s="123"/>
      <c r="K1221" s="123"/>
      <c r="L1221" s="123"/>
      <c r="M1221" s="288"/>
      <c r="N1221" s="123"/>
      <c r="O1221" s="289"/>
      <c r="P1221" s="123"/>
      <c r="Q1221" s="123"/>
      <c r="R1221" s="123"/>
      <c r="S1221" s="524"/>
      <c r="T1221" s="123"/>
      <c r="U1221" s="497"/>
      <c r="V1221" s="123"/>
      <c r="W1221" s="497"/>
      <c r="X1221" s="123"/>
      <c r="Y1221" s="123"/>
      <c r="Z1221" s="123"/>
      <c r="AA1221" s="497"/>
      <c r="AB1221" s="123"/>
      <c r="AC1221" s="497"/>
      <c r="AD1221" s="123"/>
      <c r="AE1221" s="122"/>
      <c r="AF1221" s="122"/>
      <c r="AG1221" s="122"/>
      <c r="AH1221" s="122"/>
    </row>
    <row r="1222" spans="1:34">
      <c r="A1222" s="123"/>
      <c r="B1222" s="123"/>
      <c r="C1222" s="123"/>
      <c r="D1222" s="123"/>
      <c r="E1222" s="130"/>
      <c r="F1222" s="123"/>
      <c r="G1222" s="130"/>
      <c r="H1222" s="123"/>
      <c r="I1222" s="123"/>
      <c r="J1222" s="123"/>
      <c r="K1222" s="123"/>
      <c r="L1222" s="123"/>
      <c r="M1222" s="288"/>
      <c r="N1222" s="123"/>
      <c r="O1222" s="289"/>
      <c r="P1222" s="123"/>
      <c r="Q1222" s="123"/>
      <c r="R1222" s="123"/>
      <c r="S1222" s="524"/>
      <c r="T1222" s="123"/>
      <c r="U1222" s="497"/>
      <c r="V1222" s="123"/>
      <c r="W1222" s="497"/>
      <c r="X1222" s="123"/>
      <c r="Y1222" s="123"/>
      <c r="Z1222" s="123"/>
      <c r="AA1222" s="497"/>
      <c r="AB1222" s="123"/>
      <c r="AC1222" s="497"/>
      <c r="AD1222" s="123"/>
      <c r="AE1222" s="122"/>
      <c r="AF1222" s="122"/>
      <c r="AG1222" s="122"/>
      <c r="AH1222" s="122"/>
    </row>
    <row r="1223" spans="1:34">
      <c r="A1223" s="123"/>
      <c r="B1223" s="123"/>
      <c r="C1223" s="123"/>
      <c r="D1223" s="123"/>
      <c r="E1223" s="130"/>
      <c r="F1223" s="123"/>
      <c r="G1223" s="130"/>
      <c r="H1223" s="123"/>
      <c r="I1223" s="123"/>
      <c r="J1223" s="123"/>
      <c r="K1223" s="123"/>
      <c r="L1223" s="123"/>
      <c r="M1223" s="288"/>
      <c r="N1223" s="123"/>
      <c r="O1223" s="289"/>
      <c r="P1223" s="123"/>
      <c r="Q1223" s="123"/>
      <c r="R1223" s="123"/>
      <c r="S1223" s="524"/>
      <c r="T1223" s="123"/>
      <c r="U1223" s="497"/>
      <c r="V1223" s="123"/>
      <c r="W1223" s="497"/>
      <c r="X1223" s="123"/>
      <c r="Y1223" s="123"/>
      <c r="Z1223" s="123"/>
      <c r="AA1223" s="497"/>
      <c r="AB1223" s="123"/>
      <c r="AC1223" s="497"/>
      <c r="AD1223" s="123"/>
      <c r="AE1223" s="122"/>
      <c r="AF1223" s="122"/>
      <c r="AG1223" s="122"/>
      <c r="AH1223" s="122"/>
    </row>
    <row r="1224" spans="1:34">
      <c r="A1224" s="123"/>
      <c r="B1224" s="123"/>
      <c r="C1224" s="123"/>
      <c r="D1224" s="123"/>
      <c r="E1224" s="130"/>
      <c r="F1224" s="123"/>
      <c r="G1224" s="130"/>
      <c r="H1224" s="123"/>
      <c r="I1224" s="123"/>
      <c r="J1224" s="123"/>
      <c r="K1224" s="123"/>
      <c r="L1224" s="123"/>
      <c r="M1224" s="288"/>
      <c r="N1224" s="123"/>
      <c r="O1224" s="289"/>
      <c r="P1224" s="123"/>
      <c r="Q1224" s="123"/>
      <c r="R1224" s="123"/>
      <c r="S1224" s="524"/>
      <c r="T1224" s="123"/>
      <c r="U1224" s="497"/>
      <c r="V1224" s="123"/>
      <c r="W1224" s="497"/>
      <c r="X1224" s="123"/>
      <c r="Y1224" s="123"/>
      <c r="Z1224" s="123"/>
      <c r="AA1224" s="497"/>
      <c r="AB1224" s="123"/>
      <c r="AC1224" s="497"/>
      <c r="AD1224" s="123"/>
      <c r="AE1224" s="122"/>
      <c r="AF1224" s="122"/>
      <c r="AG1224" s="122"/>
      <c r="AH1224" s="122"/>
    </row>
    <row r="1225" spans="1:34">
      <c r="A1225" s="123"/>
      <c r="B1225" s="123"/>
      <c r="C1225" s="123"/>
      <c r="D1225" s="123"/>
      <c r="E1225" s="130"/>
      <c r="F1225" s="123"/>
      <c r="G1225" s="130"/>
      <c r="H1225" s="123"/>
      <c r="I1225" s="123"/>
      <c r="J1225" s="123"/>
      <c r="K1225" s="123"/>
      <c r="L1225" s="123"/>
      <c r="M1225" s="288"/>
      <c r="N1225" s="123"/>
      <c r="O1225" s="289"/>
      <c r="P1225" s="123"/>
      <c r="Q1225" s="123"/>
      <c r="R1225" s="123"/>
      <c r="S1225" s="524"/>
      <c r="T1225" s="123"/>
      <c r="U1225" s="497"/>
      <c r="V1225" s="123"/>
      <c r="W1225" s="497"/>
      <c r="X1225" s="123"/>
      <c r="Y1225" s="123"/>
      <c r="Z1225" s="123"/>
      <c r="AA1225" s="497"/>
      <c r="AB1225" s="123"/>
      <c r="AC1225" s="497"/>
      <c r="AD1225" s="123"/>
      <c r="AE1225" s="122"/>
      <c r="AF1225" s="122"/>
      <c r="AG1225" s="122"/>
      <c r="AH1225" s="122"/>
    </row>
    <row r="1226" spans="1:34">
      <c r="A1226" s="123"/>
      <c r="B1226" s="123"/>
      <c r="C1226" s="123"/>
      <c r="D1226" s="123"/>
      <c r="E1226" s="130"/>
      <c r="F1226" s="123"/>
      <c r="G1226" s="130"/>
      <c r="H1226" s="123"/>
      <c r="I1226" s="123"/>
      <c r="J1226" s="123"/>
      <c r="K1226" s="123"/>
      <c r="L1226" s="123"/>
      <c r="M1226" s="288"/>
      <c r="N1226" s="123"/>
      <c r="O1226" s="289"/>
      <c r="P1226" s="123"/>
      <c r="Q1226" s="123"/>
      <c r="R1226" s="123"/>
      <c r="S1226" s="524"/>
      <c r="T1226" s="123"/>
      <c r="U1226" s="497"/>
      <c r="V1226" s="123"/>
      <c r="W1226" s="497"/>
      <c r="X1226" s="123"/>
      <c r="Y1226" s="123"/>
      <c r="Z1226" s="123"/>
      <c r="AA1226" s="497"/>
      <c r="AB1226" s="123"/>
      <c r="AC1226" s="497"/>
      <c r="AD1226" s="123"/>
      <c r="AE1226" s="122"/>
      <c r="AF1226" s="122"/>
      <c r="AG1226" s="122"/>
      <c r="AH1226" s="122"/>
    </row>
    <row r="1227" spans="1:34">
      <c r="A1227" s="123"/>
      <c r="B1227" s="123"/>
      <c r="C1227" s="123"/>
      <c r="D1227" s="123"/>
      <c r="E1227" s="130"/>
      <c r="F1227" s="123"/>
      <c r="G1227" s="130"/>
      <c r="H1227" s="123"/>
      <c r="I1227" s="123"/>
      <c r="J1227" s="123"/>
      <c r="K1227" s="123"/>
      <c r="L1227" s="123"/>
      <c r="M1227" s="288"/>
      <c r="N1227" s="123"/>
      <c r="O1227" s="289"/>
      <c r="P1227" s="123"/>
      <c r="Q1227" s="123"/>
      <c r="R1227" s="123"/>
      <c r="S1227" s="524"/>
      <c r="T1227" s="123"/>
      <c r="U1227" s="497"/>
      <c r="V1227" s="123"/>
      <c r="W1227" s="497"/>
      <c r="X1227" s="123"/>
      <c r="Y1227" s="123"/>
      <c r="Z1227" s="123"/>
      <c r="AA1227" s="497"/>
      <c r="AB1227" s="123"/>
      <c r="AC1227" s="497"/>
      <c r="AD1227" s="123"/>
      <c r="AE1227" s="122"/>
      <c r="AF1227" s="122"/>
      <c r="AG1227" s="122"/>
      <c r="AH1227" s="122"/>
    </row>
    <row r="1228" spans="1:34">
      <c r="A1228" s="123"/>
      <c r="B1228" s="123"/>
      <c r="C1228" s="123"/>
      <c r="D1228" s="123"/>
      <c r="E1228" s="130"/>
      <c r="F1228" s="123"/>
      <c r="G1228" s="130"/>
      <c r="H1228" s="123"/>
      <c r="I1228" s="123"/>
      <c r="J1228" s="123"/>
      <c r="K1228" s="123"/>
      <c r="L1228" s="123"/>
      <c r="M1228" s="288"/>
      <c r="N1228" s="123"/>
      <c r="O1228" s="289"/>
      <c r="P1228" s="123"/>
      <c r="Q1228" s="123"/>
      <c r="R1228" s="123"/>
      <c r="S1228" s="524"/>
      <c r="T1228" s="123"/>
      <c r="U1228" s="497"/>
      <c r="V1228" s="123"/>
      <c r="W1228" s="497"/>
      <c r="X1228" s="123"/>
      <c r="Y1228" s="123"/>
      <c r="Z1228" s="123"/>
      <c r="AA1228" s="497"/>
      <c r="AB1228" s="123"/>
      <c r="AC1228" s="497"/>
      <c r="AD1228" s="123"/>
      <c r="AE1228" s="122"/>
      <c r="AF1228" s="122"/>
      <c r="AG1228" s="122"/>
      <c r="AH1228" s="122"/>
    </row>
    <row r="1229" spans="1:34">
      <c r="A1229" s="123"/>
      <c r="B1229" s="123"/>
      <c r="C1229" s="123"/>
      <c r="D1229" s="123"/>
      <c r="E1229" s="130"/>
      <c r="F1229" s="123"/>
      <c r="G1229" s="130"/>
      <c r="H1229" s="123"/>
      <c r="I1229" s="123"/>
      <c r="J1229" s="123"/>
      <c r="K1229" s="123"/>
      <c r="L1229" s="123"/>
      <c r="M1229" s="288"/>
      <c r="N1229" s="123"/>
      <c r="O1229" s="289"/>
      <c r="P1229" s="123"/>
      <c r="Q1229" s="123"/>
      <c r="R1229" s="123"/>
      <c r="S1229" s="524"/>
      <c r="T1229" s="123"/>
      <c r="U1229" s="497"/>
      <c r="V1229" s="123"/>
      <c r="W1229" s="497"/>
      <c r="X1229" s="123"/>
      <c r="Y1229" s="123"/>
      <c r="Z1229" s="123"/>
      <c r="AA1229" s="497"/>
      <c r="AB1229" s="123"/>
      <c r="AC1229" s="497"/>
      <c r="AD1229" s="123"/>
      <c r="AE1229" s="122"/>
      <c r="AF1229" s="122"/>
      <c r="AG1229" s="122"/>
      <c r="AH1229" s="122"/>
    </row>
    <row r="1230" spans="1:34">
      <c r="A1230" s="123"/>
      <c r="B1230" s="123"/>
      <c r="C1230" s="123"/>
      <c r="D1230" s="123"/>
      <c r="E1230" s="130"/>
      <c r="F1230" s="123"/>
      <c r="G1230" s="130"/>
      <c r="H1230" s="123"/>
      <c r="I1230" s="123"/>
      <c r="J1230" s="123"/>
      <c r="K1230" s="123"/>
      <c r="L1230" s="123"/>
      <c r="M1230" s="288"/>
      <c r="N1230" s="123"/>
      <c r="O1230" s="289"/>
      <c r="P1230" s="123"/>
      <c r="Q1230" s="123"/>
      <c r="R1230" s="123"/>
      <c r="S1230" s="524"/>
      <c r="T1230" s="123"/>
      <c r="U1230" s="497"/>
      <c r="V1230" s="123"/>
      <c r="W1230" s="497"/>
      <c r="X1230" s="123"/>
      <c r="Y1230" s="123"/>
      <c r="Z1230" s="123"/>
      <c r="AA1230" s="497"/>
      <c r="AB1230" s="123"/>
      <c r="AC1230" s="497"/>
      <c r="AD1230" s="123"/>
      <c r="AE1230" s="122"/>
      <c r="AF1230" s="122"/>
      <c r="AG1230" s="122"/>
      <c r="AH1230" s="122"/>
    </row>
    <row r="1231" spans="1:34">
      <c r="A1231" s="123"/>
      <c r="B1231" s="123"/>
      <c r="C1231" s="123"/>
      <c r="D1231" s="123"/>
      <c r="E1231" s="130"/>
      <c r="F1231" s="123"/>
      <c r="G1231" s="130"/>
      <c r="H1231" s="123"/>
      <c r="I1231" s="123"/>
      <c r="J1231" s="123"/>
      <c r="K1231" s="123"/>
      <c r="L1231" s="123"/>
      <c r="M1231" s="288"/>
      <c r="N1231" s="123"/>
      <c r="O1231" s="289"/>
      <c r="P1231" s="123"/>
      <c r="Q1231" s="123"/>
      <c r="R1231" s="123"/>
      <c r="S1231" s="524"/>
      <c r="T1231" s="123"/>
      <c r="U1231" s="497"/>
      <c r="V1231" s="123"/>
      <c r="W1231" s="497"/>
      <c r="X1231" s="123"/>
      <c r="Y1231" s="123"/>
      <c r="Z1231" s="123"/>
      <c r="AA1231" s="497"/>
      <c r="AB1231" s="123"/>
      <c r="AC1231" s="497"/>
      <c r="AD1231" s="123"/>
      <c r="AE1231" s="122"/>
      <c r="AF1231" s="122"/>
      <c r="AG1231" s="122"/>
      <c r="AH1231" s="122"/>
    </row>
    <row r="1232" spans="1:34">
      <c r="A1232" s="123"/>
      <c r="B1232" s="123"/>
      <c r="C1232" s="123"/>
      <c r="D1232" s="123"/>
      <c r="E1232" s="130"/>
      <c r="F1232" s="123"/>
      <c r="G1232" s="130"/>
      <c r="H1232" s="123"/>
      <c r="I1232" s="123"/>
      <c r="J1232" s="123"/>
      <c r="K1232" s="123"/>
      <c r="L1232" s="123"/>
      <c r="M1232" s="288"/>
      <c r="N1232" s="123"/>
      <c r="O1232" s="289"/>
      <c r="P1232" s="123"/>
      <c r="Q1232" s="123"/>
      <c r="R1232" s="123"/>
      <c r="S1232" s="524"/>
      <c r="T1232" s="123"/>
      <c r="U1232" s="497"/>
      <c r="V1232" s="123"/>
      <c r="W1232" s="497"/>
      <c r="X1232" s="123"/>
      <c r="Y1232" s="123"/>
      <c r="Z1232" s="123"/>
      <c r="AA1232" s="497"/>
      <c r="AB1232" s="123"/>
      <c r="AC1232" s="497"/>
      <c r="AD1232" s="123"/>
      <c r="AE1232" s="122"/>
      <c r="AF1232" s="122"/>
      <c r="AG1232" s="122"/>
      <c r="AH1232" s="122"/>
    </row>
    <row r="1233" spans="1:34">
      <c r="A1233" s="123"/>
      <c r="B1233" s="123"/>
      <c r="C1233" s="123"/>
      <c r="D1233" s="123"/>
      <c r="E1233" s="130"/>
      <c r="F1233" s="123"/>
      <c r="G1233" s="130"/>
      <c r="H1233" s="123"/>
      <c r="I1233" s="123"/>
      <c r="J1233" s="123"/>
      <c r="K1233" s="123"/>
      <c r="L1233" s="123"/>
      <c r="M1233" s="288"/>
      <c r="N1233" s="123"/>
      <c r="O1233" s="289"/>
      <c r="P1233" s="123"/>
      <c r="Q1233" s="123"/>
      <c r="R1233" s="123"/>
      <c r="S1233" s="524"/>
      <c r="T1233" s="123"/>
      <c r="U1233" s="497"/>
      <c r="V1233" s="123"/>
      <c r="W1233" s="497"/>
      <c r="X1233" s="123"/>
      <c r="Y1233" s="123"/>
      <c r="Z1233" s="123"/>
      <c r="AA1233" s="497"/>
      <c r="AB1233" s="123"/>
      <c r="AC1233" s="497"/>
      <c r="AD1233" s="123"/>
      <c r="AE1233" s="122"/>
      <c r="AF1233" s="122"/>
      <c r="AG1233" s="122"/>
      <c r="AH1233" s="122"/>
    </row>
    <row r="1234" spans="1:34">
      <c r="A1234" s="123"/>
      <c r="B1234" s="123"/>
      <c r="C1234" s="123"/>
      <c r="D1234" s="123"/>
      <c r="E1234" s="130"/>
      <c r="F1234" s="123"/>
      <c r="G1234" s="130"/>
      <c r="H1234" s="123"/>
      <c r="I1234" s="123"/>
      <c r="J1234" s="123"/>
      <c r="K1234" s="123"/>
      <c r="L1234" s="123"/>
      <c r="M1234" s="288"/>
      <c r="N1234" s="123"/>
      <c r="O1234" s="289"/>
      <c r="P1234" s="123"/>
      <c r="Q1234" s="123"/>
      <c r="R1234" s="123"/>
      <c r="S1234" s="524"/>
      <c r="T1234" s="123"/>
      <c r="U1234" s="497"/>
      <c r="V1234" s="123"/>
      <c r="W1234" s="497"/>
      <c r="X1234" s="123"/>
      <c r="Y1234" s="123"/>
      <c r="Z1234" s="123"/>
      <c r="AA1234" s="497"/>
      <c r="AB1234" s="123"/>
      <c r="AC1234" s="497"/>
      <c r="AD1234" s="123"/>
      <c r="AE1234" s="122"/>
      <c r="AF1234" s="122"/>
      <c r="AG1234" s="122"/>
      <c r="AH1234" s="122"/>
    </row>
    <row r="1235" spans="1:34">
      <c r="A1235" s="123"/>
      <c r="B1235" s="123"/>
      <c r="C1235" s="123"/>
      <c r="D1235" s="123"/>
      <c r="E1235" s="130"/>
      <c r="F1235" s="123"/>
      <c r="G1235" s="130"/>
      <c r="H1235" s="123"/>
      <c r="I1235" s="123"/>
      <c r="J1235" s="123"/>
      <c r="K1235" s="123"/>
      <c r="L1235" s="123"/>
      <c r="M1235" s="288"/>
      <c r="N1235" s="123"/>
      <c r="O1235" s="289"/>
      <c r="P1235" s="123"/>
      <c r="Q1235" s="123"/>
      <c r="R1235" s="123"/>
      <c r="S1235" s="524"/>
      <c r="T1235" s="123"/>
      <c r="U1235" s="497"/>
      <c r="V1235" s="123"/>
      <c r="W1235" s="497"/>
      <c r="X1235" s="123"/>
      <c r="Y1235" s="123"/>
      <c r="Z1235" s="123"/>
      <c r="AA1235" s="497"/>
      <c r="AB1235" s="123"/>
      <c r="AC1235" s="497"/>
      <c r="AD1235" s="123"/>
      <c r="AE1235" s="122"/>
      <c r="AF1235" s="122"/>
      <c r="AG1235" s="122"/>
      <c r="AH1235" s="122"/>
    </row>
    <row r="1236" spans="1:34">
      <c r="A1236" s="123"/>
      <c r="B1236" s="123"/>
      <c r="C1236" s="123"/>
      <c r="D1236" s="123"/>
      <c r="E1236" s="130"/>
      <c r="F1236" s="123"/>
      <c r="G1236" s="130"/>
      <c r="H1236" s="123"/>
      <c r="I1236" s="123"/>
      <c r="J1236" s="123"/>
      <c r="K1236" s="123"/>
      <c r="L1236" s="123"/>
      <c r="M1236" s="288"/>
      <c r="N1236" s="123"/>
      <c r="O1236" s="289"/>
      <c r="P1236" s="123"/>
      <c r="Q1236" s="123"/>
      <c r="R1236" s="123"/>
      <c r="S1236" s="524"/>
      <c r="T1236" s="123"/>
      <c r="U1236" s="497"/>
      <c r="V1236" s="123"/>
      <c r="W1236" s="497"/>
      <c r="X1236" s="123"/>
      <c r="Y1236" s="123"/>
      <c r="Z1236" s="123"/>
      <c r="AA1236" s="497"/>
      <c r="AB1236" s="123"/>
      <c r="AC1236" s="497"/>
      <c r="AD1236" s="123"/>
      <c r="AE1236" s="122"/>
      <c r="AF1236" s="122"/>
      <c r="AG1236" s="122"/>
      <c r="AH1236" s="122"/>
    </row>
    <row r="1237" spans="1:34">
      <c r="A1237" s="123"/>
      <c r="B1237" s="123"/>
      <c r="C1237" s="123"/>
      <c r="D1237" s="123"/>
      <c r="E1237" s="130"/>
      <c r="F1237" s="123"/>
      <c r="G1237" s="130"/>
      <c r="H1237" s="123"/>
      <c r="I1237" s="123"/>
      <c r="J1237" s="123"/>
      <c r="K1237" s="123"/>
      <c r="L1237" s="123"/>
      <c r="M1237" s="288"/>
      <c r="N1237" s="123"/>
      <c r="O1237" s="289"/>
      <c r="P1237" s="123"/>
      <c r="Q1237" s="123"/>
      <c r="R1237" s="123"/>
      <c r="S1237" s="524"/>
      <c r="T1237" s="123"/>
      <c r="U1237" s="497"/>
      <c r="V1237" s="123"/>
      <c r="W1237" s="497"/>
      <c r="X1237" s="123"/>
      <c r="Y1237" s="123"/>
      <c r="Z1237" s="123"/>
      <c r="AA1237" s="497"/>
      <c r="AB1237" s="123"/>
      <c r="AC1237" s="497"/>
      <c r="AD1237" s="123"/>
      <c r="AE1237" s="122"/>
      <c r="AF1237" s="122"/>
      <c r="AG1237" s="122"/>
      <c r="AH1237" s="122"/>
    </row>
    <row r="1238" spans="1:34">
      <c r="A1238" s="123"/>
      <c r="B1238" s="123"/>
      <c r="C1238" s="123"/>
      <c r="D1238" s="123"/>
      <c r="E1238" s="130"/>
      <c r="F1238" s="123"/>
      <c r="G1238" s="130"/>
      <c r="H1238" s="123"/>
      <c r="I1238" s="123"/>
      <c r="J1238" s="123"/>
      <c r="K1238" s="123"/>
      <c r="L1238" s="123"/>
      <c r="M1238" s="288"/>
      <c r="N1238" s="123"/>
      <c r="O1238" s="289"/>
      <c r="P1238" s="123"/>
      <c r="Q1238" s="123"/>
      <c r="R1238" s="123"/>
      <c r="S1238" s="524"/>
      <c r="T1238" s="123"/>
      <c r="U1238" s="497"/>
      <c r="V1238" s="123"/>
      <c r="W1238" s="497"/>
      <c r="X1238" s="123"/>
      <c r="Y1238" s="123"/>
      <c r="Z1238" s="123"/>
      <c r="AA1238" s="497"/>
      <c r="AB1238" s="123"/>
      <c r="AC1238" s="497"/>
      <c r="AD1238" s="123"/>
      <c r="AE1238" s="122"/>
      <c r="AF1238" s="122"/>
      <c r="AG1238" s="122"/>
      <c r="AH1238" s="122"/>
    </row>
    <row r="1239" spans="1:34">
      <c r="A1239" s="123"/>
      <c r="B1239" s="123"/>
      <c r="C1239" s="123"/>
      <c r="D1239" s="123"/>
      <c r="E1239" s="130"/>
      <c r="F1239" s="123"/>
      <c r="G1239" s="130"/>
      <c r="H1239" s="123"/>
      <c r="I1239" s="123"/>
      <c r="J1239" s="123"/>
      <c r="K1239" s="123"/>
      <c r="L1239" s="123"/>
      <c r="M1239" s="288"/>
      <c r="N1239" s="123"/>
      <c r="O1239" s="289"/>
      <c r="P1239" s="123"/>
      <c r="Q1239" s="123"/>
      <c r="R1239" s="123"/>
      <c r="S1239" s="524"/>
      <c r="T1239" s="123"/>
      <c r="U1239" s="497"/>
      <c r="V1239" s="123"/>
      <c r="W1239" s="497"/>
      <c r="X1239" s="123"/>
      <c r="Y1239" s="123"/>
      <c r="Z1239" s="123"/>
      <c r="AA1239" s="497"/>
      <c r="AB1239" s="123"/>
      <c r="AC1239" s="497"/>
      <c r="AD1239" s="123"/>
      <c r="AE1239" s="122"/>
      <c r="AF1239" s="122"/>
      <c r="AG1239" s="122"/>
      <c r="AH1239" s="122"/>
    </row>
    <row r="1240" spans="1:34">
      <c r="A1240" s="123"/>
      <c r="B1240" s="123"/>
      <c r="C1240" s="123"/>
      <c r="D1240" s="123"/>
      <c r="E1240" s="130"/>
      <c r="F1240" s="123"/>
      <c r="G1240" s="130"/>
      <c r="H1240" s="123"/>
      <c r="I1240" s="123"/>
      <c r="J1240" s="123"/>
      <c r="K1240" s="123"/>
      <c r="L1240" s="123"/>
      <c r="M1240" s="288"/>
      <c r="N1240" s="123"/>
      <c r="O1240" s="289"/>
      <c r="P1240" s="123"/>
      <c r="Q1240" s="123"/>
      <c r="R1240" s="123"/>
      <c r="S1240" s="524"/>
      <c r="T1240" s="123"/>
      <c r="U1240" s="497"/>
      <c r="V1240" s="123"/>
      <c r="W1240" s="497"/>
      <c r="X1240" s="123"/>
      <c r="Y1240" s="123"/>
      <c r="Z1240" s="123"/>
      <c r="AA1240" s="497"/>
      <c r="AB1240" s="123"/>
      <c r="AC1240" s="497"/>
      <c r="AD1240" s="123"/>
      <c r="AE1240" s="122"/>
      <c r="AF1240" s="122"/>
      <c r="AG1240" s="122"/>
      <c r="AH1240" s="122"/>
    </row>
    <row r="1241" spans="1:34">
      <c r="A1241" s="123"/>
      <c r="B1241" s="123"/>
      <c r="C1241" s="123"/>
      <c r="D1241" s="123"/>
      <c r="E1241" s="130"/>
      <c r="F1241" s="123"/>
      <c r="G1241" s="130"/>
      <c r="H1241" s="123"/>
      <c r="I1241" s="123"/>
      <c r="J1241" s="123"/>
      <c r="K1241" s="123"/>
      <c r="L1241" s="123"/>
      <c r="M1241" s="288"/>
      <c r="N1241" s="123"/>
      <c r="O1241" s="289"/>
      <c r="P1241" s="123"/>
      <c r="Q1241" s="123"/>
      <c r="R1241" s="123"/>
      <c r="S1241" s="524"/>
      <c r="T1241" s="123"/>
      <c r="U1241" s="497"/>
      <c r="V1241" s="123"/>
      <c r="W1241" s="497"/>
      <c r="X1241" s="123"/>
      <c r="Y1241" s="123"/>
      <c r="Z1241" s="123"/>
      <c r="AA1241" s="497"/>
      <c r="AB1241" s="123"/>
      <c r="AC1241" s="497"/>
      <c r="AD1241" s="123"/>
      <c r="AE1241" s="122"/>
      <c r="AF1241" s="122"/>
      <c r="AG1241" s="122"/>
      <c r="AH1241" s="122"/>
    </row>
  </sheetData>
  <mergeCells count="21">
    <mergeCell ref="AC1006:AC1008"/>
    <mergeCell ref="R7:R9"/>
    <mergeCell ref="T7:Z7"/>
    <mergeCell ref="AB7:AB9"/>
    <mergeCell ref="AD7:AD9"/>
    <mergeCell ref="T8:Y8"/>
    <mergeCell ref="Z8:Z9"/>
    <mergeCell ref="S7:S9"/>
    <mergeCell ref="AA7:AA9"/>
    <mergeCell ref="O7:O9"/>
    <mergeCell ref="P7:P9"/>
    <mergeCell ref="Q7:Q9"/>
    <mergeCell ref="J7:J9"/>
    <mergeCell ref="K7:K9"/>
    <mergeCell ref="L7:L9"/>
    <mergeCell ref="M7:M9"/>
    <mergeCell ref="A7:D9"/>
    <mergeCell ref="G7:G9"/>
    <mergeCell ref="H7:H9"/>
    <mergeCell ref="I7:I9"/>
    <mergeCell ref="N7:N9"/>
  </mergeCells>
  <phoneticPr fontId="53" type="noConversion"/>
  <pageMargins left="0.75" right="0.75" top="1" bottom="1" header="0.5" footer="0.5"/>
  <pageSetup paperSize="3" scale="41" fitToHeight="19" orientation="landscape" r:id="rId1"/>
  <headerFooter alignWithMargins="0">
    <oddHeader>&amp;C&amp;"Arial MT,Bold"&amp;14&amp;A&amp;R&amp;10Print Date: &amp;D</oddHeader>
    <oddFooter>&amp;L&amp;8&amp;F&amp;A&amp;C&amp;G&amp;R&amp;"Arial MT,Bold"&amp;10Confidential
&amp;"Arial MT,Regular"Page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06"/>
  <sheetViews>
    <sheetView showGridLines="0" zoomScale="80" zoomScaleNormal="80" workbookViewId="0">
      <selection activeCell="D18" sqref="D18"/>
    </sheetView>
  </sheetViews>
  <sheetFormatPr defaultColWidth="8.90625" defaultRowHeight="15"/>
  <cols>
    <col min="1" max="1" width="4.6328125" style="130" bestFit="1" customWidth="1"/>
    <col min="2" max="3" width="3.81640625" style="123" customWidth="1"/>
    <col min="4" max="4" width="41.81640625" style="123" customWidth="1"/>
    <col min="5" max="7" width="20.81640625" style="360" customWidth="1"/>
    <col min="8" max="8" width="8.90625" style="123"/>
    <col min="9" max="9" width="14.6328125" style="123" bestFit="1" customWidth="1"/>
    <col min="10" max="10" width="18.1796875" style="123" bestFit="1" customWidth="1"/>
    <col min="11" max="16384" width="8.90625" style="123"/>
  </cols>
  <sheetData>
    <row r="1" spans="1:10" ht="32.25" customHeight="1">
      <c r="B1" s="3195" t="s">
        <v>694</v>
      </c>
      <c r="C1" s="3195"/>
      <c r="D1" s="3195"/>
      <c r="E1" s="3195"/>
      <c r="F1" s="3195"/>
      <c r="G1" s="3195"/>
      <c r="H1" s="351"/>
      <c r="I1" s="351"/>
      <c r="J1" s="351"/>
    </row>
    <row r="2" spans="1:10" ht="15.75" customHeight="1" thickBot="1">
      <c r="B2" s="606"/>
      <c r="C2" s="606"/>
      <c r="D2" s="606"/>
      <c r="E2" s="606"/>
      <c r="F2" s="606"/>
      <c r="G2" s="606"/>
      <c r="H2" s="351"/>
      <c r="I2" s="351"/>
      <c r="J2" s="351"/>
    </row>
    <row r="3" spans="1:10" ht="18" thickBot="1">
      <c r="B3" s="3199"/>
      <c r="C3" s="3200"/>
      <c r="D3" s="3201"/>
      <c r="E3" s="3196" t="s">
        <v>1002</v>
      </c>
      <c r="F3" s="3196"/>
      <c r="G3" s="3196"/>
      <c r="I3" s="123" t="s">
        <v>271</v>
      </c>
    </row>
    <row r="4" spans="1:10" s="130" customFormat="1" ht="17.399999999999999">
      <c r="B4" s="3202"/>
      <c r="C4" s="3203"/>
      <c r="D4" s="3204"/>
      <c r="E4" s="607" t="s">
        <v>1967</v>
      </c>
      <c r="F4" s="607" t="s">
        <v>1968</v>
      </c>
      <c r="G4" s="608" t="s">
        <v>1372</v>
      </c>
    </row>
    <row r="5" spans="1:10" ht="15.6">
      <c r="B5" s="609" t="s">
        <v>1957</v>
      </c>
      <c r="C5" s="610"/>
      <c r="D5" s="610"/>
      <c r="E5" s="611"/>
      <c r="F5" s="611"/>
      <c r="G5" s="612"/>
    </row>
    <row r="6" spans="1:10">
      <c r="B6" s="613"/>
      <c r="C6" s="614"/>
      <c r="D6" s="614"/>
      <c r="E6" s="605"/>
      <c r="F6" s="605"/>
      <c r="G6" s="615"/>
    </row>
    <row r="7" spans="1:10" s="303" customFormat="1">
      <c r="A7" s="361" t="s">
        <v>1297</v>
      </c>
      <c r="B7" s="616"/>
      <c r="C7" s="3197" t="s">
        <v>997</v>
      </c>
      <c r="D7" s="3198"/>
      <c r="E7" s="594" t="e">
        <f>+'Pivot Table (Unit Sort)'!J69</f>
        <v>#REF!</v>
      </c>
      <c r="F7" s="594" t="e">
        <f>+'Pivot Table (Unit Sort)'!F102</f>
        <v>#REF!</v>
      </c>
      <c r="G7" s="617" t="e">
        <f t="shared" ref="G7:G12" si="0">+E7+F7</f>
        <v>#REF!</v>
      </c>
      <c r="I7" s="702" t="e">
        <f>+'Unit Sort Codes'!R812+'Unit Sort Codes'!R475+'Unit Sort Codes'!T518+'Unit Sort Codes'!T519+'Unit Sort Codes'!T520+'Unit Sort Codes'!T855+'Unit Sort Codes'!T856+'Unit Sort Codes'!T857</f>
        <v>#REF!</v>
      </c>
    </row>
    <row r="8" spans="1:10">
      <c r="A8" s="130" t="s">
        <v>1298</v>
      </c>
      <c r="B8" s="618"/>
      <c r="C8" s="619" t="s">
        <v>1974</v>
      </c>
      <c r="D8" s="619"/>
      <c r="E8" s="595" t="e">
        <f>+'Pivot Table (Unit Sort)'!K69</f>
        <v>#REF!</v>
      </c>
      <c r="F8" s="595" t="e">
        <f>+'Pivot Table (Unit Sort)'!G102</f>
        <v>#REF!</v>
      </c>
      <c r="G8" s="617" t="e">
        <f t="shared" si="0"/>
        <v>#REF!</v>
      </c>
    </row>
    <row r="9" spans="1:10">
      <c r="A9" s="130" t="s">
        <v>1299</v>
      </c>
      <c r="B9" s="618"/>
      <c r="C9" s="619" t="s">
        <v>466</v>
      </c>
      <c r="D9" s="619"/>
      <c r="E9" s="595" t="e">
        <f>+'Pivot Table (Unit Sort)'!L69</f>
        <v>#REF!</v>
      </c>
      <c r="F9" s="595" t="e">
        <f>+'Pivot Table (Unit Sort)'!H102</f>
        <v>#REF!</v>
      </c>
      <c r="G9" s="617" t="e">
        <f t="shared" si="0"/>
        <v>#REF!</v>
      </c>
    </row>
    <row r="10" spans="1:10">
      <c r="A10" s="130" t="s">
        <v>1300</v>
      </c>
      <c r="B10" s="618"/>
      <c r="C10" s="619" t="s">
        <v>1468</v>
      </c>
      <c r="D10" s="619"/>
      <c r="E10" s="595" t="e">
        <f>+'Pivot Table (Unit Sort)'!M69</f>
        <v>#REF!</v>
      </c>
      <c r="F10" s="595" t="e">
        <f>+'Pivot Table (Unit Sort)'!I102</f>
        <v>#REF!</v>
      </c>
      <c r="G10" s="617" t="e">
        <f t="shared" si="0"/>
        <v>#REF!</v>
      </c>
    </row>
    <row r="11" spans="1:10">
      <c r="A11" s="130" t="s">
        <v>1301</v>
      </c>
      <c r="B11" s="618"/>
      <c r="C11" s="619" t="s">
        <v>2035</v>
      </c>
      <c r="D11" s="619"/>
      <c r="E11" s="595" t="e">
        <f>+'Pivot Table (Unit Sort)'!N69</f>
        <v>#REF!</v>
      </c>
      <c r="F11" s="595" t="e">
        <f>+'Pivot Table (Unit Sort)'!J102</f>
        <v>#REF!</v>
      </c>
      <c r="G11" s="617" t="e">
        <f t="shared" si="0"/>
        <v>#REF!</v>
      </c>
    </row>
    <row r="12" spans="1:10">
      <c r="A12" s="130" t="s">
        <v>1302</v>
      </c>
      <c r="B12" s="618"/>
      <c r="C12" s="619" t="s">
        <v>2040</v>
      </c>
      <c r="D12" s="619"/>
      <c r="E12" s="595" t="e">
        <f>+'Pivot Table (Unit Sort)'!O69</f>
        <v>#REF!</v>
      </c>
      <c r="F12" s="595" t="e">
        <f>+'Pivot Table (Unit Sort)'!K102</f>
        <v>#REF!</v>
      </c>
      <c r="G12" s="617" t="e">
        <f t="shared" si="0"/>
        <v>#REF!</v>
      </c>
    </row>
    <row r="13" spans="1:10" ht="15.6" thickBot="1">
      <c r="B13" s="620"/>
      <c r="C13" s="621"/>
      <c r="D13" s="621"/>
      <c r="E13" s="596"/>
      <c r="F13" s="596"/>
      <c r="G13" s="622"/>
    </row>
    <row r="14" spans="1:10" ht="15.6">
      <c r="B14" s="623" t="s">
        <v>10</v>
      </c>
      <c r="C14" s="624"/>
      <c r="D14" s="624"/>
      <c r="E14" s="597"/>
      <c r="F14" s="597"/>
      <c r="G14" s="625"/>
    </row>
    <row r="15" spans="1:10">
      <c r="B15" s="626"/>
      <c r="C15" s="627"/>
      <c r="D15" s="627"/>
      <c r="E15" s="598"/>
      <c r="F15" s="598"/>
      <c r="G15" s="628"/>
    </row>
    <row r="16" spans="1:10">
      <c r="A16" s="130" t="s">
        <v>1303</v>
      </c>
      <c r="B16" s="618"/>
      <c r="C16" s="619" t="s">
        <v>1105</v>
      </c>
      <c r="D16" s="619"/>
      <c r="E16" s="595" t="e">
        <f>+'Pivot Table (Unit Sort)'!A69</f>
        <v>#REF!</v>
      </c>
      <c r="F16" s="595" t="e">
        <f>+'Pivot Table (Unit Sort)'!A102</f>
        <v>#REF!</v>
      </c>
      <c r="G16" s="617" t="e">
        <f t="shared" ref="G16:G24" si="1">+E16+F16</f>
        <v>#REF!</v>
      </c>
    </row>
    <row r="17" spans="1:9">
      <c r="A17" s="130" t="s">
        <v>1304</v>
      </c>
      <c r="B17" s="618"/>
      <c r="C17" s="619" t="s">
        <v>1106</v>
      </c>
      <c r="D17" s="619"/>
      <c r="E17" s="595" t="e">
        <f>+'Pivot Table (Unit Sort)'!B69</f>
        <v>#REF!</v>
      </c>
      <c r="F17" s="595" t="e">
        <f>+'Pivot Table (Unit Sort)'!B102</f>
        <v>#REF!</v>
      </c>
      <c r="G17" s="617" t="e">
        <f t="shared" si="1"/>
        <v>#REF!</v>
      </c>
    </row>
    <row r="18" spans="1:9">
      <c r="A18" s="130" t="s">
        <v>1305</v>
      </c>
      <c r="B18" s="618"/>
      <c r="C18" s="619" t="s">
        <v>1107</v>
      </c>
      <c r="D18" s="619"/>
      <c r="E18" s="595" t="e">
        <f>+'Pivot Table (Unit Sort)'!C69</f>
        <v>#REF!</v>
      </c>
      <c r="F18" s="595">
        <v>0</v>
      </c>
      <c r="G18" s="617" t="e">
        <f t="shared" si="1"/>
        <v>#REF!</v>
      </c>
    </row>
    <row r="19" spans="1:9">
      <c r="A19" s="130" t="s">
        <v>1306</v>
      </c>
      <c r="B19" s="618"/>
      <c r="C19" s="619" t="s">
        <v>1673</v>
      </c>
      <c r="D19" s="619"/>
      <c r="E19" s="595" t="e">
        <f>+'Pivot Table (Unit Sort)'!D69</f>
        <v>#REF!</v>
      </c>
      <c r="F19" s="595">
        <f>+'Pivot Table (Unit Sort)'!B104</f>
        <v>0</v>
      </c>
      <c r="G19" s="617" t="e">
        <f t="shared" si="1"/>
        <v>#REF!</v>
      </c>
    </row>
    <row r="20" spans="1:9">
      <c r="A20" s="130" t="s">
        <v>1307</v>
      </c>
      <c r="B20" s="618"/>
      <c r="C20" s="619" t="s">
        <v>1108</v>
      </c>
      <c r="D20" s="619"/>
      <c r="E20" s="595" t="e">
        <f>+'Pivot Table (Unit Sort)'!E69</f>
        <v>#REF!</v>
      </c>
      <c r="F20" s="595">
        <f>+'Pivot Table (Unit Sort)'!B105</f>
        <v>0</v>
      </c>
      <c r="G20" s="617" t="e">
        <f t="shared" si="1"/>
        <v>#REF!</v>
      </c>
    </row>
    <row r="21" spans="1:9">
      <c r="A21" s="130" t="s">
        <v>1308</v>
      </c>
      <c r="B21" s="618"/>
      <c r="C21" s="619" t="s">
        <v>1109</v>
      </c>
      <c r="D21" s="619"/>
      <c r="E21" s="595" t="e">
        <f>+'Pivot Table (Unit Sort)'!F69</f>
        <v>#REF!</v>
      </c>
      <c r="F21" s="595">
        <f>+'Pivot Table (Unit Sort)'!B106</f>
        <v>0</v>
      </c>
      <c r="G21" s="617" t="e">
        <f t="shared" si="1"/>
        <v>#REF!</v>
      </c>
    </row>
    <row r="22" spans="1:9">
      <c r="A22" s="130" t="s">
        <v>1309</v>
      </c>
      <c r="B22" s="618"/>
      <c r="C22" s="619" t="s">
        <v>1110</v>
      </c>
      <c r="D22" s="619"/>
      <c r="E22" s="595" t="e">
        <f>+'Pivot Table (Unit Sort)'!G69</f>
        <v>#REF!</v>
      </c>
      <c r="F22" s="595" t="e">
        <f>+'Pivot Table (Unit Sort)'!C102</f>
        <v>#REF!</v>
      </c>
      <c r="G22" s="617" t="e">
        <f t="shared" si="1"/>
        <v>#REF!</v>
      </c>
    </row>
    <row r="23" spans="1:9">
      <c r="A23" s="130" t="s">
        <v>1310</v>
      </c>
      <c r="B23" s="618"/>
      <c r="C23" s="619" t="s">
        <v>1111</v>
      </c>
      <c r="D23" s="619"/>
      <c r="E23" s="595" t="e">
        <f>+'Pivot Table (Unit Sort)'!H69</f>
        <v>#REF!</v>
      </c>
      <c r="F23" s="595" t="e">
        <f>+'Pivot Table (Unit Sort)'!D102</f>
        <v>#REF!</v>
      </c>
      <c r="G23" s="617" t="e">
        <f t="shared" si="1"/>
        <v>#REF!</v>
      </c>
      <c r="I23" s="588" t="s">
        <v>271</v>
      </c>
    </row>
    <row r="24" spans="1:9">
      <c r="A24" s="130" t="s">
        <v>1311</v>
      </c>
      <c r="B24" s="618"/>
      <c r="C24" s="619" t="s">
        <v>1112</v>
      </c>
      <c r="D24" s="619"/>
      <c r="E24" s="595" t="e">
        <f>+'Pivot Table (Unit Sort)'!I69</f>
        <v>#REF!</v>
      </c>
      <c r="F24" s="595" t="e">
        <f>+'Pivot Table (Unit Sort)'!E102</f>
        <v>#REF!</v>
      </c>
      <c r="G24" s="617" t="e">
        <f t="shared" si="1"/>
        <v>#REF!</v>
      </c>
      <c r="I24" s="360" t="e">
        <f>SUM(G7:G24)</f>
        <v>#REF!</v>
      </c>
    </row>
    <row r="25" spans="1:9" ht="15.6" thickBot="1">
      <c r="B25" s="620"/>
      <c r="C25" s="621"/>
      <c r="D25" s="621"/>
      <c r="E25" s="596"/>
      <c r="F25" s="596"/>
      <c r="G25" s="622"/>
      <c r="I25" s="593" t="e">
        <f>+I24-'Unit Sort Codes'!AD964</f>
        <v>#REF!</v>
      </c>
    </row>
    <row r="26" spans="1:9" ht="15.6">
      <c r="B26" s="623" t="s">
        <v>1113</v>
      </c>
      <c r="C26" s="624"/>
      <c r="D26" s="624"/>
      <c r="E26" s="597"/>
      <c r="F26" s="597"/>
      <c r="G26" s="625"/>
    </row>
    <row r="27" spans="1:9">
      <c r="B27" s="626"/>
      <c r="C27" s="627"/>
      <c r="D27" s="627"/>
      <c r="E27" s="598"/>
      <c r="F27" s="598"/>
      <c r="G27" s="628"/>
    </row>
    <row r="28" spans="1:9">
      <c r="A28" s="130" t="s">
        <v>1313</v>
      </c>
      <c r="B28" s="618"/>
      <c r="C28" s="619" t="s">
        <v>174</v>
      </c>
      <c r="D28" s="619"/>
      <c r="E28" s="595" t="e">
        <f>SUM(+'Unit Sort Codes'!AD990*0.6)</f>
        <v>#REF!</v>
      </c>
      <c r="F28" s="595" t="e">
        <f>SUM(+'Unit Sort Codes'!AD990*0.4)</f>
        <v>#REF!</v>
      </c>
      <c r="G28" s="617" t="e">
        <f t="shared" ref="G28:G35" si="2">+E28+F28</f>
        <v>#REF!</v>
      </c>
      <c r="I28" s="589" t="e">
        <f>+'Unit Sort Codes'!AD990</f>
        <v>#REF!</v>
      </c>
    </row>
    <row r="29" spans="1:9">
      <c r="A29" s="130" t="s">
        <v>1570</v>
      </c>
      <c r="B29" s="618"/>
      <c r="C29" s="619"/>
      <c r="D29" s="619" t="s">
        <v>812</v>
      </c>
      <c r="E29" s="595">
        <f>+'Unit Sort Codes'!AD971*0.6</f>
        <v>1877627.3322798407</v>
      </c>
      <c r="F29" s="595">
        <f>+'Unit Sort Codes'!AD971*0.4</f>
        <v>1251751.5548532272</v>
      </c>
      <c r="G29" s="617">
        <f t="shared" si="2"/>
        <v>3129378.8871330679</v>
      </c>
      <c r="I29" s="589">
        <f>+'Unit Sort Codes'!AB970</f>
        <v>3129378.8871330679</v>
      </c>
    </row>
    <row r="30" spans="1:9">
      <c r="A30" s="130" t="s">
        <v>1571</v>
      </c>
      <c r="B30" s="618"/>
      <c r="C30" s="619"/>
      <c r="D30" s="619" t="s">
        <v>1574</v>
      </c>
      <c r="E30" s="595" t="e">
        <f>+'Unit Sort Codes'!AD974*0.6</f>
        <v>#REF!</v>
      </c>
      <c r="F30" s="595" t="e">
        <f>+'Unit Sort Codes'!AD974*0.4</f>
        <v>#REF!</v>
      </c>
      <c r="G30" s="617" t="e">
        <f t="shared" si="2"/>
        <v>#REF!</v>
      </c>
      <c r="I30" s="589" t="e">
        <f>+'Unit Sort Codes'!AD974</f>
        <v>#REF!</v>
      </c>
    </row>
    <row r="31" spans="1:9">
      <c r="A31" s="130" t="s">
        <v>1572</v>
      </c>
      <c r="B31" s="618"/>
      <c r="C31" s="619"/>
      <c r="D31" s="619" t="s">
        <v>1573</v>
      </c>
      <c r="E31" s="595" t="e">
        <f>+'Unit Sort Codes'!AD995*0.6</f>
        <v>#REF!</v>
      </c>
      <c r="F31" s="595" t="e">
        <f>+'Unit Sort Codes'!AD995*0.4</f>
        <v>#REF!</v>
      </c>
      <c r="G31" s="617" t="e">
        <f t="shared" si="2"/>
        <v>#REF!</v>
      </c>
      <c r="I31" s="589" t="e">
        <f>+'Unit Sort Codes'!AD995</f>
        <v>#REF!</v>
      </c>
    </row>
    <row r="32" spans="1:9">
      <c r="A32" s="130" t="s">
        <v>15</v>
      </c>
      <c r="B32" s="618"/>
      <c r="C32" s="619" t="s">
        <v>1457</v>
      </c>
      <c r="D32" s="619"/>
      <c r="E32" s="595" t="e">
        <f>+'Unit Sort Codes'!AB987*0.6</f>
        <v>#REF!</v>
      </c>
      <c r="F32" s="595" t="e">
        <f>+'Unit Sort Codes'!AB987*0.4</f>
        <v>#REF!</v>
      </c>
      <c r="G32" s="617" t="e">
        <f>+E32+F32</f>
        <v>#REF!</v>
      </c>
      <c r="I32" s="589" t="e">
        <f>+'Unit Sort Codes'!AB987</f>
        <v>#REF!</v>
      </c>
    </row>
    <row r="33" spans="1:10">
      <c r="A33" s="130" t="s">
        <v>1314</v>
      </c>
      <c r="B33" s="618"/>
      <c r="C33" s="619" t="s">
        <v>175</v>
      </c>
      <c r="D33" s="619"/>
      <c r="E33" s="595">
        <f>+'Unit Sort Codes'!AD969*0.6</f>
        <v>1385562.8592730903</v>
      </c>
      <c r="F33" s="595">
        <f>+'Unit Sort Codes'!AD969*0.4</f>
        <v>923708.57284872688</v>
      </c>
      <c r="G33" s="617">
        <f t="shared" si="2"/>
        <v>2309271.432121817</v>
      </c>
      <c r="I33" s="589">
        <f>+'Unit Sort Codes'!AD969</f>
        <v>2309271.432121817</v>
      </c>
    </row>
    <row r="34" spans="1:10">
      <c r="A34" s="130" t="s">
        <v>1315</v>
      </c>
      <c r="B34" s="618"/>
      <c r="C34" s="619" t="s">
        <v>173</v>
      </c>
      <c r="D34" s="619"/>
      <c r="E34" s="595" t="e">
        <f>SUM('Unit Sort Codes'!V991*0.6)</f>
        <v>#REF!</v>
      </c>
      <c r="F34" s="595" t="e">
        <f>SUM('Unit Sort Codes'!V991*0.4)</f>
        <v>#REF!</v>
      </c>
      <c r="G34" s="617" t="e">
        <f t="shared" si="2"/>
        <v>#REF!</v>
      </c>
      <c r="I34" s="591" t="e">
        <f>+'Unit Sort Codes'!V991</f>
        <v>#REF!</v>
      </c>
    </row>
    <row r="35" spans="1:10">
      <c r="A35" s="130" t="s">
        <v>1316</v>
      </c>
      <c r="B35" s="618"/>
      <c r="C35" s="619" t="s">
        <v>176</v>
      </c>
      <c r="D35" s="619"/>
      <c r="E35" s="595" t="e">
        <f>+'Unit Sort Codes'!AD992*0.6</f>
        <v>#REF!</v>
      </c>
      <c r="F35" s="595" t="e">
        <f>+'Unit Sort Codes'!AD992*0.4</f>
        <v>#REF!</v>
      </c>
      <c r="G35" s="617" t="e">
        <f t="shared" si="2"/>
        <v>#REF!</v>
      </c>
      <c r="I35" s="590" t="e">
        <f>+'Unit Sort Codes'!AD992</f>
        <v>#REF!</v>
      </c>
      <c r="J35" s="665" t="e">
        <f>+I34+I35</f>
        <v>#REF!</v>
      </c>
    </row>
    <row r="36" spans="1:10" ht="15.6" thickBot="1">
      <c r="B36" s="620"/>
      <c r="C36" s="621"/>
      <c r="D36" s="621"/>
      <c r="E36" s="596"/>
      <c r="F36" s="596"/>
      <c r="G36" s="622"/>
      <c r="I36" s="593" t="e">
        <f>SUM(G28:G35)-'Unit Sort Codes'!AB997</f>
        <v>#REF!</v>
      </c>
      <c r="J36" s="666" t="e">
        <f>+J35-'Unit Sort Codes'!AB991</f>
        <v>#REF!</v>
      </c>
    </row>
    <row r="37" spans="1:10" ht="26.25" customHeight="1" thickBot="1">
      <c r="B37" s="629"/>
      <c r="C37" s="630" t="s">
        <v>1115</v>
      </c>
      <c r="D37" s="631"/>
      <c r="E37" s="599" t="e">
        <f>SUM(E7:E36)</f>
        <v>#REF!</v>
      </c>
      <c r="F37" s="599" t="e">
        <f>SUM(F7:F36)</f>
        <v>#REF!</v>
      </c>
      <c r="G37" s="599" t="e">
        <f>SUM(G7:G36)</f>
        <v>#REF!</v>
      </c>
      <c r="I37" s="589"/>
    </row>
    <row r="38" spans="1:10" ht="26.25" customHeight="1">
      <c r="B38" s="632" t="s">
        <v>868</v>
      </c>
      <c r="C38" s="633"/>
      <c r="D38" s="633"/>
      <c r="E38" s="600"/>
      <c r="F38" s="600"/>
      <c r="G38" s="634"/>
      <c r="I38" s="587"/>
    </row>
    <row r="39" spans="1:10">
      <c r="B39" s="626"/>
      <c r="C39" s="627"/>
      <c r="D39" s="627"/>
      <c r="E39" s="598"/>
      <c r="F39" s="598"/>
      <c r="G39" s="628"/>
    </row>
    <row r="40" spans="1:10">
      <c r="A40" s="130" t="s">
        <v>1312</v>
      </c>
      <c r="B40" s="618"/>
      <c r="C40" s="619" t="s">
        <v>251</v>
      </c>
      <c r="D40" s="619"/>
      <c r="E40" s="595">
        <f>+'Unit Sort Codes'!AB1011</f>
        <v>650000</v>
      </c>
      <c r="F40" s="595" t="e">
        <f>+'Unit Sort Codes'!AB1048</f>
        <v>#REF!</v>
      </c>
      <c r="G40" s="617" t="e">
        <f t="shared" ref="G40:G85" si="3">+E40+F40</f>
        <v>#REF!</v>
      </c>
    </row>
    <row r="41" spans="1:10">
      <c r="A41" s="130" t="s">
        <v>1317</v>
      </c>
      <c r="B41" s="618"/>
      <c r="C41" s="619" t="s">
        <v>252</v>
      </c>
      <c r="D41" s="619"/>
      <c r="E41" s="595" t="e">
        <f>+'Unit Sort Codes'!AB1012+'Unit Sort Codes'!AB1013</f>
        <v>#REF!</v>
      </c>
      <c r="F41" s="595" t="e">
        <f>+'Unit Sort Codes'!AB1049</f>
        <v>#REF!</v>
      </c>
      <c r="G41" s="617" t="e">
        <f t="shared" si="3"/>
        <v>#REF!</v>
      </c>
    </row>
    <row r="42" spans="1:10">
      <c r="A42" s="130" t="s">
        <v>1318</v>
      </c>
      <c r="B42" s="618"/>
      <c r="C42" s="619" t="s">
        <v>1600</v>
      </c>
      <c r="D42" s="619"/>
      <c r="E42" s="595">
        <f>+'Unit Sort Codes'!AB1014</f>
        <v>170000</v>
      </c>
      <c r="F42" s="595" t="e">
        <f>+'Unit Sort Codes'!AB1050</f>
        <v>#REF!</v>
      </c>
      <c r="G42" s="617" t="e">
        <f t="shared" si="3"/>
        <v>#REF!</v>
      </c>
    </row>
    <row r="43" spans="1:10">
      <c r="A43" s="130" t="s">
        <v>1319</v>
      </c>
      <c r="B43" s="618"/>
      <c r="C43" s="619" t="s">
        <v>254</v>
      </c>
      <c r="D43" s="619"/>
      <c r="E43" s="595" t="e">
        <f>+'Unit Sort Codes'!AB1015+'Unit Sort Codes'!AB1016</f>
        <v>#REF!</v>
      </c>
      <c r="F43" s="595" t="e">
        <f>+'Unit Sort Codes'!AB1051+'Unit Sort Codes'!AB1052</f>
        <v>#REF!</v>
      </c>
      <c r="G43" s="617" t="e">
        <f t="shared" si="3"/>
        <v>#REF!</v>
      </c>
    </row>
    <row r="44" spans="1:10">
      <c r="A44" s="130" t="s">
        <v>0</v>
      </c>
      <c r="B44" s="618"/>
      <c r="C44" s="619" t="s">
        <v>255</v>
      </c>
      <c r="D44" s="619"/>
      <c r="E44" s="595" t="e">
        <f>+'Unit Sort Codes'!AB1017</f>
        <v>#REF!</v>
      </c>
      <c r="F44" s="595" t="e">
        <f>+'Unit Sort Codes'!AB1053</f>
        <v>#REF!</v>
      </c>
      <c r="G44" s="617" t="e">
        <f t="shared" si="3"/>
        <v>#REF!</v>
      </c>
    </row>
    <row r="45" spans="1:10">
      <c r="A45" s="130" t="s">
        <v>1</v>
      </c>
      <c r="B45" s="618"/>
      <c r="C45" s="619" t="s">
        <v>538</v>
      </c>
      <c r="D45" s="619"/>
      <c r="E45" s="595" t="e">
        <f>+'Unit Sort Codes'!AB1018</f>
        <v>#REF!</v>
      </c>
      <c r="F45" s="595" t="e">
        <f>+'Unit Sort Codes'!AB1054</f>
        <v>#REF!</v>
      </c>
      <c r="G45" s="617" t="e">
        <f t="shared" si="3"/>
        <v>#REF!</v>
      </c>
    </row>
    <row r="46" spans="1:10">
      <c r="A46" s="130" t="s">
        <v>2</v>
      </c>
      <c r="B46" s="618"/>
      <c r="C46" s="619" t="s">
        <v>1116</v>
      </c>
      <c r="D46" s="619"/>
      <c r="E46" s="595" t="e">
        <f>+'Unit Sort Codes'!AB1019</f>
        <v>#REF!</v>
      </c>
      <c r="F46" s="595" t="e">
        <f>+'Unit Sort Codes'!AB1055</f>
        <v>#REF!</v>
      </c>
      <c r="G46" s="617" t="e">
        <f t="shared" si="3"/>
        <v>#REF!</v>
      </c>
    </row>
    <row r="47" spans="1:10">
      <c r="A47" s="130" t="s">
        <v>3</v>
      </c>
      <c r="B47" s="618"/>
      <c r="C47" s="619" t="s">
        <v>569</v>
      </c>
      <c r="D47" s="619"/>
      <c r="E47" s="595">
        <f>+'Unit Sort Codes'!AB1020</f>
        <v>500000</v>
      </c>
      <c r="F47" s="595" t="e">
        <f>+'Unit Sort Codes'!AB1056</f>
        <v>#REF!</v>
      </c>
      <c r="G47" s="617" t="e">
        <f t="shared" si="3"/>
        <v>#REF!</v>
      </c>
    </row>
    <row r="48" spans="1:10">
      <c r="A48" s="130" t="s">
        <v>4</v>
      </c>
      <c r="B48" s="618"/>
      <c r="C48" s="619" t="s">
        <v>570</v>
      </c>
      <c r="D48" s="619"/>
      <c r="E48" s="595" t="e">
        <f>+'Unit Sort Codes'!AB1021</f>
        <v>#REF!</v>
      </c>
      <c r="F48" s="595" t="e">
        <f>+'Unit Sort Codes'!AB1057</f>
        <v>#REF!</v>
      </c>
      <c r="G48" s="617" t="e">
        <f t="shared" si="3"/>
        <v>#REF!</v>
      </c>
    </row>
    <row r="49" spans="1:9">
      <c r="A49" s="130" t="s">
        <v>1576</v>
      </c>
      <c r="B49" s="618"/>
      <c r="C49" s="619" t="s">
        <v>542</v>
      </c>
      <c r="D49" s="619"/>
      <c r="E49" s="595" t="e">
        <f>+'Unit Sort Codes'!AB1022</f>
        <v>#REF!</v>
      </c>
      <c r="F49" s="595" t="e">
        <f>+'Unit Sort Codes'!AB1058</f>
        <v>#REF!</v>
      </c>
      <c r="G49" s="617" t="e">
        <f t="shared" si="3"/>
        <v>#REF!</v>
      </c>
    </row>
    <row r="50" spans="1:9">
      <c r="A50" s="130" t="s">
        <v>1577</v>
      </c>
      <c r="B50" s="618"/>
      <c r="C50" s="619" t="s">
        <v>543</v>
      </c>
      <c r="D50" s="619"/>
      <c r="E50" s="595">
        <f>+'Unit Sort Codes'!AB1023</f>
        <v>0</v>
      </c>
      <c r="F50" s="595" t="e">
        <f>+'Unit Sort Codes'!AB1059</f>
        <v>#REF!</v>
      </c>
      <c r="G50" s="617" t="e">
        <f t="shared" si="3"/>
        <v>#REF!</v>
      </c>
    </row>
    <row r="51" spans="1:9">
      <c r="A51" s="130" t="s">
        <v>1578</v>
      </c>
      <c r="B51" s="618"/>
      <c r="C51" s="619" t="s">
        <v>44</v>
      </c>
      <c r="D51" s="619"/>
      <c r="E51" s="595" t="e">
        <f>+'Unit Sort Codes'!AB1024</f>
        <v>#REF!</v>
      </c>
      <c r="F51" s="595" t="e">
        <f>+'Unit Sort Codes'!AB1060</f>
        <v>#REF!</v>
      </c>
      <c r="G51" s="617" t="e">
        <f t="shared" si="3"/>
        <v>#REF!</v>
      </c>
    </row>
    <row r="52" spans="1:9">
      <c r="B52" s="618"/>
      <c r="C52" s="619" t="s">
        <v>996</v>
      </c>
      <c r="D52" s="619"/>
      <c r="E52" s="595"/>
      <c r="F52" s="595"/>
      <c r="G52" s="617"/>
    </row>
    <row r="53" spans="1:9">
      <c r="A53" s="130" t="s">
        <v>1579</v>
      </c>
      <c r="B53" s="618"/>
      <c r="C53" s="619"/>
      <c r="D53" s="619" t="s">
        <v>45</v>
      </c>
      <c r="E53" s="595">
        <f>+'Unit Sort Codes'!AB1025</f>
        <v>50000</v>
      </c>
      <c r="F53" s="595" t="e">
        <f>+'Unit Sort Codes'!AB1061</f>
        <v>#REF!</v>
      </c>
      <c r="G53" s="617" t="e">
        <f t="shared" si="3"/>
        <v>#REF!</v>
      </c>
    </row>
    <row r="54" spans="1:9">
      <c r="A54" s="130" t="s">
        <v>1580</v>
      </c>
      <c r="B54" s="618"/>
      <c r="C54" s="619"/>
      <c r="D54" s="619" t="s">
        <v>46</v>
      </c>
      <c r="E54" s="595">
        <f>+'Unit Sort Codes'!AB1026</f>
        <v>10000</v>
      </c>
      <c r="F54" s="595" t="e">
        <f>+'Unit Sort Codes'!AB1062</f>
        <v>#REF!</v>
      </c>
      <c r="G54" s="617" t="e">
        <f t="shared" si="3"/>
        <v>#REF!</v>
      </c>
    </row>
    <row r="55" spans="1:9">
      <c r="A55" s="130" t="s">
        <v>1581</v>
      </c>
      <c r="B55" s="618"/>
      <c r="C55" s="619"/>
      <c r="D55" s="619" t="s">
        <v>47</v>
      </c>
      <c r="E55" s="595">
        <f>+'Unit Sort Codes'!AB1029</f>
        <v>50000</v>
      </c>
      <c r="F55" s="595" t="e">
        <f>+'Unit Sort Codes'!AB1065</f>
        <v>#REF!</v>
      </c>
      <c r="G55" s="617" t="e">
        <f t="shared" si="3"/>
        <v>#REF!</v>
      </c>
    </row>
    <row r="56" spans="1:9">
      <c r="A56" s="130" t="s">
        <v>1582</v>
      </c>
      <c r="B56" s="618"/>
      <c r="C56" s="619"/>
      <c r="D56" s="619" t="s">
        <v>1548</v>
      </c>
      <c r="E56" s="595">
        <f>+'Unit Sort Codes'!AB1027</f>
        <v>-10000</v>
      </c>
      <c r="F56" s="595" t="e">
        <f>+'Unit Sort Codes'!AB1063</f>
        <v>#REF!</v>
      </c>
      <c r="G56" s="617" t="e">
        <f t="shared" si="3"/>
        <v>#REF!</v>
      </c>
    </row>
    <row r="57" spans="1:9">
      <c r="A57" s="130" t="s">
        <v>1583</v>
      </c>
      <c r="B57" s="618"/>
      <c r="C57" s="619"/>
      <c r="D57" s="619" t="s">
        <v>1549</v>
      </c>
      <c r="E57" s="595" t="e">
        <f>+'Unit Sort Codes'!AB1028</f>
        <v>#REF!</v>
      </c>
      <c r="F57" s="595" t="e">
        <f>+'Unit Sort Codes'!AB1064</f>
        <v>#REF!</v>
      </c>
      <c r="G57" s="617" t="e">
        <f t="shared" si="3"/>
        <v>#REF!</v>
      </c>
    </row>
    <row r="58" spans="1:9">
      <c r="A58" s="130" t="s">
        <v>1584</v>
      </c>
      <c r="B58" s="618"/>
      <c r="C58" s="619" t="s">
        <v>1550</v>
      </c>
      <c r="D58" s="619"/>
      <c r="E58" s="595">
        <f>+'Unit Sort Codes'!AB1030</f>
        <v>100000</v>
      </c>
      <c r="F58" s="595" t="e">
        <f>+'Unit Sort Codes'!AB1066</f>
        <v>#REF!</v>
      </c>
      <c r="G58" s="617" t="e">
        <f t="shared" si="3"/>
        <v>#REF!</v>
      </c>
    </row>
    <row r="59" spans="1:9">
      <c r="A59" s="130" t="s">
        <v>1585</v>
      </c>
      <c r="B59" s="618"/>
      <c r="C59" s="619" t="s">
        <v>571</v>
      </c>
      <c r="D59" s="619"/>
      <c r="E59" s="595" t="e">
        <f>+'Unit Sort Codes'!AB1031</f>
        <v>#REF!</v>
      </c>
      <c r="F59" s="595" t="e">
        <f>+'Unit Sort Codes'!AB1067</f>
        <v>#REF!</v>
      </c>
      <c r="G59" s="617" t="e">
        <f t="shared" si="3"/>
        <v>#REF!</v>
      </c>
      <c r="I59" s="589" t="e">
        <f>+'Unit Sort Codes'!AB1067+'Unit Sort Codes'!AB1031</f>
        <v>#REF!</v>
      </c>
    </row>
    <row r="60" spans="1:9">
      <c r="A60" s="130" t="s">
        <v>1586</v>
      </c>
      <c r="B60" s="618"/>
      <c r="C60" s="619" t="s">
        <v>545</v>
      </c>
      <c r="D60" s="619"/>
      <c r="E60" s="595" t="e">
        <f>+'Unit Sort Codes'!AB1032</f>
        <v>#REF!</v>
      </c>
      <c r="F60" s="595" t="e">
        <f>+'Unit Sort Codes'!AB1068</f>
        <v>#REF!</v>
      </c>
      <c r="G60" s="617" t="e">
        <f t="shared" si="3"/>
        <v>#REF!</v>
      </c>
      <c r="I60" s="589" t="e">
        <f>+'Unit Sort Codes'!AB1032+'Unit Sort Codes'!AB1068</f>
        <v>#REF!</v>
      </c>
    </row>
    <row r="61" spans="1:9">
      <c r="B61" s="618"/>
      <c r="C61" s="619" t="s">
        <v>546</v>
      </c>
      <c r="D61" s="619"/>
      <c r="E61" s="595"/>
      <c r="F61" s="595"/>
      <c r="G61" s="617"/>
    </row>
    <row r="62" spans="1:9">
      <c r="A62" s="130" t="s">
        <v>1587</v>
      </c>
      <c r="B62" s="618"/>
      <c r="C62" s="619"/>
      <c r="D62" s="619" t="s">
        <v>991</v>
      </c>
      <c r="E62" s="595" t="e">
        <f>+'Unit Sort Codes'!AB1038</f>
        <v>#REF!</v>
      </c>
      <c r="F62" s="595" t="e">
        <f>+'Unit Sort Codes'!AB1075</f>
        <v>#REF!</v>
      </c>
      <c r="G62" s="617" t="e">
        <f t="shared" si="3"/>
        <v>#REF!</v>
      </c>
      <c r="I62" s="589" t="e">
        <f>+'Unit Sort Codes'!AB1075+'Unit Sort Codes'!AB1038</f>
        <v>#REF!</v>
      </c>
    </row>
    <row r="63" spans="1:9">
      <c r="A63" s="130" t="s">
        <v>1588</v>
      </c>
      <c r="B63" s="618"/>
      <c r="C63" s="619"/>
      <c r="D63" s="619" t="s">
        <v>992</v>
      </c>
      <c r="E63" s="595" t="e">
        <f>+'Unit Sort Codes'!AB1037</f>
        <v>#REF!</v>
      </c>
      <c r="F63" s="595" t="e">
        <f>+'Unit Sort Codes'!AB1074</f>
        <v>#REF!</v>
      </c>
      <c r="G63" s="617" t="e">
        <f t="shared" si="3"/>
        <v>#REF!</v>
      </c>
      <c r="I63" s="589" t="e">
        <f>+'Unit Sort Codes'!AB1037+'Unit Sort Codes'!AB1074</f>
        <v>#REF!</v>
      </c>
    </row>
    <row r="64" spans="1:9">
      <c r="A64" s="130" t="s">
        <v>1589</v>
      </c>
      <c r="B64" s="618"/>
      <c r="C64" s="619"/>
      <c r="D64" s="619" t="s">
        <v>1898</v>
      </c>
      <c r="E64" s="595" t="e">
        <f>+'Unit Sort Codes'!AB1035</f>
        <v>#REF!</v>
      </c>
      <c r="F64" s="595" t="e">
        <f>+'Unit Sort Codes'!AB1072</f>
        <v>#REF!</v>
      </c>
      <c r="G64" s="617" t="e">
        <f t="shared" si="3"/>
        <v>#REF!</v>
      </c>
      <c r="I64" s="589" t="e">
        <f>+'Unit Sort Codes'!AB1072+'Unit Sort Codes'!AB1035</f>
        <v>#REF!</v>
      </c>
    </row>
    <row r="65" spans="1:9">
      <c r="A65" s="130" t="s">
        <v>1590</v>
      </c>
      <c r="B65" s="618"/>
      <c r="C65" s="619"/>
      <c r="D65" s="619" t="s">
        <v>1899</v>
      </c>
      <c r="E65" s="595" t="e">
        <f>+'Unit Sort Codes'!AB1034</f>
        <v>#REF!</v>
      </c>
      <c r="F65" s="595" t="e">
        <f>+'Unit Sort Codes'!AB1071</f>
        <v>#REF!</v>
      </c>
      <c r="G65" s="617" t="e">
        <f t="shared" si="3"/>
        <v>#REF!</v>
      </c>
      <c r="I65" s="589" t="e">
        <f>+'Unit Sort Codes'!AB1034+'Unit Sort Codes'!AB1071</f>
        <v>#REF!</v>
      </c>
    </row>
    <row r="66" spans="1:9">
      <c r="A66" s="130" t="s">
        <v>1591</v>
      </c>
      <c r="B66" s="618"/>
      <c r="C66" s="619"/>
      <c r="D66" s="619" t="s">
        <v>884</v>
      </c>
      <c r="E66" s="595" t="e">
        <f>+'Unit Sort Codes'!AB1036</f>
        <v>#REF!</v>
      </c>
      <c r="F66" s="595" t="e">
        <f>+'Unit Sort Codes'!AB1073</f>
        <v>#REF!</v>
      </c>
      <c r="G66" s="617" t="e">
        <f t="shared" si="3"/>
        <v>#REF!</v>
      </c>
      <c r="I66" s="589" t="e">
        <f>+'Unit Sort Codes'!AB1073+'Unit Sort Codes'!AB1036</f>
        <v>#REF!</v>
      </c>
    </row>
    <row r="67" spans="1:9">
      <c r="A67" s="130" t="s">
        <v>1592</v>
      </c>
      <c r="B67" s="618"/>
      <c r="C67" s="619"/>
      <c r="D67" s="619" t="s">
        <v>885</v>
      </c>
      <c r="E67" s="595" t="e">
        <f>+'Unit Sort Codes'!AB1033</f>
        <v>#REF!</v>
      </c>
      <c r="F67" s="595" t="e">
        <f>+'Unit Sort Codes'!AB1070</f>
        <v>#REF!</v>
      </c>
      <c r="G67" s="617" t="e">
        <f t="shared" si="3"/>
        <v>#REF!</v>
      </c>
      <c r="I67" s="589" t="e">
        <f>+'Unit Sort Codes'!AB1033+'Unit Sort Codes'!AB1070</f>
        <v>#REF!</v>
      </c>
    </row>
    <row r="68" spans="1:9">
      <c r="A68" s="130" t="s">
        <v>1593</v>
      </c>
      <c r="B68" s="618"/>
      <c r="C68" s="619" t="s">
        <v>575</v>
      </c>
      <c r="D68" s="619"/>
      <c r="E68" s="595">
        <f>+'Unit Sort Codes'!AB1009*0.6</f>
        <v>71975.714404060564</v>
      </c>
      <c r="F68" s="595">
        <f>+'Unit Sort Codes'!AB1009*0.4</f>
        <v>47983.809602707042</v>
      </c>
      <c r="G68" s="617">
        <f t="shared" si="3"/>
        <v>119959.52400676761</v>
      </c>
      <c r="I68" s="589">
        <f>+'Unit Sort Codes'!AB1009</f>
        <v>119959.52400676761</v>
      </c>
    </row>
    <row r="69" spans="1:9">
      <c r="A69" s="130" t="s">
        <v>1594</v>
      </c>
      <c r="B69" s="618"/>
      <c r="C69" s="619" t="s">
        <v>135</v>
      </c>
      <c r="D69" s="619"/>
      <c r="E69" s="595" t="e">
        <f>+'Unit Sort Codes'!AB1040</f>
        <v>#REF!</v>
      </c>
      <c r="F69" s="595" t="e">
        <f>+'Unit Sort Codes'!AB1077</f>
        <v>#REF!</v>
      </c>
      <c r="G69" s="617" t="e">
        <f t="shared" si="3"/>
        <v>#REF!</v>
      </c>
      <c r="I69" s="589" t="e">
        <f>+'Unit Sort Codes'!AB1040+'Unit Sort Codes'!AB1077</f>
        <v>#REF!</v>
      </c>
    </row>
    <row r="70" spans="1:9">
      <c r="A70" s="130" t="s">
        <v>1595</v>
      </c>
      <c r="B70" s="618"/>
      <c r="C70" s="619" t="s">
        <v>995</v>
      </c>
      <c r="D70" s="619"/>
      <c r="E70" s="595" t="e">
        <f>+'Unit Sort Codes'!AB1041</f>
        <v>#REF!</v>
      </c>
      <c r="F70" s="595" t="e">
        <f>+'Unit Sort Codes'!AB1078</f>
        <v>#REF!</v>
      </c>
      <c r="G70" s="617" t="e">
        <f t="shared" si="3"/>
        <v>#REF!</v>
      </c>
      <c r="I70" s="589" t="e">
        <f>+'Unit Sort Codes'!AB1078+'Unit Sort Codes'!AB1041</f>
        <v>#REF!</v>
      </c>
    </row>
    <row r="71" spans="1:9">
      <c r="A71" s="130" t="s">
        <v>118</v>
      </c>
      <c r="B71" s="618"/>
      <c r="C71" s="619" t="e">
        <f>+'Unit Sort Codes'!H1079</f>
        <v>#REF!</v>
      </c>
      <c r="D71" s="619"/>
      <c r="E71" s="708" t="e">
        <f>+'Unit Sort Codes'!AB1042</f>
        <v>#REF!</v>
      </c>
      <c r="F71" s="708" t="e">
        <f>+'Unit Sort Codes'!AB1079</f>
        <v>#REF!</v>
      </c>
      <c r="G71" s="617" t="e">
        <f t="shared" si="3"/>
        <v>#REF!</v>
      </c>
      <c r="I71" s="589" t="e">
        <f>+'Unit Sort Codes'!AB1079+'Unit Sort Codes'!AB1042</f>
        <v>#REF!</v>
      </c>
    </row>
    <row r="72" spans="1:9">
      <c r="A72" s="130" t="s">
        <v>1596</v>
      </c>
      <c r="B72" s="618"/>
      <c r="C72" s="619" t="s">
        <v>137</v>
      </c>
      <c r="D72" s="619"/>
      <c r="E72" s="595">
        <f>+'Unit Sort Codes'!AB1043</f>
        <v>150000</v>
      </c>
      <c r="F72" s="595" t="e">
        <f>+'Unit Sort Codes'!AB1080</f>
        <v>#REF!</v>
      </c>
      <c r="G72" s="617" t="e">
        <f t="shared" si="3"/>
        <v>#REF!</v>
      </c>
    </row>
    <row r="73" spans="1:9">
      <c r="A73" s="130" t="s">
        <v>1597</v>
      </c>
      <c r="B73" s="618"/>
      <c r="C73" s="619" t="s">
        <v>138</v>
      </c>
      <c r="D73" s="619"/>
      <c r="E73" s="595" t="e">
        <f>+'Unit Sort Codes'!AB1044</f>
        <v>#REF!</v>
      </c>
      <c r="F73" s="595" t="e">
        <f>+'Unit Sort Codes'!AB1081</f>
        <v>#REF!</v>
      </c>
      <c r="G73" s="617" t="e">
        <f t="shared" si="3"/>
        <v>#REF!</v>
      </c>
    </row>
    <row r="74" spans="1:9">
      <c r="A74" s="130" t="s">
        <v>1598</v>
      </c>
      <c r="B74" s="618"/>
      <c r="C74" s="619" t="s">
        <v>1243</v>
      </c>
      <c r="D74" s="619"/>
      <c r="E74" s="595">
        <f>+'Unit Sort Codes'!AB1084*0.6</f>
        <v>2609125.7185461796</v>
      </c>
      <c r="F74" s="595">
        <f>+'Unit Sort Codes'!AB1084*0.4</f>
        <v>1739417.1456974533</v>
      </c>
      <c r="G74" s="617">
        <f t="shared" si="3"/>
        <v>4348542.8642436331</v>
      </c>
      <c r="I74" s="589">
        <f>+'Unit Sort Codes'!AB1084</f>
        <v>4348542.8642436331</v>
      </c>
    </row>
    <row r="75" spans="1:9" ht="15.6" thickBot="1">
      <c r="B75" s="618"/>
      <c r="C75" s="619"/>
      <c r="D75" s="619"/>
      <c r="E75" s="595"/>
      <c r="F75" s="595"/>
      <c r="G75" s="617"/>
    </row>
    <row r="76" spans="1:9" ht="26.25" customHeight="1" thickBot="1">
      <c r="B76" s="635"/>
      <c r="C76" s="630" t="s">
        <v>998</v>
      </c>
      <c r="D76" s="631"/>
      <c r="E76" s="599" t="e">
        <f>SUM(E40:E75)</f>
        <v>#REF!</v>
      </c>
      <c r="F76" s="599" t="e">
        <f>SUM(F40:F75)</f>
        <v>#REF!</v>
      </c>
      <c r="G76" s="599" t="e">
        <f>SUM(G40:G75)</f>
        <v>#REF!</v>
      </c>
      <c r="I76" s="593" t="e">
        <f>+G76-'Unit Sort Codes'!AD1085</f>
        <v>#REF!</v>
      </c>
    </row>
    <row r="77" spans="1:9" ht="15" customHeight="1" thickBot="1">
      <c r="B77" s="636"/>
      <c r="C77" s="637"/>
      <c r="D77" s="637"/>
      <c r="E77" s="601"/>
      <c r="F77" s="601"/>
      <c r="G77" s="638"/>
      <c r="I77" s="588" t="s">
        <v>271</v>
      </c>
    </row>
    <row r="78" spans="1:9" ht="26.25" customHeight="1" thickBot="1">
      <c r="B78" s="635"/>
      <c r="C78" s="630" t="s">
        <v>127</v>
      </c>
      <c r="D78" s="639"/>
      <c r="E78" s="599" t="e">
        <f>+E76+E37</f>
        <v>#REF!</v>
      </c>
      <c r="F78" s="599" t="e">
        <f>+F76+F37</f>
        <v>#REF!</v>
      </c>
      <c r="G78" s="599" t="e">
        <f>+G76+G37</f>
        <v>#REF!</v>
      </c>
      <c r="I78" s="592" t="e">
        <f>-G78+'Unit Sort Codes'!AB1089</f>
        <v>#REF!</v>
      </c>
    </row>
    <row r="79" spans="1:9" ht="3" customHeight="1">
      <c r="B79" s="640"/>
      <c r="C79" s="640"/>
      <c r="D79" s="641"/>
      <c r="E79" s="642"/>
      <c r="F79" s="642"/>
      <c r="G79" s="642"/>
    </row>
    <row r="80" spans="1:9" ht="26.25" customHeight="1" thickBot="1">
      <c r="B80" s="643"/>
      <c r="C80" s="644"/>
      <c r="D80" s="644"/>
      <c r="E80" s="645"/>
      <c r="F80" s="645"/>
      <c r="G80" s="645"/>
    </row>
    <row r="81" spans="1:7" ht="26.25" customHeight="1">
      <c r="B81" s="646" t="s">
        <v>1342</v>
      </c>
      <c r="C81" s="647"/>
      <c r="D81" s="647"/>
      <c r="E81" s="604"/>
      <c r="F81" s="604"/>
      <c r="G81" s="648"/>
    </row>
    <row r="82" spans="1:7">
      <c r="B82" s="613"/>
      <c r="C82" s="614"/>
      <c r="D82" s="614"/>
      <c r="E82" s="605"/>
      <c r="F82" s="605"/>
      <c r="G82" s="649"/>
    </row>
    <row r="83" spans="1:7">
      <c r="A83" s="130" t="s">
        <v>1343</v>
      </c>
      <c r="B83" s="618"/>
      <c r="C83" s="619" t="s">
        <v>48</v>
      </c>
      <c r="D83" s="619"/>
      <c r="E83" s="595">
        <v>0</v>
      </c>
      <c r="F83" s="595">
        <v>0</v>
      </c>
      <c r="G83" s="617">
        <f t="shared" si="3"/>
        <v>0</v>
      </c>
    </row>
    <row r="84" spans="1:7">
      <c r="A84" s="130" t="s">
        <v>1344</v>
      </c>
      <c r="B84" s="618"/>
      <c r="C84" s="619" t="s">
        <v>49</v>
      </c>
      <c r="D84" s="619"/>
      <c r="E84" s="595">
        <v>0</v>
      </c>
      <c r="F84" s="595">
        <v>0</v>
      </c>
      <c r="G84" s="617">
        <f t="shared" si="3"/>
        <v>0</v>
      </c>
    </row>
    <row r="85" spans="1:7">
      <c r="A85" s="130" t="s">
        <v>1345</v>
      </c>
      <c r="B85" s="618"/>
      <c r="C85" s="619"/>
      <c r="D85" s="619"/>
      <c r="E85" s="595">
        <v>0</v>
      </c>
      <c r="F85" s="595">
        <v>0</v>
      </c>
      <c r="G85" s="617">
        <f t="shared" si="3"/>
        <v>0</v>
      </c>
    </row>
    <row r="86" spans="1:7" ht="15.6" thickBot="1">
      <c r="B86" s="626"/>
      <c r="C86" s="627"/>
      <c r="D86" s="627"/>
      <c r="E86" s="598"/>
      <c r="F86" s="598"/>
      <c r="G86" s="650"/>
    </row>
    <row r="87" spans="1:7" ht="20.100000000000001" customHeight="1" thickBot="1">
      <c r="B87" s="651"/>
      <c r="C87" s="652" t="s">
        <v>753</v>
      </c>
      <c r="D87" s="653"/>
      <c r="E87" s="602">
        <f>SUM(E83:E86)</f>
        <v>0</v>
      </c>
      <c r="F87" s="602">
        <f>SUM(F83:F86)</f>
        <v>0</v>
      </c>
      <c r="G87" s="602">
        <f>SUM(G83:G86)</f>
        <v>0</v>
      </c>
    </row>
    <row r="88" spans="1:7" ht="26.25" customHeight="1" thickBot="1">
      <c r="B88" s="654"/>
      <c r="C88" s="654"/>
      <c r="D88" s="654"/>
      <c r="E88" s="603"/>
      <c r="F88" s="603"/>
      <c r="G88" s="603"/>
    </row>
    <row r="89" spans="1:7" ht="15.6">
      <c r="B89" s="646" t="s">
        <v>999</v>
      </c>
      <c r="C89" s="647"/>
      <c r="D89" s="647"/>
      <c r="E89" s="604"/>
      <c r="F89" s="604"/>
      <c r="G89" s="648"/>
    </row>
    <row r="90" spans="1:7">
      <c r="B90" s="613"/>
      <c r="C90" s="614"/>
      <c r="D90" s="614"/>
      <c r="E90" s="605"/>
      <c r="F90" s="605"/>
      <c r="G90" s="649"/>
    </row>
    <row r="91" spans="1:7">
      <c r="A91" s="130" t="s">
        <v>1601</v>
      </c>
      <c r="B91" s="618"/>
      <c r="C91" s="619" t="s">
        <v>50</v>
      </c>
      <c r="D91" s="619"/>
      <c r="E91" s="595">
        <v>0</v>
      </c>
      <c r="F91" s="595">
        <v>0</v>
      </c>
      <c r="G91" s="617">
        <f>+E91+F91</f>
        <v>0</v>
      </c>
    </row>
    <row r="92" spans="1:7">
      <c r="A92" s="130" t="s">
        <v>1602</v>
      </c>
      <c r="B92" s="618"/>
      <c r="C92" s="619" t="s">
        <v>1403</v>
      </c>
      <c r="D92" s="619"/>
      <c r="E92" s="595">
        <v>0</v>
      </c>
      <c r="F92" s="595">
        <v>0</v>
      </c>
      <c r="G92" s="617">
        <f>+E92+F92</f>
        <v>0</v>
      </c>
    </row>
    <row r="93" spans="1:7">
      <c r="A93" s="130" t="s">
        <v>1603</v>
      </c>
      <c r="B93" s="618"/>
      <c r="C93" s="619" t="s">
        <v>573</v>
      </c>
      <c r="D93" s="619"/>
      <c r="E93" s="595" t="e">
        <f>+'Project Summary'!#REF!*0.6</f>
        <v>#REF!</v>
      </c>
      <c r="F93" s="595" t="e">
        <f>+'Project Summary'!#REF!*0.4</f>
        <v>#REF!</v>
      </c>
      <c r="G93" s="617" t="e">
        <f>+E93+F93</f>
        <v>#REF!</v>
      </c>
    </row>
    <row r="94" spans="1:7">
      <c r="A94" s="130" t="s">
        <v>1604</v>
      </c>
      <c r="B94" s="618"/>
      <c r="C94" s="619" t="s">
        <v>1001</v>
      </c>
      <c r="D94" s="619"/>
      <c r="E94" s="595">
        <v>0</v>
      </c>
      <c r="F94" s="595">
        <v>0</v>
      </c>
      <c r="G94" s="617">
        <f>+E94+F94</f>
        <v>0</v>
      </c>
    </row>
    <row r="95" spans="1:7" ht="15.6" thickBot="1">
      <c r="B95" s="626"/>
      <c r="C95" s="627"/>
      <c r="D95" s="627"/>
      <c r="E95" s="598"/>
      <c r="F95" s="598"/>
      <c r="G95" s="650"/>
    </row>
    <row r="96" spans="1:7" ht="20.100000000000001" customHeight="1" thickBot="1">
      <c r="B96" s="651"/>
      <c r="C96" s="652" t="s">
        <v>754</v>
      </c>
      <c r="D96" s="653"/>
      <c r="E96" s="602" t="e">
        <f>SUM(E91:E95)</f>
        <v>#REF!</v>
      </c>
      <c r="F96" s="602" t="e">
        <f>SUM(F91:F95)</f>
        <v>#REF!</v>
      </c>
      <c r="G96" s="602" t="e">
        <f>SUM(G91:G95)</f>
        <v>#REF!</v>
      </c>
    </row>
    <row r="97" spans="1:7" ht="26.25" customHeight="1" thickBot="1">
      <c r="B97" s="654"/>
      <c r="C97" s="654"/>
      <c r="D97" s="654"/>
      <c r="E97" s="603"/>
      <c r="F97" s="603"/>
      <c r="G97" s="603"/>
    </row>
    <row r="98" spans="1:7" ht="15.6">
      <c r="B98" s="646" t="s">
        <v>1000</v>
      </c>
      <c r="C98" s="647"/>
      <c r="D98" s="647"/>
      <c r="E98" s="604"/>
      <c r="F98" s="604"/>
      <c r="G98" s="648"/>
    </row>
    <row r="99" spans="1:7">
      <c r="B99" s="613"/>
      <c r="C99" s="614"/>
      <c r="D99" s="614"/>
      <c r="E99" s="605"/>
      <c r="F99" s="605"/>
      <c r="G99" s="649"/>
    </row>
    <row r="100" spans="1:7">
      <c r="A100" s="130" t="s">
        <v>1605</v>
      </c>
      <c r="B100" s="618"/>
      <c r="C100" s="619" t="s">
        <v>574</v>
      </c>
      <c r="D100" s="619"/>
      <c r="E100" s="595" t="e">
        <f>+'Project Summary'!#REF!*0.6</f>
        <v>#REF!</v>
      </c>
      <c r="F100" s="595" t="e">
        <f>+'Project Summary'!#REF!*0.4</f>
        <v>#REF!</v>
      </c>
      <c r="G100" s="617" t="e">
        <f>+E100+F100</f>
        <v>#REF!</v>
      </c>
    </row>
    <row r="101" spans="1:7">
      <c r="A101" s="130" t="s">
        <v>1606</v>
      </c>
      <c r="B101" s="618"/>
      <c r="C101" s="619"/>
      <c r="D101" s="619"/>
      <c r="E101" s="595">
        <v>0</v>
      </c>
      <c r="F101" s="595">
        <v>0</v>
      </c>
      <c r="G101" s="617">
        <f>+E101+F101</f>
        <v>0</v>
      </c>
    </row>
    <row r="102" spans="1:7" ht="15.6" thickBot="1">
      <c r="B102" s="626"/>
      <c r="C102" s="627"/>
      <c r="D102" s="627"/>
      <c r="E102" s="598"/>
      <c r="F102" s="598"/>
      <c r="G102" s="650"/>
    </row>
    <row r="103" spans="1:7" ht="20.100000000000001" customHeight="1" thickBot="1">
      <c r="B103" s="651"/>
      <c r="C103" s="652" t="s">
        <v>755</v>
      </c>
      <c r="D103" s="653"/>
      <c r="E103" s="602" t="e">
        <f>SUM(E100:E102)</f>
        <v>#REF!</v>
      </c>
      <c r="F103" s="602" t="e">
        <f>SUM(F100:F102)</f>
        <v>#REF!</v>
      </c>
      <c r="G103" s="602" t="e">
        <f>SUM(G100:G102)</f>
        <v>#REF!</v>
      </c>
    </row>
    <row r="104" spans="1:7">
      <c r="B104" s="654"/>
      <c r="C104" s="654"/>
      <c r="D104" s="654"/>
      <c r="E104" s="603"/>
      <c r="F104" s="603"/>
      <c r="G104" s="603"/>
    </row>
    <row r="105" spans="1:7">
      <c r="B105" s="654"/>
      <c r="C105" s="654"/>
      <c r="D105" s="654"/>
      <c r="E105" s="603"/>
      <c r="F105" s="603"/>
      <c r="G105" s="603"/>
    </row>
    <row r="106" spans="1:7">
      <c r="B106" s="654"/>
      <c r="C106" s="655" t="s">
        <v>614</v>
      </c>
      <c r="D106" s="655"/>
      <c r="E106" s="603"/>
      <c r="F106" s="603"/>
      <c r="G106" s="603"/>
    </row>
  </sheetData>
  <sheetProtection password="D94C" sheet="1" objects="1" scenarios="1"/>
  <mergeCells count="4">
    <mergeCell ref="B1:G1"/>
    <mergeCell ref="E3:G3"/>
    <mergeCell ref="C7:D7"/>
    <mergeCell ref="B3:D4"/>
  </mergeCells>
  <phoneticPr fontId="53" type="noConversion"/>
  <printOptions horizontalCentered="1"/>
  <pageMargins left="0.75" right="0.75" top="1.33" bottom="1" header="1" footer="0.5"/>
  <pageSetup paperSize="3" scale="85" orientation="portrait" r:id="rId1"/>
  <headerFooter alignWithMargins="0">
    <oddHeader>&amp;R&amp;10Print Date: &amp;D</oddHeader>
    <oddFooter>&amp;L&amp;6&amp;F&amp;A
5486-PZR-P0201&amp;C&amp;G&amp;R&amp;10Confidential
Page &amp;P of &amp;N</oddFooter>
  </headerFooter>
  <rowBreaks count="1" manualBreakCount="1">
    <brk id="79" min="1" max="6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79</vt:i4>
      </vt:variant>
    </vt:vector>
  </HeadingPairs>
  <TitlesOfParts>
    <vt:vector size="105" baseType="lpstr">
      <vt:lpstr>Cover Sheet</vt:lpstr>
      <vt:lpstr>Project Summary Rounded</vt:lpstr>
      <vt:lpstr>Project Summary</vt:lpstr>
      <vt:lpstr>Owners Cost Summary</vt:lpstr>
      <vt:lpstr>Owners Cost</vt:lpstr>
      <vt:lpstr>Sheet1</vt:lpstr>
      <vt:lpstr>Estimate Details</vt:lpstr>
      <vt:lpstr>Unit Sort Codes</vt:lpstr>
      <vt:lpstr>Unit Cost Summary</vt:lpstr>
      <vt:lpstr>Cost Differential</vt:lpstr>
      <vt:lpstr>Pivot Table (Unit Sort)</vt:lpstr>
      <vt:lpstr>Sheet3</vt:lpstr>
      <vt:lpstr>Pipe Takeoff</vt:lpstr>
      <vt:lpstr>Composite Crew Void</vt:lpstr>
      <vt:lpstr>Raw Water &amp; Discharge Detail</vt:lpstr>
      <vt:lpstr>Wage Rates</vt:lpstr>
      <vt:lpstr>Composite Crew Rates 2</vt:lpstr>
      <vt:lpstr>Out Buildings and Structures</vt:lpstr>
      <vt:lpstr>Main Power Block Area</vt:lpstr>
      <vt:lpstr>EPC Field Staff</vt:lpstr>
      <vt:lpstr>Const Indirects &amp; Services</vt:lpstr>
      <vt:lpstr>Construction Equipment</vt:lpstr>
      <vt:lpstr>Productivity Factor Calc.</vt:lpstr>
      <vt:lpstr>OFE &amp; EPC Cash Flow</vt:lpstr>
      <vt:lpstr>EPC Craft Hour &amp; Escalation</vt:lpstr>
      <vt:lpstr>Estimate WBS</vt:lpstr>
      <vt:lpstr>'Const Indirects &amp; Services'!ALL</vt:lpstr>
      <vt:lpstr>'Construction Equipment'!ALL</vt:lpstr>
      <vt:lpstr>'Estimate Details'!archprod</vt:lpstr>
      <vt:lpstr>AvR_1</vt:lpstr>
      <vt:lpstr>BM_1</vt:lpstr>
      <vt:lpstr>BM_2</vt:lpstr>
      <vt:lpstr>'Wage Rates'!BOIL</vt:lpstr>
      <vt:lpstr>'Estimate Details'!boilprod</vt:lpstr>
      <vt:lpstr>'Const Indirects &amp; Services'!BOTTOM</vt:lpstr>
      <vt:lpstr>'Construction Equipment'!BOTTOM</vt:lpstr>
      <vt:lpstr>C_1</vt:lpstr>
      <vt:lpstr>C_2</vt:lpstr>
      <vt:lpstr>'Estimate Details'!civilprod</vt:lpstr>
      <vt:lpstr>Con_1</vt:lpstr>
      <vt:lpstr>'Wage Rates'!CONC</vt:lpstr>
      <vt:lpstr>'Estimate Details'!concprod</vt:lpstr>
      <vt:lpstr>Dem_1</vt:lpstr>
      <vt:lpstr>E_1</vt:lpstr>
      <vt:lpstr>E_2</vt:lpstr>
      <vt:lpstr>'Wage Rates'!ELEC</vt:lpstr>
      <vt:lpstr>'Estimate Details'!elecprod</vt:lpstr>
      <vt:lpstr>'Wage Rates'!EQUIP</vt:lpstr>
      <vt:lpstr>'Construction Equipment'!EQUIPMENT</vt:lpstr>
      <vt:lpstr>'Const Indirects &amp; Services'!GENERALCONDITIO</vt:lpstr>
      <vt:lpstr>I_1</vt:lpstr>
      <vt:lpstr>'Wage Rates'!INSUL</vt:lpstr>
      <vt:lpstr>Mas__1</vt:lpstr>
      <vt:lpstr>'Estimate Details'!millprod</vt:lpstr>
      <vt:lpstr>MW_1</vt:lpstr>
      <vt:lpstr>P_1</vt:lpstr>
      <vt:lpstr>PF_1</vt:lpstr>
      <vt:lpstr>'Wage Rates'!PIPE</vt:lpstr>
      <vt:lpstr>'Estimate Details'!pipeprod</vt:lpstr>
      <vt:lpstr>Pre_Engin</vt:lpstr>
      <vt:lpstr>'Composite Crew Rates 2'!Print_Area</vt:lpstr>
      <vt:lpstr>'Const Indirects &amp; Services'!Print_Area</vt:lpstr>
      <vt:lpstr>'Construction Equipment'!Print_Area</vt:lpstr>
      <vt:lpstr>'Cost Differential'!Print_Area</vt:lpstr>
      <vt:lpstr>'Cover Sheet'!Print_Area</vt:lpstr>
      <vt:lpstr>'EPC Craft Hour &amp; Escalation'!Print_Area</vt:lpstr>
      <vt:lpstr>'EPC Field Staff'!Print_Area</vt:lpstr>
      <vt:lpstr>'Estimate Details'!Print_Area</vt:lpstr>
      <vt:lpstr>'Estimate WBS'!Print_Area</vt:lpstr>
      <vt:lpstr>'Main Power Block Area'!Print_Area</vt:lpstr>
      <vt:lpstr>'OFE &amp; EPC Cash Flow'!Print_Area</vt:lpstr>
      <vt:lpstr>'Owners Cost'!Print_Area</vt:lpstr>
      <vt:lpstr>'Owners Cost Summary'!Print_Area</vt:lpstr>
      <vt:lpstr>'Project Summary'!Print_Area</vt:lpstr>
      <vt:lpstr>'Project Summary Rounded'!Print_Area</vt:lpstr>
      <vt:lpstr>'Raw Water &amp; Discharge Detail'!Print_Area</vt:lpstr>
      <vt:lpstr>Sheet3!Print_Area</vt:lpstr>
      <vt:lpstr>'Unit Cost Summary'!Print_Area</vt:lpstr>
      <vt:lpstr>'Unit Sort Codes'!Print_Area</vt:lpstr>
      <vt:lpstr>'Wage Rates'!Print_Area</vt:lpstr>
      <vt:lpstr>'Const Indirects &amp; Services'!Print_Titles</vt:lpstr>
      <vt:lpstr>'Construction Equipment'!Print_Titles</vt:lpstr>
      <vt:lpstr>'Cost Differential'!Print_Titles</vt:lpstr>
      <vt:lpstr>'EPC Field Staff'!Print_Titles</vt:lpstr>
      <vt:lpstr>'Estimate Details'!Print_Titles</vt:lpstr>
      <vt:lpstr>'Estimate WBS'!Print_Titles</vt:lpstr>
      <vt:lpstr>'Main Power Block Area'!Print_Titles</vt:lpstr>
      <vt:lpstr>'Out Buildings and Structures'!Print_Titles</vt:lpstr>
      <vt:lpstr>'Productivity Factor Calc.'!Print_Titles</vt:lpstr>
      <vt:lpstr>'Project Summary'!Print_Titles</vt:lpstr>
      <vt:lpstr>'Project Summary Rounded'!Print_Titles</vt:lpstr>
      <vt:lpstr>'Unit Cost Summary'!Print_Titles</vt:lpstr>
      <vt:lpstr>'Unit Sort Codes'!Print_Titles</vt:lpstr>
      <vt:lpstr>'Wage Rates'!Print_Titles</vt:lpstr>
      <vt:lpstr>'Project Summary'!PRINTSUMMARY</vt:lpstr>
      <vt:lpstr>'Project Summary Rounded'!PRINTSUMMARY</vt:lpstr>
      <vt:lpstr>RF_1</vt:lpstr>
      <vt:lpstr>S_1</vt:lpstr>
      <vt:lpstr>S_2</vt:lpstr>
      <vt:lpstr>Sid___1</vt:lpstr>
      <vt:lpstr>'Wage Rates'!SITE</vt:lpstr>
      <vt:lpstr>SS_1</vt:lpstr>
      <vt:lpstr>SStl_1</vt:lpstr>
      <vt:lpstr>'Wage Rates'!STEEL</vt:lpstr>
      <vt:lpstr>TC_1</vt:lpstr>
    </vt:vector>
  </TitlesOfParts>
  <Company>cummins and barnard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rbakewell</dc:creator>
  <cp:lastModifiedBy>Gardner, Sheri</cp:lastModifiedBy>
  <cp:lastPrinted>2014-04-21T19:40:01Z</cp:lastPrinted>
  <dcterms:created xsi:type="dcterms:W3CDTF">2003-08-05T15:00:19Z</dcterms:created>
  <dcterms:modified xsi:type="dcterms:W3CDTF">2014-04-22T19:25:07Z</dcterms:modified>
</cp:coreProperties>
</file>